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Синица\Временные файлы\расчет сушилок\"/>
    </mc:Choice>
  </mc:AlternateContent>
  <bookViews>
    <workbookView xWindow="0" yWindow="0" windowWidth="17640" windowHeight="8340" tabRatio="898"/>
  </bookViews>
  <sheets>
    <sheet name="Расчет" sheetId="73" r:id="rId1"/>
    <sheet name="Электрика (спец.расчет)" sheetId="74" r:id="rId2"/>
    <sheet name="Покупные_изделия" sheetId="7" r:id="rId3"/>
    <sheet name="Структура" sheetId="2" r:id="rId4"/>
    <sheet name="Трудозатраты" sheetId="47" r:id="rId5"/>
  </sheets>
  <functionGroups builtInGroupCount="18"/>
  <externalReferences>
    <externalReference r:id="rId6"/>
  </externalReferences>
  <definedNames>
    <definedName name="_xlnm._FilterDatabase" localSheetId="2" hidden="1">Покупные_изделия!#REF!</definedName>
    <definedName name="k_ru_dol" localSheetId="1">[1]Расчет!$A$8</definedName>
    <definedName name="k_ru_dol">Расчет!$A$8</definedName>
    <definedName name="k_ru_evro" localSheetId="1">[1]Расчет!$A$9</definedName>
    <definedName name="k_ru_evro">Расчет!$A$9</definedName>
    <definedName name="k_ru_yuan" localSheetId="1">[1]Расчет!$A$10</definedName>
    <definedName name="k_ru_yuan">Расчет!$A$10</definedName>
    <definedName name="дата_расчета">Покупные_изделия!$G$3</definedName>
    <definedName name="запас_труд" localSheetId="1">[1]Расчет!$A$12</definedName>
    <definedName name="запас_труд">Расчет!$A$12</definedName>
    <definedName name="наценка_покупное" localSheetId="1">[1]Расчет!$A$11</definedName>
    <definedName name="наценка_покупное">Расчет!$A$11</definedName>
    <definedName name="Общие_или_заединицу" localSheetId="4">Трудозатраты!$E$2</definedName>
    <definedName name="Пробивка" localSheetId="4">Трудозатраты!$M$2</definedName>
    <definedName name="стоимость_трудочаса" localSheetId="1">[1]Расчет!$A$13</definedName>
    <definedName name="стоимость_трудочаса">Расчет!$A$13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037" i="73" l="1"/>
  <c r="D553" i="7" l="1"/>
  <c r="D554" i="7"/>
  <c r="D498" i="7"/>
  <c r="D497" i="7"/>
  <c r="D496" i="7"/>
  <c r="D452" i="7"/>
  <c r="D451" i="7"/>
  <c r="D450" i="7"/>
  <c r="D422" i="7"/>
  <c r="D421" i="7"/>
  <c r="D420" i="7"/>
  <c r="D419" i="7"/>
  <c r="D41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278" i="7"/>
  <c r="D277" i="7"/>
  <c r="D276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H64" i="7" l="1"/>
  <c r="L3274" i="73" l="1"/>
  <c r="M3274" i="73" s="1"/>
  <c r="L4269" i="73"/>
  <c r="M4269" i="73" s="1"/>
  <c r="H26" i="7"/>
  <c r="L1928" i="73"/>
  <c r="M1928" i="73" s="1"/>
  <c r="M1927" i="73" s="1"/>
  <c r="L1927" i="73" s="1"/>
  <c r="L394" i="73"/>
  <c r="M394" i="73" s="1"/>
  <c r="L3942" i="73"/>
  <c r="M3942" i="73" s="1"/>
  <c r="M3941" i="73" s="1"/>
  <c r="L556" i="73"/>
  <c r="M556" i="73" s="1"/>
  <c r="M555" i="73" s="1"/>
  <c r="L555" i="73" s="1"/>
  <c r="L69" i="73"/>
  <c r="M69" i="73" s="1"/>
  <c r="M68" i="73" s="1"/>
  <c r="L68" i="73" s="1"/>
  <c r="L575" i="73"/>
  <c r="M575" i="73" s="1"/>
  <c r="M574" i="73" s="1"/>
  <c r="L574" i="73" s="1"/>
  <c r="L141" i="73"/>
  <c r="M141" i="73" s="1"/>
  <c r="L37" i="73"/>
  <c r="M37" i="73" s="1"/>
  <c r="M36" i="73" s="1"/>
  <c r="L4287" i="73"/>
  <c r="M4287" i="73" s="1"/>
  <c r="L4535" i="73"/>
  <c r="M4535" i="73" s="1"/>
  <c r="L182" i="73"/>
  <c r="M182" i="73" s="1"/>
  <c r="M181" i="73" s="1"/>
  <c r="L181" i="73" s="1"/>
  <c r="L4259" i="73"/>
  <c r="M4259" i="73" s="1"/>
  <c r="M4258" i="73" s="1"/>
  <c r="L4258" i="73" s="1"/>
  <c r="L529" i="73"/>
  <c r="M529" i="73" s="1"/>
  <c r="M528" i="73" s="1"/>
  <c r="L528" i="73" s="1"/>
  <c r="L3736" i="73"/>
  <c r="M3736" i="73" s="1"/>
  <c r="M3735" i="73" s="1"/>
  <c r="L1920" i="73"/>
  <c r="M1920" i="73" s="1"/>
  <c r="M1919" i="73" s="1"/>
  <c r="L3513" i="73"/>
  <c r="M3513" i="73" s="1"/>
  <c r="M3512" i="73" s="1"/>
  <c r="L3512" i="73" s="1"/>
  <c r="L1021" i="73"/>
  <c r="M1021" i="73" s="1"/>
  <c r="M1020" i="73" s="1"/>
  <c r="L4140" i="73"/>
  <c r="M4140" i="73" s="1"/>
  <c r="M4139" i="73" s="1"/>
  <c r="L4139" i="73" s="1"/>
  <c r="L3102" i="73"/>
  <c r="M3102" i="73" s="1"/>
  <c r="M3101" i="73" s="1"/>
  <c r="L3887" i="73"/>
  <c r="M3887" i="73" s="1"/>
  <c r="M3886" i="73" s="1"/>
  <c r="L2838" i="73"/>
  <c r="M2838" i="73" s="1"/>
  <c r="M2837" i="73" s="1"/>
  <c r="L4341" i="73"/>
  <c r="M4341" i="73" s="1"/>
  <c r="M4340" i="73" s="1"/>
  <c r="L3957" i="73"/>
  <c r="M3957" i="73" s="1"/>
  <c r="M3956" i="73" s="1"/>
  <c r="L3956" i="73" s="1"/>
  <c r="L2850" i="73"/>
  <c r="M2850" i="73" s="1"/>
  <c r="M2849" i="73" s="1"/>
  <c r="L3484" i="73"/>
  <c r="M3484" i="73" s="1"/>
  <c r="L4334" i="73"/>
  <c r="M4334" i="73" s="1"/>
  <c r="M4333" i="73" s="1"/>
  <c r="L50" i="73"/>
  <c r="M50" i="73" s="1"/>
  <c r="M49" i="73" s="1"/>
  <c r="L527" i="73"/>
  <c r="M527" i="73" s="1"/>
  <c r="M526" i="73" s="1"/>
  <c r="L1663" i="73"/>
  <c r="M1663" i="73" s="1"/>
  <c r="M1662" i="73" s="1"/>
  <c r="L1662" i="73" s="1"/>
  <c r="L3885" i="73"/>
  <c r="M3885" i="73" s="1"/>
  <c r="M3884" i="73" s="1"/>
  <c r="L2174" i="73"/>
  <c r="M2174" i="73" s="1"/>
  <c r="M2173" i="73" s="1"/>
  <c r="L1698" i="73"/>
  <c r="M1698" i="73" s="1"/>
  <c r="L4442" i="73"/>
  <c r="M4442" i="73" s="1"/>
  <c r="L4387" i="73"/>
  <c r="M4387" i="73" s="1"/>
  <c r="L1083" i="73"/>
  <c r="M1083" i="73" s="1"/>
  <c r="L4099" i="73"/>
  <c r="M4099" i="73" s="1"/>
  <c r="M4098" i="73" s="1"/>
  <c r="L4098" i="73" s="1"/>
  <c r="L1189" i="73"/>
  <c r="M1189" i="73" s="1"/>
  <c r="M1188" i="73" s="1"/>
  <c r="L1188" i="73" s="1"/>
  <c r="L567" i="73"/>
  <c r="M567" i="73" s="1"/>
  <c r="M566" i="73" s="1"/>
  <c r="L106" i="73"/>
  <c r="M106" i="73" s="1"/>
  <c r="M105" i="73" s="1"/>
  <c r="L2911" i="73"/>
  <c r="M2911" i="73" s="1"/>
  <c r="M2910" i="73" s="1"/>
  <c r="L1770" i="73"/>
  <c r="M1770" i="73" s="1"/>
  <c r="M1769" i="73" s="1"/>
  <c r="L1769" i="73" s="1"/>
  <c r="L2407" i="73"/>
  <c r="M2407" i="73" s="1"/>
  <c r="M2406" i="73" s="1"/>
  <c r="L2727" i="73"/>
  <c r="M2727" i="73" s="1"/>
  <c r="L193" i="73"/>
  <c r="M193" i="73" s="1"/>
  <c r="M192" i="73" s="1"/>
  <c r="L4474" i="73"/>
  <c r="M4474" i="73" s="1"/>
  <c r="M4473" i="73" s="1"/>
  <c r="L4473" i="73" s="1"/>
  <c r="L4662" i="73"/>
  <c r="M4662" i="73" s="1"/>
  <c r="M4661" i="73" s="1"/>
  <c r="L4042" i="73"/>
  <c r="M4042" i="73" s="1"/>
  <c r="M4041" i="73" s="1"/>
  <c r="L4378" i="73"/>
  <c r="M4378" i="73" s="1"/>
  <c r="M4377" i="73" s="1"/>
  <c r="L4377" i="73" s="1"/>
  <c r="L1890" i="73"/>
  <c r="M1890" i="73" s="1"/>
  <c r="M1889" i="73" s="1"/>
  <c r="L1889" i="73" s="1"/>
  <c r="L4088" i="73"/>
  <c r="M4088" i="73" s="1"/>
  <c r="L243" i="73"/>
  <c r="M243" i="73" s="1"/>
  <c r="M242" i="73" s="1"/>
  <c r="L242" i="73" s="1"/>
  <c r="L4018" i="73"/>
  <c r="M4018" i="73" s="1"/>
  <c r="M4017" i="73" s="1"/>
  <c r="L4017" i="73" s="1"/>
  <c r="L2564" i="73"/>
  <c r="M2564" i="73" s="1"/>
  <c r="M2563" i="73" s="1"/>
  <c r="L2589" i="73"/>
  <c r="M2589" i="73" s="1"/>
  <c r="M2588" i="73" s="1"/>
  <c r="L2909" i="73"/>
  <c r="M2909" i="73" s="1"/>
  <c r="M2908" i="73" s="1"/>
  <c r="L2908" i="73" s="1"/>
  <c r="L2877" i="73"/>
  <c r="M2877" i="73" s="1"/>
  <c r="M2876" i="73" s="1"/>
  <c r="L52" i="73"/>
  <c r="M52" i="73" s="1"/>
  <c r="M51" i="73" s="1"/>
  <c r="L51" i="73" s="1"/>
  <c r="L382" i="73"/>
  <c r="M382" i="73" s="1"/>
  <c r="M381" i="73" s="1"/>
  <c r="L1303" i="73"/>
  <c r="M1303" i="73" s="1"/>
  <c r="M1302" i="73" s="1"/>
  <c r="L1122" i="73"/>
  <c r="M1122" i="73" s="1"/>
  <c r="M1121" i="73" s="1"/>
  <c r="L1121" i="73" s="1"/>
  <c r="L343" i="73"/>
  <c r="M343" i="73" s="1"/>
  <c r="M342" i="73" s="1"/>
  <c r="L378" i="73"/>
  <c r="M378" i="73" s="1"/>
  <c r="M377" i="73" s="1"/>
  <c r="H68" i="7"/>
  <c r="N4498" i="73"/>
  <c r="B7" i="74"/>
  <c r="B5" i="74"/>
  <c r="B9" i="74"/>
  <c r="J16" i="73"/>
  <c r="K4498" i="73"/>
  <c r="J4498" i="73"/>
  <c r="K4983" i="73"/>
  <c r="J4983" i="73"/>
  <c r="K5032" i="73"/>
  <c r="J5032" i="73"/>
  <c r="K5031" i="73"/>
  <c r="J5031" i="73"/>
  <c r="K5030" i="73"/>
  <c r="J5030" i="73"/>
  <c r="K5029" i="73"/>
  <c r="J5029" i="73"/>
  <c r="K5028" i="73"/>
  <c r="J5028" i="73"/>
  <c r="K5027" i="73"/>
  <c r="J5027" i="73"/>
  <c r="K5026" i="73"/>
  <c r="J5026" i="73"/>
  <c r="K5025" i="73"/>
  <c r="J5025" i="73"/>
  <c r="K5024" i="73"/>
  <c r="J5024" i="73"/>
  <c r="K5023" i="73"/>
  <c r="J5023" i="73"/>
  <c r="K5022" i="73"/>
  <c r="J5022" i="73"/>
  <c r="K5021" i="73"/>
  <c r="J5021" i="73"/>
  <c r="K5020" i="73"/>
  <c r="J5020" i="73"/>
  <c r="K5019" i="73"/>
  <c r="J5019" i="73"/>
  <c r="K5018" i="73"/>
  <c r="J5018" i="73"/>
  <c r="K5017" i="73"/>
  <c r="J5017" i="73"/>
  <c r="K5016" i="73"/>
  <c r="J5016" i="73"/>
  <c r="K5015" i="73"/>
  <c r="J5015" i="73"/>
  <c r="K5014" i="73"/>
  <c r="J5014" i="73"/>
  <c r="K5013" i="73"/>
  <c r="J5013" i="73"/>
  <c r="K5012" i="73"/>
  <c r="J5012" i="73"/>
  <c r="K5011" i="73"/>
  <c r="J5011" i="73"/>
  <c r="K5010" i="73"/>
  <c r="J5010" i="73"/>
  <c r="K5009" i="73"/>
  <c r="J5009" i="73"/>
  <c r="K5008" i="73"/>
  <c r="J5008" i="73"/>
  <c r="K5007" i="73"/>
  <c r="J5007" i="73"/>
  <c r="K5006" i="73"/>
  <c r="J5006" i="73"/>
  <c r="K5005" i="73"/>
  <c r="J5005" i="73"/>
  <c r="K5004" i="73"/>
  <c r="J5004" i="73"/>
  <c r="K5003" i="73"/>
  <c r="J5003" i="73"/>
  <c r="K5002" i="73"/>
  <c r="J5002" i="73"/>
  <c r="K5001" i="73"/>
  <c r="J5001" i="73"/>
  <c r="K5000" i="73"/>
  <c r="J5000" i="73"/>
  <c r="K4999" i="73"/>
  <c r="J4999" i="73"/>
  <c r="K4998" i="73"/>
  <c r="J4998" i="73"/>
  <c r="K4997" i="73"/>
  <c r="J4997" i="73"/>
  <c r="K4996" i="73"/>
  <c r="J4996" i="73"/>
  <c r="K4995" i="73"/>
  <c r="J4995" i="73"/>
  <c r="K4994" i="73"/>
  <c r="J4994" i="73"/>
  <c r="K4993" i="73"/>
  <c r="J4993" i="73"/>
  <c r="K4992" i="73"/>
  <c r="J4992" i="73"/>
  <c r="K4991" i="73"/>
  <c r="J4991" i="73"/>
  <c r="K4990" i="73"/>
  <c r="J4990" i="73"/>
  <c r="K4988" i="73"/>
  <c r="J4988" i="73"/>
  <c r="K4989" i="73"/>
  <c r="J4989" i="73"/>
  <c r="K4986" i="73"/>
  <c r="J4986" i="73"/>
  <c r="K4987" i="73"/>
  <c r="J4987" i="73"/>
  <c r="K4984" i="73"/>
  <c r="J4984" i="73"/>
  <c r="K4985" i="73"/>
  <c r="J4985" i="73"/>
  <c r="K4933" i="73"/>
  <c r="J4933" i="73"/>
  <c r="K4982" i="73"/>
  <c r="J4982" i="73"/>
  <c r="K4981" i="73"/>
  <c r="J4981" i="73"/>
  <c r="K4980" i="73"/>
  <c r="J4980" i="73"/>
  <c r="K4979" i="73"/>
  <c r="J4979" i="73"/>
  <c r="K4978" i="73"/>
  <c r="J4978" i="73"/>
  <c r="K4977" i="73"/>
  <c r="J4977" i="73"/>
  <c r="K4976" i="73"/>
  <c r="J4976" i="73"/>
  <c r="K4975" i="73"/>
  <c r="J4975" i="73"/>
  <c r="K4974" i="73"/>
  <c r="J4974" i="73"/>
  <c r="K4973" i="73"/>
  <c r="J4973" i="73"/>
  <c r="K4972" i="73"/>
  <c r="J4972" i="73"/>
  <c r="K4971" i="73"/>
  <c r="J4971" i="73"/>
  <c r="K4970" i="73"/>
  <c r="J4970" i="73"/>
  <c r="K4969" i="73"/>
  <c r="J4969" i="73"/>
  <c r="K4968" i="73"/>
  <c r="J4968" i="73"/>
  <c r="K4967" i="73"/>
  <c r="J4967" i="73"/>
  <c r="K4966" i="73"/>
  <c r="J4966" i="73"/>
  <c r="K4965" i="73"/>
  <c r="J4965" i="73"/>
  <c r="K4964" i="73"/>
  <c r="J4964" i="73"/>
  <c r="K4963" i="73"/>
  <c r="J4963" i="73"/>
  <c r="K4962" i="73"/>
  <c r="J4962" i="73"/>
  <c r="K4961" i="73"/>
  <c r="J4961" i="73"/>
  <c r="K4960" i="73"/>
  <c r="J4960" i="73"/>
  <c r="K4959" i="73"/>
  <c r="J4959" i="73"/>
  <c r="K4958" i="73"/>
  <c r="J4958" i="73"/>
  <c r="K4957" i="73"/>
  <c r="J4957" i="73"/>
  <c r="K4956" i="73"/>
  <c r="J4956" i="73"/>
  <c r="K4955" i="73"/>
  <c r="J4955" i="73"/>
  <c r="K4954" i="73"/>
  <c r="J4954" i="73"/>
  <c r="K4953" i="73"/>
  <c r="J4953" i="73"/>
  <c r="K4952" i="73"/>
  <c r="J4952" i="73"/>
  <c r="K4951" i="73"/>
  <c r="J4951" i="73"/>
  <c r="K4950" i="73"/>
  <c r="J4950" i="73"/>
  <c r="K4949" i="73"/>
  <c r="J4949" i="73"/>
  <c r="K4948" i="73"/>
  <c r="J4948" i="73"/>
  <c r="K4947" i="73"/>
  <c r="J4947" i="73"/>
  <c r="K4946" i="73"/>
  <c r="J4946" i="73"/>
  <c r="K4945" i="73"/>
  <c r="J4945" i="73"/>
  <c r="K4944" i="73"/>
  <c r="J4944" i="73"/>
  <c r="K4943" i="73"/>
  <c r="J4943" i="73"/>
  <c r="K4942" i="73"/>
  <c r="J4942" i="73"/>
  <c r="K4941" i="73"/>
  <c r="J4941" i="73"/>
  <c r="K4940" i="73"/>
  <c r="J4940" i="73"/>
  <c r="K4938" i="73"/>
  <c r="J4938" i="73"/>
  <c r="K4939" i="73"/>
  <c r="J4939" i="73"/>
  <c r="K4936" i="73"/>
  <c r="J4936" i="73"/>
  <c r="K4937" i="73"/>
  <c r="J4937" i="73"/>
  <c r="K4934" i="73"/>
  <c r="J4934" i="73"/>
  <c r="K4935" i="73"/>
  <c r="J4935" i="73"/>
  <c r="K4880" i="73"/>
  <c r="J4880" i="73"/>
  <c r="K4932" i="73"/>
  <c r="J4932" i="73"/>
  <c r="K4931" i="73"/>
  <c r="J4931" i="73"/>
  <c r="K4930" i="73"/>
  <c r="J4930" i="73"/>
  <c r="K4929" i="73"/>
  <c r="J4929" i="73"/>
  <c r="K4928" i="73"/>
  <c r="J4928" i="73"/>
  <c r="K4927" i="73"/>
  <c r="J4927" i="73"/>
  <c r="K4926" i="73"/>
  <c r="J4926" i="73"/>
  <c r="K4925" i="73"/>
  <c r="J4925" i="73"/>
  <c r="K4924" i="73"/>
  <c r="J4924" i="73"/>
  <c r="K4923" i="73"/>
  <c r="J4923" i="73"/>
  <c r="K4922" i="73"/>
  <c r="J4922" i="73"/>
  <c r="K4921" i="73"/>
  <c r="J4921" i="73"/>
  <c r="K4920" i="73"/>
  <c r="J4920" i="73"/>
  <c r="K4919" i="73"/>
  <c r="J4919" i="73"/>
  <c r="K4918" i="73"/>
  <c r="J4918" i="73"/>
  <c r="K4917" i="73"/>
  <c r="J4917" i="73"/>
  <c r="K4916" i="73"/>
  <c r="J4916" i="73"/>
  <c r="K4915" i="73"/>
  <c r="J4915" i="73"/>
  <c r="K4914" i="73"/>
  <c r="J4914" i="73"/>
  <c r="K4913" i="73"/>
  <c r="J4913" i="73"/>
  <c r="K4912" i="73"/>
  <c r="J4912" i="73"/>
  <c r="K4911" i="73"/>
  <c r="J4911" i="73"/>
  <c r="K4910" i="73"/>
  <c r="J4910" i="73"/>
  <c r="K4909" i="73"/>
  <c r="J4909" i="73"/>
  <c r="K4908" i="73"/>
  <c r="J4908" i="73"/>
  <c r="K4907" i="73"/>
  <c r="J4907" i="73"/>
  <c r="K4906" i="73"/>
  <c r="J4906" i="73"/>
  <c r="K4905" i="73"/>
  <c r="J4905" i="73"/>
  <c r="K4904" i="73"/>
  <c r="J4904" i="73"/>
  <c r="K4903" i="73"/>
  <c r="J4903" i="73"/>
  <c r="K4902" i="73"/>
  <c r="J4902" i="73"/>
  <c r="K4901" i="73"/>
  <c r="J4901" i="73"/>
  <c r="K4900" i="73"/>
  <c r="J4900" i="73"/>
  <c r="K4899" i="73"/>
  <c r="J4899" i="73"/>
  <c r="K4898" i="73"/>
  <c r="J4898" i="73"/>
  <c r="K4897" i="73"/>
  <c r="J4897" i="73"/>
  <c r="K4896" i="73"/>
  <c r="J4896" i="73"/>
  <c r="K4895" i="73"/>
  <c r="J4895" i="73"/>
  <c r="K4894" i="73"/>
  <c r="J4894" i="73"/>
  <c r="K4893" i="73"/>
  <c r="J4893" i="73"/>
  <c r="K4892" i="73"/>
  <c r="J4892" i="73"/>
  <c r="K4891" i="73"/>
  <c r="J4891" i="73"/>
  <c r="K4890" i="73"/>
  <c r="J4890" i="73"/>
  <c r="K4889" i="73"/>
  <c r="J4889" i="73"/>
  <c r="K4888" i="73"/>
  <c r="J4888" i="73"/>
  <c r="K4887" i="73"/>
  <c r="J4887" i="73"/>
  <c r="K4886" i="73"/>
  <c r="J4886" i="73"/>
  <c r="K4885" i="73"/>
  <c r="J4885" i="73"/>
  <c r="K4884" i="73"/>
  <c r="J4884" i="73"/>
  <c r="K4883" i="73"/>
  <c r="J4883" i="73"/>
  <c r="K4881" i="73"/>
  <c r="J4881" i="73"/>
  <c r="K4882" i="73"/>
  <c r="J4882" i="73"/>
  <c r="K4781" i="73"/>
  <c r="J4781" i="73"/>
  <c r="K4879" i="73"/>
  <c r="J4879" i="73"/>
  <c r="K4878" i="73"/>
  <c r="J4878" i="73"/>
  <c r="K4877" i="73"/>
  <c r="J4877" i="73"/>
  <c r="K4876" i="73"/>
  <c r="J4876" i="73"/>
  <c r="K4875" i="73"/>
  <c r="J4875" i="73"/>
  <c r="K4874" i="73"/>
  <c r="J4874" i="73"/>
  <c r="K4873" i="73"/>
  <c r="J4873" i="73"/>
  <c r="K4872" i="73"/>
  <c r="J4872" i="73"/>
  <c r="K4871" i="73"/>
  <c r="J4871" i="73"/>
  <c r="K4870" i="73"/>
  <c r="J4870" i="73"/>
  <c r="K4869" i="73"/>
  <c r="J4869" i="73"/>
  <c r="K4868" i="73"/>
  <c r="J4868" i="73"/>
  <c r="K4867" i="73"/>
  <c r="J4867" i="73"/>
  <c r="K4866" i="73"/>
  <c r="J4866" i="73"/>
  <c r="K4865" i="73"/>
  <c r="J4865" i="73"/>
  <c r="K4864" i="73"/>
  <c r="J4864" i="73"/>
  <c r="K4863" i="73"/>
  <c r="J4863" i="73"/>
  <c r="K4862" i="73"/>
  <c r="J4862" i="73"/>
  <c r="K4861" i="73"/>
  <c r="J4861" i="73"/>
  <c r="K4860" i="73"/>
  <c r="J4860" i="73"/>
  <c r="K4859" i="73"/>
  <c r="J4859" i="73"/>
  <c r="K4858" i="73"/>
  <c r="J4858" i="73"/>
  <c r="K4857" i="73"/>
  <c r="J4857" i="73"/>
  <c r="K4856" i="73"/>
  <c r="J4856" i="73"/>
  <c r="K4855" i="73"/>
  <c r="J4855" i="73"/>
  <c r="K4854" i="73"/>
  <c r="J4854" i="73"/>
  <c r="K4853" i="73"/>
  <c r="J4853" i="73"/>
  <c r="K4852" i="73"/>
  <c r="J4852" i="73"/>
  <c r="K4851" i="73"/>
  <c r="J4851" i="73"/>
  <c r="K4850" i="73"/>
  <c r="J4850" i="73"/>
  <c r="K4849" i="73"/>
  <c r="J4849" i="73"/>
  <c r="K4848" i="73"/>
  <c r="J4848" i="73"/>
  <c r="K4847" i="73"/>
  <c r="J4847" i="73"/>
  <c r="K4846" i="73"/>
  <c r="J4846" i="73"/>
  <c r="K4845" i="73"/>
  <c r="J4845" i="73"/>
  <c r="K4844" i="73"/>
  <c r="J4844" i="73"/>
  <c r="K4843" i="73"/>
  <c r="J4843" i="73"/>
  <c r="K4842" i="73"/>
  <c r="J4842" i="73"/>
  <c r="K4841" i="73"/>
  <c r="J4841" i="73"/>
  <c r="K4840" i="73"/>
  <c r="J4840" i="73"/>
  <c r="K4839" i="73"/>
  <c r="J4839" i="73"/>
  <c r="K4838" i="73"/>
  <c r="J4838" i="73"/>
  <c r="K4837" i="73"/>
  <c r="J4837" i="73"/>
  <c r="K4836" i="73"/>
  <c r="J4836" i="73"/>
  <c r="K4835" i="73"/>
  <c r="J4835" i="73"/>
  <c r="K4834" i="73"/>
  <c r="J4834" i="73"/>
  <c r="K4833" i="73"/>
  <c r="J4833" i="73"/>
  <c r="K4832" i="73"/>
  <c r="J4832" i="73"/>
  <c r="K4831" i="73"/>
  <c r="J4831" i="73"/>
  <c r="K4830" i="73"/>
  <c r="J4830" i="73"/>
  <c r="K4829" i="73"/>
  <c r="J4829" i="73"/>
  <c r="K4828" i="73"/>
  <c r="J4828" i="73"/>
  <c r="K4827" i="73"/>
  <c r="J4827" i="73"/>
  <c r="K4826" i="73"/>
  <c r="J4826" i="73"/>
  <c r="K4825" i="73"/>
  <c r="J4825" i="73"/>
  <c r="K4824" i="73"/>
  <c r="J4824" i="73"/>
  <c r="K4823" i="73"/>
  <c r="J4823" i="73"/>
  <c r="K4822" i="73"/>
  <c r="J4822" i="73"/>
  <c r="K4821" i="73"/>
  <c r="J4821" i="73"/>
  <c r="K4820" i="73"/>
  <c r="J4820" i="73"/>
  <c r="K4819" i="73"/>
  <c r="J4819" i="73"/>
  <c r="K4818" i="73"/>
  <c r="J4818" i="73"/>
  <c r="K4817" i="73"/>
  <c r="J4817" i="73"/>
  <c r="K4816" i="73"/>
  <c r="J4816" i="73"/>
  <c r="K4815" i="73"/>
  <c r="J4815" i="73"/>
  <c r="K4814" i="73"/>
  <c r="J4814" i="73"/>
  <c r="K4813" i="73"/>
  <c r="J4813" i="73"/>
  <c r="K4812" i="73"/>
  <c r="J4812" i="73"/>
  <c r="K4811" i="73"/>
  <c r="J4811" i="73"/>
  <c r="K4810" i="73"/>
  <c r="J4810" i="73"/>
  <c r="K4809" i="73"/>
  <c r="J4809" i="73"/>
  <c r="K4808" i="73"/>
  <c r="J4808" i="73"/>
  <c r="K4807" i="73"/>
  <c r="J4807" i="73"/>
  <c r="K4806" i="73"/>
  <c r="J4806" i="73"/>
  <c r="K4805" i="73"/>
  <c r="J4805" i="73"/>
  <c r="K4804" i="73"/>
  <c r="J4804" i="73"/>
  <c r="K4803" i="73"/>
  <c r="J4803" i="73"/>
  <c r="K4802" i="73"/>
  <c r="J4802" i="73"/>
  <c r="K4801" i="73"/>
  <c r="J4801" i="73"/>
  <c r="K4800" i="73"/>
  <c r="J4800" i="73"/>
  <c r="K4799" i="73"/>
  <c r="J4799" i="73"/>
  <c r="K4798" i="73"/>
  <c r="J4798" i="73"/>
  <c r="K4797" i="73"/>
  <c r="J4797" i="73"/>
  <c r="K4796" i="73"/>
  <c r="J4796" i="73"/>
  <c r="K4795" i="73"/>
  <c r="J4795" i="73"/>
  <c r="K4794" i="73"/>
  <c r="J4794" i="73"/>
  <c r="K4793" i="73"/>
  <c r="J4793" i="73"/>
  <c r="K4792" i="73"/>
  <c r="J4792" i="73"/>
  <c r="K4791" i="73"/>
  <c r="J4791" i="73"/>
  <c r="K4790" i="73"/>
  <c r="J4790" i="73"/>
  <c r="K4789" i="73"/>
  <c r="J4789" i="73"/>
  <c r="K4788" i="73"/>
  <c r="J4788" i="73"/>
  <c r="K4787" i="73"/>
  <c r="J4787" i="73"/>
  <c r="K4786" i="73"/>
  <c r="J4786" i="73"/>
  <c r="K4785" i="73"/>
  <c r="J4785" i="73"/>
  <c r="K4784" i="73"/>
  <c r="J4784" i="73"/>
  <c r="K4782" i="73"/>
  <c r="J4782" i="73"/>
  <c r="K4783" i="73"/>
  <c r="J4783" i="73"/>
  <c r="K4717" i="73"/>
  <c r="J4717" i="73"/>
  <c r="K4780" i="73"/>
  <c r="J4780" i="73"/>
  <c r="K4779" i="73"/>
  <c r="J4779" i="73"/>
  <c r="K4778" i="73"/>
  <c r="J4778" i="73"/>
  <c r="K4777" i="73"/>
  <c r="J4777" i="73"/>
  <c r="K4776" i="73"/>
  <c r="J4776" i="73"/>
  <c r="K4775" i="73"/>
  <c r="J4775" i="73"/>
  <c r="K4774" i="73"/>
  <c r="J4774" i="73"/>
  <c r="K4773" i="73"/>
  <c r="J4773" i="73"/>
  <c r="K4772" i="73"/>
  <c r="J4772" i="73"/>
  <c r="K4771" i="73"/>
  <c r="J4771" i="73"/>
  <c r="K4770" i="73"/>
  <c r="J4770" i="73"/>
  <c r="K4769" i="73"/>
  <c r="J4769" i="73"/>
  <c r="K4768" i="73"/>
  <c r="J4768" i="73"/>
  <c r="K4767" i="73"/>
  <c r="J4767" i="73"/>
  <c r="K4766" i="73"/>
  <c r="J4766" i="73"/>
  <c r="K4765" i="73"/>
  <c r="J4765" i="73"/>
  <c r="K4764" i="73"/>
  <c r="J4764" i="73"/>
  <c r="K4763" i="73"/>
  <c r="J4763" i="73"/>
  <c r="K4762" i="73"/>
  <c r="J4762" i="73"/>
  <c r="K4761" i="73"/>
  <c r="J4761" i="73"/>
  <c r="K4760" i="73"/>
  <c r="J4760" i="73"/>
  <c r="K4759" i="73"/>
  <c r="J4759" i="73"/>
  <c r="K4758" i="73"/>
  <c r="J4758" i="73"/>
  <c r="K4757" i="73"/>
  <c r="J4757" i="73"/>
  <c r="K4756" i="73"/>
  <c r="J4756" i="73"/>
  <c r="K4755" i="73"/>
  <c r="J4755" i="73"/>
  <c r="K4754" i="73"/>
  <c r="J4754" i="73"/>
  <c r="K4753" i="73"/>
  <c r="J4753" i="73"/>
  <c r="K4752" i="73"/>
  <c r="J4752" i="73"/>
  <c r="K4751" i="73"/>
  <c r="J4751" i="73"/>
  <c r="K4750" i="73"/>
  <c r="J4750" i="73"/>
  <c r="K4749" i="73"/>
  <c r="J4749" i="73"/>
  <c r="K4748" i="73"/>
  <c r="J4748" i="73"/>
  <c r="K4747" i="73"/>
  <c r="J4747" i="73"/>
  <c r="K4746" i="73"/>
  <c r="J4746" i="73"/>
  <c r="K4745" i="73"/>
  <c r="J4745" i="73"/>
  <c r="K4744" i="73"/>
  <c r="J4744" i="73"/>
  <c r="K4743" i="73"/>
  <c r="J4743" i="73"/>
  <c r="K4742" i="73"/>
  <c r="J4742" i="73"/>
  <c r="K4741" i="73"/>
  <c r="J4741" i="73"/>
  <c r="K4740" i="73"/>
  <c r="J4740" i="73"/>
  <c r="K4739" i="73"/>
  <c r="J4739" i="73"/>
  <c r="K4738" i="73"/>
  <c r="J4738" i="73"/>
  <c r="K4737" i="73"/>
  <c r="J4737" i="73"/>
  <c r="K4736" i="73"/>
  <c r="J4736" i="73"/>
  <c r="K4735" i="73"/>
  <c r="J4735" i="73"/>
  <c r="K4734" i="73"/>
  <c r="J4734" i="73"/>
  <c r="K4733" i="73"/>
  <c r="J4733" i="73"/>
  <c r="K4732" i="73"/>
  <c r="J4732" i="73"/>
  <c r="K4731" i="73"/>
  <c r="J4731" i="73"/>
  <c r="K4730" i="73"/>
  <c r="J4730" i="73"/>
  <c r="K4729" i="73"/>
  <c r="J4729" i="73"/>
  <c r="K4728" i="73"/>
  <c r="J4728" i="73"/>
  <c r="K4727" i="73"/>
  <c r="J4727" i="73"/>
  <c r="K4726" i="73"/>
  <c r="J4726" i="73"/>
  <c r="K4725" i="73"/>
  <c r="J4725" i="73"/>
  <c r="K4724" i="73"/>
  <c r="J4724" i="73"/>
  <c r="K4723" i="73"/>
  <c r="J4723" i="73"/>
  <c r="K4722" i="73"/>
  <c r="J4722" i="73"/>
  <c r="K4720" i="73"/>
  <c r="J4720" i="73"/>
  <c r="K4721" i="73"/>
  <c r="J4721" i="73"/>
  <c r="K4718" i="73"/>
  <c r="J4718" i="73"/>
  <c r="K4719" i="73"/>
  <c r="J4719" i="73"/>
  <c r="K4704" i="73"/>
  <c r="J4704" i="73"/>
  <c r="K4716" i="73"/>
  <c r="J4716" i="73"/>
  <c r="K4715" i="73"/>
  <c r="J4715" i="73"/>
  <c r="K4714" i="73"/>
  <c r="J4714" i="73"/>
  <c r="K4713" i="73"/>
  <c r="J4713" i="73"/>
  <c r="K4712" i="73"/>
  <c r="J4712" i="73"/>
  <c r="K4711" i="73"/>
  <c r="J4711" i="73"/>
  <c r="K4710" i="73"/>
  <c r="J4710" i="73"/>
  <c r="K4709" i="73"/>
  <c r="J4709" i="73"/>
  <c r="K4708" i="73"/>
  <c r="J4708" i="73"/>
  <c r="K4707" i="73"/>
  <c r="J4707" i="73"/>
  <c r="K4706" i="73"/>
  <c r="J4706" i="73"/>
  <c r="K4705" i="73"/>
  <c r="J4705" i="73"/>
  <c r="K4700" i="73"/>
  <c r="J4700" i="73"/>
  <c r="K4703" i="73"/>
  <c r="J4703" i="73"/>
  <c r="K4702" i="73"/>
  <c r="J4702" i="73"/>
  <c r="K4701" i="73"/>
  <c r="J4701" i="73"/>
  <c r="K4687" i="73"/>
  <c r="J4687" i="73"/>
  <c r="K4699" i="73"/>
  <c r="J4699" i="73"/>
  <c r="K4698" i="73"/>
  <c r="J4698" i="73"/>
  <c r="K4697" i="73"/>
  <c r="J4697" i="73"/>
  <c r="K4696" i="73"/>
  <c r="J4696" i="73"/>
  <c r="K4695" i="73"/>
  <c r="J4695" i="73"/>
  <c r="K4694" i="73"/>
  <c r="J4694" i="73"/>
  <c r="K4693" i="73"/>
  <c r="J4693" i="73"/>
  <c r="K4692" i="73"/>
  <c r="J4692" i="73"/>
  <c r="K4691" i="73"/>
  <c r="J4691" i="73"/>
  <c r="K4690" i="73"/>
  <c r="J4690" i="73"/>
  <c r="K4689" i="73"/>
  <c r="J4689" i="73"/>
  <c r="K4688" i="73"/>
  <c r="J4688" i="73"/>
  <c r="K4674" i="73"/>
  <c r="J4674" i="73"/>
  <c r="K4686" i="73"/>
  <c r="J4686" i="73"/>
  <c r="K4685" i="73"/>
  <c r="J4685" i="73"/>
  <c r="K4684" i="73"/>
  <c r="J4684" i="73"/>
  <c r="K4683" i="73"/>
  <c r="J4683" i="73"/>
  <c r="K4682" i="73"/>
  <c r="J4682" i="73"/>
  <c r="K4681" i="73"/>
  <c r="J4681" i="73"/>
  <c r="K4680" i="73"/>
  <c r="J4680" i="73"/>
  <c r="K4679" i="73"/>
  <c r="J4679" i="73"/>
  <c r="K4678" i="73"/>
  <c r="J4678" i="73"/>
  <c r="K4677" i="73"/>
  <c r="J4677" i="73"/>
  <c r="K4676" i="73"/>
  <c r="J4676" i="73"/>
  <c r="K4675" i="73"/>
  <c r="J4675" i="73"/>
  <c r="K4660" i="73"/>
  <c r="J4660" i="73"/>
  <c r="K4673" i="73"/>
  <c r="J4673" i="73"/>
  <c r="K4672" i="73"/>
  <c r="J4672" i="73"/>
  <c r="K4671" i="73"/>
  <c r="J4671" i="73"/>
  <c r="K4670" i="73"/>
  <c r="J4670" i="73"/>
  <c r="K4669" i="73"/>
  <c r="J4669" i="73"/>
  <c r="K4668" i="73"/>
  <c r="J4668" i="73"/>
  <c r="K4667" i="73"/>
  <c r="J4667" i="73"/>
  <c r="K4666" i="73"/>
  <c r="J4666" i="73"/>
  <c r="K4665" i="73"/>
  <c r="J4665" i="73"/>
  <c r="K4664" i="73"/>
  <c r="J4664" i="73"/>
  <c r="K4663" i="73"/>
  <c r="J4663" i="73"/>
  <c r="K4661" i="73"/>
  <c r="J4661" i="73"/>
  <c r="K4662" i="73"/>
  <c r="J4662" i="73"/>
  <c r="K4641" i="73"/>
  <c r="J4641" i="73"/>
  <c r="K4659" i="73"/>
  <c r="J4659" i="73"/>
  <c r="K4658" i="73"/>
  <c r="J4658" i="73"/>
  <c r="K4657" i="73"/>
  <c r="J4657" i="73"/>
  <c r="K4656" i="73"/>
  <c r="J4656" i="73"/>
  <c r="K4655" i="73"/>
  <c r="J4655" i="73"/>
  <c r="K4654" i="73"/>
  <c r="J4654" i="73"/>
  <c r="K4653" i="73"/>
  <c r="J4653" i="73"/>
  <c r="K4652" i="73"/>
  <c r="J4652" i="73"/>
  <c r="K4651" i="73"/>
  <c r="J4651" i="73"/>
  <c r="K4650" i="73"/>
  <c r="J4650" i="73"/>
  <c r="K4649" i="73"/>
  <c r="J4649" i="73"/>
  <c r="K4648" i="73"/>
  <c r="J4648" i="73"/>
  <c r="K4647" i="73"/>
  <c r="J4647" i="73"/>
  <c r="K4646" i="73"/>
  <c r="J4646" i="73"/>
  <c r="K4645" i="73"/>
  <c r="J4645" i="73"/>
  <c r="K4644" i="73"/>
  <c r="J4644" i="73"/>
  <c r="K4642" i="73"/>
  <c r="J4642" i="73"/>
  <c r="K4643" i="73"/>
  <c r="J4643" i="73"/>
  <c r="K4632" i="73"/>
  <c r="J4632" i="73"/>
  <c r="K4640" i="73"/>
  <c r="J4640" i="73"/>
  <c r="K4639" i="73"/>
  <c r="J4639" i="73"/>
  <c r="K4638" i="73"/>
  <c r="J4638" i="73"/>
  <c r="K4637" i="73"/>
  <c r="J4637" i="73"/>
  <c r="K4636" i="73"/>
  <c r="J4636" i="73"/>
  <c r="K4635" i="73"/>
  <c r="J4635" i="73"/>
  <c r="K4634" i="73"/>
  <c r="J4634" i="73"/>
  <c r="K4633" i="73"/>
  <c r="J4633" i="73"/>
  <c r="K4624" i="73"/>
  <c r="J4624" i="73"/>
  <c r="K4631" i="73"/>
  <c r="J4631" i="73"/>
  <c r="K4630" i="73"/>
  <c r="J4630" i="73"/>
  <c r="K4629" i="73"/>
  <c r="J4629" i="73"/>
  <c r="K4628" i="73"/>
  <c r="J4628" i="73"/>
  <c r="K4627" i="73"/>
  <c r="J4627" i="73"/>
  <c r="K4626" i="73"/>
  <c r="J4626" i="73"/>
  <c r="K4625" i="73"/>
  <c r="J4625" i="73"/>
  <c r="K4619" i="73"/>
  <c r="J4619" i="73"/>
  <c r="K4623" i="73"/>
  <c r="J4623" i="73"/>
  <c r="K4622" i="73"/>
  <c r="J4622" i="73"/>
  <c r="K4621" i="73"/>
  <c r="J4621" i="73"/>
  <c r="K4620" i="73"/>
  <c r="J4620" i="73"/>
  <c r="K4612" i="73"/>
  <c r="J4612" i="73"/>
  <c r="K4618" i="73"/>
  <c r="J4618" i="73"/>
  <c r="K4617" i="73"/>
  <c r="J4617" i="73"/>
  <c r="K4616" i="73"/>
  <c r="J4616" i="73"/>
  <c r="K4615" i="73"/>
  <c r="J4615" i="73"/>
  <c r="K4614" i="73"/>
  <c r="J4614" i="73"/>
  <c r="K4613" i="73"/>
  <c r="J4613" i="73"/>
  <c r="K4605" i="73"/>
  <c r="J4605" i="73"/>
  <c r="K4611" i="73"/>
  <c r="J4611" i="73"/>
  <c r="K4610" i="73"/>
  <c r="J4610" i="73"/>
  <c r="K4609" i="73"/>
  <c r="J4609" i="73"/>
  <c r="K4608" i="73"/>
  <c r="J4608" i="73"/>
  <c r="K4607" i="73"/>
  <c r="J4607" i="73"/>
  <c r="K4606" i="73"/>
  <c r="J4606" i="73"/>
  <c r="K4598" i="73"/>
  <c r="J4598" i="73"/>
  <c r="K4604" i="73"/>
  <c r="J4604" i="73"/>
  <c r="K4603" i="73"/>
  <c r="J4603" i="73"/>
  <c r="K4602" i="73"/>
  <c r="J4602" i="73"/>
  <c r="K4601" i="73"/>
  <c r="J4601" i="73"/>
  <c r="K4600" i="73"/>
  <c r="J4600" i="73"/>
  <c r="K4599" i="73"/>
  <c r="J4599" i="73"/>
  <c r="K4591" i="73"/>
  <c r="J4591" i="73"/>
  <c r="K4597" i="73"/>
  <c r="J4597" i="73"/>
  <c r="K4596" i="73"/>
  <c r="J4596" i="73"/>
  <c r="K4595" i="73"/>
  <c r="J4595" i="73"/>
  <c r="K4594" i="73"/>
  <c r="J4594" i="73"/>
  <c r="K4593" i="73"/>
  <c r="J4593" i="73"/>
  <c r="K4592" i="73"/>
  <c r="J4592" i="73"/>
  <c r="K4576" i="73"/>
  <c r="J4576" i="73"/>
  <c r="K4584" i="73"/>
  <c r="J4584" i="73"/>
  <c r="K4590" i="73"/>
  <c r="J4590" i="73"/>
  <c r="K4589" i="73"/>
  <c r="J4589" i="73"/>
  <c r="K4588" i="73"/>
  <c r="J4588" i="73"/>
  <c r="K4587" i="73"/>
  <c r="J4587" i="73"/>
  <c r="K4586" i="73"/>
  <c r="J4586" i="73"/>
  <c r="K4585" i="73"/>
  <c r="J4585" i="73"/>
  <c r="K4577" i="73"/>
  <c r="J4577" i="73"/>
  <c r="K4583" i="73"/>
  <c r="J4583" i="73"/>
  <c r="K4582" i="73"/>
  <c r="J4582" i="73"/>
  <c r="K4581" i="73"/>
  <c r="J4581" i="73"/>
  <c r="K4580" i="73"/>
  <c r="J4580" i="73"/>
  <c r="K4579" i="73"/>
  <c r="J4579" i="73"/>
  <c r="K4578" i="73"/>
  <c r="J4578" i="73"/>
  <c r="K4561" i="73"/>
  <c r="J4561" i="73"/>
  <c r="K4569" i="73"/>
  <c r="J4569" i="73"/>
  <c r="K4575" i="73"/>
  <c r="J4575" i="73"/>
  <c r="K4574" i="73"/>
  <c r="J4574" i="73"/>
  <c r="K4573" i="73"/>
  <c r="J4573" i="73"/>
  <c r="K4572" i="73"/>
  <c r="J4572" i="73"/>
  <c r="K4571" i="73"/>
  <c r="J4571" i="73"/>
  <c r="K4570" i="73"/>
  <c r="J4570" i="73"/>
  <c r="K4562" i="73"/>
  <c r="J4562" i="73"/>
  <c r="K4568" i="73"/>
  <c r="J4568" i="73"/>
  <c r="K4567" i="73"/>
  <c r="J4567" i="73"/>
  <c r="K4566" i="73"/>
  <c r="J4566" i="73"/>
  <c r="K4565" i="73"/>
  <c r="J4565" i="73"/>
  <c r="K4564" i="73"/>
  <c r="J4564" i="73"/>
  <c r="K4563" i="73"/>
  <c r="J4563" i="73"/>
  <c r="K4550" i="73"/>
  <c r="J4550" i="73"/>
  <c r="K4560" i="73"/>
  <c r="J4560" i="73"/>
  <c r="K4559" i="73"/>
  <c r="J4559" i="73"/>
  <c r="K4558" i="73"/>
  <c r="J4558" i="73"/>
  <c r="K4557" i="73"/>
  <c r="J4557" i="73"/>
  <c r="K4556" i="73"/>
  <c r="J4556" i="73"/>
  <c r="K4555" i="73"/>
  <c r="J4555" i="73"/>
  <c r="K4554" i="73"/>
  <c r="J4554" i="73"/>
  <c r="K4553" i="73"/>
  <c r="J4553" i="73"/>
  <c r="K4551" i="73"/>
  <c r="J4551" i="73"/>
  <c r="K4552" i="73"/>
  <c r="J4552" i="73"/>
  <c r="K4537" i="73"/>
  <c r="J4537" i="73"/>
  <c r="K4549" i="73"/>
  <c r="J4549" i="73"/>
  <c r="K4548" i="73"/>
  <c r="J4548" i="73"/>
  <c r="K4547" i="73"/>
  <c r="J4547" i="73"/>
  <c r="K4546" i="73"/>
  <c r="J4546" i="73"/>
  <c r="K4545" i="73"/>
  <c r="J4545" i="73"/>
  <c r="K4544" i="73"/>
  <c r="J4544" i="73"/>
  <c r="K4543" i="73"/>
  <c r="J4543" i="73"/>
  <c r="K4542" i="73"/>
  <c r="J4542" i="73"/>
  <c r="K4541" i="73"/>
  <c r="J4541" i="73"/>
  <c r="K4540" i="73"/>
  <c r="J4540" i="73"/>
  <c r="K4539" i="73"/>
  <c r="J4539" i="73"/>
  <c r="K4538" i="73"/>
  <c r="J4538" i="73"/>
  <c r="K4525" i="73"/>
  <c r="J4525" i="73"/>
  <c r="K4536" i="73"/>
  <c r="J4536" i="73"/>
  <c r="K4535" i="73"/>
  <c r="J4535" i="73"/>
  <c r="K4534" i="73"/>
  <c r="J4534" i="73"/>
  <c r="K4533" i="73"/>
  <c r="J4533" i="73"/>
  <c r="K4532" i="73"/>
  <c r="J4532" i="73"/>
  <c r="K4531" i="73"/>
  <c r="J4531" i="73"/>
  <c r="K4530" i="73"/>
  <c r="J4530" i="73"/>
  <c r="K4529" i="73"/>
  <c r="J4529" i="73"/>
  <c r="K4528" i="73"/>
  <c r="J4528" i="73"/>
  <c r="K4527" i="73"/>
  <c r="J4527" i="73"/>
  <c r="K4526" i="73"/>
  <c r="J4526" i="73"/>
  <c r="K4518" i="73"/>
  <c r="J4518" i="73"/>
  <c r="K4524" i="73"/>
  <c r="J4524" i="73"/>
  <c r="K4523" i="73"/>
  <c r="J4523" i="73"/>
  <c r="K4522" i="73"/>
  <c r="J4522" i="73"/>
  <c r="K4521" i="73"/>
  <c r="J4521" i="73"/>
  <c r="K4520" i="73"/>
  <c r="J4520" i="73"/>
  <c r="K4519" i="73"/>
  <c r="J4519" i="73"/>
  <c r="K4507" i="73"/>
  <c r="J4507" i="73"/>
  <c r="K4517" i="73"/>
  <c r="J4517" i="73"/>
  <c r="K4516" i="73"/>
  <c r="J4516" i="73"/>
  <c r="K4515" i="73"/>
  <c r="J4515" i="73"/>
  <c r="K4514" i="73"/>
  <c r="J4514" i="73"/>
  <c r="K4513" i="73"/>
  <c r="J4513" i="73"/>
  <c r="K4512" i="73"/>
  <c r="J4512" i="73"/>
  <c r="K4511" i="73"/>
  <c r="J4511" i="73"/>
  <c r="K4510" i="73"/>
  <c r="J4510" i="73"/>
  <c r="K4509" i="73"/>
  <c r="J4509" i="73"/>
  <c r="K4508" i="73"/>
  <c r="J4508" i="73"/>
  <c r="K4499" i="73"/>
  <c r="J4499" i="73"/>
  <c r="K4506" i="73"/>
  <c r="J4506" i="73"/>
  <c r="K4505" i="73"/>
  <c r="J4505" i="73"/>
  <c r="K4504" i="73"/>
  <c r="J4504" i="73"/>
  <c r="K4503" i="73"/>
  <c r="J4503" i="73"/>
  <c r="K4502" i="73"/>
  <c r="J4502" i="73"/>
  <c r="K4501" i="73"/>
  <c r="J4501" i="73"/>
  <c r="K4500" i="73"/>
  <c r="J4500" i="73"/>
  <c r="J4454" i="73"/>
  <c r="K4497" i="73"/>
  <c r="J4497" i="73"/>
  <c r="K4496" i="73"/>
  <c r="J4496" i="73"/>
  <c r="K4495" i="73"/>
  <c r="J4495" i="73"/>
  <c r="K4494" i="73"/>
  <c r="J4494" i="73"/>
  <c r="K4493" i="73"/>
  <c r="J4493" i="73"/>
  <c r="K4492" i="73"/>
  <c r="J4492" i="73"/>
  <c r="K4491" i="73"/>
  <c r="J4491" i="73"/>
  <c r="K4490" i="73"/>
  <c r="J4490" i="73"/>
  <c r="K4489" i="73"/>
  <c r="J4489" i="73"/>
  <c r="K4488" i="73"/>
  <c r="J4488" i="73"/>
  <c r="K4487" i="73"/>
  <c r="J4487" i="73"/>
  <c r="K4486" i="73"/>
  <c r="J4486" i="73"/>
  <c r="K4485" i="73"/>
  <c r="J4485" i="73"/>
  <c r="K4484" i="73"/>
  <c r="J4484" i="73"/>
  <c r="K4483" i="73"/>
  <c r="J4483" i="73"/>
  <c r="K4481" i="73"/>
  <c r="J4481" i="73"/>
  <c r="K4482" i="73"/>
  <c r="J4482" i="73"/>
  <c r="K4479" i="73"/>
  <c r="J4479" i="73"/>
  <c r="K4480" i="73"/>
  <c r="J4480" i="73"/>
  <c r="K4477" i="73"/>
  <c r="J4477" i="73"/>
  <c r="K4478" i="73"/>
  <c r="J4478" i="73"/>
  <c r="K4475" i="73"/>
  <c r="J4475" i="73"/>
  <c r="K4476" i="73"/>
  <c r="J4476" i="73"/>
  <c r="K4473" i="73"/>
  <c r="J4473" i="73"/>
  <c r="K4474" i="73"/>
  <c r="J4474" i="73"/>
  <c r="K4471" i="73"/>
  <c r="J4471" i="73"/>
  <c r="K4472" i="73"/>
  <c r="J4472" i="73"/>
  <c r="K4469" i="73"/>
  <c r="J4469" i="73"/>
  <c r="K4470" i="73"/>
  <c r="J4470" i="73"/>
  <c r="K4467" i="73"/>
  <c r="J4467" i="73"/>
  <c r="K4468" i="73"/>
  <c r="J4468" i="73"/>
  <c r="K4465" i="73"/>
  <c r="J4465" i="73"/>
  <c r="K4466" i="73"/>
  <c r="J4466" i="73"/>
  <c r="K4463" i="73"/>
  <c r="J4463" i="73"/>
  <c r="K4464" i="73"/>
  <c r="J4464" i="73"/>
  <c r="K4461" i="73"/>
  <c r="J4461" i="73"/>
  <c r="K4462" i="73"/>
  <c r="J4462" i="73"/>
  <c r="K4459" i="73"/>
  <c r="J4459" i="73"/>
  <c r="K4460" i="73"/>
  <c r="J4460" i="73"/>
  <c r="K4457" i="73"/>
  <c r="J4457" i="73"/>
  <c r="K4458" i="73"/>
  <c r="J4458" i="73"/>
  <c r="K4455" i="73"/>
  <c r="J4455" i="73"/>
  <c r="K4456" i="73"/>
  <c r="J4456" i="73"/>
  <c r="K4406" i="73" a="1"/>
  <c r="K4406" i="73" s="1"/>
  <c r="J4406" i="73"/>
  <c r="K4453" i="73"/>
  <c r="J4453" i="73"/>
  <c r="K4452" i="73"/>
  <c r="J4452" i="73"/>
  <c r="K4446" i="73"/>
  <c r="J4446" i="73"/>
  <c r="K4451" i="73"/>
  <c r="J4451" i="73"/>
  <c r="K4450" i="73"/>
  <c r="J4450" i="73"/>
  <c r="K4449" i="73"/>
  <c r="J4449" i="73"/>
  <c r="K4448" i="73"/>
  <c r="J4448" i="73"/>
  <c r="K4447" i="73"/>
  <c r="J4447" i="73"/>
  <c r="K4440" i="73"/>
  <c r="J4440" i="73"/>
  <c r="K4445" i="73"/>
  <c r="J4445" i="73"/>
  <c r="K4444" i="73"/>
  <c r="J4444" i="73"/>
  <c r="K4443" i="73"/>
  <c r="J4443" i="73"/>
  <c r="K4442" i="73"/>
  <c r="J4442" i="73"/>
  <c r="K4441" i="73"/>
  <c r="J4441" i="73"/>
  <c r="K4438" i="73"/>
  <c r="J4438" i="73"/>
  <c r="K4439" i="73"/>
  <c r="J4439" i="73"/>
  <c r="K4436" i="73"/>
  <c r="J4436" i="73"/>
  <c r="K4437" i="73"/>
  <c r="J4437" i="73"/>
  <c r="K4407" i="73"/>
  <c r="J4407" i="73"/>
  <c r="K4434" i="73"/>
  <c r="J4434" i="73"/>
  <c r="K4435" i="73"/>
  <c r="J4435" i="73"/>
  <c r="K4421" i="73"/>
  <c r="J4421" i="73"/>
  <c r="K4433" i="73"/>
  <c r="J4433" i="73"/>
  <c r="K4432" i="73"/>
  <c r="J4432" i="73"/>
  <c r="K4431" i="73"/>
  <c r="J4431" i="73"/>
  <c r="K4430" i="73"/>
  <c r="J4430" i="73"/>
  <c r="K4429" i="73"/>
  <c r="J4429" i="73"/>
  <c r="K4428" i="73"/>
  <c r="J4428" i="73"/>
  <c r="K4426" i="73"/>
  <c r="J4426" i="73"/>
  <c r="K4427" i="73"/>
  <c r="J4427" i="73"/>
  <c r="K4424" i="73"/>
  <c r="J4424" i="73"/>
  <c r="K4425" i="73"/>
  <c r="J4425" i="73"/>
  <c r="K4422" i="73"/>
  <c r="J4422" i="73"/>
  <c r="K4423" i="73"/>
  <c r="J4423" i="73"/>
  <c r="K4408" i="73"/>
  <c r="J4408" i="73"/>
  <c r="K4420" i="73"/>
  <c r="J4420" i="73"/>
  <c r="K4419" i="73"/>
  <c r="J4419" i="73"/>
  <c r="K4418" i="73"/>
  <c r="J4418" i="73"/>
  <c r="K4417" i="73"/>
  <c r="J4417" i="73"/>
  <c r="K4416" i="73"/>
  <c r="J4416" i="73"/>
  <c r="K4415" i="73"/>
  <c r="J4415" i="73"/>
  <c r="K4413" i="73"/>
  <c r="J4413" i="73"/>
  <c r="K4414" i="73"/>
  <c r="J4414" i="73"/>
  <c r="K4411" i="73"/>
  <c r="J4411" i="73"/>
  <c r="K4412" i="73"/>
  <c r="J4412" i="73"/>
  <c r="K4409" i="73"/>
  <c r="J4409" i="73"/>
  <c r="K4410" i="73"/>
  <c r="J4410" i="73"/>
  <c r="J4288" i="73"/>
  <c r="K4405" i="73"/>
  <c r="J4405" i="73"/>
  <c r="K4404" i="73"/>
  <c r="J4404" i="73"/>
  <c r="K4403" i="73"/>
  <c r="J4403" i="73"/>
  <c r="K4402" i="73"/>
  <c r="J4402" i="73"/>
  <c r="K4401" i="73"/>
  <c r="J4401" i="73"/>
  <c r="K4399" i="73"/>
  <c r="J4399" i="73"/>
  <c r="K4400" i="73"/>
  <c r="J4400" i="73"/>
  <c r="K4397" i="73"/>
  <c r="J4397" i="73"/>
  <c r="K4398" i="73"/>
  <c r="J4398" i="73"/>
  <c r="K4391" i="73"/>
  <c r="J4391" i="73"/>
  <c r="K4396" i="73"/>
  <c r="J4396" i="73"/>
  <c r="K4395" i="73"/>
  <c r="J4395" i="73"/>
  <c r="K4394" i="73"/>
  <c r="J4394" i="73"/>
  <c r="K4393" i="73"/>
  <c r="J4393" i="73"/>
  <c r="K4392" i="73"/>
  <c r="J4392" i="73"/>
  <c r="K4385" i="73"/>
  <c r="J4385" i="73"/>
  <c r="K4390" i="73"/>
  <c r="J4390" i="73"/>
  <c r="K4389" i="73"/>
  <c r="J4389" i="73"/>
  <c r="K4388" i="73"/>
  <c r="J4388" i="73"/>
  <c r="K4387" i="73"/>
  <c r="J4387" i="73"/>
  <c r="K4386" i="73"/>
  <c r="J4386" i="73"/>
  <c r="K4379" i="73"/>
  <c r="J4379" i="73"/>
  <c r="K4384" i="73"/>
  <c r="J4384" i="73"/>
  <c r="K4383" i="73"/>
  <c r="J4383" i="73"/>
  <c r="K4382" i="73"/>
  <c r="J4382" i="73"/>
  <c r="K4381" i="73"/>
  <c r="J4381" i="73"/>
  <c r="K4380" i="73"/>
  <c r="J4380" i="73"/>
  <c r="K4377" i="73"/>
  <c r="J4377" i="73"/>
  <c r="K4378" i="73"/>
  <c r="J4378" i="73"/>
  <c r="K4371" i="73"/>
  <c r="J4371" i="73"/>
  <c r="K4376" i="73"/>
  <c r="J4376" i="73"/>
  <c r="K4375" i="73"/>
  <c r="J4375" i="73"/>
  <c r="K4374" i="73"/>
  <c r="J4374" i="73"/>
  <c r="K4373" i="73"/>
  <c r="J4373" i="73"/>
  <c r="K4372" i="73"/>
  <c r="J4372" i="73"/>
  <c r="K4369" i="73"/>
  <c r="J4369" i="73"/>
  <c r="K4370" i="73"/>
  <c r="J4370" i="73"/>
  <c r="K4367" i="73"/>
  <c r="J4367" i="73"/>
  <c r="K4368" i="73"/>
  <c r="J4368" i="73"/>
  <c r="K4361" i="73"/>
  <c r="J4361" i="73"/>
  <c r="K4366" i="73"/>
  <c r="J4366" i="73"/>
  <c r="K4365" i="73"/>
  <c r="J4365" i="73"/>
  <c r="K4364" i="73"/>
  <c r="J4364" i="73"/>
  <c r="K4363" i="73"/>
  <c r="J4363" i="73"/>
  <c r="K4362" i="73"/>
  <c r="J4362" i="73"/>
  <c r="K4359" i="73"/>
  <c r="J4359" i="73"/>
  <c r="K4360" i="73"/>
  <c r="J4360" i="73"/>
  <c r="K4357" i="73"/>
  <c r="J4357" i="73"/>
  <c r="K4358" i="73"/>
  <c r="J4358" i="73"/>
  <c r="K4355" i="73"/>
  <c r="J4355" i="73"/>
  <c r="K4356" i="73"/>
  <c r="J4356" i="73"/>
  <c r="K4353" i="73"/>
  <c r="J4353" i="73"/>
  <c r="K4354" i="73"/>
  <c r="J4354" i="73"/>
  <c r="K4351" i="73"/>
  <c r="J4351" i="73"/>
  <c r="K4352" i="73"/>
  <c r="J4352" i="73"/>
  <c r="K4339" i="73"/>
  <c r="J4339" i="73"/>
  <c r="K4350" i="73"/>
  <c r="J4350" i="73"/>
  <c r="K4349" i="73"/>
  <c r="J4349" i="73"/>
  <c r="K4348" i="73"/>
  <c r="J4348" i="73"/>
  <c r="K4347" i="73"/>
  <c r="J4347" i="73"/>
  <c r="K4346" i="73"/>
  <c r="J4346" i="73"/>
  <c r="K4345" i="73"/>
  <c r="J4345" i="73"/>
  <c r="K4344" i="73"/>
  <c r="J4344" i="73"/>
  <c r="K4342" i="73"/>
  <c r="J4342" i="73"/>
  <c r="K4343" i="73"/>
  <c r="J4343" i="73"/>
  <c r="K4340" i="73"/>
  <c r="J4340" i="73"/>
  <c r="K4341" i="73"/>
  <c r="J4341" i="73"/>
  <c r="K4330" i="73"/>
  <c r="J4330" i="73"/>
  <c r="K4338" i="73"/>
  <c r="J4338" i="73"/>
  <c r="K4337" i="73"/>
  <c r="J4337" i="73"/>
  <c r="K4336" i="73"/>
  <c r="J4336" i="73"/>
  <c r="K4335" i="73"/>
  <c r="J4335" i="73"/>
  <c r="K4333" i="73"/>
  <c r="J4333" i="73"/>
  <c r="K4334" i="73"/>
  <c r="J4334" i="73"/>
  <c r="K4331" i="73"/>
  <c r="J4331" i="73"/>
  <c r="K4332" i="73"/>
  <c r="J4332" i="73"/>
  <c r="K4319" i="73"/>
  <c r="J4319" i="73"/>
  <c r="K4329" i="73"/>
  <c r="J4329" i="73"/>
  <c r="K4328" i="73"/>
  <c r="J4328" i="73"/>
  <c r="K4327" i="73"/>
  <c r="J4327" i="73"/>
  <c r="K4326" i="73"/>
  <c r="J4326" i="73"/>
  <c r="K4325" i="73"/>
  <c r="J4325" i="73"/>
  <c r="K4324" i="73"/>
  <c r="J4324" i="73"/>
  <c r="K4322" i="73"/>
  <c r="J4322" i="73"/>
  <c r="K4323" i="73"/>
  <c r="J4323" i="73"/>
  <c r="K4320" i="73"/>
  <c r="J4320" i="73"/>
  <c r="K4321" i="73"/>
  <c r="J4321" i="73"/>
  <c r="K4298" i="73"/>
  <c r="J4298" i="73"/>
  <c r="K4313" i="73"/>
  <c r="J4313" i="73"/>
  <c r="K4318" i="73"/>
  <c r="J4318" i="73"/>
  <c r="K4317" i="73"/>
  <c r="J4317" i="73"/>
  <c r="K4316" i="73"/>
  <c r="J4316" i="73"/>
  <c r="K4315" i="73"/>
  <c r="J4315" i="73"/>
  <c r="K4314" i="73"/>
  <c r="J4314" i="73"/>
  <c r="K4306" i="73"/>
  <c r="J4306" i="73"/>
  <c r="K4312" i="73"/>
  <c r="J4312" i="73"/>
  <c r="K4311" i="73"/>
  <c r="J4311" i="73"/>
  <c r="K4310" i="73"/>
  <c r="J4310" i="73"/>
  <c r="K4309" i="73"/>
  <c r="J4309" i="73"/>
  <c r="K4308" i="73"/>
  <c r="J4308" i="73"/>
  <c r="K4307" i="73"/>
  <c r="J4307" i="73"/>
  <c r="K4299" i="73"/>
  <c r="J4299" i="73"/>
  <c r="K4305" i="73"/>
  <c r="J4305" i="73"/>
  <c r="K4304" i="73"/>
  <c r="J4304" i="73"/>
  <c r="K4303" i="73"/>
  <c r="J4303" i="73"/>
  <c r="K4302" i="73"/>
  <c r="J4302" i="73"/>
  <c r="K4301" i="73"/>
  <c r="J4301" i="73"/>
  <c r="K4300" i="73"/>
  <c r="J4300" i="73"/>
  <c r="K4289" i="73"/>
  <c r="J4289" i="73"/>
  <c r="K4297" i="73"/>
  <c r="J4297" i="73"/>
  <c r="K4296" i="73"/>
  <c r="J4296" i="73"/>
  <c r="K4294" i="73"/>
  <c r="J4294" i="73"/>
  <c r="K4295" i="73"/>
  <c r="J4295" i="73"/>
  <c r="K4292" i="73"/>
  <c r="J4292" i="73"/>
  <c r="K4293" i="73"/>
  <c r="J4293" i="73"/>
  <c r="K4290" i="73"/>
  <c r="J4290" i="73"/>
  <c r="K4291" i="73"/>
  <c r="J4291" i="73"/>
  <c r="K4287" i="73"/>
  <c r="J4287" i="73"/>
  <c r="K4286" i="73"/>
  <c r="J4286" i="73"/>
  <c r="K4285" i="73"/>
  <c r="J4285" i="73"/>
  <c r="K4284" i="73"/>
  <c r="J4284" i="73"/>
  <c r="K4283" i="73"/>
  <c r="J4283" i="73"/>
  <c r="K4282" i="73"/>
  <c r="J4282" i="73"/>
  <c r="K4281" i="73"/>
  <c r="J4281" i="73"/>
  <c r="K4280" i="73"/>
  <c r="J4280" i="73"/>
  <c r="K4279" i="73"/>
  <c r="J4279" i="73"/>
  <c r="K4278" i="73"/>
  <c r="J4278" i="73"/>
  <c r="K4277" i="73"/>
  <c r="J4277" i="73"/>
  <c r="K4206" i="73"/>
  <c r="J4206" i="73"/>
  <c r="K4240" i="73"/>
  <c r="J4240" i="73"/>
  <c r="K4276" i="73"/>
  <c r="J4276" i="73"/>
  <c r="K4275" i="73"/>
  <c r="J4275" i="73"/>
  <c r="K4274" i="73"/>
  <c r="J4274" i="73"/>
  <c r="K4273" i="73"/>
  <c r="J4273" i="73"/>
  <c r="K4272" i="73"/>
  <c r="J4272" i="73"/>
  <c r="K4271" i="73"/>
  <c r="J4271" i="73"/>
  <c r="K4270" i="73"/>
  <c r="J4270" i="73"/>
  <c r="K4269" i="73"/>
  <c r="J4269" i="73"/>
  <c r="K4268" i="73"/>
  <c r="J4268" i="73"/>
  <c r="K4267" i="73"/>
  <c r="J4267" i="73"/>
  <c r="K4266" i="73"/>
  <c r="J4266" i="73"/>
  <c r="K4265" i="73"/>
  <c r="J4265" i="73"/>
  <c r="K4264" i="73"/>
  <c r="J4264" i="73"/>
  <c r="K4263" i="73"/>
  <c r="J4263" i="73"/>
  <c r="K4262" i="73"/>
  <c r="J4262" i="73"/>
  <c r="K4260" i="73"/>
  <c r="J4260" i="73"/>
  <c r="K4261" i="73"/>
  <c r="J4261" i="73"/>
  <c r="K4258" i="73"/>
  <c r="J4258" i="73"/>
  <c r="K4259" i="73"/>
  <c r="J4259" i="73"/>
  <c r="K4256" i="73"/>
  <c r="J4256" i="73"/>
  <c r="K4257" i="73"/>
  <c r="J4257" i="73"/>
  <c r="K4254" i="73"/>
  <c r="J4254" i="73"/>
  <c r="K4255" i="73"/>
  <c r="J4255" i="73"/>
  <c r="K4252" i="73"/>
  <c r="J4252" i="73"/>
  <c r="K4253" i="73"/>
  <c r="J4253" i="73"/>
  <c r="K4250" i="73"/>
  <c r="J4250" i="73"/>
  <c r="K4251" i="73"/>
  <c r="J4251" i="73"/>
  <c r="K4248" i="73"/>
  <c r="J4248" i="73"/>
  <c r="K4249" i="73"/>
  <c r="J4249" i="73"/>
  <c r="K4241" i="73"/>
  <c r="J4241" i="73"/>
  <c r="K4247" i="73"/>
  <c r="J4247" i="73"/>
  <c r="K4246" i="73"/>
  <c r="J4246" i="73"/>
  <c r="K4244" i="73"/>
  <c r="J4244" i="73"/>
  <c r="K4245" i="73"/>
  <c r="J4245" i="73"/>
  <c r="K4242" i="73"/>
  <c r="J4242" i="73"/>
  <c r="K4243" i="73"/>
  <c r="J4243" i="73"/>
  <c r="K4223" i="73"/>
  <c r="J4223" i="73"/>
  <c r="K4239" i="73"/>
  <c r="J4239" i="73"/>
  <c r="K4238" i="73"/>
  <c r="J4238" i="73"/>
  <c r="K4237" i="73"/>
  <c r="J4237" i="73"/>
  <c r="K4236" i="73"/>
  <c r="J4236" i="73"/>
  <c r="K4235" i="73"/>
  <c r="J4235" i="73"/>
  <c r="K4234" i="73"/>
  <c r="J4234" i="73"/>
  <c r="K4233" i="73"/>
  <c r="J4233" i="73"/>
  <c r="K4232" i="73"/>
  <c r="J4232" i="73"/>
  <c r="K4231" i="73"/>
  <c r="J4231" i="73"/>
  <c r="K4230" i="73"/>
  <c r="J4230" i="73"/>
  <c r="K4228" i="73"/>
  <c r="J4228" i="73"/>
  <c r="K4229" i="73"/>
  <c r="J4229" i="73"/>
  <c r="K4226" i="73"/>
  <c r="J4226" i="73"/>
  <c r="K4227" i="73"/>
  <c r="J4227" i="73"/>
  <c r="K4224" i="73"/>
  <c r="J4224" i="73"/>
  <c r="K4225" i="73"/>
  <c r="J4225" i="73"/>
  <c r="K4207" i="73"/>
  <c r="J4207" i="73"/>
  <c r="K4222" i="73"/>
  <c r="J4222" i="73"/>
  <c r="K4221" i="73"/>
  <c r="J4221" i="73"/>
  <c r="K4220" i="73"/>
  <c r="J4220" i="73"/>
  <c r="K4219" i="73"/>
  <c r="J4219" i="73"/>
  <c r="K4218" i="73"/>
  <c r="J4218" i="73"/>
  <c r="K4217" i="73"/>
  <c r="J4217" i="73"/>
  <c r="K4216" i="73"/>
  <c r="J4216" i="73"/>
  <c r="K4215" i="73"/>
  <c r="J4215" i="73"/>
  <c r="K4214" i="73"/>
  <c r="J4214" i="73"/>
  <c r="K4212" i="73"/>
  <c r="J4212" i="73"/>
  <c r="K4213" i="73"/>
  <c r="J4213" i="73"/>
  <c r="K4210" i="73"/>
  <c r="J4210" i="73"/>
  <c r="K4211" i="73"/>
  <c r="J4211" i="73"/>
  <c r="K4208" i="73"/>
  <c r="J4208" i="73"/>
  <c r="K4209" i="73"/>
  <c r="J4209" i="73"/>
  <c r="K4143" i="73"/>
  <c r="J4143" i="73"/>
  <c r="K4205" i="73"/>
  <c r="J4205" i="73"/>
  <c r="K4204" i="73"/>
  <c r="J4204" i="73"/>
  <c r="K4202" i="73"/>
  <c r="J4202" i="73"/>
  <c r="K4203" i="73"/>
  <c r="J4203" i="73"/>
  <c r="K4200" i="73"/>
  <c r="J4200" i="73"/>
  <c r="K4201" i="73"/>
  <c r="J4201" i="73"/>
  <c r="K4198" i="73"/>
  <c r="J4198" i="73"/>
  <c r="K4199" i="73"/>
  <c r="J4199" i="73"/>
  <c r="K4196" i="73"/>
  <c r="J4196" i="73"/>
  <c r="K4197" i="73"/>
  <c r="J4197" i="73"/>
  <c r="K4194" i="73"/>
  <c r="J4194" i="73"/>
  <c r="K4195" i="73"/>
  <c r="J4195" i="73"/>
  <c r="K4192" i="73"/>
  <c r="J4192" i="73"/>
  <c r="K4193" i="73"/>
  <c r="J4193" i="73"/>
  <c r="K4190" i="73"/>
  <c r="J4190" i="73"/>
  <c r="K4191" i="73"/>
  <c r="J4191" i="73"/>
  <c r="K4188" i="73"/>
  <c r="J4188" i="73"/>
  <c r="K4189" i="73"/>
  <c r="J4189" i="73"/>
  <c r="K4186" i="73"/>
  <c r="J4186" i="73"/>
  <c r="K4187" i="73"/>
  <c r="J4187" i="73"/>
  <c r="K4172" i="73"/>
  <c r="J4172" i="73"/>
  <c r="K4185" i="73"/>
  <c r="J4185" i="73"/>
  <c r="K4184" i="73"/>
  <c r="J4184" i="73"/>
  <c r="K4183" i="73"/>
  <c r="J4183" i="73"/>
  <c r="K4182" i="73"/>
  <c r="J4182" i="73"/>
  <c r="K4181" i="73"/>
  <c r="J4181" i="73"/>
  <c r="K4180" i="73"/>
  <c r="J4180" i="73"/>
  <c r="K4179" i="73"/>
  <c r="J4179" i="73"/>
  <c r="K4177" i="73"/>
  <c r="J4177" i="73"/>
  <c r="K4178" i="73"/>
  <c r="J4178" i="73"/>
  <c r="K4175" i="73"/>
  <c r="J4175" i="73"/>
  <c r="K4176" i="73"/>
  <c r="J4176" i="73"/>
  <c r="K4173" i="73"/>
  <c r="J4173" i="73"/>
  <c r="K4174" i="73"/>
  <c r="J4174" i="73"/>
  <c r="K4158" i="73"/>
  <c r="J4158" i="73"/>
  <c r="K4171" i="73"/>
  <c r="J4171" i="73"/>
  <c r="K4170" i="73"/>
  <c r="J4170" i="73"/>
  <c r="K4169" i="73"/>
  <c r="J4169" i="73"/>
  <c r="K4168" i="73"/>
  <c r="J4168" i="73"/>
  <c r="K4167" i="73"/>
  <c r="J4167" i="73"/>
  <c r="K4166" i="73"/>
  <c r="J4166" i="73"/>
  <c r="K4165" i="73"/>
  <c r="J4165" i="73"/>
  <c r="K4163" i="73"/>
  <c r="J4163" i="73"/>
  <c r="K4164" i="73"/>
  <c r="J4164" i="73"/>
  <c r="K4161" i="73"/>
  <c r="J4161" i="73"/>
  <c r="K4162" i="73"/>
  <c r="J4162" i="73"/>
  <c r="K4159" i="73"/>
  <c r="J4159" i="73"/>
  <c r="K4160" i="73"/>
  <c r="J4160" i="73"/>
  <c r="K4144" i="73"/>
  <c r="J4144" i="73"/>
  <c r="K4157" i="73"/>
  <c r="J4157" i="73"/>
  <c r="K4156" i="73"/>
  <c r="J4156" i="73"/>
  <c r="K4155" i="73"/>
  <c r="J4155" i="73"/>
  <c r="K4154" i="73"/>
  <c r="J4154" i="73"/>
  <c r="K4153" i="73"/>
  <c r="J4153" i="73"/>
  <c r="K4152" i="73"/>
  <c r="J4152" i="73"/>
  <c r="K4151" i="73"/>
  <c r="J4151" i="73"/>
  <c r="K4149" i="73"/>
  <c r="J4149" i="73"/>
  <c r="K4150" i="73"/>
  <c r="J4150" i="73"/>
  <c r="K4147" i="73"/>
  <c r="J4147" i="73"/>
  <c r="K4148" i="73"/>
  <c r="J4148" i="73"/>
  <c r="K4145" i="73"/>
  <c r="J4145" i="73"/>
  <c r="K4146" i="73"/>
  <c r="J4146" i="73"/>
  <c r="K3712" i="73"/>
  <c r="J3712" i="73"/>
  <c r="J4138" i="73"/>
  <c r="K4141" i="73"/>
  <c r="J4141" i="73"/>
  <c r="K4142" i="73"/>
  <c r="J4142" i="73"/>
  <c r="K4139" i="73"/>
  <c r="J4139" i="73"/>
  <c r="K4140" i="73"/>
  <c r="J4140" i="73"/>
  <c r="K4137" i="73"/>
  <c r="J4137" i="73"/>
  <c r="K4136" i="73"/>
  <c r="J4136" i="73"/>
  <c r="K4135" i="73"/>
  <c r="J4135" i="73"/>
  <c r="K4134" i="73"/>
  <c r="J4134" i="73"/>
  <c r="K4133" i="73"/>
  <c r="J4133" i="73"/>
  <c r="K4132" i="73"/>
  <c r="J4132" i="73"/>
  <c r="K4131" i="73"/>
  <c r="J4131" i="73"/>
  <c r="K4130" i="73"/>
  <c r="J4130" i="73"/>
  <c r="K4129" i="73"/>
  <c r="J4129" i="73"/>
  <c r="K4128" i="73"/>
  <c r="J4128" i="73"/>
  <c r="K4127" i="73"/>
  <c r="J4127" i="73"/>
  <c r="K4126" i="73"/>
  <c r="J4126" i="73"/>
  <c r="K4124" i="73"/>
  <c r="J4124" i="73"/>
  <c r="K4125" i="73"/>
  <c r="J4125" i="73"/>
  <c r="K4122" i="73"/>
  <c r="J4122" i="73"/>
  <c r="K4123" i="73"/>
  <c r="J4123" i="73"/>
  <c r="K4120" i="73"/>
  <c r="J4120" i="73"/>
  <c r="K4121" i="73"/>
  <c r="J4121" i="73"/>
  <c r="K4118" i="73"/>
  <c r="J4118" i="73"/>
  <c r="K4119" i="73"/>
  <c r="J4119" i="73"/>
  <c r="K4116" i="73"/>
  <c r="J4116" i="73"/>
  <c r="K4117" i="73"/>
  <c r="J4117" i="73"/>
  <c r="K4114" i="73"/>
  <c r="J4114" i="73"/>
  <c r="K4115" i="73"/>
  <c r="J4115" i="73"/>
  <c r="K4108" i="73"/>
  <c r="J4108" i="73"/>
  <c r="K4113" i="73"/>
  <c r="J4113" i="73"/>
  <c r="K4112" i="73"/>
  <c r="J4112" i="73"/>
  <c r="K4111" i="73"/>
  <c r="J4111" i="73"/>
  <c r="K4110" i="73"/>
  <c r="J4110" i="73"/>
  <c r="K4109" i="73"/>
  <c r="J4109" i="73"/>
  <c r="K4102" i="73"/>
  <c r="J4102" i="73"/>
  <c r="K4107" i="73"/>
  <c r="J4107" i="73"/>
  <c r="K4106" i="73"/>
  <c r="J4106" i="73"/>
  <c r="K4105" i="73"/>
  <c r="J4105" i="73"/>
  <c r="K4104" i="73"/>
  <c r="J4104" i="73"/>
  <c r="K4103" i="73"/>
  <c r="J4103" i="73"/>
  <c r="K4100" i="73"/>
  <c r="J4100" i="73"/>
  <c r="K4101" i="73"/>
  <c r="J4101" i="73"/>
  <c r="K4098" i="73"/>
  <c r="J4098" i="73"/>
  <c r="K4099" i="73"/>
  <c r="J4099" i="73"/>
  <c r="K4096" i="73"/>
  <c r="J4096" i="73"/>
  <c r="K4097" i="73"/>
  <c r="J4097" i="73"/>
  <c r="K4094" i="73"/>
  <c r="J4094" i="73"/>
  <c r="K4095" i="73"/>
  <c r="J4095" i="73"/>
  <c r="K4092" i="73"/>
  <c r="J4092" i="73"/>
  <c r="K4093" i="73"/>
  <c r="J4093" i="73"/>
  <c r="K4086" i="73"/>
  <c r="J4086" i="73"/>
  <c r="K4091" i="73"/>
  <c r="J4091" i="73"/>
  <c r="K4090" i="73"/>
  <c r="J4090" i="73"/>
  <c r="K4089" i="73"/>
  <c r="J4089" i="73"/>
  <c r="K4088" i="73"/>
  <c r="J4088" i="73"/>
  <c r="K4087" i="73"/>
  <c r="J4087" i="73"/>
  <c r="K4080" i="73"/>
  <c r="J4080" i="73"/>
  <c r="K4085" i="73"/>
  <c r="J4085" i="73"/>
  <c r="K4084" i="73"/>
  <c r="J4084" i="73"/>
  <c r="K4083" i="73"/>
  <c r="J4083" i="73"/>
  <c r="K4082" i="73"/>
  <c r="J4082" i="73"/>
  <c r="K4081" i="73"/>
  <c r="J4081" i="73"/>
  <c r="K4066" i="73"/>
  <c r="J4066" i="73"/>
  <c r="K4079" i="73"/>
  <c r="J4079" i="73"/>
  <c r="K4078" i="73"/>
  <c r="J4078" i="73"/>
  <c r="K4077" i="73"/>
  <c r="J4077" i="73"/>
  <c r="K4076" i="73"/>
  <c r="J4076" i="73"/>
  <c r="K4075" i="73"/>
  <c r="J4075" i="73"/>
  <c r="K4074" i="73"/>
  <c r="J4074" i="73"/>
  <c r="K4073" i="73"/>
  <c r="J4073" i="73"/>
  <c r="K4071" i="73"/>
  <c r="J4071" i="73"/>
  <c r="K4072" i="73"/>
  <c r="J4072" i="73"/>
  <c r="K4069" i="73"/>
  <c r="J4069" i="73"/>
  <c r="K4070" i="73"/>
  <c r="J4070" i="73"/>
  <c r="K4067" i="73"/>
  <c r="J4067" i="73"/>
  <c r="K4068" i="73"/>
  <c r="J4068" i="73"/>
  <c r="K4029" i="73"/>
  <c r="J4029" i="73"/>
  <c r="K4065" i="73"/>
  <c r="J4065" i="73"/>
  <c r="K4064" i="73"/>
  <c r="J4064" i="73"/>
  <c r="K4063" i="73"/>
  <c r="J4063" i="73"/>
  <c r="K4062" i="73"/>
  <c r="J4062" i="73"/>
  <c r="K4061" i="73"/>
  <c r="J4061" i="73"/>
  <c r="K4060" i="73"/>
  <c r="J4060" i="73"/>
  <c r="K4059" i="73"/>
  <c r="J4059" i="73"/>
  <c r="K4057" i="73"/>
  <c r="J4057" i="73"/>
  <c r="K4058" i="73"/>
  <c r="J4058" i="73"/>
  <c r="K4055" i="73"/>
  <c r="J4055" i="73"/>
  <c r="K4056" i="73"/>
  <c r="J4056" i="73"/>
  <c r="K4049" i="73"/>
  <c r="J4049" i="73"/>
  <c r="K4054" i="73"/>
  <c r="J4054" i="73"/>
  <c r="K4053" i="73"/>
  <c r="J4053" i="73"/>
  <c r="K4052" i="73"/>
  <c r="J4052" i="73"/>
  <c r="K4051" i="73"/>
  <c r="J4051" i="73"/>
  <c r="K4050" i="73"/>
  <c r="J4050" i="73"/>
  <c r="K4043" i="73"/>
  <c r="J4043" i="73"/>
  <c r="K4048" i="73"/>
  <c r="J4048" i="73"/>
  <c r="K4047" i="73"/>
  <c r="J4047" i="73"/>
  <c r="K4046" i="73"/>
  <c r="J4046" i="73"/>
  <c r="K4045" i="73"/>
  <c r="J4045" i="73"/>
  <c r="K4044" i="73"/>
  <c r="J4044" i="73"/>
  <c r="K4041" i="73"/>
  <c r="J4041" i="73"/>
  <c r="K4042" i="73"/>
  <c r="J4042" i="73"/>
  <c r="K4030" i="73"/>
  <c r="J4030" i="73"/>
  <c r="K4040" i="73"/>
  <c r="J4040" i="73"/>
  <c r="K4039" i="73"/>
  <c r="J4039" i="73"/>
  <c r="K4038" i="73"/>
  <c r="J4038" i="73"/>
  <c r="K4037" i="73"/>
  <c r="J4037" i="73"/>
  <c r="K4036" i="73"/>
  <c r="J4036" i="73"/>
  <c r="K4035" i="73"/>
  <c r="J4035" i="73"/>
  <c r="K4033" i="73"/>
  <c r="J4033" i="73"/>
  <c r="K4034" i="73"/>
  <c r="J4034" i="73"/>
  <c r="K4031" i="73"/>
  <c r="J4031" i="73"/>
  <c r="K4032" i="73"/>
  <c r="J4032" i="73"/>
  <c r="K4016" i="73"/>
  <c r="J4016" i="73"/>
  <c r="K4028" i="73"/>
  <c r="J4028" i="73"/>
  <c r="K4027" i="73"/>
  <c r="J4027" i="73"/>
  <c r="K4026" i="73"/>
  <c r="J4026" i="73"/>
  <c r="K4025" i="73"/>
  <c r="J4025" i="73"/>
  <c r="K4024" i="73"/>
  <c r="J4024" i="73"/>
  <c r="K4023" i="73"/>
  <c r="J4023" i="73"/>
  <c r="K4019" i="73"/>
  <c r="J4019" i="73"/>
  <c r="K4022" i="73"/>
  <c r="J4022" i="73"/>
  <c r="K4021" i="73"/>
  <c r="J4021" i="73"/>
  <c r="K4020" i="73"/>
  <c r="J4020" i="73"/>
  <c r="K4017" i="73"/>
  <c r="J4017" i="73"/>
  <c r="K4018" i="73"/>
  <c r="J4018" i="73"/>
  <c r="K4003" i="73"/>
  <c r="J4003" i="73"/>
  <c r="K4015" i="73"/>
  <c r="J4015" i="73"/>
  <c r="K4014" i="73"/>
  <c r="J4014" i="73"/>
  <c r="K4013" i="73"/>
  <c r="J4013" i="73"/>
  <c r="K4012" i="73"/>
  <c r="J4012" i="73"/>
  <c r="K4011" i="73"/>
  <c r="J4011" i="73"/>
  <c r="K4010" i="73"/>
  <c r="J4010" i="73"/>
  <c r="K4006" i="73"/>
  <c r="J4006" i="73"/>
  <c r="K4009" i="73"/>
  <c r="J4009" i="73"/>
  <c r="K4008" i="73"/>
  <c r="J4008" i="73"/>
  <c r="K4007" i="73"/>
  <c r="J4007" i="73"/>
  <c r="K4004" i="73"/>
  <c r="J4004" i="73"/>
  <c r="K4005" i="73"/>
  <c r="J4005" i="73"/>
  <c r="K3713" i="73"/>
  <c r="J3713" i="73"/>
  <c r="K4002" i="73"/>
  <c r="J4002" i="73"/>
  <c r="K4001" i="73"/>
  <c r="J4001" i="73"/>
  <c r="K4000" i="73"/>
  <c r="J4000" i="73"/>
  <c r="K3999" i="73"/>
  <c r="J3999" i="73"/>
  <c r="K3998" i="73"/>
  <c r="J3998" i="73"/>
  <c r="K3997" i="73"/>
  <c r="J3997" i="73"/>
  <c r="K3996" i="73"/>
  <c r="J3996" i="73"/>
  <c r="K3995" i="73"/>
  <c r="J3995" i="73"/>
  <c r="K3994" i="73"/>
  <c r="J3994" i="73"/>
  <c r="K3993" i="73"/>
  <c r="J3993" i="73"/>
  <c r="K3992" i="73"/>
  <c r="J3992" i="73"/>
  <c r="K3991" i="73"/>
  <c r="J3991" i="73"/>
  <c r="K3989" i="73" a="1"/>
  <c r="K3989" i="73" s="1"/>
  <c r="J3989" i="73"/>
  <c r="J3990" i="73"/>
  <c r="K3983" i="73"/>
  <c r="J3983" i="73"/>
  <c r="K3988" i="73"/>
  <c r="J3988" i="73"/>
  <c r="K3987" i="73"/>
  <c r="J3987" i="73"/>
  <c r="K3986" i="73"/>
  <c r="J3986" i="73"/>
  <c r="K3985" i="73"/>
  <c r="J3985" i="73"/>
  <c r="K3984" i="73"/>
  <c r="J3984" i="73"/>
  <c r="K3981" i="73"/>
  <c r="J3981" i="73"/>
  <c r="K3982" i="73"/>
  <c r="J3982" i="73"/>
  <c r="K3979" i="73"/>
  <c r="J3979" i="73"/>
  <c r="K3980" i="73"/>
  <c r="J3980" i="73"/>
  <c r="K3977" i="73"/>
  <c r="J3977" i="73"/>
  <c r="K3978" i="73"/>
  <c r="J3978" i="73"/>
  <c r="K3874" i="73"/>
  <c r="J3874" i="73"/>
  <c r="K3976" i="73"/>
  <c r="J3976" i="73"/>
  <c r="K3975" i="73"/>
  <c r="J3975" i="73"/>
  <c r="K3974" i="73"/>
  <c r="J3974" i="73"/>
  <c r="K3973" i="73"/>
  <c r="J3973" i="73"/>
  <c r="K3972" i="73"/>
  <c r="J3972" i="73"/>
  <c r="K3971" i="73"/>
  <c r="J3971" i="73"/>
  <c r="K3962" i="73"/>
  <c r="J3962" i="73"/>
  <c r="K3970" i="73"/>
  <c r="J3970" i="73"/>
  <c r="K3969" i="73"/>
  <c r="J3969" i="73"/>
  <c r="K3967" i="73"/>
  <c r="J3967" i="73"/>
  <c r="K3968" i="73"/>
  <c r="J3968" i="73"/>
  <c r="K3965" i="73"/>
  <c r="J3965" i="73"/>
  <c r="K3966" i="73"/>
  <c r="J3966" i="73"/>
  <c r="K3963" i="73"/>
  <c r="J3963" i="73"/>
  <c r="K3964" i="73"/>
  <c r="J3964" i="73"/>
  <c r="K3953" i="73"/>
  <c r="J3953" i="73"/>
  <c r="K3961" i="73"/>
  <c r="J3961" i="73"/>
  <c r="K3960" i="73"/>
  <c r="J3960" i="73"/>
  <c r="K3958" i="73"/>
  <c r="J3958" i="73"/>
  <c r="K3959" i="73"/>
  <c r="J3959" i="73"/>
  <c r="K3956" i="73"/>
  <c r="J3956" i="73"/>
  <c r="K3957" i="73"/>
  <c r="J3957" i="73"/>
  <c r="K3954" i="73"/>
  <c r="J3954" i="73"/>
  <c r="K3955" i="73"/>
  <c r="J3955" i="73"/>
  <c r="K3898" i="73"/>
  <c r="J3898" i="73"/>
  <c r="K3952" i="73"/>
  <c r="J3952" i="73"/>
  <c r="K3951" i="73"/>
  <c r="J3951" i="73"/>
  <c r="K3949" i="73"/>
  <c r="J3949" i="73"/>
  <c r="K3950" i="73"/>
  <c r="J3950" i="73"/>
  <c r="K3947" i="73"/>
  <c r="J3947" i="73"/>
  <c r="K3948" i="73"/>
  <c r="J3948" i="73"/>
  <c r="K3945" i="73"/>
  <c r="J3945" i="73"/>
  <c r="K3946" i="73"/>
  <c r="J3946" i="73"/>
  <c r="K3943" i="73"/>
  <c r="J3943" i="73"/>
  <c r="K3944" i="73"/>
  <c r="J3944" i="73"/>
  <c r="K3941" i="73"/>
  <c r="J3941" i="73"/>
  <c r="K3942" i="73"/>
  <c r="J3942" i="73"/>
  <c r="K3939" i="73"/>
  <c r="J3939" i="73"/>
  <c r="K3940" i="73"/>
  <c r="J3940" i="73"/>
  <c r="K3937" i="73"/>
  <c r="J3937" i="73"/>
  <c r="K3938" i="73"/>
  <c r="J3938" i="73"/>
  <c r="K3930" i="73"/>
  <c r="J3930" i="73"/>
  <c r="K3936" i="73"/>
  <c r="J3936" i="73"/>
  <c r="K3935" i="73"/>
  <c r="J3935" i="73"/>
  <c r="K3933" i="73"/>
  <c r="J3933" i="73"/>
  <c r="K3934" i="73"/>
  <c r="J3934" i="73"/>
  <c r="K3931" i="73"/>
  <c r="J3931" i="73"/>
  <c r="K3932" i="73"/>
  <c r="J3932" i="73"/>
  <c r="K3923" i="73"/>
  <c r="J3923" i="73"/>
  <c r="K3929" i="73"/>
  <c r="J3929" i="73"/>
  <c r="K3928" i="73"/>
  <c r="J3928" i="73"/>
  <c r="K3926" i="73"/>
  <c r="J3926" i="73"/>
  <c r="K3927" i="73"/>
  <c r="J3927" i="73"/>
  <c r="K3924" i="73"/>
  <c r="J3924" i="73"/>
  <c r="K3925" i="73"/>
  <c r="J3925" i="73"/>
  <c r="K3912" i="73"/>
  <c r="J3912" i="73"/>
  <c r="K3922" i="73"/>
  <c r="J3922" i="73"/>
  <c r="K3921" i="73"/>
  <c r="J3921" i="73"/>
  <c r="K3919" i="73"/>
  <c r="J3919" i="73"/>
  <c r="K3920" i="73"/>
  <c r="J3920" i="73"/>
  <c r="K3917" i="73"/>
  <c r="J3917" i="73"/>
  <c r="K3918" i="73"/>
  <c r="J3918" i="73"/>
  <c r="K3915" i="73"/>
  <c r="J3915" i="73"/>
  <c r="K3916" i="73"/>
  <c r="J3916" i="73"/>
  <c r="K3913" i="73"/>
  <c r="J3913" i="73"/>
  <c r="K3914" i="73"/>
  <c r="J3914" i="73"/>
  <c r="K3899" i="73"/>
  <c r="J3899" i="73"/>
  <c r="K3911" i="73"/>
  <c r="J3911" i="73"/>
  <c r="K3910" i="73"/>
  <c r="J3910" i="73"/>
  <c r="K3908" i="73"/>
  <c r="J3908" i="73"/>
  <c r="K3909" i="73"/>
  <c r="J3909" i="73"/>
  <c r="K3906" i="73"/>
  <c r="J3906" i="73"/>
  <c r="K3907" i="73"/>
  <c r="J3907" i="73"/>
  <c r="K3904" i="73"/>
  <c r="J3904" i="73"/>
  <c r="K3905" i="73"/>
  <c r="J3905" i="73"/>
  <c r="K3902" i="73"/>
  <c r="J3902" i="73"/>
  <c r="K3903" i="73"/>
  <c r="J3903" i="73"/>
  <c r="K3900" i="73"/>
  <c r="J3900" i="73"/>
  <c r="K3901" i="73"/>
  <c r="J3901" i="73"/>
  <c r="K3875" i="73"/>
  <c r="J3875" i="73"/>
  <c r="K3897" i="73"/>
  <c r="J3897" i="73"/>
  <c r="K3896" i="73"/>
  <c r="J3896" i="73"/>
  <c r="K3894" i="73"/>
  <c r="J3894" i="73"/>
  <c r="K3895" i="73"/>
  <c r="J3895" i="73"/>
  <c r="K3892" i="73"/>
  <c r="J3892" i="73"/>
  <c r="K3893" i="73"/>
  <c r="J3893" i="73"/>
  <c r="K3890" i="73"/>
  <c r="J3890" i="73"/>
  <c r="K3891" i="73"/>
  <c r="J3891" i="73"/>
  <c r="K3888" i="73"/>
  <c r="J3888" i="73"/>
  <c r="K3889" i="73"/>
  <c r="J3889" i="73"/>
  <c r="K3886" i="73"/>
  <c r="J3886" i="73"/>
  <c r="K3887" i="73"/>
  <c r="J3887" i="73"/>
  <c r="K3884" i="73"/>
  <c r="J3884" i="73"/>
  <c r="K3885" i="73"/>
  <c r="J3885" i="73"/>
  <c r="K3882" i="73"/>
  <c r="J3882" i="73"/>
  <c r="K3883" i="73"/>
  <c r="J3883" i="73"/>
  <c r="K3880" i="73"/>
  <c r="J3880" i="73"/>
  <c r="K3881" i="73"/>
  <c r="J3881" i="73"/>
  <c r="K3876" i="73"/>
  <c r="J3876" i="73"/>
  <c r="K3879" i="73"/>
  <c r="J3879" i="73"/>
  <c r="K3878" i="73"/>
  <c r="J3878" i="73"/>
  <c r="K3877" i="73"/>
  <c r="J3877" i="73"/>
  <c r="K3837" i="73"/>
  <c r="J3837" i="73"/>
  <c r="K3873" i="73"/>
  <c r="J3873" i="73"/>
  <c r="K3872" i="73"/>
  <c r="J3872" i="73"/>
  <c r="K3871" i="73"/>
  <c r="J3871" i="73"/>
  <c r="K3870" i="73"/>
  <c r="J3870" i="73"/>
  <c r="K3869" i="73"/>
  <c r="J3869" i="73"/>
  <c r="K3868" i="73"/>
  <c r="J3868" i="73"/>
  <c r="K3867" i="73"/>
  <c r="J3867" i="73"/>
  <c r="K3866" i="73"/>
  <c r="J3866" i="73"/>
  <c r="K3865" i="73"/>
  <c r="J3865" i="73"/>
  <c r="K3864" i="73"/>
  <c r="J3864" i="73"/>
  <c r="K3858" i="73"/>
  <c r="J3858" i="73"/>
  <c r="K3863" i="73"/>
  <c r="J3863" i="73"/>
  <c r="K3862" i="73"/>
  <c r="J3862" i="73"/>
  <c r="K3861" i="73"/>
  <c r="J3861" i="73"/>
  <c r="K3860" i="73"/>
  <c r="J3860" i="73"/>
  <c r="K3859" i="73"/>
  <c r="J3859" i="73"/>
  <c r="K3856" i="73"/>
  <c r="J3856" i="73"/>
  <c r="K3857" i="73"/>
  <c r="J3857" i="73"/>
  <c r="K3854" i="73"/>
  <c r="J3854" i="73"/>
  <c r="K3855" i="73"/>
  <c r="J3855" i="73"/>
  <c r="K3852" i="73"/>
  <c r="J3852" i="73"/>
  <c r="K3853" i="73"/>
  <c r="J3853" i="73"/>
  <c r="K3838" i="73"/>
  <c r="J3838" i="73"/>
  <c r="K3851" i="73"/>
  <c r="J3851" i="73"/>
  <c r="K3850" i="73"/>
  <c r="J3850" i="73"/>
  <c r="K3849" i="73"/>
  <c r="J3849" i="73"/>
  <c r="K3844" i="73"/>
  <c r="J3844" i="73"/>
  <c r="K3848" i="73"/>
  <c r="J3848" i="73"/>
  <c r="K3847" i="73"/>
  <c r="J3847" i="73"/>
  <c r="K3846" i="73"/>
  <c r="J3846" i="73"/>
  <c r="K3845" i="73"/>
  <c r="J3845" i="73"/>
  <c r="K3839" i="73"/>
  <c r="J3839" i="73"/>
  <c r="K3843" i="73"/>
  <c r="J3843" i="73"/>
  <c r="K3842" i="73"/>
  <c r="J3842" i="73"/>
  <c r="K3841" i="73"/>
  <c r="J3841" i="73"/>
  <c r="K3840" i="73"/>
  <c r="J3840" i="73"/>
  <c r="K3812" i="73"/>
  <c r="J3812" i="73"/>
  <c r="K3835" i="73"/>
  <c r="J3835" i="73"/>
  <c r="K3836" i="73"/>
  <c r="J3836" i="73"/>
  <c r="K3829" i="73"/>
  <c r="J3829" i="73"/>
  <c r="K3834" i="73"/>
  <c r="J3834" i="73"/>
  <c r="K3833" i="73"/>
  <c r="J3833" i="73"/>
  <c r="K3832" i="73"/>
  <c r="J3832" i="73"/>
  <c r="K3831" i="73"/>
  <c r="J3831" i="73"/>
  <c r="K3830" i="73"/>
  <c r="J3830" i="73"/>
  <c r="K3824" i="73"/>
  <c r="J3824" i="73"/>
  <c r="K3828" i="73"/>
  <c r="J3828" i="73"/>
  <c r="K3827" i="73"/>
  <c r="J3827" i="73"/>
  <c r="K3826" i="73"/>
  <c r="J3826" i="73"/>
  <c r="K3825" i="73"/>
  <c r="J3825" i="73"/>
  <c r="K3813" i="73"/>
  <c r="J3813" i="73"/>
  <c r="K3823" i="73"/>
  <c r="J3823" i="73"/>
  <c r="K3822" i="73"/>
  <c r="J3822" i="73"/>
  <c r="K3821" i="73"/>
  <c r="J3821" i="73"/>
  <c r="K3820" i="73"/>
  <c r="J3820" i="73"/>
  <c r="K3819" i="73"/>
  <c r="J3819" i="73"/>
  <c r="K3818" i="73"/>
  <c r="J3818" i="73"/>
  <c r="K3816" i="73"/>
  <c r="J3816" i="73"/>
  <c r="K3817" i="73"/>
  <c r="J3817" i="73"/>
  <c r="K3814" i="73"/>
  <c r="J3814" i="73"/>
  <c r="K3815" i="73"/>
  <c r="J3815" i="73"/>
  <c r="K3787" i="73"/>
  <c r="J3787" i="73"/>
  <c r="K3810" i="73"/>
  <c r="J3810" i="73"/>
  <c r="K3811" i="73"/>
  <c r="J3811" i="73"/>
  <c r="K3804" i="73"/>
  <c r="J3804" i="73"/>
  <c r="K3809" i="73"/>
  <c r="J3809" i="73"/>
  <c r="K3808" i="73"/>
  <c r="J3808" i="73"/>
  <c r="K3807" i="73"/>
  <c r="J3807" i="73"/>
  <c r="K3806" i="73"/>
  <c r="J3806" i="73"/>
  <c r="K3805" i="73"/>
  <c r="J3805" i="73"/>
  <c r="K3799" i="73"/>
  <c r="J3799" i="73"/>
  <c r="K3803" i="73"/>
  <c r="J3803" i="73"/>
  <c r="K3802" i="73"/>
  <c r="J3802" i="73"/>
  <c r="K3801" i="73"/>
  <c r="J3801" i="73"/>
  <c r="K3800" i="73"/>
  <c r="J3800" i="73"/>
  <c r="K3788" i="73"/>
  <c r="J3788" i="73"/>
  <c r="K3798" i="73"/>
  <c r="J3798" i="73"/>
  <c r="K3797" i="73"/>
  <c r="J3797" i="73"/>
  <c r="K3796" i="73"/>
  <c r="J3796" i="73"/>
  <c r="K3795" i="73"/>
  <c r="J3795" i="73"/>
  <c r="K3794" i="73"/>
  <c r="J3794" i="73"/>
  <c r="K3793" i="73"/>
  <c r="J3793" i="73"/>
  <c r="K3791" i="73"/>
  <c r="J3791" i="73"/>
  <c r="K3792" i="73"/>
  <c r="J3792" i="73"/>
  <c r="K3789" i="73"/>
  <c r="J3789" i="73"/>
  <c r="K3790" i="73"/>
  <c r="J3790" i="73"/>
  <c r="K3762" i="73"/>
  <c r="J3762" i="73"/>
  <c r="K3785" i="73"/>
  <c r="J3785" i="73"/>
  <c r="K3786" i="73"/>
  <c r="J3786" i="73"/>
  <c r="K3779" i="73"/>
  <c r="J3779" i="73"/>
  <c r="K3784" i="73"/>
  <c r="J3784" i="73"/>
  <c r="K3783" i="73"/>
  <c r="J3783" i="73"/>
  <c r="K3782" i="73"/>
  <c r="J3782" i="73"/>
  <c r="K3781" i="73"/>
  <c r="J3781" i="73"/>
  <c r="K3780" i="73"/>
  <c r="J3780" i="73"/>
  <c r="K3774" i="73"/>
  <c r="J3774" i="73"/>
  <c r="K3778" i="73"/>
  <c r="J3778" i="73"/>
  <c r="K3777" i="73"/>
  <c r="J3777" i="73"/>
  <c r="K3776" i="73"/>
  <c r="J3776" i="73"/>
  <c r="K3775" i="73"/>
  <c r="J3775" i="73"/>
  <c r="K3763" i="73"/>
  <c r="J3763" i="73"/>
  <c r="K3773" i="73"/>
  <c r="J3773" i="73"/>
  <c r="K3772" i="73"/>
  <c r="J3772" i="73"/>
  <c r="K3771" i="73"/>
  <c r="J3771" i="73"/>
  <c r="K3770" i="73"/>
  <c r="J3770" i="73"/>
  <c r="K3769" i="73"/>
  <c r="J3769" i="73"/>
  <c r="K3768" i="73"/>
  <c r="J3768" i="73"/>
  <c r="K3766" i="73"/>
  <c r="J3766" i="73"/>
  <c r="K3767" i="73"/>
  <c r="J3767" i="73"/>
  <c r="K3764" i="73"/>
  <c r="J3764" i="73"/>
  <c r="K3765" i="73"/>
  <c r="J3765" i="73"/>
  <c r="K3737" i="73"/>
  <c r="J3737" i="73"/>
  <c r="K3760" i="73"/>
  <c r="J3760" i="73"/>
  <c r="K3761" i="73"/>
  <c r="J3761" i="73"/>
  <c r="K3754" i="73"/>
  <c r="J3754" i="73"/>
  <c r="K3759" i="73"/>
  <c r="J3759" i="73"/>
  <c r="K3758" i="73"/>
  <c r="J3758" i="73"/>
  <c r="K3757" i="73"/>
  <c r="J3757" i="73"/>
  <c r="K3756" i="73"/>
  <c r="J3756" i="73"/>
  <c r="K3755" i="73"/>
  <c r="J3755" i="73"/>
  <c r="K3749" i="73"/>
  <c r="J3749" i="73"/>
  <c r="K3753" i="73"/>
  <c r="J3753" i="73"/>
  <c r="K3752" i="73"/>
  <c r="J3752" i="73"/>
  <c r="K3751" i="73"/>
  <c r="J3751" i="73"/>
  <c r="K3750" i="73"/>
  <c r="J3750" i="73"/>
  <c r="K3738" i="73"/>
  <c r="J3738" i="73"/>
  <c r="K3748" i="73"/>
  <c r="J3748" i="73"/>
  <c r="K3747" i="73"/>
  <c r="J3747" i="73"/>
  <c r="K3746" i="73"/>
  <c r="J3746" i="73"/>
  <c r="K3745" i="73"/>
  <c r="J3745" i="73"/>
  <c r="K3744" i="73"/>
  <c r="J3744" i="73"/>
  <c r="K3743" i="73"/>
  <c r="J3743" i="73"/>
  <c r="K3741" i="73"/>
  <c r="J3741" i="73"/>
  <c r="K3742" i="73"/>
  <c r="J3742" i="73"/>
  <c r="K3739" i="73"/>
  <c r="J3739" i="73"/>
  <c r="K3740" i="73"/>
  <c r="J3740" i="73"/>
  <c r="K3723" i="73"/>
  <c r="J3723" i="73"/>
  <c r="K3735" i="73"/>
  <c r="J3735" i="73"/>
  <c r="K3736" i="73"/>
  <c r="J3736" i="73"/>
  <c r="K3729" i="73"/>
  <c r="J3729" i="73"/>
  <c r="K3734" i="73"/>
  <c r="J3734" i="73"/>
  <c r="K3733" i="73"/>
  <c r="J3733" i="73"/>
  <c r="K3732" i="73"/>
  <c r="J3732" i="73"/>
  <c r="K3731" i="73"/>
  <c r="J3731" i="73"/>
  <c r="K3730" i="73"/>
  <c r="J3730" i="73"/>
  <c r="K3724" i="73"/>
  <c r="J3724" i="73"/>
  <c r="K3728" i="73"/>
  <c r="J3728" i="73"/>
  <c r="K3727" i="73"/>
  <c r="J3727" i="73"/>
  <c r="K3726" i="73"/>
  <c r="J3726" i="73"/>
  <c r="K3725" i="73"/>
  <c r="J3725" i="73"/>
  <c r="K3714" i="73"/>
  <c r="J3714" i="73"/>
  <c r="K3722" i="73"/>
  <c r="J3722" i="73"/>
  <c r="K3721" i="73"/>
  <c r="J3721" i="73"/>
  <c r="K3719" i="73"/>
  <c r="J3719" i="73"/>
  <c r="K3720" i="73"/>
  <c r="J3720" i="73"/>
  <c r="K3717" i="73"/>
  <c r="J3717" i="73"/>
  <c r="K3718" i="73"/>
  <c r="J3718" i="73"/>
  <c r="K3715" i="73"/>
  <c r="J3715" i="73"/>
  <c r="K3716" i="73"/>
  <c r="J3716" i="73"/>
  <c r="K3626" i="73"/>
  <c r="J3626" i="73"/>
  <c r="K3711" i="73"/>
  <c r="J3711" i="73"/>
  <c r="K3710" i="73"/>
  <c r="J3710" i="73"/>
  <c r="K3709" i="73"/>
  <c r="J3709" i="73"/>
  <c r="K3708" i="73"/>
  <c r="J3708" i="73"/>
  <c r="K3707" i="73"/>
  <c r="J3707" i="73"/>
  <c r="K3706" i="73"/>
  <c r="J3706" i="73"/>
  <c r="K3705" i="73"/>
  <c r="J3705" i="73"/>
  <c r="K3704" i="73"/>
  <c r="J3704" i="73"/>
  <c r="K3702" i="73"/>
  <c r="J3702" i="73"/>
  <c r="K3703" i="73"/>
  <c r="J3703" i="73"/>
  <c r="K3700" i="73"/>
  <c r="J3700" i="73"/>
  <c r="K3701" i="73"/>
  <c r="J3701" i="73"/>
  <c r="K3698" i="73"/>
  <c r="J3698" i="73"/>
  <c r="K3699" i="73"/>
  <c r="J3699" i="73"/>
  <c r="K3696" i="73"/>
  <c r="J3696" i="73"/>
  <c r="K3697" i="73"/>
  <c r="J3697" i="73"/>
  <c r="K3694" i="73"/>
  <c r="J3694" i="73"/>
  <c r="K3695" i="73"/>
  <c r="J3695" i="73"/>
  <c r="K3692" i="73"/>
  <c r="J3692" i="73"/>
  <c r="K3693" i="73"/>
  <c r="J3693" i="73"/>
  <c r="K3690" i="73"/>
  <c r="J3690" i="73"/>
  <c r="K3691" i="73"/>
  <c r="J3691" i="73"/>
  <c r="K3688" i="73"/>
  <c r="J3688" i="73"/>
  <c r="K3689" i="73"/>
  <c r="J3689" i="73"/>
  <c r="K3686" i="73"/>
  <c r="J3686" i="73"/>
  <c r="K3687" i="73"/>
  <c r="J3687" i="73"/>
  <c r="K3684" i="73"/>
  <c r="J3684" i="73"/>
  <c r="K3685" i="73"/>
  <c r="J3685" i="73"/>
  <c r="K3682" i="73"/>
  <c r="J3682" i="73"/>
  <c r="K3683" i="73"/>
  <c r="J3683" i="73"/>
  <c r="K3680" i="73"/>
  <c r="J3680" i="73"/>
  <c r="K3681" i="73"/>
  <c r="J3681" i="73"/>
  <c r="K3678" i="73"/>
  <c r="J3678" i="73"/>
  <c r="K3679" i="73"/>
  <c r="J3679" i="73"/>
  <c r="K3676" i="73"/>
  <c r="J3676" i="73"/>
  <c r="K3677" i="73"/>
  <c r="J3677" i="73"/>
  <c r="K3674" i="73"/>
  <c r="J3674" i="73"/>
  <c r="K3675" i="73"/>
  <c r="J3675" i="73"/>
  <c r="K3672" i="73"/>
  <c r="J3672" i="73"/>
  <c r="K3673" i="73"/>
  <c r="J3673" i="73"/>
  <c r="K3670" i="73"/>
  <c r="J3670" i="73"/>
  <c r="K3671" i="73"/>
  <c r="J3671" i="73"/>
  <c r="K3668" i="73"/>
  <c r="J3668" i="73"/>
  <c r="K3669" i="73"/>
  <c r="J3669" i="73"/>
  <c r="K3666" i="73"/>
  <c r="J3666" i="73"/>
  <c r="K3667" i="73"/>
  <c r="J3667" i="73"/>
  <c r="K3664" i="73"/>
  <c r="J3664" i="73"/>
  <c r="K3665" i="73"/>
  <c r="J3665" i="73"/>
  <c r="K3662" i="73"/>
  <c r="J3662" i="73"/>
  <c r="K3663" i="73"/>
  <c r="J3663" i="73"/>
  <c r="K3660" i="73"/>
  <c r="J3660" i="73"/>
  <c r="K3661" i="73"/>
  <c r="J3661" i="73"/>
  <c r="K3658" i="73"/>
  <c r="J3658" i="73"/>
  <c r="K3659" i="73"/>
  <c r="J3659" i="73"/>
  <c r="K3656" i="73"/>
  <c r="J3656" i="73"/>
  <c r="K3657" i="73"/>
  <c r="J3657" i="73"/>
  <c r="K3654" i="73"/>
  <c r="J3654" i="73"/>
  <c r="K3655" i="73"/>
  <c r="J3655" i="73"/>
  <c r="K3652" i="73"/>
  <c r="J3652" i="73"/>
  <c r="K3653" i="73"/>
  <c r="J3653" i="73"/>
  <c r="K3650" i="73"/>
  <c r="J3650" i="73"/>
  <c r="K3651" i="73"/>
  <c r="J3651" i="73"/>
  <c r="K3648" i="73"/>
  <c r="J3648" i="73"/>
  <c r="K3649" i="73"/>
  <c r="J3649" i="73"/>
  <c r="K3646" i="73"/>
  <c r="J3646" i="73"/>
  <c r="K3647" i="73"/>
  <c r="J3647" i="73"/>
  <c r="K3644" i="73"/>
  <c r="J3644" i="73"/>
  <c r="K3645" i="73"/>
  <c r="J3645" i="73"/>
  <c r="K3642" i="73"/>
  <c r="J3642" i="73"/>
  <c r="K3643" i="73"/>
  <c r="J3643" i="73"/>
  <c r="K3640" i="73"/>
  <c r="J3640" i="73"/>
  <c r="K3641" i="73"/>
  <c r="J3641" i="73"/>
  <c r="K3638" i="73"/>
  <c r="J3638" i="73"/>
  <c r="K3639" i="73"/>
  <c r="J3639" i="73"/>
  <c r="K3636" i="73"/>
  <c r="J3636" i="73"/>
  <c r="K3637" i="73"/>
  <c r="J3637" i="73"/>
  <c r="K3627" i="73"/>
  <c r="J3627" i="73"/>
  <c r="K3635" i="73"/>
  <c r="J3635" i="73"/>
  <c r="K3634" i="73"/>
  <c r="J3634" i="73"/>
  <c r="K3632" i="73"/>
  <c r="J3632" i="73"/>
  <c r="K3633" i="73"/>
  <c r="J3633" i="73"/>
  <c r="K3630" i="73"/>
  <c r="J3630" i="73"/>
  <c r="K3631" i="73"/>
  <c r="J3631" i="73"/>
  <c r="K3628" i="73"/>
  <c r="J3628" i="73"/>
  <c r="K3629" i="73"/>
  <c r="J3629" i="73"/>
  <c r="K3589" i="73"/>
  <c r="J3589" i="73"/>
  <c r="K3625" i="73"/>
  <c r="J3625" i="73"/>
  <c r="K3624" i="73"/>
  <c r="J3624" i="73"/>
  <c r="K3622" i="73"/>
  <c r="J3622" i="73"/>
  <c r="K3623" i="73"/>
  <c r="J3623" i="73"/>
  <c r="K3620" i="73"/>
  <c r="J3620" i="73"/>
  <c r="K3621" i="73"/>
  <c r="J3621" i="73"/>
  <c r="K3618" i="73"/>
  <c r="J3618" i="73"/>
  <c r="K3619" i="73"/>
  <c r="J3619" i="73"/>
  <c r="K3604" i="73"/>
  <c r="J3604" i="73"/>
  <c r="K3617" i="73"/>
  <c r="J3617" i="73"/>
  <c r="K3616" i="73"/>
  <c r="J3616" i="73"/>
  <c r="K3615" i="73"/>
  <c r="J3615" i="73"/>
  <c r="K3614" i="73"/>
  <c r="J3614" i="73"/>
  <c r="K3613" i="73"/>
  <c r="J3613" i="73"/>
  <c r="K3612" i="73"/>
  <c r="J3612" i="73"/>
  <c r="K3611" i="73"/>
  <c r="J3611" i="73"/>
  <c r="K3609" i="73"/>
  <c r="J3609" i="73"/>
  <c r="K3610" i="73"/>
  <c r="J3610" i="73"/>
  <c r="K3607" i="73"/>
  <c r="J3607" i="73"/>
  <c r="K3608" i="73"/>
  <c r="J3608" i="73"/>
  <c r="K3605" i="73"/>
  <c r="J3605" i="73"/>
  <c r="K3606" i="73"/>
  <c r="J3606" i="73"/>
  <c r="K3590" i="73"/>
  <c r="J3590" i="73"/>
  <c r="K3603" i="73"/>
  <c r="J3603" i="73"/>
  <c r="K3602" i="73"/>
  <c r="J3602" i="73"/>
  <c r="K3601" i="73"/>
  <c r="J3601" i="73"/>
  <c r="K3600" i="73"/>
  <c r="J3600" i="73"/>
  <c r="K3599" i="73"/>
  <c r="J3599" i="73"/>
  <c r="K3598" i="73"/>
  <c r="J3598" i="73"/>
  <c r="K3597" i="73"/>
  <c r="J3597" i="73"/>
  <c r="K3595" i="73"/>
  <c r="J3595" i="73"/>
  <c r="K3596" i="73"/>
  <c r="J3596" i="73"/>
  <c r="K3593" i="73"/>
  <c r="J3593" i="73"/>
  <c r="K3594" i="73"/>
  <c r="J3594" i="73"/>
  <c r="K3591" i="73"/>
  <c r="J3591" i="73"/>
  <c r="K3592" i="73"/>
  <c r="J3592" i="73"/>
  <c r="K3530" i="73"/>
  <c r="J3530" i="73"/>
  <c r="K3588" i="73"/>
  <c r="J3588" i="73"/>
  <c r="K3587" i="73"/>
  <c r="J3587" i="73"/>
  <c r="K3585" i="73"/>
  <c r="J3585" i="73"/>
  <c r="K3586" i="73"/>
  <c r="J3586" i="73"/>
  <c r="K3583" i="73"/>
  <c r="J3583" i="73"/>
  <c r="K3584" i="73"/>
  <c r="J3584" i="73"/>
  <c r="K3581" i="73"/>
  <c r="J3581" i="73"/>
  <c r="K3582" i="73"/>
  <c r="J3582" i="73"/>
  <c r="K3579" i="73"/>
  <c r="J3579" i="73"/>
  <c r="K3580" i="73"/>
  <c r="J3580" i="73"/>
  <c r="K3577" i="73"/>
  <c r="J3577" i="73"/>
  <c r="K3578" i="73"/>
  <c r="J3578" i="73"/>
  <c r="K3575" i="73"/>
  <c r="J3575" i="73"/>
  <c r="K3576" i="73"/>
  <c r="J3576" i="73"/>
  <c r="K3573" i="73"/>
  <c r="J3573" i="73"/>
  <c r="K3574" i="73"/>
  <c r="J3574" i="73"/>
  <c r="K3559" i="73"/>
  <c r="J3559" i="73"/>
  <c r="K3572" i="73"/>
  <c r="J3572" i="73"/>
  <c r="K3571" i="73"/>
  <c r="J3571" i="73"/>
  <c r="K3570" i="73"/>
  <c r="J3570" i="73"/>
  <c r="K3569" i="73"/>
  <c r="J3569" i="73"/>
  <c r="K3568" i="73"/>
  <c r="J3568" i="73"/>
  <c r="K3567" i="73"/>
  <c r="J3567" i="73"/>
  <c r="K3566" i="73"/>
  <c r="J3566" i="73"/>
  <c r="K3564" i="73"/>
  <c r="J3564" i="73"/>
  <c r="K3565" i="73"/>
  <c r="J3565" i="73"/>
  <c r="K3562" i="73"/>
  <c r="J3562" i="73"/>
  <c r="K3563" i="73"/>
  <c r="J3563" i="73"/>
  <c r="K3560" i="73"/>
  <c r="J3560" i="73"/>
  <c r="K3561" i="73"/>
  <c r="J3561" i="73"/>
  <c r="K3545" i="73"/>
  <c r="J3545" i="73"/>
  <c r="K3558" i="73"/>
  <c r="J3558" i="73"/>
  <c r="K3557" i="73"/>
  <c r="J3557" i="73"/>
  <c r="K3556" i="73"/>
  <c r="J3556" i="73"/>
  <c r="K3555" i="73"/>
  <c r="J3555" i="73"/>
  <c r="K3554" i="73"/>
  <c r="J3554" i="73"/>
  <c r="K3553" i="73"/>
  <c r="J3553" i="73"/>
  <c r="K3552" i="73"/>
  <c r="J3552" i="73"/>
  <c r="K3550" i="73"/>
  <c r="J3550" i="73"/>
  <c r="K3551" i="73"/>
  <c r="J3551" i="73"/>
  <c r="K3548" i="73"/>
  <c r="J3548" i="73"/>
  <c r="K3549" i="73"/>
  <c r="J3549" i="73"/>
  <c r="K3546" i="73"/>
  <c r="J3546" i="73"/>
  <c r="K3547" i="73"/>
  <c r="J3547" i="73"/>
  <c r="K3531" i="73"/>
  <c r="J3531" i="73"/>
  <c r="K3544" i="73"/>
  <c r="J3544" i="73"/>
  <c r="K3543" i="73"/>
  <c r="J3543" i="73"/>
  <c r="K3542" i="73"/>
  <c r="J3542" i="73"/>
  <c r="K3541" i="73"/>
  <c r="J3541" i="73"/>
  <c r="K3540" i="73"/>
  <c r="J3540" i="73"/>
  <c r="K3539" i="73"/>
  <c r="J3539" i="73"/>
  <c r="K3538" i="73"/>
  <c r="J3538" i="73"/>
  <c r="K3536" i="73"/>
  <c r="J3536" i="73"/>
  <c r="K3537" i="73"/>
  <c r="J3537" i="73"/>
  <c r="K3534" i="73"/>
  <c r="J3534" i="73"/>
  <c r="K3535" i="73"/>
  <c r="J3535" i="73"/>
  <c r="K3532" i="73"/>
  <c r="J3532" i="73"/>
  <c r="K3533" i="73"/>
  <c r="J3533" i="73"/>
  <c r="K3431" i="73"/>
  <c r="J3431" i="73"/>
  <c r="K3529" i="73"/>
  <c r="J3529" i="73"/>
  <c r="K3528" i="73"/>
  <c r="J3528" i="73"/>
  <c r="K3527" i="73"/>
  <c r="J3527" i="73"/>
  <c r="K3526" i="73"/>
  <c r="J3526" i="73"/>
  <c r="K3525" i="73"/>
  <c r="J3525" i="73"/>
  <c r="K3524" i="73"/>
  <c r="J3524" i="73"/>
  <c r="K3522" i="73"/>
  <c r="J3522" i="73"/>
  <c r="K3523" i="73"/>
  <c r="J3523" i="73"/>
  <c r="K3520" i="73"/>
  <c r="J3520" i="73"/>
  <c r="K3521" i="73"/>
  <c r="J3521" i="73"/>
  <c r="K3518" i="73"/>
  <c r="J3518" i="73"/>
  <c r="K3519" i="73"/>
  <c r="J3519" i="73"/>
  <c r="K3516" i="73"/>
  <c r="J3516" i="73"/>
  <c r="K3517" i="73"/>
  <c r="J3517" i="73"/>
  <c r="K3514" i="73"/>
  <c r="J3514" i="73"/>
  <c r="K3515" i="73"/>
  <c r="J3515" i="73"/>
  <c r="K3512" i="73"/>
  <c r="J3512" i="73"/>
  <c r="K3513" i="73"/>
  <c r="J3513" i="73"/>
  <c r="K3510" i="73"/>
  <c r="J3510" i="73"/>
  <c r="K3511" i="73"/>
  <c r="J3511" i="73"/>
  <c r="K3508" i="73"/>
  <c r="J3508" i="73"/>
  <c r="K3509" i="73"/>
  <c r="J3509" i="73"/>
  <c r="K3506" i="73"/>
  <c r="J3506" i="73"/>
  <c r="K3507" i="73"/>
  <c r="J3507" i="73"/>
  <c r="K3504" i="73"/>
  <c r="J3504" i="73"/>
  <c r="K3505" i="73"/>
  <c r="J3505" i="73"/>
  <c r="K3502" i="73"/>
  <c r="J3502" i="73"/>
  <c r="K3503" i="73"/>
  <c r="J3503" i="73"/>
  <c r="K3500" i="73"/>
  <c r="J3500" i="73"/>
  <c r="K3501" i="73"/>
  <c r="J3501" i="73"/>
  <c r="K3498" i="73"/>
  <c r="J3498" i="73"/>
  <c r="K3499" i="73"/>
  <c r="J3499" i="73"/>
  <c r="K3496" i="73"/>
  <c r="J3496" i="73"/>
  <c r="K3497" i="73"/>
  <c r="J3497" i="73"/>
  <c r="K3494" i="73"/>
  <c r="J3494" i="73"/>
  <c r="K3495" i="73"/>
  <c r="J3495" i="73"/>
  <c r="K3492" i="73"/>
  <c r="J3492" i="73"/>
  <c r="K3493" i="73"/>
  <c r="J3493" i="73"/>
  <c r="K3490" i="73"/>
  <c r="J3490" i="73"/>
  <c r="K3491" i="73"/>
  <c r="J3491" i="73"/>
  <c r="K3488" i="73"/>
  <c r="J3488" i="73"/>
  <c r="K3489" i="73"/>
  <c r="J3489" i="73"/>
  <c r="K3482" i="73"/>
  <c r="J3482" i="73"/>
  <c r="K3487" i="73"/>
  <c r="J3487" i="73"/>
  <c r="K3486" i="73"/>
  <c r="J3486" i="73"/>
  <c r="K3485" i="73"/>
  <c r="J3485" i="73"/>
  <c r="K3484" i="73"/>
  <c r="J3484" i="73"/>
  <c r="K3483" i="73"/>
  <c r="J3483" i="73"/>
  <c r="K3480" i="73"/>
  <c r="J3480" i="73"/>
  <c r="K3481" i="73"/>
  <c r="J3481" i="73"/>
  <c r="K3474" i="73"/>
  <c r="J3474" i="73"/>
  <c r="K3479" i="73"/>
  <c r="J3479" i="73"/>
  <c r="K3478" i="73"/>
  <c r="J3478" i="73"/>
  <c r="K3477" i="73"/>
  <c r="J3477" i="73"/>
  <c r="K3476" i="73"/>
  <c r="J3476" i="73"/>
  <c r="K3475" i="73"/>
  <c r="J3475" i="73"/>
  <c r="K3467" i="73"/>
  <c r="J3467" i="73"/>
  <c r="K3473" i="73"/>
  <c r="J3473" i="73"/>
  <c r="K3472" i="73"/>
  <c r="J3472" i="73"/>
  <c r="K3471" i="73"/>
  <c r="J3471" i="73"/>
  <c r="K3470" i="73"/>
  <c r="J3470" i="73"/>
  <c r="K3469" i="73"/>
  <c r="J3469" i="73"/>
  <c r="K3468" i="73"/>
  <c r="J3468" i="73"/>
  <c r="K3465" i="73"/>
  <c r="J3465" i="73"/>
  <c r="K3466" i="73"/>
  <c r="J3466" i="73"/>
  <c r="K3458" i="73"/>
  <c r="J3458" i="73"/>
  <c r="K3464" i="73"/>
  <c r="J3464" i="73"/>
  <c r="K3463" i="73"/>
  <c r="J3463" i="73"/>
  <c r="K3462" i="73"/>
  <c r="J3462" i="73"/>
  <c r="K3461" i="73"/>
  <c r="J3461" i="73"/>
  <c r="K3460" i="73"/>
  <c r="J3460" i="73"/>
  <c r="K3459" i="73"/>
  <c r="J3459" i="73"/>
  <c r="K3456" i="73"/>
  <c r="J3456" i="73"/>
  <c r="K3457" i="73"/>
  <c r="J3457" i="73"/>
  <c r="K3454" i="73"/>
  <c r="J3454" i="73"/>
  <c r="K3455" i="73"/>
  <c r="J3455" i="73"/>
  <c r="K3452" i="73"/>
  <c r="J3452" i="73"/>
  <c r="K3453" i="73"/>
  <c r="J3453" i="73"/>
  <c r="K3450" i="73"/>
  <c r="J3450" i="73"/>
  <c r="K3451" i="73"/>
  <c r="J3451" i="73"/>
  <c r="K3448" i="73"/>
  <c r="J3448" i="73"/>
  <c r="K3449" i="73"/>
  <c r="J3449" i="73"/>
  <c r="K3446" i="73"/>
  <c r="J3446" i="73"/>
  <c r="K3447" i="73"/>
  <c r="J3447" i="73"/>
  <c r="K3444" i="73"/>
  <c r="J3444" i="73"/>
  <c r="K3445" i="73"/>
  <c r="J3445" i="73"/>
  <c r="K3442" i="73"/>
  <c r="J3442" i="73"/>
  <c r="K3443" i="73"/>
  <c r="J3443" i="73"/>
  <c r="K3432" i="73"/>
  <c r="J3432" i="73"/>
  <c r="K3441" i="73"/>
  <c r="J3441" i="73"/>
  <c r="K3440" i="73"/>
  <c r="J3440" i="73"/>
  <c r="K3439" i="73"/>
  <c r="J3439" i="73"/>
  <c r="K3437" i="73"/>
  <c r="J3437" i="73"/>
  <c r="K3438" i="73"/>
  <c r="J3438" i="73"/>
  <c r="K3435" i="73"/>
  <c r="J3435" i="73"/>
  <c r="K3436" i="73"/>
  <c r="J3436" i="73"/>
  <c r="K3433" i="73"/>
  <c r="J3433" i="73"/>
  <c r="K3434" i="73"/>
  <c r="J3434" i="73"/>
  <c r="K3330" i="73"/>
  <c r="J3330" i="73"/>
  <c r="K3430" i="73"/>
  <c r="J3430" i="73"/>
  <c r="K3429" i="73"/>
  <c r="J3429" i="73"/>
  <c r="K3428" i="73"/>
  <c r="J3428" i="73"/>
  <c r="K3427" i="73"/>
  <c r="J3427" i="73"/>
  <c r="K3426" i="73"/>
  <c r="J3426" i="73"/>
  <c r="K3425" i="73"/>
  <c r="J3425" i="73"/>
  <c r="K3423" i="73"/>
  <c r="J3423" i="73"/>
  <c r="K3424" i="73"/>
  <c r="J3424" i="73"/>
  <c r="K3421" i="73"/>
  <c r="J3421" i="73"/>
  <c r="K3422" i="73"/>
  <c r="J3422" i="73"/>
  <c r="K3419" i="73"/>
  <c r="J3419" i="73"/>
  <c r="K3420" i="73"/>
  <c r="J3420" i="73"/>
  <c r="K3417" i="73"/>
  <c r="J3417" i="73"/>
  <c r="K3418" i="73"/>
  <c r="J3418" i="73"/>
  <c r="K3415" i="73"/>
  <c r="J3415" i="73"/>
  <c r="K3416" i="73"/>
  <c r="J3416" i="73"/>
  <c r="K3413" i="73"/>
  <c r="J3413" i="73"/>
  <c r="K3414" i="73"/>
  <c r="J3414" i="73"/>
  <c r="K3411" i="73"/>
  <c r="J3411" i="73"/>
  <c r="K3412" i="73"/>
  <c r="J3412" i="73"/>
  <c r="K3409" i="73"/>
  <c r="J3409" i="73"/>
  <c r="K3410" i="73"/>
  <c r="J3410" i="73"/>
  <c r="K3407" i="73"/>
  <c r="J3407" i="73"/>
  <c r="K3408" i="73"/>
  <c r="J3408" i="73"/>
  <c r="K3405" i="73"/>
  <c r="J3405" i="73"/>
  <c r="K3406" i="73"/>
  <c r="J3406" i="73"/>
  <c r="K3403" i="73"/>
  <c r="J3403" i="73"/>
  <c r="K3404" i="73"/>
  <c r="J3404" i="73"/>
  <c r="K3401" i="73"/>
  <c r="J3401" i="73"/>
  <c r="K3402" i="73"/>
  <c r="J3402" i="73"/>
  <c r="K3399" i="73"/>
  <c r="J3399" i="73"/>
  <c r="K3400" i="73"/>
  <c r="J3400" i="73"/>
  <c r="K3397" i="73"/>
  <c r="J3397" i="73"/>
  <c r="K3398" i="73"/>
  <c r="J3398" i="73"/>
  <c r="K3395" i="73"/>
  <c r="J3395" i="73"/>
  <c r="K3396" i="73"/>
  <c r="J3396" i="73"/>
  <c r="K3393" i="73"/>
  <c r="J3393" i="73"/>
  <c r="K3394" i="73"/>
  <c r="J3394" i="73"/>
  <c r="K3391" i="73"/>
  <c r="J3391" i="73"/>
  <c r="K3392" i="73"/>
  <c r="J3392" i="73"/>
  <c r="K3389" i="73"/>
  <c r="J3389" i="73"/>
  <c r="K3390" i="73"/>
  <c r="J3390" i="73"/>
  <c r="K3387" i="73"/>
  <c r="J3387" i="73"/>
  <c r="K3388" i="73"/>
  <c r="J3388" i="73"/>
  <c r="K3381" i="73"/>
  <c r="J3381" i="73"/>
  <c r="K3386" i="73"/>
  <c r="J3386" i="73"/>
  <c r="K3385" i="73"/>
  <c r="J3385" i="73"/>
  <c r="K3384" i="73"/>
  <c r="J3384" i="73"/>
  <c r="K3383" i="73"/>
  <c r="J3383" i="73"/>
  <c r="K3382" i="73"/>
  <c r="J3382" i="73"/>
  <c r="K3379" i="73"/>
  <c r="J3379" i="73"/>
  <c r="K3380" i="73"/>
  <c r="J3380" i="73"/>
  <c r="K3373" i="73"/>
  <c r="J3373" i="73"/>
  <c r="K3378" i="73"/>
  <c r="J3378" i="73"/>
  <c r="K3377" i="73"/>
  <c r="J3377" i="73"/>
  <c r="K3376" i="73"/>
  <c r="J3376" i="73"/>
  <c r="K3375" i="73"/>
  <c r="J3375" i="73"/>
  <c r="K3374" i="73"/>
  <c r="J3374" i="73"/>
  <c r="K3366" i="73"/>
  <c r="J3366" i="73"/>
  <c r="K3372" i="73"/>
  <c r="J3372" i="73"/>
  <c r="K3371" i="73"/>
  <c r="J3371" i="73"/>
  <c r="K3370" i="73"/>
  <c r="J3370" i="73"/>
  <c r="K3369" i="73"/>
  <c r="J3369" i="73"/>
  <c r="K3368" i="73"/>
  <c r="J3368" i="73"/>
  <c r="K3367" i="73"/>
  <c r="J3367" i="73"/>
  <c r="K3364" i="73"/>
  <c r="J3364" i="73"/>
  <c r="K3365" i="73"/>
  <c r="J3365" i="73"/>
  <c r="K3357" i="73"/>
  <c r="J3357" i="73"/>
  <c r="K3363" i="73"/>
  <c r="J3363" i="73"/>
  <c r="K3362" i="73"/>
  <c r="J3362" i="73"/>
  <c r="K3361" i="73"/>
  <c r="J3361" i="73"/>
  <c r="K3360" i="73"/>
  <c r="J3360" i="73"/>
  <c r="K3359" i="73"/>
  <c r="J3359" i="73"/>
  <c r="K3358" i="73"/>
  <c r="J3358" i="73"/>
  <c r="K3355" i="73"/>
  <c r="J3355" i="73"/>
  <c r="K3356" i="73"/>
  <c r="J3356" i="73"/>
  <c r="K3353" i="73"/>
  <c r="J3353" i="73"/>
  <c r="K3354" i="73"/>
  <c r="J3354" i="73"/>
  <c r="K3351" i="73"/>
  <c r="J3351" i="73"/>
  <c r="K3352" i="73"/>
  <c r="J3352" i="73"/>
  <c r="K3349" i="73"/>
  <c r="J3349" i="73"/>
  <c r="K3350" i="73"/>
  <c r="J3350" i="73"/>
  <c r="K3347" i="73"/>
  <c r="J3347" i="73"/>
  <c r="K3348" i="73"/>
  <c r="J3348" i="73"/>
  <c r="K3345" i="73"/>
  <c r="J3345" i="73"/>
  <c r="K3346" i="73"/>
  <c r="J3346" i="73"/>
  <c r="K3343" i="73"/>
  <c r="J3343" i="73"/>
  <c r="K3344" i="73"/>
  <c r="J3344" i="73"/>
  <c r="K3341" i="73"/>
  <c r="J3341" i="73"/>
  <c r="K3342" i="73"/>
  <c r="J3342" i="73"/>
  <c r="K3331" i="73"/>
  <c r="J3331" i="73"/>
  <c r="K3340" i="73"/>
  <c r="J3340" i="73"/>
  <c r="K3339" i="73"/>
  <c r="J3339" i="73"/>
  <c r="K3338" i="73"/>
  <c r="J3338" i="73"/>
  <c r="K3336" i="73"/>
  <c r="J3336" i="73"/>
  <c r="K3337" i="73"/>
  <c r="J3337" i="73"/>
  <c r="K3334" i="73"/>
  <c r="J3334" i="73"/>
  <c r="K3335" i="73"/>
  <c r="J3335" i="73"/>
  <c r="K3332" i="73"/>
  <c r="J3332" i="73"/>
  <c r="K3333" i="73"/>
  <c r="J3333" i="73"/>
  <c r="K3301" i="73"/>
  <c r="J3301" i="73"/>
  <c r="K3329" i="73"/>
  <c r="J3329" i="73"/>
  <c r="K3328" i="73"/>
  <c r="J3328" i="73"/>
  <c r="K3327" i="73"/>
  <c r="J3327" i="73"/>
  <c r="K3326" i="73"/>
  <c r="J3326" i="73"/>
  <c r="K3324" i="73"/>
  <c r="J3324" i="73"/>
  <c r="K3325" i="73"/>
  <c r="J3325" i="73"/>
  <c r="K3322" i="73"/>
  <c r="J3322" i="73"/>
  <c r="K3323" i="73"/>
  <c r="J3323" i="73"/>
  <c r="K3320" i="73"/>
  <c r="J3320" i="73"/>
  <c r="K3321" i="73"/>
  <c r="J3321" i="73"/>
  <c r="K3318" i="73"/>
  <c r="J3318" i="73"/>
  <c r="K3319" i="73"/>
  <c r="J3319" i="73"/>
  <c r="K3316" i="73"/>
  <c r="J3316" i="73"/>
  <c r="K3317" i="73"/>
  <c r="J3317" i="73"/>
  <c r="K3314" i="73"/>
  <c r="J3314" i="73"/>
  <c r="K3315" i="73"/>
  <c r="J3315" i="73"/>
  <c r="K3312" i="73"/>
  <c r="J3312" i="73"/>
  <c r="K3313" i="73"/>
  <c r="J3313" i="73"/>
  <c r="K3310" i="73"/>
  <c r="J3310" i="73"/>
  <c r="K3311" i="73"/>
  <c r="J3311" i="73"/>
  <c r="K3308" i="73"/>
  <c r="J3308" i="73"/>
  <c r="K3309" i="73"/>
  <c r="J3309" i="73"/>
  <c r="K3306" i="73"/>
  <c r="J3306" i="73"/>
  <c r="K3307" i="73"/>
  <c r="J3307" i="73"/>
  <c r="K3304" i="73"/>
  <c r="J3304" i="73"/>
  <c r="K3305" i="73"/>
  <c r="J3305" i="73"/>
  <c r="K3302" i="73"/>
  <c r="J3302" i="73"/>
  <c r="K3303" i="73"/>
  <c r="J3303" i="73"/>
  <c r="K2647" i="73"/>
  <c r="J2647" i="73"/>
  <c r="K3300" i="73"/>
  <c r="J3300" i="73"/>
  <c r="K3294" i="73"/>
  <c r="J3294" i="73"/>
  <c r="K3299" i="73"/>
  <c r="J3299" i="73"/>
  <c r="K3298" i="73"/>
  <c r="J3298" i="73"/>
  <c r="K3297" i="73"/>
  <c r="J3297" i="73"/>
  <c r="K3296" i="73"/>
  <c r="J3296" i="73"/>
  <c r="K3295" i="73"/>
  <c r="J3295" i="73"/>
  <c r="K3288" i="73"/>
  <c r="J3288" i="73"/>
  <c r="K3293" i="73"/>
  <c r="J3293" i="73"/>
  <c r="K3292" i="73"/>
  <c r="J3292" i="73"/>
  <c r="K3291" i="73"/>
  <c r="J3291" i="73"/>
  <c r="K3290" i="73"/>
  <c r="J3290" i="73"/>
  <c r="K3289" i="73"/>
  <c r="J3289" i="73"/>
  <c r="K3286" i="73"/>
  <c r="J3286" i="73"/>
  <c r="K3287" i="73"/>
  <c r="J3287" i="73"/>
  <c r="K3197" i="73"/>
  <c r="J3197" i="73"/>
  <c r="K3285" i="73"/>
  <c r="J3285" i="73"/>
  <c r="K3284" i="73"/>
  <c r="J3284" i="73"/>
  <c r="K3283" i="73"/>
  <c r="J3283" i="73"/>
  <c r="K3282" i="73"/>
  <c r="J3282" i="73"/>
  <c r="K3281" i="73"/>
  <c r="J3281" i="73"/>
  <c r="K3280" i="73"/>
  <c r="J3280" i="73"/>
  <c r="K3279" i="73"/>
  <c r="J3279" i="73"/>
  <c r="K3253" i="73"/>
  <c r="J3253" i="73"/>
  <c r="K3278" i="73"/>
  <c r="J3278" i="73"/>
  <c r="K3277" i="73"/>
  <c r="J3277" i="73"/>
  <c r="K3276" i="73"/>
  <c r="J3276" i="73"/>
  <c r="K3275" i="73"/>
  <c r="J3275" i="73"/>
  <c r="K3274" i="73"/>
  <c r="J3274" i="73"/>
  <c r="K3273" i="73"/>
  <c r="J3273" i="73"/>
  <c r="K3272" i="73"/>
  <c r="J3272" i="73"/>
  <c r="K3271" i="73"/>
  <c r="J3271" i="73"/>
  <c r="K3270" i="73"/>
  <c r="J3270" i="73"/>
  <c r="K3269" i="73"/>
  <c r="J3269" i="73"/>
  <c r="K3268" i="73"/>
  <c r="J3268" i="73"/>
  <c r="K3266" i="73"/>
  <c r="J3266" i="73"/>
  <c r="K3267" i="73"/>
  <c r="J3267" i="73"/>
  <c r="K3264" i="73"/>
  <c r="J3264" i="73"/>
  <c r="K3265" i="73"/>
  <c r="J3265" i="73"/>
  <c r="K3262" i="73"/>
  <c r="J3262" i="73"/>
  <c r="K3263" i="73"/>
  <c r="J3263" i="73"/>
  <c r="K3260" i="73"/>
  <c r="J3260" i="73"/>
  <c r="K3261" i="73"/>
  <c r="J3261" i="73"/>
  <c r="K3258" i="73"/>
  <c r="J3258" i="73"/>
  <c r="K3259" i="73"/>
  <c r="J3259" i="73"/>
  <c r="K3256" i="73"/>
  <c r="J3256" i="73"/>
  <c r="K3257" i="73"/>
  <c r="J3257" i="73"/>
  <c r="K3254" i="73"/>
  <c r="J3254" i="73"/>
  <c r="K3255" i="73"/>
  <c r="J3255" i="73"/>
  <c r="K3239" i="73"/>
  <c r="J3239" i="73"/>
  <c r="K3252" i="73"/>
  <c r="J3252" i="73"/>
  <c r="K3251" i="73"/>
  <c r="J3251" i="73"/>
  <c r="K3250" i="73"/>
  <c r="J3250" i="73"/>
  <c r="K3249" i="73"/>
  <c r="J3249" i="73"/>
  <c r="K3248" i="73"/>
  <c r="J3248" i="73"/>
  <c r="K3247" i="73"/>
  <c r="J3247" i="73"/>
  <c r="K3246" i="73"/>
  <c r="J3246" i="73"/>
  <c r="K3244" i="73"/>
  <c r="J3244" i="73"/>
  <c r="K3245" i="73"/>
  <c r="J3245" i="73"/>
  <c r="K3242" i="73"/>
  <c r="J3242" i="73"/>
  <c r="K3243" i="73"/>
  <c r="J3243" i="73"/>
  <c r="K3240" i="73"/>
  <c r="J3240" i="73"/>
  <c r="K3241" i="73"/>
  <c r="J3241" i="73"/>
  <c r="K3228" i="73"/>
  <c r="J3228" i="73"/>
  <c r="K3238" i="73"/>
  <c r="J3238" i="73"/>
  <c r="K3237" i="73"/>
  <c r="J3237" i="73"/>
  <c r="K3236" i="73"/>
  <c r="J3236" i="73"/>
  <c r="K3235" i="73"/>
  <c r="J3235" i="73"/>
  <c r="K3233" i="73"/>
  <c r="J3233" i="73"/>
  <c r="K3234" i="73"/>
  <c r="J3234" i="73"/>
  <c r="K3231" i="73"/>
  <c r="J3231" i="73"/>
  <c r="K3232" i="73"/>
  <c r="J3232" i="73"/>
  <c r="K3229" i="73"/>
  <c r="J3229" i="73"/>
  <c r="K3230" i="73"/>
  <c r="J3230" i="73"/>
  <c r="K3205" i="73"/>
  <c r="J3205" i="73"/>
  <c r="K3227" i="73"/>
  <c r="J3227" i="73"/>
  <c r="K3226" i="73"/>
  <c r="J3226" i="73"/>
  <c r="K3225" i="73"/>
  <c r="J3225" i="73"/>
  <c r="K3224" i="73"/>
  <c r="J3224" i="73"/>
  <c r="K3223" i="73"/>
  <c r="J3223" i="73"/>
  <c r="K3222" i="73"/>
  <c r="J3222" i="73"/>
  <c r="K3221" i="73"/>
  <c r="J3221" i="73"/>
  <c r="K3220" i="73"/>
  <c r="J3220" i="73"/>
  <c r="K3219" i="73"/>
  <c r="J3219" i="73"/>
  <c r="K3217" i="73"/>
  <c r="J3217" i="73"/>
  <c r="K3218" i="73"/>
  <c r="J3218" i="73"/>
  <c r="K3215" i="73"/>
  <c r="J3215" i="73"/>
  <c r="K3216" i="73"/>
  <c r="J3216" i="73"/>
  <c r="K3213" i="73"/>
  <c r="J3213" i="73"/>
  <c r="K3214" i="73"/>
  <c r="J3214" i="73"/>
  <c r="K3206" i="73"/>
  <c r="J3206" i="73"/>
  <c r="K3212" i="73"/>
  <c r="J3212" i="73"/>
  <c r="K3211" i="73"/>
  <c r="J3211" i="73"/>
  <c r="K3209" i="73"/>
  <c r="J3209" i="73"/>
  <c r="K3210" i="73"/>
  <c r="J3210" i="73"/>
  <c r="K3207" i="73"/>
  <c r="J3207" i="73"/>
  <c r="K3208" i="73"/>
  <c r="J3208" i="73"/>
  <c r="K3198" i="73"/>
  <c r="J3198" i="73"/>
  <c r="K3204" i="73"/>
  <c r="J3204" i="73"/>
  <c r="K3203" i="73"/>
  <c r="J3203" i="73"/>
  <c r="K3202" i="73"/>
  <c r="J3202" i="73"/>
  <c r="K3201" i="73"/>
  <c r="J3201" i="73"/>
  <c r="K3199" i="73"/>
  <c r="J3199" i="73"/>
  <c r="K3200" i="73"/>
  <c r="J3200" i="73"/>
  <c r="K2648" i="73"/>
  <c r="J2648" i="73"/>
  <c r="K3196" i="73"/>
  <c r="J3196" i="73"/>
  <c r="K3195" i="73"/>
  <c r="J3195" i="73"/>
  <c r="K3194" i="73"/>
  <c r="J3194" i="73"/>
  <c r="K3193" i="73"/>
  <c r="J3193" i="73"/>
  <c r="K3192" i="73"/>
  <c r="J3192" i="73"/>
  <c r="K3191" i="73"/>
  <c r="J3191" i="73"/>
  <c r="K3190" i="73"/>
  <c r="J3190" i="73"/>
  <c r="K3189" i="73"/>
  <c r="J3189" i="73"/>
  <c r="K3188" i="73"/>
  <c r="J3188" i="73"/>
  <c r="K3187" i="73"/>
  <c r="J3187" i="73"/>
  <c r="K3186" i="73"/>
  <c r="J3186" i="73"/>
  <c r="K3185" i="73"/>
  <c r="J3185" i="73"/>
  <c r="K3184" i="73"/>
  <c r="J3184" i="73"/>
  <c r="K3183" i="73"/>
  <c r="J3183" i="73"/>
  <c r="K3182" i="73"/>
  <c r="J3182" i="73"/>
  <c r="K3181" i="73"/>
  <c r="J3181" i="73"/>
  <c r="K3180" i="73"/>
  <c r="J3180" i="73"/>
  <c r="K3179" i="73"/>
  <c r="J3179" i="73"/>
  <c r="K3178" i="73"/>
  <c r="J3178" i="73"/>
  <c r="K3177" i="73"/>
  <c r="J3177" i="73"/>
  <c r="K3176" i="73"/>
  <c r="J3176" i="73"/>
  <c r="K3175" i="73"/>
  <c r="J3175" i="73"/>
  <c r="K3174" i="73"/>
  <c r="J3174" i="73"/>
  <c r="K3173" i="73"/>
  <c r="J3173" i="73"/>
  <c r="K3172" i="73"/>
  <c r="J3172" i="73"/>
  <c r="K3166" i="73"/>
  <c r="J3166" i="73"/>
  <c r="K3171" i="73"/>
  <c r="J3171" i="73"/>
  <c r="K3170" i="73"/>
  <c r="J3170" i="73"/>
  <c r="K3169" i="73"/>
  <c r="J3169" i="73"/>
  <c r="K3168" i="73"/>
  <c r="J3168" i="73"/>
  <c r="K3167" i="73"/>
  <c r="J3167" i="73"/>
  <c r="K3164" i="73"/>
  <c r="J3164" i="73"/>
  <c r="K3165" i="73"/>
  <c r="J3165" i="73"/>
  <c r="K3158" i="73"/>
  <c r="J3158" i="73"/>
  <c r="K3163" i="73"/>
  <c r="J3163" i="73"/>
  <c r="K3162" i="73"/>
  <c r="J3162" i="73"/>
  <c r="K3161" i="73"/>
  <c r="J3161" i="73"/>
  <c r="K3160" i="73"/>
  <c r="J3160" i="73"/>
  <c r="K3159" i="73"/>
  <c r="J3159" i="73"/>
  <c r="K3152" i="73"/>
  <c r="J3152" i="73"/>
  <c r="K3157" i="73"/>
  <c r="J3157" i="73"/>
  <c r="K3156" i="73"/>
  <c r="J3156" i="73"/>
  <c r="K3155" i="73"/>
  <c r="J3155" i="73"/>
  <c r="K3154" i="73"/>
  <c r="J3154" i="73"/>
  <c r="K3153" i="73"/>
  <c r="J3153" i="73"/>
  <c r="K3146" i="73"/>
  <c r="J3146" i="73"/>
  <c r="K3151" i="73"/>
  <c r="J3151" i="73"/>
  <c r="K3150" i="73"/>
  <c r="J3150" i="73"/>
  <c r="K3149" i="73"/>
  <c r="J3149" i="73"/>
  <c r="K3148" i="73"/>
  <c r="J3148" i="73"/>
  <c r="K3147" i="73"/>
  <c r="J3147" i="73"/>
  <c r="K3144" i="73"/>
  <c r="J3144" i="73"/>
  <c r="K3145" i="73"/>
  <c r="J3145" i="73"/>
  <c r="K3137" i="73"/>
  <c r="J3137" i="73"/>
  <c r="K3143" i="73"/>
  <c r="J3143" i="73"/>
  <c r="K3142" i="73"/>
  <c r="J3142" i="73"/>
  <c r="K3141" i="73"/>
  <c r="J3141" i="73"/>
  <c r="K3140" i="73"/>
  <c r="J3140" i="73"/>
  <c r="K3139" i="73"/>
  <c r="J3139" i="73"/>
  <c r="K3138" i="73"/>
  <c r="J3138" i="73"/>
  <c r="K3135" i="73"/>
  <c r="J3135" i="73"/>
  <c r="K3136" i="73"/>
  <c r="J3136" i="73"/>
  <c r="K3129" i="73"/>
  <c r="J3129" i="73"/>
  <c r="K3134" i="73"/>
  <c r="J3134" i="73"/>
  <c r="K3133" i="73"/>
  <c r="J3133" i="73"/>
  <c r="K3132" i="73"/>
  <c r="J3132" i="73"/>
  <c r="K3131" i="73"/>
  <c r="J3131" i="73"/>
  <c r="K3130" i="73"/>
  <c r="J3130" i="73"/>
  <c r="K3127" i="73"/>
  <c r="J3127" i="73"/>
  <c r="K3128" i="73"/>
  <c r="J3128" i="73"/>
  <c r="K2959" i="73"/>
  <c r="J2959" i="73"/>
  <c r="K3126" i="73"/>
  <c r="J3126" i="73"/>
  <c r="K3125" i="73"/>
  <c r="J3125" i="73"/>
  <c r="K3124" i="73"/>
  <c r="J3124" i="73"/>
  <c r="K3123" i="73"/>
  <c r="J3123" i="73"/>
  <c r="K3122" i="73"/>
  <c r="J3122" i="73"/>
  <c r="K3121" i="73"/>
  <c r="J3121" i="73"/>
  <c r="K3120" i="73"/>
  <c r="J3120" i="73"/>
  <c r="K3119" i="73"/>
  <c r="J3119" i="73"/>
  <c r="K3118" i="73"/>
  <c r="J3118" i="73"/>
  <c r="K3117" i="73"/>
  <c r="J3117" i="73"/>
  <c r="K3111" i="73"/>
  <c r="J3111" i="73"/>
  <c r="K3116" i="73"/>
  <c r="J3116" i="73"/>
  <c r="K3115" i="73"/>
  <c r="J3115" i="73"/>
  <c r="K3114" i="73"/>
  <c r="J3114" i="73"/>
  <c r="K3113" i="73"/>
  <c r="J3113" i="73"/>
  <c r="K3112" i="73"/>
  <c r="J3112" i="73"/>
  <c r="K3105" i="73"/>
  <c r="J3105" i="73"/>
  <c r="K3110" i="73"/>
  <c r="J3110" i="73"/>
  <c r="K3109" i="73"/>
  <c r="J3109" i="73"/>
  <c r="K3108" i="73"/>
  <c r="J3108" i="73"/>
  <c r="K3107" i="73"/>
  <c r="J3107" i="73"/>
  <c r="K3106" i="73"/>
  <c r="J3106" i="73"/>
  <c r="K3103" i="73"/>
  <c r="J3103" i="73"/>
  <c r="K3104" i="73"/>
  <c r="J3104" i="73"/>
  <c r="K3101" i="73"/>
  <c r="J3101" i="73"/>
  <c r="K3102" i="73"/>
  <c r="J3102" i="73"/>
  <c r="K3099" i="73"/>
  <c r="J3099" i="73"/>
  <c r="K3100" i="73"/>
  <c r="J3100" i="73"/>
  <c r="K3097" i="73"/>
  <c r="J3097" i="73"/>
  <c r="K3098" i="73"/>
  <c r="J3098" i="73"/>
  <c r="K3095" i="73"/>
  <c r="J3095" i="73"/>
  <c r="K3096" i="73"/>
  <c r="J3096" i="73"/>
  <c r="K3089" i="73"/>
  <c r="J3089" i="73"/>
  <c r="K3094" i="73"/>
  <c r="J3094" i="73"/>
  <c r="K3093" i="73"/>
  <c r="J3093" i="73"/>
  <c r="K3092" i="73"/>
  <c r="J3092" i="73"/>
  <c r="K3091" i="73"/>
  <c r="J3091" i="73"/>
  <c r="K3090" i="73"/>
  <c r="J3090" i="73"/>
  <c r="K3083" i="73"/>
  <c r="J3083" i="73"/>
  <c r="K3088" i="73"/>
  <c r="J3088" i="73"/>
  <c r="K3087" i="73"/>
  <c r="J3087" i="73"/>
  <c r="K3086" i="73"/>
  <c r="J3086" i="73"/>
  <c r="K3084" i="73"/>
  <c r="J3084" i="73"/>
  <c r="K3085" i="73"/>
  <c r="J3085" i="73"/>
  <c r="K3057" i="73"/>
  <c r="J3057" i="73"/>
  <c r="K3082" i="73"/>
  <c r="J3082" i="73"/>
  <c r="K3081" i="73"/>
  <c r="J3081" i="73"/>
  <c r="K3080" i="73"/>
  <c r="J3080" i="73"/>
  <c r="K3079" i="73"/>
  <c r="J3079" i="73"/>
  <c r="K3078" i="73"/>
  <c r="J3078" i="73"/>
  <c r="K3077" i="73"/>
  <c r="J3077" i="73"/>
  <c r="K3076" i="73"/>
  <c r="J3076" i="73"/>
  <c r="K3074" i="73"/>
  <c r="J3074" i="73"/>
  <c r="K3075" i="73"/>
  <c r="J3075" i="73"/>
  <c r="K3067" i="73"/>
  <c r="J3067" i="73"/>
  <c r="K3073" i="73"/>
  <c r="J3073" i="73"/>
  <c r="K3072" i="73"/>
  <c r="J3072" i="73"/>
  <c r="K3070" i="73"/>
  <c r="J3070" i="73"/>
  <c r="K3071" i="73"/>
  <c r="J3071" i="73"/>
  <c r="K3068" i="73"/>
  <c r="J3068" i="73"/>
  <c r="K3069" i="73"/>
  <c r="J3069" i="73"/>
  <c r="K3058" i="73"/>
  <c r="J3058" i="73"/>
  <c r="K3066" i="73"/>
  <c r="J3066" i="73"/>
  <c r="K3065" i="73"/>
  <c r="J3065" i="73"/>
  <c r="K3063" i="73"/>
  <c r="J3063" i="73"/>
  <c r="K3064" i="73"/>
  <c r="J3064" i="73"/>
  <c r="K3061" i="73"/>
  <c r="J3061" i="73"/>
  <c r="K3062" i="73"/>
  <c r="J3062" i="73"/>
  <c r="K3059" i="73"/>
  <c r="J3059" i="73"/>
  <c r="K3060" i="73"/>
  <c r="J3060" i="73"/>
  <c r="K3021" i="73"/>
  <c r="J3021" i="73"/>
  <c r="K3056" i="73"/>
  <c r="J3056" i="73"/>
  <c r="K3055" i="73"/>
  <c r="J3055" i="73"/>
  <c r="K3054" i="73"/>
  <c r="J3054" i="73"/>
  <c r="K3053" i="73"/>
  <c r="J3053" i="73"/>
  <c r="K3052" i="73"/>
  <c r="J3052" i="73"/>
  <c r="K3051" i="73"/>
  <c r="J3051" i="73"/>
  <c r="K3047" i="73"/>
  <c r="J3047" i="73"/>
  <c r="K3050" i="73"/>
  <c r="J3050" i="73"/>
  <c r="K3049" i="73"/>
  <c r="J3049" i="73"/>
  <c r="K3048" i="73"/>
  <c r="J3048" i="73"/>
  <c r="K3045" i="73"/>
  <c r="J3045" i="73"/>
  <c r="K3046" i="73"/>
  <c r="J3046" i="73"/>
  <c r="K3043" i="73"/>
  <c r="J3043" i="73"/>
  <c r="K3044" i="73"/>
  <c r="J3044" i="73"/>
  <c r="K3039" i="73"/>
  <c r="J3039" i="73"/>
  <c r="K3042" i="73"/>
  <c r="J3042" i="73"/>
  <c r="K3041" i="73"/>
  <c r="J3041" i="73"/>
  <c r="K3040" i="73"/>
  <c r="J3040" i="73"/>
  <c r="K3035" i="73"/>
  <c r="J3035" i="73"/>
  <c r="K3038" i="73"/>
  <c r="J3038" i="73"/>
  <c r="K3037" i="73"/>
  <c r="J3037" i="73"/>
  <c r="K3036" i="73"/>
  <c r="J3036" i="73"/>
  <c r="K3022" i="73"/>
  <c r="J3022" i="73"/>
  <c r="K3034" i="73"/>
  <c r="J3034" i="73"/>
  <c r="K3033" i="73"/>
  <c r="J3033" i="73"/>
  <c r="K3031" i="73"/>
  <c r="J3031" i="73"/>
  <c r="K3032" i="73"/>
  <c r="J3032" i="73"/>
  <c r="K3029" i="73"/>
  <c r="J3029" i="73"/>
  <c r="K3030" i="73"/>
  <c r="J3030" i="73"/>
  <c r="K3027" i="73"/>
  <c r="J3027" i="73"/>
  <c r="K3028" i="73"/>
  <c r="J3028" i="73"/>
  <c r="K3025" i="73"/>
  <c r="J3025" i="73"/>
  <c r="K3026" i="73"/>
  <c r="J3026" i="73"/>
  <c r="K3023" i="73"/>
  <c r="J3023" i="73"/>
  <c r="K3024" i="73"/>
  <c r="J3024" i="73"/>
  <c r="K2985" i="73"/>
  <c r="J2985" i="73"/>
  <c r="K3020" i="73"/>
  <c r="J3020" i="73"/>
  <c r="K3019" i="73"/>
  <c r="J3019" i="73"/>
  <c r="K3018" i="73"/>
  <c r="J3018" i="73"/>
  <c r="K3017" i="73"/>
  <c r="J3017" i="73"/>
  <c r="K3016" i="73"/>
  <c r="J3016" i="73"/>
  <c r="K3015" i="73"/>
  <c r="J3015" i="73"/>
  <c r="K3011" i="73"/>
  <c r="J3011" i="73"/>
  <c r="K3014" i="73"/>
  <c r="J3014" i="73"/>
  <c r="K3013" i="73"/>
  <c r="J3013" i="73"/>
  <c r="K3012" i="73"/>
  <c r="J3012" i="73"/>
  <c r="K3009" i="73"/>
  <c r="J3009" i="73"/>
  <c r="K3010" i="73"/>
  <c r="J3010" i="73"/>
  <c r="K3007" i="73"/>
  <c r="J3007" i="73"/>
  <c r="K3008" i="73"/>
  <c r="J3008" i="73"/>
  <c r="K3003" i="73"/>
  <c r="J3003" i="73"/>
  <c r="K3006" i="73"/>
  <c r="J3006" i="73"/>
  <c r="K3005" i="73"/>
  <c r="J3005" i="73"/>
  <c r="K3004" i="73"/>
  <c r="J3004" i="73"/>
  <c r="K2999" i="73"/>
  <c r="J2999" i="73"/>
  <c r="K3002" i="73"/>
  <c r="J3002" i="73"/>
  <c r="K3001" i="73"/>
  <c r="J3001" i="73"/>
  <c r="K3000" i="73"/>
  <c r="J3000" i="73"/>
  <c r="K2986" i="73"/>
  <c r="J2986" i="73"/>
  <c r="K2998" i="73"/>
  <c r="J2998" i="73"/>
  <c r="K2997" i="73"/>
  <c r="J2997" i="73"/>
  <c r="K2995" i="73"/>
  <c r="J2995" i="73"/>
  <c r="K2996" i="73"/>
  <c r="J2996" i="73"/>
  <c r="K2993" i="73"/>
  <c r="J2993" i="73"/>
  <c r="K2994" i="73"/>
  <c r="J2994" i="73"/>
  <c r="K2991" i="73"/>
  <c r="J2991" i="73"/>
  <c r="K2992" i="73"/>
  <c r="J2992" i="73"/>
  <c r="K2989" i="73"/>
  <c r="J2989" i="73"/>
  <c r="K2990" i="73"/>
  <c r="J2990" i="73"/>
  <c r="K2987" i="73"/>
  <c r="J2987" i="73"/>
  <c r="K2988" i="73"/>
  <c r="J2988" i="73"/>
  <c r="K2960" i="73"/>
  <c r="J2960" i="73"/>
  <c r="K2984" i="73"/>
  <c r="J2984" i="73"/>
  <c r="K2983" i="73"/>
  <c r="J2983" i="73"/>
  <c r="K2982" i="73"/>
  <c r="J2982" i="73"/>
  <c r="K2981" i="73"/>
  <c r="J2981" i="73"/>
  <c r="K2980" i="73"/>
  <c r="J2980" i="73"/>
  <c r="K2979" i="73"/>
  <c r="J2979" i="73"/>
  <c r="K2977" i="73"/>
  <c r="J2977" i="73"/>
  <c r="K2978" i="73"/>
  <c r="J2978" i="73"/>
  <c r="K2975" i="73"/>
  <c r="J2975" i="73"/>
  <c r="K2976" i="73"/>
  <c r="J2976" i="73"/>
  <c r="K2971" i="73"/>
  <c r="J2971" i="73"/>
  <c r="K2974" i="73"/>
  <c r="J2974" i="73"/>
  <c r="K2973" i="73"/>
  <c r="J2973" i="73"/>
  <c r="K2972" i="73"/>
  <c r="J2972" i="73"/>
  <c r="K2967" i="73"/>
  <c r="J2967" i="73"/>
  <c r="K2970" i="73"/>
  <c r="J2970" i="73"/>
  <c r="K2969" i="73"/>
  <c r="J2969" i="73"/>
  <c r="K2968" i="73"/>
  <c r="J2968" i="73"/>
  <c r="K2965" i="73"/>
  <c r="J2965" i="73"/>
  <c r="K2966" i="73"/>
  <c r="J2966" i="73"/>
  <c r="K2961" i="73"/>
  <c r="J2961" i="73"/>
  <c r="K2964" i="73"/>
  <c r="J2964" i="73"/>
  <c r="K2963" i="73"/>
  <c r="J2963" i="73"/>
  <c r="K2962" i="73"/>
  <c r="J2962" i="73"/>
  <c r="K2949" i="73"/>
  <c r="J2949" i="73"/>
  <c r="K2958" i="73"/>
  <c r="J2958" i="73"/>
  <c r="K2957" i="73"/>
  <c r="J2957" i="73"/>
  <c r="K2956" i="73"/>
  <c r="J2956" i="73"/>
  <c r="K2955" i="73"/>
  <c r="J2955" i="73"/>
  <c r="K2954" i="73"/>
  <c r="J2954" i="73"/>
  <c r="K2953" i="73"/>
  <c r="J2953" i="73"/>
  <c r="K2952" i="73"/>
  <c r="J2952" i="73"/>
  <c r="K2950" i="73"/>
  <c r="J2950" i="73"/>
  <c r="K2951" i="73"/>
  <c r="J2951" i="73"/>
  <c r="K2939" i="73"/>
  <c r="J2939" i="73"/>
  <c r="K2948" i="73"/>
  <c r="J2948" i="73"/>
  <c r="K2947" i="73"/>
  <c r="J2947" i="73"/>
  <c r="K2946" i="73"/>
  <c r="J2946" i="73"/>
  <c r="K2945" i="73"/>
  <c r="J2945" i="73"/>
  <c r="K2944" i="73"/>
  <c r="J2944" i="73"/>
  <c r="K2943" i="73"/>
  <c r="J2943" i="73"/>
  <c r="K2942" i="73"/>
  <c r="J2942" i="73"/>
  <c r="K2940" i="73"/>
  <c r="J2940" i="73"/>
  <c r="K2941" i="73"/>
  <c r="J2941" i="73"/>
  <c r="K2928" i="73"/>
  <c r="J2928" i="73"/>
  <c r="K2938" i="73"/>
  <c r="J2938" i="73"/>
  <c r="K2937" i="73"/>
  <c r="J2937" i="73"/>
  <c r="K2936" i="73"/>
  <c r="J2936" i="73"/>
  <c r="K2935" i="73"/>
  <c r="J2935" i="73"/>
  <c r="K2934" i="73"/>
  <c r="J2934" i="73"/>
  <c r="K2933" i="73"/>
  <c r="J2933" i="73"/>
  <c r="K2931" i="73"/>
  <c r="J2931" i="73"/>
  <c r="K2932" i="73"/>
  <c r="J2932" i="73"/>
  <c r="K2929" i="73"/>
  <c r="J2929" i="73"/>
  <c r="K2930" i="73"/>
  <c r="J2930" i="73"/>
  <c r="K2873" i="73"/>
  <c r="J2873" i="73"/>
  <c r="K2927" i="73"/>
  <c r="J2927" i="73"/>
  <c r="K2926" i="73"/>
  <c r="J2926" i="73"/>
  <c r="K2925" i="73"/>
  <c r="J2925" i="73"/>
  <c r="K2924" i="73"/>
  <c r="J2924" i="73"/>
  <c r="K2923" i="73"/>
  <c r="J2923" i="73"/>
  <c r="K2922" i="73"/>
  <c r="J2922" i="73"/>
  <c r="K2921" i="73"/>
  <c r="J2921" i="73"/>
  <c r="K2919" i="73"/>
  <c r="J2919" i="73"/>
  <c r="K2920" i="73"/>
  <c r="J2920" i="73"/>
  <c r="K2874" i="73"/>
  <c r="J2874" i="73"/>
  <c r="K2918" i="73"/>
  <c r="J2918" i="73"/>
  <c r="K2917" i="73"/>
  <c r="J2917" i="73"/>
  <c r="K2916" i="73"/>
  <c r="J2916" i="73"/>
  <c r="K2915" i="73"/>
  <c r="J2915" i="73"/>
  <c r="K2914" i="73"/>
  <c r="J2914" i="73"/>
  <c r="K2912" i="73"/>
  <c r="J2912" i="73"/>
  <c r="K2913" i="73"/>
  <c r="J2913" i="73"/>
  <c r="K2910" i="73"/>
  <c r="J2910" i="73"/>
  <c r="K2911" i="73"/>
  <c r="J2911" i="73"/>
  <c r="K2908" i="73"/>
  <c r="J2908" i="73"/>
  <c r="K2909" i="73"/>
  <c r="J2909" i="73"/>
  <c r="K2895" i="73"/>
  <c r="J2895" i="73"/>
  <c r="K2907" i="73"/>
  <c r="J2907" i="73"/>
  <c r="K2906" i="73"/>
  <c r="J2906" i="73"/>
  <c r="K2904" i="73"/>
  <c r="J2904" i="73"/>
  <c r="K2905" i="73"/>
  <c r="J2905" i="73"/>
  <c r="K2902" i="73"/>
  <c r="J2902" i="73"/>
  <c r="K2903" i="73"/>
  <c r="J2903" i="73"/>
  <c r="K2900" i="73"/>
  <c r="J2900" i="73"/>
  <c r="K2901" i="73"/>
  <c r="J2901" i="73"/>
  <c r="K2898" i="73"/>
  <c r="J2898" i="73"/>
  <c r="K2899" i="73"/>
  <c r="J2899" i="73"/>
  <c r="K2896" i="73"/>
  <c r="J2896" i="73"/>
  <c r="K2897" i="73"/>
  <c r="J2897" i="73"/>
  <c r="K2882" i="73"/>
  <c r="J2882" i="73"/>
  <c r="K2894" i="73"/>
  <c r="J2894" i="73"/>
  <c r="K2893" i="73"/>
  <c r="J2893" i="73"/>
  <c r="K2891" i="73"/>
  <c r="J2891" i="73"/>
  <c r="K2892" i="73"/>
  <c r="J2892" i="73"/>
  <c r="K2889" i="73"/>
  <c r="J2889" i="73"/>
  <c r="K2890" i="73"/>
  <c r="J2890" i="73"/>
  <c r="K2887" i="73"/>
  <c r="J2887" i="73"/>
  <c r="K2888" i="73"/>
  <c r="J2888" i="73"/>
  <c r="K2885" i="73"/>
  <c r="J2885" i="73"/>
  <c r="K2886" i="73"/>
  <c r="J2886" i="73"/>
  <c r="K2883" i="73"/>
  <c r="J2883" i="73"/>
  <c r="K2884" i="73"/>
  <c r="J2884" i="73"/>
  <c r="K2875" i="73"/>
  <c r="J2875" i="73"/>
  <c r="K2881" i="73"/>
  <c r="J2881" i="73"/>
  <c r="K2880" i="73"/>
  <c r="J2880" i="73"/>
  <c r="K2878" i="73"/>
  <c r="J2878" i="73"/>
  <c r="K2879" i="73"/>
  <c r="J2879" i="73"/>
  <c r="K2876" i="73"/>
  <c r="J2876" i="73"/>
  <c r="K2877" i="73"/>
  <c r="J2877" i="73"/>
  <c r="K2831" i="73"/>
  <c r="J2831" i="73"/>
  <c r="K2872" i="73"/>
  <c r="J2872" i="73"/>
  <c r="K2871" i="73"/>
  <c r="J2871" i="73"/>
  <c r="K2870" i="73"/>
  <c r="J2870" i="73"/>
  <c r="K2845" i="73"/>
  <c r="J2845" i="73"/>
  <c r="K2869" i="73"/>
  <c r="J2869" i="73"/>
  <c r="K2868" i="73"/>
  <c r="J2868" i="73"/>
  <c r="K2867" i="73"/>
  <c r="J2867" i="73"/>
  <c r="K2866" i="73"/>
  <c r="J2866" i="73"/>
  <c r="K2865" i="73"/>
  <c r="J2865" i="73"/>
  <c r="K2864" i="73"/>
  <c r="J2864" i="73"/>
  <c r="K2863" i="73"/>
  <c r="J2863" i="73"/>
  <c r="K2861" i="73"/>
  <c r="J2861" i="73"/>
  <c r="K2862" i="73"/>
  <c r="J2862" i="73"/>
  <c r="K2859" i="73"/>
  <c r="J2859" i="73"/>
  <c r="K2860" i="73"/>
  <c r="J2860" i="73"/>
  <c r="K2857" i="73"/>
  <c r="J2857" i="73"/>
  <c r="K2858" i="73"/>
  <c r="J2858" i="73"/>
  <c r="K2855" i="73"/>
  <c r="J2855" i="73"/>
  <c r="K2856" i="73"/>
  <c r="J2856" i="73"/>
  <c r="K2846" i="73"/>
  <c r="J2846" i="73"/>
  <c r="K2854" i="73"/>
  <c r="J2854" i="73"/>
  <c r="K2853" i="73"/>
  <c r="J2853" i="73"/>
  <c r="K2851" i="73"/>
  <c r="J2851" i="73"/>
  <c r="K2852" i="73"/>
  <c r="J2852" i="73"/>
  <c r="K2849" i="73"/>
  <c r="J2849" i="73"/>
  <c r="K2850" i="73"/>
  <c r="J2850" i="73"/>
  <c r="K2847" i="73"/>
  <c r="J2847" i="73"/>
  <c r="K2848" i="73"/>
  <c r="J2848" i="73"/>
  <c r="K2832" i="73"/>
  <c r="J2832" i="73"/>
  <c r="K2844" i="73"/>
  <c r="J2844" i="73"/>
  <c r="K2843" i="73"/>
  <c r="J2843" i="73"/>
  <c r="K2842" i="73"/>
  <c r="J2842" i="73"/>
  <c r="K2841" i="73"/>
  <c r="J2841" i="73"/>
  <c r="K2840" i="73"/>
  <c r="J2840" i="73"/>
  <c r="K2839" i="73"/>
  <c r="J2839" i="73"/>
  <c r="K2837" i="73"/>
  <c r="J2837" i="73"/>
  <c r="K2838" i="73"/>
  <c r="J2838" i="73"/>
  <c r="K2835" i="73"/>
  <c r="J2835" i="73"/>
  <c r="K2836" i="73"/>
  <c r="J2836" i="73"/>
  <c r="K2833" i="73"/>
  <c r="J2833" i="73"/>
  <c r="K2834" i="73"/>
  <c r="J2834" i="73"/>
  <c r="K2796" i="73"/>
  <c r="J2796" i="73"/>
  <c r="K2830" i="73"/>
  <c r="J2830" i="73"/>
  <c r="K2829" i="73"/>
  <c r="J2829" i="73"/>
  <c r="K2828" i="73"/>
  <c r="J2828" i="73"/>
  <c r="K2823" i="73"/>
  <c r="J2823" i="73"/>
  <c r="K2827" i="73"/>
  <c r="J2827" i="73"/>
  <c r="K2826" i="73"/>
  <c r="J2826" i="73"/>
  <c r="K2825" i="73"/>
  <c r="J2825" i="73"/>
  <c r="K2824" i="73"/>
  <c r="J2824" i="73"/>
  <c r="K2810" i="73"/>
  <c r="J2810" i="73"/>
  <c r="K2822" i="73"/>
  <c r="J2822" i="73"/>
  <c r="K2821" i="73"/>
  <c r="J2821" i="73"/>
  <c r="K2820" i="73"/>
  <c r="J2820" i="73"/>
  <c r="K2819" i="73"/>
  <c r="J2819" i="73"/>
  <c r="K2818" i="73"/>
  <c r="J2818" i="73"/>
  <c r="K2817" i="73"/>
  <c r="J2817" i="73"/>
  <c r="K2815" i="73"/>
  <c r="J2815" i="73"/>
  <c r="K2816" i="73"/>
  <c r="J2816" i="73"/>
  <c r="K2813" i="73"/>
  <c r="J2813" i="73"/>
  <c r="K2814" i="73"/>
  <c r="J2814" i="73"/>
  <c r="K2811" i="73"/>
  <c r="J2811" i="73"/>
  <c r="K2812" i="73"/>
  <c r="J2812" i="73"/>
  <c r="K2797" i="73"/>
  <c r="J2797" i="73"/>
  <c r="K2809" i="73"/>
  <c r="J2809" i="73"/>
  <c r="K2808" i="73"/>
  <c r="J2808" i="73"/>
  <c r="K2807" i="73"/>
  <c r="J2807" i="73"/>
  <c r="K2806" i="73"/>
  <c r="J2806" i="73"/>
  <c r="K2805" i="73"/>
  <c r="J2805" i="73"/>
  <c r="K2804" i="73"/>
  <c r="J2804" i="73"/>
  <c r="K2802" i="73"/>
  <c r="J2802" i="73"/>
  <c r="K2803" i="73"/>
  <c r="J2803" i="73"/>
  <c r="K2800" i="73"/>
  <c r="J2800" i="73"/>
  <c r="K2801" i="73"/>
  <c r="J2801" i="73"/>
  <c r="K2798" i="73"/>
  <c r="J2798" i="73"/>
  <c r="K2799" i="73"/>
  <c r="J2799" i="73"/>
  <c r="K2756" i="73"/>
  <c r="J2756" i="73"/>
  <c r="K2795" i="73"/>
  <c r="J2795" i="73"/>
  <c r="K2794" i="73"/>
  <c r="J2794" i="73"/>
  <c r="K2793" i="73"/>
  <c r="J2793" i="73"/>
  <c r="K2792" i="73"/>
  <c r="J2792" i="73"/>
  <c r="K2791" i="73"/>
  <c r="J2791" i="73"/>
  <c r="K2790" i="73"/>
  <c r="J2790" i="73"/>
  <c r="K2789" i="73"/>
  <c r="J2789" i="73"/>
  <c r="K2788" i="73"/>
  <c r="J2788" i="73"/>
  <c r="K2787" i="73"/>
  <c r="J2787" i="73"/>
  <c r="K2786" i="73"/>
  <c r="J2786" i="73"/>
  <c r="K2785" i="73"/>
  <c r="J2785" i="73"/>
  <c r="K2783" i="73"/>
  <c r="J2783" i="73"/>
  <c r="K2784" i="73"/>
  <c r="J2784" i="73"/>
  <c r="K2781" i="73"/>
  <c r="J2781" i="73"/>
  <c r="K2782" i="73"/>
  <c r="J2782" i="73"/>
  <c r="K2779" i="73"/>
  <c r="J2779" i="73"/>
  <c r="K2780" i="73"/>
  <c r="J2780" i="73"/>
  <c r="K2775" i="73"/>
  <c r="J2775" i="73"/>
  <c r="K2778" i="73"/>
  <c r="J2778" i="73"/>
  <c r="K2777" i="73"/>
  <c r="J2777" i="73"/>
  <c r="K2776" i="73"/>
  <c r="J2776" i="73"/>
  <c r="K2769" i="73"/>
  <c r="J2769" i="73"/>
  <c r="K2774" i="73"/>
  <c r="J2774" i="73"/>
  <c r="K2773" i="73"/>
  <c r="J2773" i="73"/>
  <c r="K2772" i="73"/>
  <c r="J2772" i="73"/>
  <c r="K2770" i="73"/>
  <c r="J2770" i="73"/>
  <c r="K2771" i="73"/>
  <c r="J2771" i="73"/>
  <c r="K2757" i="73"/>
  <c r="J2757" i="73"/>
  <c r="K2768" i="73"/>
  <c r="J2768" i="73"/>
  <c r="K2767" i="73"/>
  <c r="J2767" i="73"/>
  <c r="K2766" i="73"/>
  <c r="J2766" i="73"/>
  <c r="K2765" i="73"/>
  <c r="J2765" i="73"/>
  <c r="K2764" i="73"/>
  <c r="J2764" i="73"/>
  <c r="K2763" i="73"/>
  <c r="J2763" i="73"/>
  <c r="K2762" i="73"/>
  <c r="J2762" i="73"/>
  <c r="K2760" i="73"/>
  <c r="J2760" i="73"/>
  <c r="K2761" i="73"/>
  <c r="J2761" i="73"/>
  <c r="K2758" i="73"/>
  <c r="J2758" i="73"/>
  <c r="K2759" i="73"/>
  <c r="J2759" i="73"/>
  <c r="K2741" i="73"/>
  <c r="J2741" i="73"/>
  <c r="K2755" i="73"/>
  <c r="J2755" i="73"/>
  <c r="K2754" i="73"/>
  <c r="J2754" i="73"/>
  <c r="K2753" i="73"/>
  <c r="J2753" i="73"/>
  <c r="K2752" i="73"/>
  <c r="J2752" i="73"/>
  <c r="K2751" i="73"/>
  <c r="J2751" i="73"/>
  <c r="K2750" i="73"/>
  <c r="J2750" i="73"/>
  <c r="K2748" i="73"/>
  <c r="J2748" i="73"/>
  <c r="K2749" i="73"/>
  <c r="J2749" i="73"/>
  <c r="K2744" i="73"/>
  <c r="J2744" i="73"/>
  <c r="K2747" i="73"/>
  <c r="J2747" i="73"/>
  <c r="K2746" i="73"/>
  <c r="J2746" i="73"/>
  <c r="K2745" i="73"/>
  <c r="J2745" i="73"/>
  <c r="K2742" i="73"/>
  <c r="J2742" i="73"/>
  <c r="K2743" i="73"/>
  <c r="J2743" i="73"/>
  <c r="K2660" i="73"/>
  <c r="J2660" i="73"/>
  <c r="K2740" i="73"/>
  <c r="J2740" i="73"/>
  <c r="K2739" i="73"/>
  <c r="J2739" i="73"/>
  <c r="K2738" i="73"/>
  <c r="J2738" i="73"/>
  <c r="K2737" i="73"/>
  <c r="J2737" i="73"/>
  <c r="K2736" i="73"/>
  <c r="J2736" i="73"/>
  <c r="K2733" i="73"/>
  <c r="J2733" i="73"/>
  <c r="K2735" i="73"/>
  <c r="J2735" i="73"/>
  <c r="K2734" i="73"/>
  <c r="J2734" i="73"/>
  <c r="K2730" i="73"/>
  <c r="J2730" i="73"/>
  <c r="K2732" i="73"/>
  <c r="J2732" i="73"/>
  <c r="K2731" i="73"/>
  <c r="J2731" i="73"/>
  <c r="K2725" i="73"/>
  <c r="J2725" i="73"/>
  <c r="K2729" i="73"/>
  <c r="J2729" i="73"/>
  <c r="K2728" i="73"/>
  <c r="J2728" i="73"/>
  <c r="K2727" i="73"/>
  <c r="J2727" i="73"/>
  <c r="K2726" i="73"/>
  <c r="J2726" i="73"/>
  <c r="K2720" i="73"/>
  <c r="J2720" i="73"/>
  <c r="K2724" i="73"/>
  <c r="J2724" i="73"/>
  <c r="K2723" i="73"/>
  <c r="J2723" i="73"/>
  <c r="K2722" i="73"/>
  <c r="J2722" i="73"/>
  <c r="K2721" i="73"/>
  <c r="J2721" i="73"/>
  <c r="K2715" i="73"/>
  <c r="J2715" i="73"/>
  <c r="K2719" i="73"/>
  <c r="J2719" i="73"/>
  <c r="K2718" i="73"/>
  <c r="J2718" i="73"/>
  <c r="K2717" i="73"/>
  <c r="J2717" i="73"/>
  <c r="K2716" i="73"/>
  <c r="J2716" i="73"/>
  <c r="K2710" i="73"/>
  <c r="J2710" i="73"/>
  <c r="K2714" i="73"/>
  <c r="J2714" i="73"/>
  <c r="K2713" i="73"/>
  <c r="J2713" i="73"/>
  <c r="K2712" i="73"/>
  <c r="J2712" i="73"/>
  <c r="K2711" i="73"/>
  <c r="J2711" i="73"/>
  <c r="K2705" i="73"/>
  <c r="J2705" i="73"/>
  <c r="K2709" i="73"/>
  <c r="J2709" i="73"/>
  <c r="K2708" i="73"/>
  <c r="J2708" i="73"/>
  <c r="K2707" i="73"/>
  <c r="J2707" i="73"/>
  <c r="K2706" i="73"/>
  <c r="J2706" i="73"/>
  <c r="K2700" i="73"/>
  <c r="J2700" i="73"/>
  <c r="K2704" i="73"/>
  <c r="J2704" i="73"/>
  <c r="K2703" i="73"/>
  <c r="J2703" i="73"/>
  <c r="K2702" i="73"/>
  <c r="J2702" i="73"/>
  <c r="K2701" i="73"/>
  <c r="J2701" i="73"/>
  <c r="K2695" i="73"/>
  <c r="J2695" i="73"/>
  <c r="K2699" i="73"/>
  <c r="J2699" i="73"/>
  <c r="K2698" i="73"/>
  <c r="J2698" i="73"/>
  <c r="K2697" i="73"/>
  <c r="J2697" i="73"/>
  <c r="K2696" i="73"/>
  <c r="J2696" i="73"/>
  <c r="K2690" i="73"/>
  <c r="J2690" i="73"/>
  <c r="K2694" i="73"/>
  <c r="J2694" i="73"/>
  <c r="K2693" i="73"/>
  <c r="J2693" i="73"/>
  <c r="K2692" i="73"/>
  <c r="J2692" i="73"/>
  <c r="K2691" i="73"/>
  <c r="J2691" i="73"/>
  <c r="K2685" i="73"/>
  <c r="J2685" i="73"/>
  <c r="K2689" i="73"/>
  <c r="J2689" i="73"/>
  <c r="K2688" i="73"/>
  <c r="J2688" i="73"/>
  <c r="K2687" i="73"/>
  <c r="J2687" i="73"/>
  <c r="K2686" i="73"/>
  <c r="J2686" i="73"/>
  <c r="K2680" i="73"/>
  <c r="J2680" i="73"/>
  <c r="K2684" i="73"/>
  <c r="J2684" i="73"/>
  <c r="K2683" i="73"/>
  <c r="J2683" i="73"/>
  <c r="K2682" i="73"/>
  <c r="J2682" i="73"/>
  <c r="K2681" i="73"/>
  <c r="J2681" i="73"/>
  <c r="K2675" i="73"/>
  <c r="J2675" i="73"/>
  <c r="K2679" i="73"/>
  <c r="J2679" i="73"/>
  <c r="K2678" i="73"/>
  <c r="J2678" i="73"/>
  <c r="K2677" i="73"/>
  <c r="J2677" i="73"/>
  <c r="K2676" i="73"/>
  <c r="J2676" i="73"/>
  <c r="K2672" i="73"/>
  <c r="J2672" i="73"/>
  <c r="K2674" i="73"/>
  <c r="J2674" i="73"/>
  <c r="K2673" i="73"/>
  <c r="J2673" i="73"/>
  <c r="K2669" i="73"/>
  <c r="J2669" i="73"/>
  <c r="K2671" i="73"/>
  <c r="J2671" i="73"/>
  <c r="K2670" i="73"/>
  <c r="J2670" i="73"/>
  <c r="K2666" i="73"/>
  <c r="J2666" i="73"/>
  <c r="K2668" i="73"/>
  <c r="J2668" i="73"/>
  <c r="K2667" i="73"/>
  <c r="J2667" i="73"/>
  <c r="K2663" i="73"/>
  <c r="J2663" i="73"/>
  <c r="K2665" i="73"/>
  <c r="J2665" i="73"/>
  <c r="K2664" i="73"/>
  <c r="J2664" i="73"/>
  <c r="K2661" i="73"/>
  <c r="J2661" i="73"/>
  <c r="K2662" i="73"/>
  <c r="J2662" i="73"/>
  <c r="K2649" i="73"/>
  <c r="J2649" i="73"/>
  <c r="K2659" i="73"/>
  <c r="J2659" i="73"/>
  <c r="K2658" i="73"/>
  <c r="J2658" i="73"/>
  <c r="K2656" i="73"/>
  <c r="J2656" i="73"/>
  <c r="K2657" i="73"/>
  <c r="J2657" i="73"/>
  <c r="K2650" i="73"/>
  <c r="J2650" i="73"/>
  <c r="K2655" i="73"/>
  <c r="J2655" i="73"/>
  <c r="K2654" i="73"/>
  <c r="J2654" i="73"/>
  <c r="K2653" i="73"/>
  <c r="J2653" i="73"/>
  <c r="K2652" i="73"/>
  <c r="J2652" i="73"/>
  <c r="K2651" i="73"/>
  <c r="J2651" i="73"/>
  <c r="K1987" i="73"/>
  <c r="J1987" i="73"/>
  <c r="K2646" i="73"/>
  <c r="J2646" i="73"/>
  <c r="K2640" i="73"/>
  <c r="J2640" i="73"/>
  <c r="K2645" i="73"/>
  <c r="J2645" i="73"/>
  <c r="K2644" i="73"/>
  <c r="J2644" i="73"/>
  <c r="K2643" i="73"/>
  <c r="J2643" i="73"/>
  <c r="K2642" i="73"/>
  <c r="J2642" i="73"/>
  <c r="K2641" i="73"/>
  <c r="J2641" i="73"/>
  <c r="K2634" i="73"/>
  <c r="J2634" i="73"/>
  <c r="K2639" i="73"/>
  <c r="J2639" i="73"/>
  <c r="K2638" i="73"/>
  <c r="J2638" i="73"/>
  <c r="K2637" i="73"/>
  <c r="J2637" i="73"/>
  <c r="K2636" i="73"/>
  <c r="J2636" i="73"/>
  <c r="K2635" i="73"/>
  <c r="J2635" i="73"/>
  <c r="K2632" i="73"/>
  <c r="J2632" i="73"/>
  <c r="K2633" i="73"/>
  <c r="J2633" i="73"/>
  <c r="K2543" i="73"/>
  <c r="J2543" i="73"/>
  <c r="K2631" i="73"/>
  <c r="J2631" i="73"/>
  <c r="K2630" i="73"/>
  <c r="J2630" i="73"/>
  <c r="K2629" i="73"/>
  <c r="J2629" i="73"/>
  <c r="K2628" i="73"/>
  <c r="J2628" i="73"/>
  <c r="K2627" i="73"/>
  <c r="J2627" i="73"/>
  <c r="K2626" i="73"/>
  <c r="J2626" i="73"/>
  <c r="K2625" i="73"/>
  <c r="J2625" i="73"/>
  <c r="K2599" i="73"/>
  <c r="J2599" i="73"/>
  <c r="K2624" i="73"/>
  <c r="J2624" i="73"/>
  <c r="K2623" i="73"/>
  <c r="J2623" i="73"/>
  <c r="K2622" i="73"/>
  <c r="J2622" i="73"/>
  <c r="K2621" i="73"/>
  <c r="J2621" i="73"/>
  <c r="K2620" i="73"/>
  <c r="J2620" i="73"/>
  <c r="K2619" i="73"/>
  <c r="J2619" i="73"/>
  <c r="K2618" i="73"/>
  <c r="J2618" i="73"/>
  <c r="K2617" i="73"/>
  <c r="J2617" i="73"/>
  <c r="K2616" i="73"/>
  <c r="J2616" i="73"/>
  <c r="K2615" i="73"/>
  <c r="J2615" i="73"/>
  <c r="K2614" i="73"/>
  <c r="J2614" i="73"/>
  <c r="K2612" i="73"/>
  <c r="J2612" i="73"/>
  <c r="K2613" i="73"/>
  <c r="J2613" i="73"/>
  <c r="K2610" i="73"/>
  <c r="J2610" i="73"/>
  <c r="K2611" i="73"/>
  <c r="J2611" i="73"/>
  <c r="K2608" i="73"/>
  <c r="J2608" i="73"/>
  <c r="K2609" i="73"/>
  <c r="J2609" i="73"/>
  <c r="K2606" i="73"/>
  <c r="J2606" i="73"/>
  <c r="K2607" i="73"/>
  <c r="J2607" i="73"/>
  <c r="K2604" i="73"/>
  <c r="J2604" i="73"/>
  <c r="K2605" i="73"/>
  <c r="J2605" i="73"/>
  <c r="K2602" i="73"/>
  <c r="J2602" i="73"/>
  <c r="K2603" i="73"/>
  <c r="J2603" i="73"/>
  <c r="K2600" i="73"/>
  <c r="J2600" i="73"/>
  <c r="K2601" i="73"/>
  <c r="J2601" i="73"/>
  <c r="K2585" i="73"/>
  <c r="J2585" i="73"/>
  <c r="K2598" i="73"/>
  <c r="J2598" i="73"/>
  <c r="K2597" i="73"/>
  <c r="J2597" i="73"/>
  <c r="K2596" i="73"/>
  <c r="J2596" i="73"/>
  <c r="K2595" i="73"/>
  <c r="J2595" i="73"/>
  <c r="K2594" i="73"/>
  <c r="J2594" i="73"/>
  <c r="K2593" i="73"/>
  <c r="J2593" i="73"/>
  <c r="K2592" i="73"/>
  <c r="J2592" i="73"/>
  <c r="K2590" i="73"/>
  <c r="J2590" i="73"/>
  <c r="K2591" i="73"/>
  <c r="J2591" i="73"/>
  <c r="K2588" i="73"/>
  <c r="J2588" i="73"/>
  <c r="K2589" i="73"/>
  <c r="J2589" i="73"/>
  <c r="K2586" i="73"/>
  <c r="J2586" i="73"/>
  <c r="K2587" i="73"/>
  <c r="J2587" i="73"/>
  <c r="K2574" i="73"/>
  <c r="J2574" i="73"/>
  <c r="K2584" i="73"/>
  <c r="J2584" i="73"/>
  <c r="K2583" i="73"/>
  <c r="J2583" i="73"/>
  <c r="K2582" i="73"/>
  <c r="J2582" i="73"/>
  <c r="K2581" i="73"/>
  <c r="J2581" i="73"/>
  <c r="K2579" i="73"/>
  <c r="J2579" i="73"/>
  <c r="K2580" i="73"/>
  <c r="J2580" i="73"/>
  <c r="K2577" i="73"/>
  <c r="J2577" i="73"/>
  <c r="K2578" i="73"/>
  <c r="J2578" i="73"/>
  <c r="K2575" i="73"/>
  <c r="J2575" i="73"/>
  <c r="K2576" i="73"/>
  <c r="J2576" i="73"/>
  <c r="K2551" i="73"/>
  <c r="J2551" i="73"/>
  <c r="K2573" i="73"/>
  <c r="J2573" i="73"/>
  <c r="K2572" i="73"/>
  <c r="J2572" i="73"/>
  <c r="K2571" i="73"/>
  <c r="J2571" i="73"/>
  <c r="K2570" i="73"/>
  <c r="J2570" i="73"/>
  <c r="K2569" i="73"/>
  <c r="J2569" i="73"/>
  <c r="K2568" i="73"/>
  <c r="J2568" i="73"/>
  <c r="K2567" i="73"/>
  <c r="J2567" i="73"/>
  <c r="K2566" i="73"/>
  <c r="J2566" i="73"/>
  <c r="K2565" i="73"/>
  <c r="J2565" i="73"/>
  <c r="K2563" i="73"/>
  <c r="J2563" i="73"/>
  <c r="K2564" i="73"/>
  <c r="J2564" i="73"/>
  <c r="K2561" i="73"/>
  <c r="J2561" i="73"/>
  <c r="K2562" i="73"/>
  <c r="J2562" i="73"/>
  <c r="K2559" i="73"/>
  <c r="J2559" i="73"/>
  <c r="K2560" i="73"/>
  <c r="J2560" i="73"/>
  <c r="K2552" i="73"/>
  <c r="J2552" i="73"/>
  <c r="K2558" i="73"/>
  <c r="J2558" i="73"/>
  <c r="K2557" i="73"/>
  <c r="J2557" i="73"/>
  <c r="K2555" i="73"/>
  <c r="J2555" i="73"/>
  <c r="K2556" i="73"/>
  <c r="J2556" i="73"/>
  <c r="K2553" i="73"/>
  <c r="J2553" i="73"/>
  <c r="K2554" i="73"/>
  <c r="J2554" i="73"/>
  <c r="K2544" i="73"/>
  <c r="J2544" i="73"/>
  <c r="K2550" i="73"/>
  <c r="J2550" i="73"/>
  <c r="K2549" i="73"/>
  <c r="J2549" i="73"/>
  <c r="K2548" i="73"/>
  <c r="J2548" i="73"/>
  <c r="K2547" i="73"/>
  <c r="J2547" i="73"/>
  <c r="K2545" i="73"/>
  <c r="J2545" i="73"/>
  <c r="K2546" i="73"/>
  <c r="J2546" i="73"/>
  <c r="K1988" i="73"/>
  <c r="J1988" i="73"/>
  <c r="K2542" i="73"/>
  <c r="J2542" i="73"/>
  <c r="K2541" i="73"/>
  <c r="J2541" i="73"/>
  <c r="K2540" i="73"/>
  <c r="J2540" i="73"/>
  <c r="K2539" i="73"/>
  <c r="J2539" i="73"/>
  <c r="K2538" i="73"/>
  <c r="J2538" i="73"/>
  <c r="K2537" i="73"/>
  <c r="J2537" i="73"/>
  <c r="K2536" i="73"/>
  <c r="J2536" i="73"/>
  <c r="K2535" i="73"/>
  <c r="J2535" i="73"/>
  <c r="K2534" i="73"/>
  <c r="J2534" i="73"/>
  <c r="K2533" i="73"/>
  <c r="J2533" i="73"/>
  <c r="K2532" i="73"/>
  <c r="J2532" i="73"/>
  <c r="K2531" i="73"/>
  <c r="J2531" i="73"/>
  <c r="K2530" i="73"/>
  <c r="J2530" i="73"/>
  <c r="K2529" i="73"/>
  <c r="J2529" i="73"/>
  <c r="K2528" i="73"/>
  <c r="J2528" i="73"/>
  <c r="K2527" i="73"/>
  <c r="J2527" i="73"/>
  <c r="K2526" i="73"/>
  <c r="J2526" i="73"/>
  <c r="K2525" i="73"/>
  <c r="J2525" i="73"/>
  <c r="K2524" i="73"/>
  <c r="J2524" i="73"/>
  <c r="K2523" i="73"/>
  <c r="J2523" i="73"/>
  <c r="K2522" i="73"/>
  <c r="J2522" i="73"/>
  <c r="K2521" i="73"/>
  <c r="J2521" i="73"/>
  <c r="K2520" i="73"/>
  <c r="J2520" i="73"/>
  <c r="K2519" i="73"/>
  <c r="J2519" i="73"/>
  <c r="K2518" i="73"/>
  <c r="J2518" i="73"/>
  <c r="K2511" i="73"/>
  <c r="J2511" i="73"/>
  <c r="K2517" i="73"/>
  <c r="J2517" i="73"/>
  <c r="K2516" i="73"/>
  <c r="J2516" i="73"/>
  <c r="K2515" i="73"/>
  <c r="J2515" i="73"/>
  <c r="K2514" i="73"/>
  <c r="J2514" i="73"/>
  <c r="K2513" i="73"/>
  <c r="J2513" i="73"/>
  <c r="K2512" i="73"/>
  <c r="J2512" i="73"/>
  <c r="K2504" i="73"/>
  <c r="J2504" i="73"/>
  <c r="K2510" i="73"/>
  <c r="J2510" i="73"/>
  <c r="K2509" i="73"/>
  <c r="J2509" i="73"/>
  <c r="K2508" i="73"/>
  <c r="J2508" i="73"/>
  <c r="K2507" i="73"/>
  <c r="J2507" i="73"/>
  <c r="K2506" i="73"/>
  <c r="J2506" i="73"/>
  <c r="K2505" i="73"/>
  <c r="J2505" i="73"/>
  <c r="K2502" i="73"/>
  <c r="J2502" i="73"/>
  <c r="K2503" i="73"/>
  <c r="J2503" i="73"/>
  <c r="K2496" i="73"/>
  <c r="J2496" i="73"/>
  <c r="K2501" i="73"/>
  <c r="J2501" i="73"/>
  <c r="K2500" i="73"/>
  <c r="J2500" i="73"/>
  <c r="K2499" i="73"/>
  <c r="J2499" i="73"/>
  <c r="K2498" i="73"/>
  <c r="J2498" i="73"/>
  <c r="K2497" i="73"/>
  <c r="J2497" i="73"/>
  <c r="K2490" i="73"/>
  <c r="J2490" i="73"/>
  <c r="K2495" i="73"/>
  <c r="J2495" i="73"/>
  <c r="K2494" i="73"/>
  <c r="J2494" i="73"/>
  <c r="K2493" i="73"/>
  <c r="J2493" i="73"/>
  <c r="K2492" i="73"/>
  <c r="J2492" i="73"/>
  <c r="K2491" i="73"/>
  <c r="J2491" i="73"/>
  <c r="K2484" i="73"/>
  <c r="J2484" i="73"/>
  <c r="K2489" i="73"/>
  <c r="J2489" i="73"/>
  <c r="K2488" i="73"/>
  <c r="J2488" i="73"/>
  <c r="K2487" i="73"/>
  <c r="J2487" i="73"/>
  <c r="K2486" i="73"/>
  <c r="J2486" i="73"/>
  <c r="K2485" i="73"/>
  <c r="J2485" i="73"/>
  <c r="K2482" i="73"/>
  <c r="J2482" i="73"/>
  <c r="K2483" i="73"/>
  <c r="J2483" i="73"/>
  <c r="K2475" i="73"/>
  <c r="J2475" i="73"/>
  <c r="K2481" i="73"/>
  <c r="J2481" i="73"/>
  <c r="K2480" i="73"/>
  <c r="J2480" i="73"/>
  <c r="K2479" i="73"/>
  <c r="J2479" i="73"/>
  <c r="K2478" i="73"/>
  <c r="J2478" i="73"/>
  <c r="K2477" i="73"/>
  <c r="J2477" i="73"/>
  <c r="K2476" i="73"/>
  <c r="J2476" i="73"/>
  <c r="K2473" i="73"/>
  <c r="J2473" i="73"/>
  <c r="K2474" i="73"/>
  <c r="J2474" i="73"/>
  <c r="K2467" i="73"/>
  <c r="J2467" i="73"/>
  <c r="K2472" i="73"/>
  <c r="J2472" i="73"/>
  <c r="K2471" i="73"/>
  <c r="J2471" i="73"/>
  <c r="K2470" i="73"/>
  <c r="J2470" i="73"/>
  <c r="K2469" i="73"/>
  <c r="J2469" i="73"/>
  <c r="K2468" i="73"/>
  <c r="J2468" i="73"/>
  <c r="K2465" i="73"/>
  <c r="J2465" i="73"/>
  <c r="K2466" i="73"/>
  <c r="J2466" i="73"/>
  <c r="K2297" i="73"/>
  <c r="J2297" i="73"/>
  <c r="K2464" i="73"/>
  <c r="J2464" i="73"/>
  <c r="K2463" i="73"/>
  <c r="J2463" i="73"/>
  <c r="K2462" i="73"/>
  <c r="J2462" i="73"/>
  <c r="K2461" i="73"/>
  <c r="J2461" i="73"/>
  <c r="K2460" i="73"/>
  <c r="J2460" i="73"/>
  <c r="K2459" i="73"/>
  <c r="J2459" i="73"/>
  <c r="K2458" i="73"/>
  <c r="J2458" i="73"/>
  <c r="K2457" i="73"/>
  <c r="J2457" i="73"/>
  <c r="K2456" i="73"/>
  <c r="J2456" i="73"/>
  <c r="K2455" i="73"/>
  <c r="J2455" i="73"/>
  <c r="K2449" i="73"/>
  <c r="J2449" i="73"/>
  <c r="K2454" i="73"/>
  <c r="J2454" i="73"/>
  <c r="K2453" i="73"/>
  <c r="J2453" i="73"/>
  <c r="K2452" i="73"/>
  <c r="J2452" i="73"/>
  <c r="K2451" i="73"/>
  <c r="J2451" i="73"/>
  <c r="K2450" i="73"/>
  <c r="J2450" i="73"/>
  <c r="K2443" i="73"/>
  <c r="J2443" i="73"/>
  <c r="K2448" i="73"/>
  <c r="J2448" i="73"/>
  <c r="K2447" i="73"/>
  <c r="J2447" i="73"/>
  <c r="K2446" i="73"/>
  <c r="J2446" i="73"/>
  <c r="K2445" i="73"/>
  <c r="J2445" i="73"/>
  <c r="K2444" i="73"/>
  <c r="J2444" i="73"/>
  <c r="K2441" i="73"/>
  <c r="J2441" i="73"/>
  <c r="K2442" i="73"/>
  <c r="J2442" i="73"/>
  <c r="K2439" i="73"/>
  <c r="J2439" i="73"/>
  <c r="K2440" i="73"/>
  <c r="J2440" i="73"/>
  <c r="K2437" i="73"/>
  <c r="J2437" i="73"/>
  <c r="K2438" i="73"/>
  <c r="J2438" i="73"/>
  <c r="K2435" i="73"/>
  <c r="J2435" i="73"/>
  <c r="K2436" i="73"/>
  <c r="J2436" i="73"/>
  <c r="K2433" i="73"/>
  <c r="J2433" i="73"/>
  <c r="K2434" i="73"/>
  <c r="J2434" i="73"/>
  <c r="K2427" i="73"/>
  <c r="J2427" i="73"/>
  <c r="K2432" i="73"/>
  <c r="J2432" i="73"/>
  <c r="K2431" i="73"/>
  <c r="J2431" i="73"/>
  <c r="K2430" i="73"/>
  <c r="J2430" i="73"/>
  <c r="K2429" i="73"/>
  <c r="J2429" i="73"/>
  <c r="K2428" i="73"/>
  <c r="J2428" i="73"/>
  <c r="K2421" i="73"/>
  <c r="J2421" i="73"/>
  <c r="K2426" i="73"/>
  <c r="J2426" i="73"/>
  <c r="K2425" i="73"/>
  <c r="J2425" i="73"/>
  <c r="K2424" i="73"/>
  <c r="J2424" i="73"/>
  <c r="K2422" i="73"/>
  <c r="J2422" i="73"/>
  <c r="K2423" i="73"/>
  <c r="J2423" i="73"/>
  <c r="K2395" i="73"/>
  <c r="J2395" i="73"/>
  <c r="K2420" i="73"/>
  <c r="J2420" i="73"/>
  <c r="K2419" i="73"/>
  <c r="J2419" i="73"/>
  <c r="K2418" i="73"/>
  <c r="J2418" i="73"/>
  <c r="K2417" i="73"/>
  <c r="J2417" i="73"/>
  <c r="K2416" i="73"/>
  <c r="J2416" i="73"/>
  <c r="K2415" i="73"/>
  <c r="J2415" i="73"/>
  <c r="K2414" i="73"/>
  <c r="J2414" i="73"/>
  <c r="K2412" i="73"/>
  <c r="J2412" i="73"/>
  <c r="K2413" i="73"/>
  <c r="J2413" i="73"/>
  <c r="K2405" i="73"/>
  <c r="J2405" i="73"/>
  <c r="K2411" i="73"/>
  <c r="J2411" i="73"/>
  <c r="K2410" i="73"/>
  <c r="J2410" i="73"/>
  <c r="K2408" i="73"/>
  <c r="J2408" i="73"/>
  <c r="K2409" i="73"/>
  <c r="J2409" i="73"/>
  <c r="K2406" i="73"/>
  <c r="J2406" i="73"/>
  <c r="K2407" i="73"/>
  <c r="J2407" i="73"/>
  <c r="K2396" i="73"/>
  <c r="J2396" i="73"/>
  <c r="K2404" i="73"/>
  <c r="J2404" i="73"/>
  <c r="K2403" i="73"/>
  <c r="J2403" i="73"/>
  <c r="K2401" i="73"/>
  <c r="J2401" i="73"/>
  <c r="K2402" i="73"/>
  <c r="J2402" i="73"/>
  <c r="K2399" i="73"/>
  <c r="J2399" i="73"/>
  <c r="K2400" i="73"/>
  <c r="J2400" i="73"/>
  <c r="K2397" i="73"/>
  <c r="J2397" i="73"/>
  <c r="K2398" i="73"/>
  <c r="J2398" i="73"/>
  <c r="K2359" i="73"/>
  <c r="J2359" i="73"/>
  <c r="K2394" i="73"/>
  <c r="J2394" i="73"/>
  <c r="K2393" i="73"/>
  <c r="J2393" i="73"/>
  <c r="K2392" i="73"/>
  <c r="J2392" i="73"/>
  <c r="K2391" i="73"/>
  <c r="J2391" i="73"/>
  <c r="K2390" i="73"/>
  <c r="J2390" i="73"/>
  <c r="K2389" i="73"/>
  <c r="J2389" i="73"/>
  <c r="K2385" i="73"/>
  <c r="J2385" i="73"/>
  <c r="K2388" i="73"/>
  <c r="J2388" i="73"/>
  <c r="K2387" i="73"/>
  <c r="J2387" i="73"/>
  <c r="K2386" i="73"/>
  <c r="J2386" i="73"/>
  <c r="K2383" i="73"/>
  <c r="J2383" i="73"/>
  <c r="K2384" i="73"/>
  <c r="J2384" i="73"/>
  <c r="K2381" i="73"/>
  <c r="J2381" i="73"/>
  <c r="K2382" i="73"/>
  <c r="J2382" i="73"/>
  <c r="K2377" i="73"/>
  <c r="J2377" i="73"/>
  <c r="K2380" i="73"/>
  <c r="J2380" i="73"/>
  <c r="K2379" i="73"/>
  <c r="J2379" i="73"/>
  <c r="K2378" i="73"/>
  <c r="J2378" i="73"/>
  <c r="K2373" i="73"/>
  <c r="J2373" i="73"/>
  <c r="K2376" i="73"/>
  <c r="J2376" i="73"/>
  <c r="K2375" i="73"/>
  <c r="J2375" i="73"/>
  <c r="K2374" i="73"/>
  <c r="J2374" i="73"/>
  <c r="K2360" i="73"/>
  <c r="J2360" i="73"/>
  <c r="K2372" i="73"/>
  <c r="J2372" i="73"/>
  <c r="K2371" i="73"/>
  <c r="J2371" i="73"/>
  <c r="K2369" i="73"/>
  <c r="J2369" i="73"/>
  <c r="K2370" i="73"/>
  <c r="J2370" i="73"/>
  <c r="K2367" i="73"/>
  <c r="J2367" i="73"/>
  <c r="K2368" i="73"/>
  <c r="J2368" i="73"/>
  <c r="K2365" i="73"/>
  <c r="J2365" i="73"/>
  <c r="K2366" i="73"/>
  <c r="J2366" i="73"/>
  <c r="K2363" i="73"/>
  <c r="J2363" i="73"/>
  <c r="K2364" i="73"/>
  <c r="J2364" i="73"/>
  <c r="K2361" i="73"/>
  <c r="J2361" i="73"/>
  <c r="K2362" i="73"/>
  <c r="J2362" i="73"/>
  <c r="K2323" i="73"/>
  <c r="J2323" i="73"/>
  <c r="K2358" i="73"/>
  <c r="J2358" i="73"/>
  <c r="K2357" i="73"/>
  <c r="J2357" i="73"/>
  <c r="K2356" i="73"/>
  <c r="J2356" i="73"/>
  <c r="K2355" i="73"/>
  <c r="J2355" i="73"/>
  <c r="K2354" i="73"/>
  <c r="J2354" i="73"/>
  <c r="K2353" i="73"/>
  <c r="J2353" i="73"/>
  <c r="K2349" i="73"/>
  <c r="J2349" i="73"/>
  <c r="K2352" i="73"/>
  <c r="J2352" i="73"/>
  <c r="K2351" i="73"/>
  <c r="J2351" i="73"/>
  <c r="K2350" i="73"/>
  <c r="J2350" i="73"/>
  <c r="K2347" i="73"/>
  <c r="J2347" i="73"/>
  <c r="K2348" i="73"/>
  <c r="J2348" i="73"/>
  <c r="K2345" i="73"/>
  <c r="J2345" i="73"/>
  <c r="K2346" i="73"/>
  <c r="J2346" i="73"/>
  <c r="K2341" i="73"/>
  <c r="J2341" i="73"/>
  <c r="K2344" i="73"/>
  <c r="J2344" i="73"/>
  <c r="K2343" i="73"/>
  <c r="J2343" i="73"/>
  <c r="K2342" i="73"/>
  <c r="J2342" i="73"/>
  <c r="K2337" i="73"/>
  <c r="J2337" i="73"/>
  <c r="K2340" i="73"/>
  <c r="J2340" i="73"/>
  <c r="K2339" i="73"/>
  <c r="J2339" i="73"/>
  <c r="K2338" i="73"/>
  <c r="J2338" i="73"/>
  <c r="K2324" i="73"/>
  <c r="J2324" i="73"/>
  <c r="K2336" i="73"/>
  <c r="J2336" i="73"/>
  <c r="K2335" i="73"/>
  <c r="J2335" i="73"/>
  <c r="K2333" i="73"/>
  <c r="J2333" i="73"/>
  <c r="K2334" i="73"/>
  <c r="J2334" i="73"/>
  <c r="K2331" i="73"/>
  <c r="J2331" i="73"/>
  <c r="K2332" i="73"/>
  <c r="J2332" i="73"/>
  <c r="K2329" i="73"/>
  <c r="J2329" i="73"/>
  <c r="K2330" i="73"/>
  <c r="J2330" i="73"/>
  <c r="K2327" i="73"/>
  <c r="J2327" i="73"/>
  <c r="K2328" i="73"/>
  <c r="J2328" i="73"/>
  <c r="K2325" i="73"/>
  <c r="J2325" i="73"/>
  <c r="K2326" i="73"/>
  <c r="J2326" i="73"/>
  <c r="K2298" i="73"/>
  <c r="J2298" i="73"/>
  <c r="K2322" i="73"/>
  <c r="J2322" i="73"/>
  <c r="K2321" i="73"/>
  <c r="J2321" i="73"/>
  <c r="K2320" i="73"/>
  <c r="J2320" i="73"/>
  <c r="K2319" i="73"/>
  <c r="J2319" i="73"/>
  <c r="K2318" i="73"/>
  <c r="J2318" i="73"/>
  <c r="K2317" i="73"/>
  <c r="J2317" i="73"/>
  <c r="K2315" i="73"/>
  <c r="J2315" i="73"/>
  <c r="K2316" i="73"/>
  <c r="J2316" i="73"/>
  <c r="K2313" i="73"/>
  <c r="J2313" i="73"/>
  <c r="K2314" i="73"/>
  <c r="J2314" i="73"/>
  <c r="K2309" i="73"/>
  <c r="J2309" i="73"/>
  <c r="K2312" i="73"/>
  <c r="J2312" i="73"/>
  <c r="K2311" i="73"/>
  <c r="J2311" i="73"/>
  <c r="K2310" i="73"/>
  <c r="J2310" i="73"/>
  <c r="K2305" i="73"/>
  <c r="J2305" i="73"/>
  <c r="K2308" i="73"/>
  <c r="J2308" i="73"/>
  <c r="K2307" i="73"/>
  <c r="J2307" i="73"/>
  <c r="K2306" i="73"/>
  <c r="J2306" i="73"/>
  <c r="K2303" i="73"/>
  <c r="J2303" i="73"/>
  <c r="K2304" i="73"/>
  <c r="J2304" i="73"/>
  <c r="K2299" i="73"/>
  <c r="J2299" i="73"/>
  <c r="K2302" i="73"/>
  <c r="J2302" i="73"/>
  <c r="K2301" i="73"/>
  <c r="J2301" i="73"/>
  <c r="K2300" i="73"/>
  <c r="J2300" i="73"/>
  <c r="K2287" i="73"/>
  <c r="J2287" i="73"/>
  <c r="K2296" i="73"/>
  <c r="J2296" i="73"/>
  <c r="K2295" i="73"/>
  <c r="J2295" i="73"/>
  <c r="K2294" i="73"/>
  <c r="J2294" i="73"/>
  <c r="K2293" i="73"/>
  <c r="J2293" i="73"/>
  <c r="K2292" i="73"/>
  <c r="J2292" i="73"/>
  <c r="K2291" i="73"/>
  <c r="J2291" i="73"/>
  <c r="K2290" i="73"/>
  <c r="J2290" i="73"/>
  <c r="K2288" i="73"/>
  <c r="J2288" i="73"/>
  <c r="K2289" i="73"/>
  <c r="J2289" i="73"/>
  <c r="K2277" i="73"/>
  <c r="J2277" i="73"/>
  <c r="K2286" i="73"/>
  <c r="J2286" i="73"/>
  <c r="K2285" i="73"/>
  <c r="J2285" i="73"/>
  <c r="K2284" i="73"/>
  <c r="J2284" i="73"/>
  <c r="K2283" i="73"/>
  <c r="J2283" i="73"/>
  <c r="K2282" i="73"/>
  <c r="J2282" i="73"/>
  <c r="K2281" i="73"/>
  <c r="J2281" i="73"/>
  <c r="K2280" i="73"/>
  <c r="J2280" i="73"/>
  <c r="K2278" i="73"/>
  <c r="J2278" i="73"/>
  <c r="K2279" i="73"/>
  <c r="J2279" i="73"/>
  <c r="K2267" i="73"/>
  <c r="J2267" i="73"/>
  <c r="K2276" i="73"/>
  <c r="J2276" i="73"/>
  <c r="K2275" i="73"/>
  <c r="J2275" i="73"/>
  <c r="K2274" i="73"/>
  <c r="J2274" i="73"/>
  <c r="K2273" i="73"/>
  <c r="J2273" i="73"/>
  <c r="K2272" i="73"/>
  <c r="J2272" i="73"/>
  <c r="K2270" i="73"/>
  <c r="J2270" i="73"/>
  <c r="K2271" i="73"/>
  <c r="J2271" i="73"/>
  <c r="K2268" i="73"/>
  <c r="J2268" i="73"/>
  <c r="K2269" i="73"/>
  <c r="J2269" i="73"/>
  <c r="K2212" i="73"/>
  <c r="J2212" i="73"/>
  <c r="K2266" i="73"/>
  <c r="J2266" i="73"/>
  <c r="K2265" i="73"/>
  <c r="J2265" i="73"/>
  <c r="K2264" i="73"/>
  <c r="J2264" i="73"/>
  <c r="K2263" i="73"/>
  <c r="J2263" i="73"/>
  <c r="K2262" i="73"/>
  <c r="J2262" i="73"/>
  <c r="K2261" i="73"/>
  <c r="J2261" i="73"/>
  <c r="K2260" i="73"/>
  <c r="J2260" i="73"/>
  <c r="K2258" i="73"/>
  <c r="J2258" i="73"/>
  <c r="K2259" i="73"/>
  <c r="J2259" i="73"/>
  <c r="K2213" i="73"/>
  <c r="J2213" i="73"/>
  <c r="K2257" i="73"/>
  <c r="J2257" i="73"/>
  <c r="K2256" i="73"/>
  <c r="J2256" i="73"/>
  <c r="K2255" i="73"/>
  <c r="J2255" i="73"/>
  <c r="K2254" i="73"/>
  <c r="J2254" i="73"/>
  <c r="K2253" i="73"/>
  <c r="J2253" i="73"/>
  <c r="K2251" i="73"/>
  <c r="J2251" i="73"/>
  <c r="K2252" i="73"/>
  <c r="J2252" i="73"/>
  <c r="K2249" i="73"/>
  <c r="J2249" i="73"/>
  <c r="K2250" i="73"/>
  <c r="J2250" i="73"/>
  <c r="K2247" i="73"/>
  <c r="J2247" i="73"/>
  <c r="K2248" i="73"/>
  <c r="J2248" i="73"/>
  <c r="K2234" i="73"/>
  <c r="J2234" i="73"/>
  <c r="K2246" i="73"/>
  <c r="J2246" i="73"/>
  <c r="K2245" i="73"/>
  <c r="J2245" i="73"/>
  <c r="K2243" i="73"/>
  <c r="J2243" i="73"/>
  <c r="K2244" i="73"/>
  <c r="J2244" i="73"/>
  <c r="K2241" i="73"/>
  <c r="J2241" i="73"/>
  <c r="K2242" i="73"/>
  <c r="J2242" i="73"/>
  <c r="K2239" i="73"/>
  <c r="J2239" i="73"/>
  <c r="K2240" i="73"/>
  <c r="J2240" i="73"/>
  <c r="K2237" i="73"/>
  <c r="J2237" i="73"/>
  <c r="K2238" i="73"/>
  <c r="J2238" i="73"/>
  <c r="K2235" i="73"/>
  <c r="J2235" i="73"/>
  <c r="K2236" i="73"/>
  <c r="J2236" i="73"/>
  <c r="K2221" i="73"/>
  <c r="J2221" i="73"/>
  <c r="K2233" i="73"/>
  <c r="J2233" i="73"/>
  <c r="K2232" i="73"/>
  <c r="J2232" i="73"/>
  <c r="K2230" i="73"/>
  <c r="J2230" i="73"/>
  <c r="K2231" i="73"/>
  <c r="J2231" i="73"/>
  <c r="K2228" i="73"/>
  <c r="J2228" i="73"/>
  <c r="K2229" i="73"/>
  <c r="J2229" i="73"/>
  <c r="K2226" i="73"/>
  <c r="J2226" i="73"/>
  <c r="K2227" i="73"/>
  <c r="J2227" i="73"/>
  <c r="K2224" i="73"/>
  <c r="J2224" i="73"/>
  <c r="K2225" i="73"/>
  <c r="J2225" i="73"/>
  <c r="K2222" i="73"/>
  <c r="J2222" i="73"/>
  <c r="K2223" i="73"/>
  <c r="J2223" i="73"/>
  <c r="K2214" i="73"/>
  <c r="J2214" i="73"/>
  <c r="K2220" i="73"/>
  <c r="J2220" i="73"/>
  <c r="K2219" i="73"/>
  <c r="J2219" i="73"/>
  <c r="K2217" i="73"/>
  <c r="J2217" i="73"/>
  <c r="K2218" i="73"/>
  <c r="J2218" i="73"/>
  <c r="K2215" i="73"/>
  <c r="J2215" i="73"/>
  <c r="K2216" i="73"/>
  <c r="J2216" i="73"/>
  <c r="K2171" i="73"/>
  <c r="J2171" i="73"/>
  <c r="K2211" i="73"/>
  <c r="J2211" i="73"/>
  <c r="K2210" i="73"/>
  <c r="J2210" i="73"/>
  <c r="K2209" i="73"/>
  <c r="J2209" i="73"/>
  <c r="K2185" i="73"/>
  <c r="J2185" i="73"/>
  <c r="K2208" i="73"/>
  <c r="J2208" i="73"/>
  <c r="K2207" i="73"/>
  <c r="J2207" i="73"/>
  <c r="K2206" i="73"/>
  <c r="J2206" i="73"/>
  <c r="K2205" i="73"/>
  <c r="J2205" i="73"/>
  <c r="K2204" i="73"/>
  <c r="J2204" i="73"/>
  <c r="K2203" i="73"/>
  <c r="J2203" i="73"/>
  <c r="K2201" i="73"/>
  <c r="J2201" i="73"/>
  <c r="K2202" i="73"/>
  <c r="J2202" i="73"/>
  <c r="K2199" i="73"/>
  <c r="J2199" i="73"/>
  <c r="K2200" i="73"/>
  <c r="J2200" i="73"/>
  <c r="K2197" i="73"/>
  <c r="J2197" i="73"/>
  <c r="K2198" i="73"/>
  <c r="J2198" i="73"/>
  <c r="K2195" i="73"/>
  <c r="J2195" i="73"/>
  <c r="K2196" i="73"/>
  <c r="J2196" i="73"/>
  <c r="K2186" i="73"/>
  <c r="J2186" i="73"/>
  <c r="K2194" i="73"/>
  <c r="J2194" i="73"/>
  <c r="K2193" i="73"/>
  <c r="J2193" i="73"/>
  <c r="K2191" i="73"/>
  <c r="J2191" i="73"/>
  <c r="K2192" i="73"/>
  <c r="J2192" i="73"/>
  <c r="K2189" i="73"/>
  <c r="J2189" i="73"/>
  <c r="K2190" i="73"/>
  <c r="J2190" i="73"/>
  <c r="K2187" i="73"/>
  <c r="J2187" i="73"/>
  <c r="K2188" i="73"/>
  <c r="J2188" i="73"/>
  <c r="K2172" i="73"/>
  <c r="J2172" i="73"/>
  <c r="K2184" i="73"/>
  <c r="J2184" i="73"/>
  <c r="K2183" i="73"/>
  <c r="J2183" i="73"/>
  <c r="K2182" i="73"/>
  <c r="J2182" i="73"/>
  <c r="K2181" i="73"/>
  <c r="J2181" i="73"/>
  <c r="K2180" i="73"/>
  <c r="J2180" i="73"/>
  <c r="K2179" i="73"/>
  <c r="J2179" i="73"/>
  <c r="K2177" i="73"/>
  <c r="J2177" i="73"/>
  <c r="K2178" i="73"/>
  <c r="J2178" i="73"/>
  <c r="K2175" i="73"/>
  <c r="J2175" i="73"/>
  <c r="K2176" i="73"/>
  <c r="J2176" i="73"/>
  <c r="K2173" i="73"/>
  <c r="J2173" i="73"/>
  <c r="K2174" i="73"/>
  <c r="J2174" i="73"/>
  <c r="K2136" i="73"/>
  <c r="J2136" i="73"/>
  <c r="K2170" i="73"/>
  <c r="J2170" i="73"/>
  <c r="K2169" i="73"/>
  <c r="J2169" i="73"/>
  <c r="K2168" i="73"/>
  <c r="J2168" i="73"/>
  <c r="K2163" i="73"/>
  <c r="J2163" i="73"/>
  <c r="K2167" i="73"/>
  <c r="J2167" i="73"/>
  <c r="K2166" i="73"/>
  <c r="J2166" i="73"/>
  <c r="K2165" i="73"/>
  <c r="J2165" i="73"/>
  <c r="K2164" i="73"/>
  <c r="J2164" i="73"/>
  <c r="K2150" i="73"/>
  <c r="J2150" i="73"/>
  <c r="K2162" i="73"/>
  <c r="J2162" i="73"/>
  <c r="K2161" i="73"/>
  <c r="J2161" i="73"/>
  <c r="K2160" i="73"/>
  <c r="J2160" i="73"/>
  <c r="K2159" i="73"/>
  <c r="J2159" i="73"/>
  <c r="K2158" i="73"/>
  <c r="J2158" i="73"/>
  <c r="K2157" i="73"/>
  <c r="J2157" i="73"/>
  <c r="K2155" i="73"/>
  <c r="J2155" i="73"/>
  <c r="K2156" i="73"/>
  <c r="J2156" i="73"/>
  <c r="K2153" i="73"/>
  <c r="J2153" i="73"/>
  <c r="K2154" i="73"/>
  <c r="J2154" i="73"/>
  <c r="K2151" i="73"/>
  <c r="J2151" i="73"/>
  <c r="K2152" i="73"/>
  <c r="J2152" i="73"/>
  <c r="K2137" i="73"/>
  <c r="J2137" i="73"/>
  <c r="K2149" i="73"/>
  <c r="J2149" i="73"/>
  <c r="K2148" i="73"/>
  <c r="J2148" i="73"/>
  <c r="K2147" i="73"/>
  <c r="J2147" i="73"/>
  <c r="K2146" i="73"/>
  <c r="J2146" i="73"/>
  <c r="K2145" i="73"/>
  <c r="J2145" i="73"/>
  <c r="K2144" i="73"/>
  <c r="J2144" i="73"/>
  <c r="K2142" i="73"/>
  <c r="J2142" i="73"/>
  <c r="K2143" i="73"/>
  <c r="J2143" i="73"/>
  <c r="K2140" i="73"/>
  <c r="J2140" i="73"/>
  <c r="K2141" i="73"/>
  <c r="J2141" i="73"/>
  <c r="K2138" i="73"/>
  <c r="J2138" i="73"/>
  <c r="K2139" i="73"/>
  <c r="J2139" i="73"/>
  <c r="K2096" i="73"/>
  <c r="J2096" i="73"/>
  <c r="K2135" i="73"/>
  <c r="J2135" i="73"/>
  <c r="K2134" i="73"/>
  <c r="J2134" i="73"/>
  <c r="K2133" i="73"/>
  <c r="J2133" i="73"/>
  <c r="K2132" i="73"/>
  <c r="J2132" i="73"/>
  <c r="K2131" i="73"/>
  <c r="J2131" i="73"/>
  <c r="K2130" i="73"/>
  <c r="J2130" i="73"/>
  <c r="K2129" i="73"/>
  <c r="J2129" i="73"/>
  <c r="K2128" i="73"/>
  <c r="J2128" i="73"/>
  <c r="K2127" i="73"/>
  <c r="J2127" i="73"/>
  <c r="K2126" i="73"/>
  <c r="J2126" i="73"/>
  <c r="K2125" i="73"/>
  <c r="J2125" i="73"/>
  <c r="K2123" i="73"/>
  <c r="J2123" i="73"/>
  <c r="K2124" i="73"/>
  <c r="J2124" i="73"/>
  <c r="K2121" i="73"/>
  <c r="J2121" i="73"/>
  <c r="K2122" i="73"/>
  <c r="J2122" i="73"/>
  <c r="K2119" i="73"/>
  <c r="J2119" i="73"/>
  <c r="K2120" i="73"/>
  <c r="J2120" i="73"/>
  <c r="K2115" i="73"/>
  <c r="J2115" i="73"/>
  <c r="K2118" i="73"/>
  <c r="J2118" i="73"/>
  <c r="K2117" i="73"/>
  <c r="J2117" i="73"/>
  <c r="K2116" i="73"/>
  <c r="J2116" i="73"/>
  <c r="K2109" i="73"/>
  <c r="J2109" i="73"/>
  <c r="K2114" i="73"/>
  <c r="J2114" i="73"/>
  <c r="K2113" i="73"/>
  <c r="J2113" i="73"/>
  <c r="K2112" i="73"/>
  <c r="J2112" i="73"/>
  <c r="K2110" i="73"/>
  <c r="J2110" i="73"/>
  <c r="K2111" i="73"/>
  <c r="J2111" i="73"/>
  <c r="K2097" i="73"/>
  <c r="J2097" i="73"/>
  <c r="K2108" i="73"/>
  <c r="J2108" i="73"/>
  <c r="K2107" i="73"/>
  <c r="J2107" i="73"/>
  <c r="K2106" i="73"/>
  <c r="J2106" i="73"/>
  <c r="K2105" i="73"/>
  <c r="J2105" i="73"/>
  <c r="K2104" i="73"/>
  <c r="J2104" i="73"/>
  <c r="K2103" i="73"/>
  <c r="J2103" i="73"/>
  <c r="K2102" i="73"/>
  <c r="J2102" i="73"/>
  <c r="K2100" i="73"/>
  <c r="J2100" i="73"/>
  <c r="K2101" i="73"/>
  <c r="J2101" i="73"/>
  <c r="K2098" i="73"/>
  <c r="J2098" i="73"/>
  <c r="K2099" i="73"/>
  <c r="J2099" i="73"/>
  <c r="K2081" i="73"/>
  <c r="J2081" i="73"/>
  <c r="K2095" i="73"/>
  <c r="J2095" i="73"/>
  <c r="K2094" i="73"/>
  <c r="J2094" i="73"/>
  <c r="K2093" i="73"/>
  <c r="J2093" i="73"/>
  <c r="K2092" i="73"/>
  <c r="J2092" i="73"/>
  <c r="K2091" i="73"/>
  <c r="J2091" i="73"/>
  <c r="K2090" i="73"/>
  <c r="J2090" i="73"/>
  <c r="K2088" i="73"/>
  <c r="J2088" i="73"/>
  <c r="K2089" i="73"/>
  <c r="J2089" i="73"/>
  <c r="K2084" i="73"/>
  <c r="J2084" i="73"/>
  <c r="K2087" i="73"/>
  <c r="J2087" i="73"/>
  <c r="K2086" i="73"/>
  <c r="J2086" i="73"/>
  <c r="K2085" i="73"/>
  <c r="J2085" i="73"/>
  <c r="K2082" i="73"/>
  <c r="J2082" i="73"/>
  <c r="K2083" i="73"/>
  <c r="J2083" i="73"/>
  <c r="K2000" i="73"/>
  <c r="J2000" i="73"/>
  <c r="K2080" i="73"/>
  <c r="J2080" i="73"/>
  <c r="K2079" i="73"/>
  <c r="J2079" i="73"/>
  <c r="K2078" i="73"/>
  <c r="J2078" i="73"/>
  <c r="K2077" i="73"/>
  <c r="J2077" i="73"/>
  <c r="K2076" i="73"/>
  <c r="J2076" i="73"/>
  <c r="K2073" i="73"/>
  <c r="J2073" i="73"/>
  <c r="K2075" i="73"/>
  <c r="J2075" i="73"/>
  <c r="K2074" i="73"/>
  <c r="J2074" i="73"/>
  <c r="K2070" i="73"/>
  <c r="J2070" i="73"/>
  <c r="K2072" i="73"/>
  <c r="J2072" i="73"/>
  <c r="K2071" i="73"/>
  <c r="J2071" i="73"/>
  <c r="K2065" i="73"/>
  <c r="J2065" i="73"/>
  <c r="K2069" i="73"/>
  <c r="J2069" i="73"/>
  <c r="K2068" i="73"/>
  <c r="J2068" i="73"/>
  <c r="K2067" i="73"/>
  <c r="J2067" i="73"/>
  <c r="K2066" i="73"/>
  <c r="J2066" i="73"/>
  <c r="K2060" i="73"/>
  <c r="J2060" i="73"/>
  <c r="K2064" i="73"/>
  <c r="J2064" i="73"/>
  <c r="K2063" i="73"/>
  <c r="J2063" i="73"/>
  <c r="K2062" i="73"/>
  <c r="J2062" i="73"/>
  <c r="K2061" i="73"/>
  <c r="J2061" i="73"/>
  <c r="K2055" i="73"/>
  <c r="J2055" i="73"/>
  <c r="K2059" i="73"/>
  <c r="J2059" i="73"/>
  <c r="K2058" i="73"/>
  <c r="J2058" i="73"/>
  <c r="K2057" i="73"/>
  <c r="J2057" i="73"/>
  <c r="K2056" i="73"/>
  <c r="J2056" i="73"/>
  <c r="K2050" i="73"/>
  <c r="J2050" i="73"/>
  <c r="K2054" i="73"/>
  <c r="J2054" i="73"/>
  <c r="K2053" i="73"/>
  <c r="J2053" i="73"/>
  <c r="K2052" i="73"/>
  <c r="J2052" i="73"/>
  <c r="K2051" i="73"/>
  <c r="J2051" i="73"/>
  <c r="K2045" i="73"/>
  <c r="J2045" i="73"/>
  <c r="K2049" i="73"/>
  <c r="J2049" i="73"/>
  <c r="K2048" i="73"/>
  <c r="J2048" i="73"/>
  <c r="K2047" i="73"/>
  <c r="J2047" i="73"/>
  <c r="K2046" i="73"/>
  <c r="J2046" i="73"/>
  <c r="K2040" i="73"/>
  <c r="J2040" i="73"/>
  <c r="K2044" i="73"/>
  <c r="J2044" i="73"/>
  <c r="K2043" i="73"/>
  <c r="J2043" i="73"/>
  <c r="K2042" i="73"/>
  <c r="J2042" i="73"/>
  <c r="K2041" i="73"/>
  <c r="J2041" i="73"/>
  <c r="K2035" i="73"/>
  <c r="J2035" i="73"/>
  <c r="K2039" i="73"/>
  <c r="J2039" i="73"/>
  <c r="K2038" i="73"/>
  <c r="J2038" i="73"/>
  <c r="K2037" i="73"/>
  <c r="J2037" i="73"/>
  <c r="K2036" i="73"/>
  <c r="J2036" i="73"/>
  <c r="K2030" i="73"/>
  <c r="J2030" i="73"/>
  <c r="K2034" i="73"/>
  <c r="J2034" i="73"/>
  <c r="K2033" i="73"/>
  <c r="J2033" i="73"/>
  <c r="K2032" i="73"/>
  <c r="J2032" i="73"/>
  <c r="K2031" i="73"/>
  <c r="J2031" i="73"/>
  <c r="K2025" i="73"/>
  <c r="J2025" i="73"/>
  <c r="K2029" i="73"/>
  <c r="J2029" i="73"/>
  <c r="K2028" i="73"/>
  <c r="J2028" i="73"/>
  <c r="K2027" i="73"/>
  <c r="J2027" i="73"/>
  <c r="K2026" i="73"/>
  <c r="J2026" i="73"/>
  <c r="K2020" i="73"/>
  <c r="J2020" i="73"/>
  <c r="K2024" i="73"/>
  <c r="J2024" i="73"/>
  <c r="K2023" i="73"/>
  <c r="J2023" i="73"/>
  <c r="K2022" i="73"/>
  <c r="J2022" i="73"/>
  <c r="K2021" i="73"/>
  <c r="J2021" i="73"/>
  <c r="K2015" i="73"/>
  <c r="J2015" i="73"/>
  <c r="K2019" i="73"/>
  <c r="J2019" i="73"/>
  <c r="K2018" i="73"/>
  <c r="J2018" i="73"/>
  <c r="K2017" i="73"/>
  <c r="J2017" i="73"/>
  <c r="K2016" i="73"/>
  <c r="J2016" i="73"/>
  <c r="K2012" i="73"/>
  <c r="J2012" i="73"/>
  <c r="K2014" i="73"/>
  <c r="J2014" i="73"/>
  <c r="K2013" i="73"/>
  <c r="J2013" i="73"/>
  <c r="K2009" i="73"/>
  <c r="J2009" i="73"/>
  <c r="K2011" i="73"/>
  <c r="J2011" i="73"/>
  <c r="K2010" i="73"/>
  <c r="J2010" i="73"/>
  <c r="K2006" i="73"/>
  <c r="J2006" i="73"/>
  <c r="K2008" i="73"/>
  <c r="J2008" i="73"/>
  <c r="K2007" i="73"/>
  <c r="J2007" i="73"/>
  <c r="K2003" i="73"/>
  <c r="J2003" i="73"/>
  <c r="K2005" i="73"/>
  <c r="J2005" i="73"/>
  <c r="K2004" i="73"/>
  <c r="J2004" i="73"/>
  <c r="K2001" i="73"/>
  <c r="J2001" i="73"/>
  <c r="K2002" i="73"/>
  <c r="J2002" i="73"/>
  <c r="K1989" i="73"/>
  <c r="J1989" i="73"/>
  <c r="K1999" i="73"/>
  <c r="J1999" i="73"/>
  <c r="K1998" i="73"/>
  <c r="J1998" i="73"/>
  <c r="K1996" i="73"/>
  <c r="J1996" i="73"/>
  <c r="K1997" i="73"/>
  <c r="J1997" i="73"/>
  <c r="K1990" i="73"/>
  <c r="J1990" i="73"/>
  <c r="K1995" i="73"/>
  <c r="J1995" i="73"/>
  <c r="K1994" i="73"/>
  <c r="J1994" i="73"/>
  <c r="K1993" i="73"/>
  <c r="J1993" i="73"/>
  <c r="K1992" i="73"/>
  <c r="J1992" i="73"/>
  <c r="K1991" i="73"/>
  <c r="J1991" i="73"/>
  <c r="K1334" i="73"/>
  <c r="J1334" i="73"/>
  <c r="K1986" i="73"/>
  <c r="J1986" i="73"/>
  <c r="K1980" i="73"/>
  <c r="J1980" i="73"/>
  <c r="K1985" i="73"/>
  <c r="J1985" i="73"/>
  <c r="K1984" i="73"/>
  <c r="J1984" i="73"/>
  <c r="K1983" i="73"/>
  <c r="J1983" i="73"/>
  <c r="K1982" i="73"/>
  <c r="J1982" i="73"/>
  <c r="K1981" i="73"/>
  <c r="J1981" i="73"/>
  <c r="K1974" i="73"/>
  <c r="J1974" i="73"/>
  <c r="K1979" i="73"/>
  <c r="J1979" i="73"/>
  <c r="K1978" i="73"/>
  <c r="J1978" i="73"/>
  <c r="K1977" i="73"/>
  <c r="J1977" i="73"/>
  <c r="K1976" i="73"/>
  <c r="J1976" i="73"/>
  <c r="K1975" i="73"/>
  <c r="J1975" i="73"/>
  <c r="K1972" i="73"/>
  <c r="J1972" i="73"/>
  <c r="K1973" i="73"/>
  <c r="J1973" i="73"/>
  <c r="K1881" i="73"/>
  <c r="J1881" i="73"/>
  <c r="K1971" i="73"/>
  <c r="J1971" i="73"/>
  <c r="K1970" i="73"/>
  <c r="J1970" i="73"/>
  <c r="K1969" i="73"/>
  <c r="J1969" i="73"/>
  <c r="K1968" i="73"/>
  <c r="J1968" i="73"/>
  <c r="K1967" i="73"/>
  <c r="J1967" i="73"/>
  <c r="K1966" i="73"/>
  <c r="J1966" i="73"/>
  <c r="K1965" i="73"/>
  <c r="J1965" i="73"/>
  <c r="K1951" i="73"/>
  <c r="J1951" i="73"/>
  <c r="K1964" i="73"/>
  <c r="J1964" i="73"/>
  <c r="K1963" i="73"/>
  <c r="J1963" i="73"/>
  <c r="K1962" i="73"/>
  <c r="J1962" i="73"/>
  <c r="K1961" i="73"/>
  <c r="J1961" i="73"/>
  <c r="K1960" i="73"/>
  <c r="J1960" i="73"/>
  <c r="K1959" i="73"/>
  <c r="J1959" i="73"/>
  <c r="K1958" i="73"/>
  <c r="J1958" i="73"/>
  <c r="K1956" i="73"/>
  <c r="J1956" i="73"/>
  <c r="K1957" i="73"/>
  <c r="J1957" i="73"/>
  <c r="K1954" i="73"/>
  <c r="J1954" i="73"/>
  <c r="K1955" i="73"/>
  <c r="J1955" i="73"/>
  <c r="K1952" i="73"/>
  <c r="J1952" i="73"/>
  <c r="K1953" i="73"/>
  <c r="J1953" i="73"/>
  <c r="K1940" i="73"/>
  <c r="J1940" i="73"/>
  <c r="K1950" i="73"/>
  <c r="J1950" i="73"/>
  <c r="K1949" i="73"/>
  <c r="J1949" i="73"/>
  <c r="K1948" i="73"/>
  <c r="J1948" i="73"/>
  <c r="K1947" i="73"/>
  <c r="J1947" i="73"/>
  <c r="K1945" i="73"/>
  <c r="J1945" i="73"/>
  <c r="K1946" i="73"/>
  <c r="J1946" i="73"/>
  <c r="K1943" i="73"/>
  <c r="J1943" i="73"/>
  <c r="K1944" i="73"/>
  <c r="J1944" i="73"/>
  <c r="K1941" i="73"/>
  <c r="J1941" i="73"/>
  <c r="K1942" i="73"/>
  <c r="J1942" i="73"/>
  <c r="K1917" i="73"/>
  <c r="J1917" i="73"/>
  <c r="K1939" i="73"/>
  <c r="J1939" i="73"/>
  <c r="K1938" i="73"/>
  <c r="J1938" i="73"/>
  <c r="K1937" i="73"/>
  <c r="J1937" i="73"/>
  <c r="K1936" i="73"/>
  <c r="J1936" i="73"/>
  <c r="K1935" i="73"/>
  <c r="J1935" i="73"/>
  <c r="K1934" i="73"/>
  <c r="J1934" i="73"/>
  <c r="K1933" i="73"/>
  <c r="J1933" i="73"/>
  <c r="K1932" i="73"/>
  <c r="J1932" i="73"/>
  <c r="K1931" i="73"/>
  <c r="J1931" i="73"/>
  <c r="K1929" i="73"/>
  <c r="J1929" i="73"/>
  <c r="K1930" i="73"/>
  <c r="J1930" i="73"/>
  <c r="K1927" i="73"/>
  <c r="J1927" i="73"/>
  <c r="K1928" i="73"/>
  <c r="J1928" i="73"/>
  <c r="K1925" i="73"/>
  <c r="J1925" i="73"/>
  <c r="K1926" i="73"/>
  <c r="J1926" i="73"/>
  <c r="K1918" i="73"/>
  <c r="J1918" i="73"/>
  <c r="K1924" i="73"/>
  <c r="J1924" i="73"/>
  <c r="K1923" i="73"/>
  <c r="J1923" i="73"/>
  <c r="K1921" i="73"/>
  <c r="J1921" i="73"/>
  <c r="K1922" i="73"/>
  <c r="J1922" i="73"/>
  <c r="K1919" i="73"/>
  <c r="J1919" i="73"/>
  <c r="K1920" i="73"/>
  <c r="J1920" i="73"/>
  <c r="K1910" i="73"/>
  <c r="J1910" i="73"/>
  <c r="K1916" i="73"/>
  <c r="J1916" i="73"/>
  <c r="K1915" i="73"/>
  <c r="J1915" i="73"/>
  <c r="K1914" i="73"/>
  <c r="J1914" i="73"/>
  <c r="K1913" i="73"/>
  <c r="J1913" i="73"/>
  <c r="K1911" i="73"/>
  <c r="J1911" i="73"/>
  <c r="K1912" i="73"/>
  <c r="J1912" i="73"/>
  <c r="K1882" i="73"/>
  <c r="J1882" i="73"/>
  <c r="K1909" i="73"/>
  <c r="J1909" i="73"/>
  <c r="K1908" i="73"/>
  <c r="J1908" i="73"/>
  <c r="K1907" i="73"/>
  <c r="J1907" i="73"/>
  <c r="K1906" i="73"/>
  <c r="J1906" i="73"/>
  <c r="K1905" i="73"/>
  <c r="J1905" i="73"/>
  <c r="K1904" i="73"/>
  <c r="J1904" i="73"/>
  <c r="K1903" i="73"/>
  <c r="J1903" i="73"/>
  <c r="K1902" i="73"/>
  <c r="J1902" i="73"/>
  <c r="K1901" i="73"/>
  <c r="J1901" i="73"/>
  <c r="K1900" i="73"/>
  <c r="J1900" i="73"/>
  <c r="K1899" i="73"/>
  <c r="J1899" i="73"/>
  <c r="K1897" i="73"/>
  <c r="J1897" i="73"/>
  <c r="K1898" i="73"/>
  <c r="J1898" i="73"/>
  <c r="K1895" i="73"/>
  <c r="J1895" i="73"/>
  <c r="K1896" i="73"/>
  <c r="J1896" i="73"/>
  <c r="K1893" i="73"/>
  <c r="J1893" i="73"/>
  <c r="K1894" i="73"/>
  <c r="J1894" i="73"/>
  <c r="K1891" i="73"/>
  <c r="J1891" i="73"/>
  <c r="K1892" i="73"/>
  <c r="J1892" i="73"/>
  <c r="K1889" i="73"/>
  <c r="J1889" i="73"/>
  <c r="K1890" i="73"/>
  <c r="J1890" i="73"/>
  <c r="K1887" i="73"/>
  <c r="J1887" i="73"/>
  <c r="K1888" i="73"/>
  <c r="J1888" i="73"/>
  <c r="K1885" i="73"/>
  <c r="J1885" i="73"/>
  <c r="K1886" i="73"/>
  <c r="J1886" i="73"/>
  <c r="K1883" i="73"/>
  <c r="J1883" i="73"/>
  <c r="K1884" i="73"/>
  <c r="J1884" i="73"/>
  <c r="K1335" i="73"/>
  <c r="J1335" i="73"/>
  <c r="K1880" i="73"/>
  <c r="J1880" i="73"/>
  <c r="K1879" i="73"/>
  <c r="J1879" i="73"/>
  <c r="K1878" i="73"/>
  <c r="J1878" i="73"/>
  <c r="K1877" i="73"/>
  <c r="J1877" i="73"/>
  <c r="K1876" i="73"/>
  <c r="J1876" i="73"/>
  <c r="K1875" i="73"/>
  <c r="J1875" i="73"/>
  <c r="K1874" i="73"/>
  <c r="J1874" i="73"/>
  <c r="K1873" i="73"/>
  <c r="J1873" i="73"/>
  <c r="K1872" i="73"/>
  <c r="J1872" i="73"/>
  <c r="K1871" i="73"/>
  <c r="J1871" i="73"/>
  <c r="K1870" i="73"/>
  <c r="J1870" i="73"/>
  <c r="K1869" i="73"/>
  <c r="J1869" i="73"/>
  <c r="K1868" i="73"/>
  <c r="J1868" i="73"/>
  <c r="K1867" i="73"/>
  <c r="J1867" i="73"/>
  <c r="K1866" i="73"/>
  <c r="J1866" i="73"/>
  <c r="K1865" i="73"/>
  <c r="J1865" i="73"/>
  <c r="K1864" i="73"/>
  <c r="J1864" i="73"/>
  <c r="K1863" i="73"/>
  <c r="J1863" i="73"/>
  <c r="K1862" i="73"/>
  <c r="J1862" i="73"/>
  <c r="K1861" i="73"/>
  <c r="J1861" i="73"/>
  <c r="K1860" i="73"/>
  <c r="J1860" i="73"/>
  <c r="K1859" i="73"/>
  <c r="J1859" i="73"/>
  <c r="K1858" i="73"/>
  <c r="J1858" i="73"/>
  <c r="K1852" i="73"/>
  <c r="J1852" i="73"/>
  <c r="K1857" i="73"/>
  <c r="J1857" i="73"/>
  <c r="K1856" i="73"/>
  <c r="J1856" i="73"/>
  <c r="K1855" i="73"/>
  <c r="J1855" i="73"/>
  <c r="K1854" i="73"/>
  <c r="J1854" i="73"/>
  <c r="K1853" i="73"/>
  <c r="J1853" i="73"/>
  <c r="K1846" i="73"/>
  <c r="J1846" i="73"/>
  <c r="K1851" i="73"/>
  <c r="J1851" i="73"/>
  <c r="K1850" i="73"/>
  <c r="J1850" i="73"/>
  <c r="K1849" i="73"/>
  <c r="J1849" i="73"/>
  <c r="K1848" i="73"/>
  <c r="J1848" i="73"/>
  <c r="K1847" i="73"/>
  <c r="J1847" i="73"/>
  <c r="K1840" i="73"/>
  <c r="J1840" i="73"/>
  <c r="K1845" i="73"/>
  <c r="J1845" i="73"/>
  <c r="K1844" i="73"/>
  <c r="J1844" i="73"/>
  <c r="K1843" i="73"/>
  <c r="J1843" i="73"/>
  <c r="K1842" i="73"/>
  <c r="J1842" i="73"/>
  <c r="K1841" i="73"/>
  <c r="J1841" i="73"/>
  <c r="K1838" i="73"/>
  <c r="J1838" i="73"/>
  <c r="K1839" i="73"/>
  <c r="J1839" i="73"/>
  <c r="K1831" i="73"/>
  <c r="J1831" i="73"/>
  <c r="K1837" i="73"/>
  <c r="J1837" i="73"/>
  <c r="K1836" i="73"/>
  <c r="J1836" i="73"/>
  <c r="K1835" i="73"/>
  <c r="J1835" i="73"/>
  <c r="K1834" i="73"/>
  <c r="J1834" i="73"/>
  <c r="K1833" i="73"/>
  <c r="J1833" i="73"/>
  <c r="K1832" i="73"/>
  <c r="J1832" i="73"/>
  <c r="K1829" i="73"/>
  <c r="J1829" i="73"/>
  <c r="K1830" i="73"/>
  <c r="J1830" i="73"/>
  <c r="K1822" i="73"/>
  <c r="J1822" i="73"/>
  <c r="K1828" i="73"/>
  <c r="J1828" i="73"/>
  <c r="K1827" i="73"/>
  <c r="J1827" i="73"/>
  <c r="K1826" i="73"/>
  <c r="J1826" i="73"/>
  <c r="K1825" i="73"/>
  <c r="J1825" i="73"/>
  <c r="K1824" i="73"/>
  <c r="J1824" i="73"/>
  <c r="K1823" i="73"/>
  <c r="J1823" i="73"/>
  <c r="K1820" i="73"/>
  <c r="J1820" i="73"/>
  <c r="K1821" i="73"/>
  <c r="J1821" i="73"/>
  <c r="K1814" i="73"/>
  <c r="J1814" i="73"/>
  <c r="K1819" i="73"/>
  <c r="J1819" i="73"/>
  <c r="K1818" i="73"/>
  <c r="J1818" i="73"/>
  <c r="K1817" i="73"/>
  <c r="J1817" i="73"/>
  <c r="K1816" i="73"/>
  <c r="J1816" i="73"/>
  <c r="K1815" i="73"/>
  <c r="J1815" i="73"/>
  <c r="K1812" i="73"/>
  <c r="J1812" i="73"/>
  <c r="K1813" i="73"/>
  <c r="J1813" i="73"/>
  <c r="K1644" i="73"/>
  <c r="J1644" i="73"/>
  <c r="K1811" i="73"/>
  <c r="J1811" i="73"/>
  <c r="K1810" i="73"/>
  <c r="J1810" i="73"/>
  <c r="K1809" i="73"/>
  <c r="J1809" i="73"/>
  <c r="K1808" i="73"/>
  <c r="J1808" i="73"/>
  <c r="K1807" i="73"/>
  <c r="J1807" i="73"/>
  <c r="K1806" i="73"/>
  <c r="J1806" i="73"/>
  <c r="K1805" i="73"/>
  <c r="J1805" i="73"/>
  <c r="K1804" i="73"/>
  <c r="J1804" i="73"/>
  <c r="K1803" i="73"/>
  <c r="J1803" i="73"/>
  <c r="K1802" i="73"/>
  <c r="J1802" i="73"/>
  <c r="K1796" i="73"/>
  <c r="J1796" i="73"/>
  <c r="K1801" i="73"/>
  <c r="J1801" i="73"/>
  <c r="K1800" i="73"/>
  <c r="J1800" i="73"/>
  <c r="K1799" i="73"/>
  <c r="J1799" i="73"/>
  <c r="K1798" i="73"/>
  <c r="J1798" i="73"/>
  <c r="K1797" i="73"/>
  <c r="J1797" i="73"/>
  <c r="K1790" i="73"/>
  <c r="J1790" i="73"/>
  <c r="K1795" i="73"/>
  <c r="J1795" i="73"/>
  <c r="K1794" i="73"/>
  <c r="J1794" i="73"/>
  <c r="K1793" i="73"/>
  <c r="J1793" i="73"/>
  <c r="K1792" i="73"/>
  <c r="J1792" i="73"/>
  <c r="K1791" i="73"/>
  <c r="J1791" i="73"/>
  <c r="K1788" i="73"/>
  <c r="J1788" i="73"/>
  <c r="K1789" i="73"/>
  <c r="J1789" i="73"/>
  <c r="K1786" i="73"/>
  <c r="J1786" i="73"/>
  <c r="K1787" i="73"/>
  <c r="J1787" i="73"/>
  <c r="K1784" i="73"/>
  <c r="J1784" i="73"/>
  <c r="K1785" i="73"/>
  <c r="J1785" i="73"/>
  <c r="K1782" i="73"/>
  <c r="J1782" i="73"/>
  <c r="K1783" i="73"/>
  <c r="J1783" i="73"/>
  <c r="K1780" i="73"/>
  <c r="J1780" i="73"/>
  <c r="K1781" i="73"/>
  <c r="J1781" i="73"/>
  <c r="K1774" i="73"/>
  <c r="J1774" i="73"/>
  <c r="K1779" i="73"/>
  <c r="J1779" i="73"/>
  <c r="K1778" i="73"/>
  <c r="J1778" i="73"/>
  <c r="K1777" i="73"/>
  <c r="J1777" i="73"/>
  <c r="K1776" i="73"/>
  <c r="J1776" i="73"/>
  <c r="K1775" i="73"/>
  <c r="J1775" i="73"/>
  <c r="K1768" i="73"/>
  <c r="J1768" i="73"/>
  <c r="K1773" i="73"/>
  <c r="J1773" i="73"/>
  <c r="K1772" i="73"/>
  <c r="J1772" i="73"/>
  <c r="K1771" i="73"/>
  <c r="J1771" i="73"/>
  <c r="K1769" i="73"/>
  <c r="J1769" i="73"/>
  <c r="K1770" i="73"/>
  <c r="J1770" i="73"/>
  <c r="K1742" i="73"/>
  <c r="J1742" i="73"/>
  <c r="K1767" i="73"/>
  <c r="J1767" i="73"/>
  <c r="K1766" i="73"/>
  <c r="J1766" i="73"/>
  <c r="K1765" i="73"/>
  <c r="J1765" i="73"/>
  <c r="K1764" i="73"/>
  <c r="J1764" i="73"/>
  <c r="K1763" i="73"/>
  <c r="J1763" i="73"/>
  <c r="K1762" i="73"/>
  <c r="J1762" i="73"/>
  <c r="K1761" i="73"/>
  <c r="J1761" i="73"/>
  <c r="K1759" i="73"/>
  <c r="J1759" i="73"/>
  <c r="K1760" i="73"/>
  <c r="J1760" i="73"/>
  <c r="K1752" i="73"/>
  <c r="J1752" i="73"/>
  <c r="K1758" i="73"/>
  <c r="J1758" i="73"/>
  <c r="K1757" i="73"/>
  <c r="J1757" i="73"/>
  <c r="K1755" i="73"/>
  <c r="J1755" i="73"/>
  <c r="K1756" i="73"/>
  <c r="J1756" i="73"/>
  <c r="K1753" i="73"/>
  <c r="J1753" i="73"/>
  <c r="K1754" i="73"/>
  <c r="J1754" i="73"/>
  <c r="K1743" i="73"/>
  <c r="J1743" i="73"/>
  <c r="K1751" i="73"/>
  <c r="J1751" i="73"/>
  <c r="K1750" i="73"/>
  <c r="J1750" i="73"/>
  <c r="K1748" i="73"/>
  <c r="J1748" i="73"/>
  <c r="K1749" i="73"/>
  <c r="J1749" i="73"/>
  <c r="K1746" i="73"/>
  <c r="J1746" i="73"/>
  <c r="K1747" i="73"/>
  <c r="J1747" i="73"/>
  <c r="K1744" i="73"/>
  <c r="J1744" i="73"/>
  <c r="K1745" i="73"/>
  <c r="J1745" i="73"/>
  <c r="K1706" i="73"/>
  <c r="J1706" i="73"/>
  <c r="K1741" i="73"/>
  <c r="J1741" i="73"/>
  <c r="K1740" i="73"/>
  <c r="J1740" i="73"/>
  <c r="K1739" i="73"/>
  <c r="J1739" i="73"/>
  <c r="K1738" i="73"/>
  <c r="J1738" i="73"/>
  <c r="K1737" i="73"/>
  <c r="J1737" i="73"/>
  <c r="K1736" i="73"/>
  <c r="J1736" i="73"/>
  <c r="K1732" i="73"/>
  <c r="J1732" i="73"/>
  <c r="K1735" i="73"/>
  <c r="J1735" i="73"/>
  <c r="K1734" i="73"/>
  <c r="J1734" i="73"/>
  <c r="K1733" i="73"/>
  <c r="J1733" i="73"/>
  <c r="K1730" i="73"/>
  <c r="J1730" i="73"/>
  <c r="K1731" i="73"/>
  <c r="J1731" i="73"/>
  <c r="K1728" i="73"/>
  <c r="J1728" i="73"/>
  <c r="K1729" i="73"/>
  <c r="J1729" i="73"/>
  <c r="K1724" i="73"/>
  <c r="J1724" i="73"/>
  <c r="K1727" i="73"/>
  <c r="J1727" i="73"/>
  <c r="K1726" i="73"/>
  <c r="J1726" i="73"/>
  <c r="K1725" i="73"/>
  <c r="J1725" i="73"/>
  <c r="K1720" i="73"/>
  <c r="J1720" i="73"/>
  <c r="K1723" i="73"/>
  <c r="J1723" i="73"/>
  <c r="K1722" i="73"/>
  <c r="J1722" i="73"/>
  <c r="K1721" i="73"/>
  <c r="J1721" i="73"/>
  <c r="K1707" i="73"/>
  <c r="J1707" i="73"/>
  <c r="K1719" i="73"/>
  <c r="J1719" i="73"/>
  <c r="K1718" i="73"/>
  <c r="J1718" i="73"/>
  <c r="K1716" i="73"/>
  <c r="J1716" i="73"/>
  <c r="K1717" i="73"/>
  <c r="J1717" i="73"/>
  <c r="K1714" i="73"/>
  <c r="J1714" i="73"/>
  <c r="K1715" i="73"/>
  <c r="J1715" i="73"/>
  <c r="K1712" i="73"/>
  <c r="J1712" i="73"/>
  <c r="K1713" i="73"/>
  <c r="J1713" i="73"/>
  <c r="K1710" i="73"/>
  <c r="J1710" i="73"/>
  <c r="K1711" i="73"/>
  <c r="J1711" i="73"/>
  <c r="K1708" i="73"/>
  <c r="J1708" i="73"/>
  <c r="K1709" i="73"/>
  <c r="J1709" i="73"/>
  <c r="K1670" i="73"/>
  <c r="J1670" i="73"/>
  <c r="K1705" i="73"/>
  <c r="J1705" i="73"/>
  <c r="K1704" i="73"/>
  <c r="J1704" i="73"/>
  <c r="K1703" i="73"/>
  <c r="J1703" i="73"/>
  <c r="K1702" i="73"/>
  <c r="J1702" i="73"/>
  <c r="K1701" i="73"/>
  <c r="J1701" i="73"/>
  <c r="K1700" i="73"/>
  <c r="J1700" i="73"/>
  <c r="K1696" i="73"/>
  <c r="J1696" i="73"/>
  <c r="K1699" i="73"/>
  <c r="J1699" i="73"/>
  <c r="K1698" i="73"/>
  <c r="J1698" i="73"/>
  <c r="K1697" i="73"/>
  <c r="J1697" i="73"/>
  <c r="K1694" i="73"/>
  <c r="J1694" i="73"/>
  <c r="K1695" i="73"/>
  <c r="J1695" i="73"/>
  <c r="K1692" i="73"/>
  <c r="J1692" i="73"/>
  <c r="K1693" i="73"/>
  <c r="J1693" i="73"/>
  <c r="K1688" i="73"/>
  <c r="J1688" i="73"/>
  <c r="K1691" i="73"/>
  <c r="J1691" i="73"/>
  <c r="K1690" i="73"/>
  <c r="J1690" i="73"/>
  <c r="K1689" i="73"/>
  <c r="J1689" i="73"/>
  <c r="K1684" i="73"/>
  <c r="J1684" i="73"/>
  <c r="K1687" i="73"/>
  <c r="J1687" i="73"/>
  <c r="K1686" i="73"/>
  <c r="J1686" i="73"/>
  <c r="K1685" i="73"/>
  <c r="J1685" i="73"/>
  <c r="K1671" i="73"/>
  <c r="J1671" i="73"/>
  <c r="K1683" i="73"/>
  <c r="J1683" i="73"/>
  <c r="K1682" i="73"/>
  <c r="J1682" i="73"/>
  <c r="K1680" i="73"/>
  <c r="J1680" i="73"/>
  <c r="K1681" i="73"/>
  <c r="J1681" i="73"/>
  <c r="K1678" i="73"/>
  <c r="J1678" i="73"/>
  <c r="K1679" i="73"/>
  <c r="J1679" i="73"/>
  <c r="K1676" i="73"/>
  <c r="J1676" i="73"/>
  <c r="K1677" i="73"/>
  <c r="J1677" i="73"/>
  <c r="K1674" i="73"/>
  <c r="J1674" i="73"/>
  <c r="K1675" i="73"/>
  <c r="J1675" i="73"/>
  <c r="K1672" i="73"/>
  <c r="J1672" i="73"/>
  <c r="K1673" i="73"/>
  <c r="J1673" i="73"/>
  <c r="K1645" i="73"/>
  <c r="J1645" i="73"/>
  <c r="K1669" i="73"/>
  <c r="J1669" i="73"/>
  <c r="K1668" i="73"/>
  <c r="J1668" i="73"/>
  <c r="K1667" i="73"/>
  <c r="J1667" i="73"/>
  <c r="K1666" i="73"/>
  <c r="J1666" i="73"/>
  <c r="K1665" i="73"/>
  <c r="J1665" i="73"/>
  <c r="K1664" i="73"/>
  <c r="J1664" i="73"/>
  <c r="K1662" i="73"/>
  <c r="J1662" i="73"/>
  <c r="K1663" i="73"/>
  <c r="J1663" i="73"/>
  <c r="K1660" i="73"/>
  <c r="J1660" i="73"/>
  <c r="K1661" i="73"/>
  <c r="J1661" i="73"/>
  <c r="K1656" i="73"/>
  <c r="J1656" i="73"/>
  <c r="K1659" i="73"/>
  <c r="J1659" i="73"/>
  <c r="K1658" i="73"/>
  <c r="J1658" i="73"/>
  <c r="K1657" i="73"/>
  <c r="J1657" i="73"/>
  <c r="K1652" i="73"/>
  <c r="J1652" i="73"/>
  <c r="K1655" i="73"/>
  <c r="J1655" i="73"/>
  <c r="K1654" i="73"/>
  <c r="J1654" i="73"/>
  <c r="K1653" i="73"/>
  <c r="J1653" i="73"/>
  <c r="K1650" i="73"/>
  <c r="J1650" i="73"/>
  <c r="K1651" i="73"/>
  <c r="J1651" i="73"/>
  <c r="K1646" i="73"/>
  <c r="J1646" i="73"/>
  <c r="K1649" i="73"/>
  <c r="J1649" i="73"/>
  <c r="K1648" i="73"/>
  <c r="J1648" i="73"/>
  <c r="K1647" i="73"/>
  <c r="J1647" i="73"/>
  <c r="K1629" i="73"/>
  <c r="J1629" i="73"/>
  <c r="K1643" i="73"/>
  <c r="J1643" i="73"/>
  <c r="K1642" i="73"/>
  <c r="J1642" i="73"/>
  <c r="K1641" i="73"/>
  <c r="J1641" i="73"/>
  <c r="K1640" i="73"/>
  <c r="J1640" i="73"/>
  <c r="K1639" i="73"/>
  <c r="J1639" i="73"/>
  <c r="K1638" i="73"/>
  <c r="J1638" i="73"/>
  <c r="K1636" i="73"/>
  <c r="J1636" i="73"/>
  <c r="K1637" i="73"/>
  <c r="J1637" i="73"/>
  <c r="K1632" i="73"/>
  <c r="J1632" i="73"/>
  <c r="K1635" i="73"/>
  <c r="J1635" i="73"/>
  <c r="K1634" i="73"/>
  <c r="J1634" i="73"/>
  <c r="K1633" i="73"/>
  <c r="J1633" i="73"/>
  <c r="K1630" i="73"/>
  <c r="J1630" i="73"/>
  <c r="K1631" i="73"/>
  <c r="J1631" i="73"/>
  <c r="K1619" i="73"/>
  <c r="J1619" i="73"/>
  <c r="K1628" i="73"/>
  <c r="J1628" i="73"/>
  <c r="K1627" i="73"/>
  <c r="J1627" i="73"/>
  <c r="K1626" i="73"/>
  <c r="J1626" i="73"/>
  <c r="K1625" i="73"/>
  <c r="J1625" i="73"/>
  <c r="K1624" i="73"/>
  <c r="J1624" i="73"/>
  <c r="K1623" i="73"/>
  <c r="J1623" i="73"/>
  <c r="K1622" i="73"/>
  <c r="J1622" i="73"/>
  <c r="K1620" i="73"/>
  <c r="J1620" i="73"/>
  <c r="K1621" i="73"/>
  <c r="J1621" i="73"/>
  <c r="K1609" i="73"/>
  <c r="J1609" i="73"/>
  <c r="K1618" i="73"/>
  <c r="J1618" i="73"/>
  <c r="K1617" i="73"/>
  <c r="J1617" i="73"/>
  <c r="K1616" i="73"/>
  <c r="J1616" i="73"/>
  <c r="K1615" i="73"/>
  <c r="J1615" i="73"/>
  <c r="K1614" i="73"/>
  <c r="J1614" i="73"/>
  <c r="K1613" i="73"/>
  <c r="J1613" i="73"/>
  <c r="K1612" i="73"/>
  <c r="J1612" i="73"/>
  <c r="K1610" i="73"/>
  <c r="J1610" i="73"/>
  <c r="K1611" i="73"/>
  <c r="J1611" i="73"/>
  <c r="K1528" i="73"/>
  <c r="J1528" i="73"/>
  <c r="K1608" i="73"/>
  <c r="J1608" i="73"/>
  <c r="K1607" i="73"/>
  <c r="J1607" i="73"/>
  <c r="K1606" i="73"/>
  <c r="J1606" i="73"/>
  <c r="K1605" i="73"/>
  <c r="J1605" i="73"/>
  <c r="K1604" i="73"/>
  <c r="J1604" i="73"/>
  <c r="K1601" i="73"/>
  <c r="J1601" i="73"/>
  <c r="K1603" i="73"/>
  <c r="J1603" i="73"/>
  <c r="K1602" i="73"/>
  <c r="J1602" i="73"/>
  <c r="K1598" i="73"/>
  <c r="J1598" i="73"/>
  <c r="K1600" i="73"/>
  <c r="J1600" i="73"/>
  <c r="K1599" i="73"/>
  <c r="J1599" i="73"/>
  <c r="K1593" i="73"/>
  <c r="J1593" i="73"/>
  <c r="K1597" i="73"/>
  <c r="J1597" i="73"/>
  <c r="K1596" i="73"/>
  <c r="J1596" i="73"/>
  <c r="K1595" i="73"/>
  <c r="J1595" i="73"/>
  <c r="K1594" i="73"/>
  <c r="J1594" i="73"/>
  <c r="K1588" i="73"/>
  <c r="J1588" i="73"/>
  <c r="K1592" i="73"/>
  <c r="J1592" i="73"/>
  <c r="K1591" i="73"/>
  <c r="J1591" i="73"/>
  <c r="K1590" i="73"/>
  <c r="J1590" i="73"/>
  <c r="K1589" i="73"/>
  <c r="J1589" i="73"/>
  <c r="K1583" i="73"/>
  <c r="J1583" i="73"/>
  <c r="K1587" i="73"/>
  <c r="J1587" i="73"/>
  <c r="K1586" i="73"/>
  <c r="J1586" i="73"/>
  <c r="K1585" i="73"/>
  <c r="J1585" i="73"/>
  <c r="K1584" i="73"/>
  <c r="J1584" i="73"/>
  <c r="K1578" i="73"/>
  <c r="J1578" i="73"/>
  <c r="K1582" i="73"/>
  <c r="J1582" i="73"/>
  <c r="K1581" i="73"/>
  <c r="J1581" i="73"/>
  <c r="K1580" i="73"/>
  <c r="J1580" i="73"/>
  <c r="K1579" i="73"/>
  <c r="J1579" i="73"/>
  <c r="K1573" i="73"/>
  <c r="J1573" i="73"/>
  <c r="K1577" i="73"/>
  <c r="J1577" i="73"/>
  <c r="K1576" i="73"/>
  <c r="J1576" i="73"/>
  <c r="K1575" i="73"/>
  <c r="J1575" i="73"/>
  <c r="K1574" i="73"/>
  <c r="J1574" i="73"/>
  <c r="K1568" i="73"/>
  <c r="J1568" i="73"/>
  <c r="K1572" i="73"/>
  <c r="J1572" i="73"/>
  <c r="K1571" i="73"/>
  <c r="J1571" i="73"/>
  <c r="K1570" i="73"/>
  <c r="J1570" i="73"/>
  <c r="K1569" i="73"/>
  <c r="J1569" i="73"/>
  <c r="K1563" i="73"/>
  <c r="J1563" i="73"/>
  <c r="K1567" i="73"/>
  <c r="J1567" i="73"/>
  <c r="K1566" i="73"/>
  <c r="J1566" i="73"/>
  <c r="K1565" i="73"/>
  <c r="J1565" i="73"/>
  <c r="K1564" i="73"/>
  <c r="J1564" i="73"/>
  <c r="K1558" i="73"/>
  <c r="J1558" i="73"/>
  <c r="K1562" i="73"/>
  <c r="J1562" i="73"/>
  <c r="K1561" i="73"/>
  <c r="J1561" i="73"/>
  <c r="K1560" i="73"/>
  <c r="J1560" i="73"/>
  <c r="K1559" i="73"/>
  <c r="J1559" i="73"/>
  <c r="K1553" i="73"/>
  <c r="J1553" i="73"/>
  <c r="K1557" i="73"/>
  <c r="J1557" i="73"/>
  <c r="K1556" i="73"/>
  <c r="J1556" i="73"/>
  <c r="K1555" i="73"/>
  <c r="J1555" i="73"/>
  <c r="K1554" i="73"/>
  <c r="J1554" i="73"/>
  <c r="K1548" i="73"/>
  <c r="J1548" i="73"/>
  <c r="K1552" i="73"/>
  <c r="J1552" i="73"/>
  <c r="K1551" i="73"/>
  <c r="J1551" i="73"/>
  <c r="K1550" i="73"/>
  <c r="J1550" i="73"/>
  <c r="K1549" i="73"/>
  <c r="J1549" i="73"/>
  <c r="K1543" i="73"/>
  <c r="J1543" i="73"/>
  <c r="K1547" i="73"/>
  <c r="J1547" i="73"/>
  <c r="K1546" i="73"/>
  <c r="J1546" i="73"/>
  <c r="K1545" i="73"/>
  <c r="J1545" i="73"/>
  <c r="K1544" i="73"/>
  <c r="J1544" i="73"/>
  <c r="K1540" i="73"/>
  <c r="J1540" i="73"/>
  <c r="K1542" i="73"/>
  <c r="J1542" i="73"/>
  <c r="K1541" i="73"/>
  <c r="J1541" i="73"/>
  <c r="K1537" i="73"/>
  <c r="J1537" i="73"/>
  <c r="K1539" i="73"/>
  <c r="J1539" i="73"/>
  <c r="K1538" i="73"/>
  <c r="J1538" i="73"/>
  <c r="K1534" i="73"/>
  <c r="J1534" i="73"/>
  <c r="K1536" i="73"/>
  <c r="J1536" i="73"/>
  <c r="K1535" i="73"/>
  <c r="J1535" i="73"/>
  <c r="K1531" i="73"/>
  <c r="J1531" i="73"/>
  <c r="K1533" i="73"/>
  <c r="J1533" i="73"/>
  <c r="K1532" i="73"/>
  <c r="J1532" i="73"/>
  <c r="K1529" i="73"/>
  <c r="J1529" i="73"/>
  <c r="K1530" i="73"/>
  <c r="J1530" i="73"/>
  <c r="K1517" i="73"/>
  <c r="J1517" i="73"/>
  <c r="K1527" i="73"/>
  <c r="J1527" i="73"/>
  <c r="K1526" i="73"/>
  <c r="J1526" i="73"/>
  <c r="K1525" i="73"/>
  <c r="J1525" i="73"/>
  <c r="K1524" i="73"/>
  <c r="J1524" i="73"/>
  <c r="K1523" i="73"/>
  <c r="J1523" i="73"/>
  <c r="K1522" i="73"/>
  <c r="J1522" i="73"/>
  <c r="K1520" i="73"/>
  <c r="J1520" i="73"/>
  <c r="K1521" i="73"/>
  <c r="J1521" i="73"/>
  <c r="K1518" i="73"/>
  <c r="J1518" i="73"/>
  <c r="K1519" i="73"/>
  <c r="J1519" i="73"/>
  <c r="K1466" i="73"/>
  <c r="J1466" i="73"/>
  <c r="K1516" i="73"/>
  <c r="J1516" i="73"/>
  <c r="K1515" i="73"/>
  <c r="J1515" i="73"/>
  <c r="K1514" i="73"/>
  <c r="J1514" i="73"/>
  <c r="K1513" i="73"/>
  <c r="J1513" i="73"/>
  <c r="K1512" i="73"/>
  <c r="J1512" i="73"/>
  <c r="K1511" i="73"/>
  <c r="J1511" i="73"/>
  <c r="K1510" i="73"/>
  <c r="J1510" i="73"/>
  <c r="K1508" i="73"/>
  <c r="J1508" i="73"/>
  <c r="K1509" i="73"/>
  <c r="J1509" i="73"/>
  <c r="K1467" i="73"/>
  <c r="J1467" i="73"/>
  <c r="K1507" i="73"/>
  <c r="J1507" i="73"/>
  <c r="K1506" i="73"/>
  <c r="J1506" i="73"/>
  <c r="K1505" i="73"/>
  <c r="J1505" i="73"/>
  <c r="K1504" i="73"/>
  <c r="J1504" i="73"/>
  <c r="K1503" i="73"/>
  <c r="J1503" i="73"/>
  <c r="K1501" i="73"/>
  <c r="J1501" i="73"/>
  <c r="K1502" i="73"/>
  <c r="J1502" i="73"/>
  <c r="K1499" i="73"/>
  <c r="J1499" i="73"/>
  <c r="K1500" i="73"/>
  <c r="J1500" i="73"/>
  <c r="K1497" i="73"/>
  <c r="J1497" i="73"/>
  <c r="K1498" i="73"/>
  <c r="J1498" i="73"/>
  <c r="K1490" i="73"/>
  <c r="J1490" i="73"/>
  <c r="K1496" i="73"/>
  <c r="J1496" i="73"/>
  <c r="K1495" i="73"/>
  <c r="J1495" i="73"/>
  <c r="K1493" i="73"/>
  <c r="J1493" i="73"/>
  <c r="K1494" i="73"/>
  <c r="J1494" i="73"/>
  <c r="K1491" i="73"/>
  <c r="J1491" i="73"/>
  <c r="K1492" i="73"/>
  <c r="J1492" i="73"/>
  <c r="K1479" i="73"/>
  <c r="J1479" i="73"/>
  <c r="K1489" i="73"/>
  <c r="J1489" i="73"/>
  <c r="K1488" i="73"/>
  <c r="J1488" i="73"/>
  <c r="K1486" i="73"/>
  <c r="J1486" i="73"/>
  <c r="K1487" i="73"/>
  <c r="J1487" i="73"/>
  <c r="K1484" i="73"/>
  <c r="J1484" i="73"/>
  <c r="K1485" i="73"/>
  <c r="J1485" i="73"/>
  <c r="K1482" i="73"/>
  <c r="J1482" i="73"/>
  <c r="K1483" i="73"/>
  <c r="J1483" i="73"/>
  <c r="K1480" i="73"/>
  <c r="J1480" i="73"/>
  <c r="K1481" i="73"/>
  <c r="J1481" i="73"/>
  <c r="K1468" i="73"/>
  <c r="J1468" i="73"/>
  <c r="K1478" i="73"/>
  <c r="J1478" i="73"/>
  <c r="K1477" i="73"/>
  <c r="J1477" i="73"/>
  <c r="K1475" i="73"/>
  <c r="J1475" i="73"/>
  <c r="K1476" i="73"/>
  <c r="J1476" i="73"/>
  <c r="K1473" i="73"/>
  <c r="J1473" i="73"/>
  <c r="K1474" i="73"/>
  <c r="J1474" i="73"/>
  <c r="K1471" i="73"/>
  <c r="J1471" i="73"/>
  <c r="K1472" i="73"/>
  <c r="J1472" i="73"/>
  <c r="K1469" i="73"/>
  <c r="J1469" i="73"/>
  <c r="K1470" i="73"/>
  <c r="J1470" i="73"/>
  <c r="K1422" i="73"/>
  <c r="J1422" i="73"/>
  <c r="K1465" i="73"/>
  <c r="J1465" i="73"/>
  <c r="K1464" i="73"/>
  <c r="J1464" i="73"/>
  <c r="K1463" i="73"/>
  <c r="J1463" i="73"/>
  <c r="K1436" i="73"/>
  <c r="J1436" i="73"/>
  <c r="K1462" i="73"/>
  <c r="J1462" i="73"/>
  <c r="K1461" i="73"/>
  <c r="J1461" i="73"/>
  <c r="K1460" i="73"/>
  <c r="J1460" i="73"/>
  <c r="K1459" i="73"/>
  <c r="J1459" i="73"/>
  <c r="K1458" i="73"/>
  <c r="J1458" i="73"/>
  <c r="K1457" i="73"/>
  <c r="J1457" i="73"/>
  <c r="K1456" i="73"/>
  <c r="J1456" i="73"/>
  <c r="K1454" i="73"/>
  <c r="J1454" i="73"/>
  <c r="K1455" i="73"/>
  <c r="J1455" i="73"/>
  <c r="K1452" i="73"/>
  <c r="J1452" i="73"/>
  <c r="K1453" i="73"/>
  <c r="J1453" i="73"/>
  <c r="K1450" i="73"/>
  <c r="J1450" i="73"/>
  <c r="K1451" i="73"/>
  <c r="J1451" i="73"/>
  <c r="K1448" i="73"/>
  <c r="J1448" i="73"/>
  <c r="K1449" i="73"/>
  <c r="J1449" i="73"/>
  <c r="K1446" i="73"/>
  <c r="J1446" i="73"/>
  <c r="K1447" i="73"/>
  <c r="J1447" i="73"/>
  <c r="K1437" i="73"/>
  <c r="J1437" i="73"/>
  <c r="K1445" i="73"/>
  <c r="J1445" i="73"/>
  <c r="K1444" i="73"/>
  <c r="J1444" i="73"/>
  <c r="K1442" i="73"/>
  <c r="J1442" i="73"/>
  <c r="K1443" i="73"/>
  <c r="J1443" i="73"/>
  <c r="K1440" i="73"/>
  <c r="J1440" i="73"/>
  <c r="K1441" i="73"/>
  <c r="J1441" i="73"/>
  <c r="K1438" i="73"/>
  <c r="J1438" i="73"/>
  <c r="K1439" i="73"/>
  <c r="J1439" i="73"/>
  <c r="K1423" i="73"/>
  <c r="J1423" i="73"/>
  <c r="K1435" i="73"/>
  <c r="J1435" i="73"/>
  <c r="K1434" i="73"/>
  <c r="J1434" i="73"/>
  <c r="K1433" i="73"/>
  <c r="J1433" i="73"/>
  <c r="K1432" i="73"/>
  <c r="J1432" i="73"/>
  <c r="K1431" i="73"/>
  <c r="J1431" i="73"/>
  <c r="K1430" i="73"/>
  <c r="J1430" i="73"/>
  <c r="K1428" i="73"/>
  <c r="J1428" i="73"/>
  <c r="K1429" i="73"/>
  <c r="J1429" i="73"/>
  <c r="K1426" i="73"/>
  <c r="J1426" i="73"/>
  <c r="K1427" i="73"/>
  <c r="J1427" i="73"/>
  <c r="K1424" i="73"/>
  <c r="J1424" i="73"/>
  <c r="K1425" i="73"/>
  <c r="J1425" i="73"/>
  <c r="K1387" i="73"/>
  <c r="J1387" i="73"/>
  <c r="K1421" i="73"/>
  <c r="J1421" i="73"/>
  <c r="K1420" i="73"/>
  <c r="J1420" i="73"/>
  <c r="K1419" i="73"/>
  <c r="J1419" i="73"/>
  <c r="K1414" i="73"/>
  <c r="J1414" i="73"/>
  <c r="K1418" i="73"/>
  <c r="J1418" i="73"/>
  <c r="K1417" i="73"/>
  <c r="J1417" i="73"/>
  <c r="K1416" i="73"/>
  <c r="J1416" i="73"/>
  <c r="K1415" i="73"/>
  <c r="J1415" i="73"/>
  <c r="K1401" i="73"/>
  <c r="J1401" i="73"/>
  <c r="K1413" i="73"/>
  <c r="J1413" i="73"/>
  <c r="K1412" i="73"/>
  <c r="J1412" i="73"/>
  <c r="K1411" i="73"/>
  <c r="J1411" i="73"/>
  <c r="K1410" i="73"/>
  <c r="J1410" i="73"/>
  <c r="K1409" i="73"/>
  <c r="J1409" i="73"/>
  <c r="K1408" i="73"/>
  <c r="J1408" i="73"/>
  <c r="K1406" i="73"/>
  <c r="J1406" i="73"/>
  <c r="K1407" i="73"/>
  <c r="J1407" i="73"/>
  <c r="K1404" i="73"/>
  <c r="J1404" i="73"/>
  <c r="K1405" i="73"/>
  <c r="J1405" i="73"/>
  <c r="K1402" i="73"/>
  <c r="J1402" i="73"/>
  <c r="K1403" i="73"/>
  <c r="J1403" i="73"/>
  <c r="K1388" i="73"/>
  <c r="J1388" i="73"/>
  <c r="K1400" i="73"/>
  <c r="J1400" i="73"/>
  <c r="K1399" i="73"/>
  <c r="J1399" i="73"/>
  <c r="K1398" i="73"/>
  <c r="J1398" i="73"/>
  <c r="K1397" i="73"/>
  <c r="J1397" i="73"/>
  <c r="K1396" i="73"/>
  <c r="J1396" i="73"/>
  <c r="K1395" i="73"/>
  <c r="J1395" i="73"/>
  <c r="K1393" i="73"/>
  <c r="J1393" i="73"/>
  <c r="K1394" i="73"/>
  <c r="J1394" i="73"/>
  <c r="K1391" i="73"/>
  <c r="J1391" i="73"/>
  <c r="K1392" i="73"/>
  <c r="J1392" i="73"/>
  <c r="K1389" i="73"/>
  <c r="J1389" i="73"/>
  <c r="K1390" i="73"/>
  <c r="J1390" i="73"/>
  <c r="K1347" i="73"/>
  <c r="J1347" i="73"/>
  <c r="K1386" i="73"/>
  <c r="J1386" i="73"/>
  <c r="K1385" i="73"/>
  <c r="J1385" i="73"/>
  <c r="K1384" i="73"/>
  <c r="J1384" i="73"/>
  <c r="K1383" i="73"/>
  <c r="J1383" i="73"/>
  <c r="K1382" i="73"/>
  <c r="J1382" i="73"/>
  <c r="K1381" i="73"/>
  <c r="J1381" i="73"/>
  <c r="K1380" i="73"/>
  <c r="J1380" i="73"/>
  <c r="K1379" i="73"/>
  <c r="J1379" i="73"/>
  <c r="K1378" i="73"/>
  <c r="J1378" i="73"/>
  <c r="K1377" i="73"/>
  <c r="J1377" i="73"/>
  <c r="K1376" i="73"/>
  <c r="J1376" i="73"/>
  <c r="K1374" i="73"/>
  <c r="J1374" i="73"/>
  <c r="K1375" i="73"/>
  <c r="J1375" i="73"/>
  <c r="K1370" i="73"/>
  <c r="J1370" i="73"/>
  <c r="K1373" i="73"/>
  <c r="J1373" i="73"/>
  <c r="K1372" i="73"/>
  <c r="J1372" i="73"/>
  <c r="K1371" i="73"/>
  <c r="J1371" i="73"/>
  <c r="K1368" i="73"/>
  <c r="J1368" i="73"/>
  <c r="K1369" i="73"/>
  <c r="J1369" i="73"/>
  <c r="K1366" i="73"/>
  <c r="J1366" i="73"/>
  <c r="K1367" i="73"/>
  <c r="J1367" i="73"/>
  <c r="K1360" i="73"/>
  <c r="J1360" i="73"/>
  <c r="K1365" i="73"/>
  <c r="J1365" i="73"/>
  <c r="K1364" i="73"/>
  <c r="J1364" i="73"/>
  <c r="K1363" i="73"/>
  <c r="J1363" i="73"/>
  <c r="K1361" i="73"/>
  <c r="J1361" i="73"/>
  <c r="K1362" i="73"/>
  <c r="J1362" i="73"/>
  <c r="K1348" i="73"/>
  <c r="J1348" i="73"/>
  <c r="K1359" i="73"/>
  <c r="J1359" i="73"/>
  <c r="K1358" i="73"/>
  <c r="J1358" i="73"/>
  <c r="K1357" i="73"/>
  <c r="J1357" i="73"/>
  <c r="K1356" i="73"/>
  <c r="J1356" i="73"/>
  <c r="K1355" i="73"/>
  <c r="J1355" i="73"/>
  <c r="K1354" i="73"/>
  <c r="J1354" i="73"/>
  <c r="K1353" i="73"/>
  <c r="J1353" i="73"/>
  <c r="K1351" i="73"/>
  <c r="J1351" i="73"/>
  <c r="K1352" i="73"/>
  <c r="J1352" i="73"/>
  <c r="K1349" i="73"/>
  <c r="J1349" i="73"/>
  <c r="K1350" i="73"/>
  <c r="J1350" i="73"/>
  <c r="K1336" i="73"/>
  <c r="J1336" i="73"/>
  <c r="K1346" i="73"/>
  <c r="J1346" i="73"/>
  <c r="K1345" i="73"/>
  <c r="J1345" i="73"/>
  <c r="K1343" i="73"/>
  <c r="J1343" i="73"/>
  <c r="K1344" i="73"/>
  <c r="J1344" i="73"/>
  <c r="K1337" i="73"/>
  <c r="J1337" i="73"/>
  <c r="K1342" i="73"/>
  <c r="J1342" i="73"/>
  <c r="K1341" i="73"/>
  <c r="J1341" i="73"/>
  <c r="K1340" i="73"/>
  <c r="J1340" i="73"/>
  <c r="K1339" i="73"/>
  <c r="J1339" i="73"/>
  <c r="K1338" i="73"/>
  <c r="J1338" i="73"/>
  <c r="K1292" i="73"/>
  <c r="J1292" i="73"/>
  <c r="K1333" i="73"/>
  <c r="J1333" i="73"/>
  <c r="K1332" i="73"/>
  <c r="J1332" i="73"/>
  <c r="K1331" i="73"/>
  <c r="J1331" i="73"/>
  <c r="K1329" i="73"/>
  <c r="J1329" i="73"/>
  <c r="K1330" i="73"/>
  <c r="J1330" i="73"/>
  <c r="K1327" i="73"/>
  <c r="J1327" i="73"/>
  <c r="K1328" i="73"/>
  <c r="J1328" i="73"/>
  <c r="K1325" i="73"/>
  <c r="J1325" i="73"/>
  <c r="K1326" i="73"/>
  <c r="J1326" i="73"/>
  <c r="K1323" i="73"/>
  <c r="J1323" i="73"/>
  <c r="K1324" i="73"/>
  <c r="J1324" i="73"/>
  <c r="K1321" i="73"/>
  <c r="J1321" i="73"/>
  <c r="K1322" i="73"/>
  <c r="J1322" i="73"/>
  <c r="K1319" i="73"/>
  <c r="J1319" i="73"/>
  <c r="K1320" i="73"/>
  <c r="J1320" i="73"/>
  <c r="K1317" i="73"/>
  <c r="J1317" i="73"/>
  <c r="K1318" i="73"/>
  <c r="J1318" i="73"/>
  <c r="K1293" i="73"/>
  <c r="J1293" i="73"/>
  <c r="K1300" i="73"/>
  <c r="J1300" i="73"/>
  <c r="K1316" i="73"/>
  <c r="J1316" i="73"/>
  <c r="K1315" i="73"/>
  <c r="J1315" i="73"/>
  <c r="K1314" i="73"/>
  <c r="J1314" i="73"/>
  <c r="K1312" i="73"/>
  <c r="J1312" i="73"/>
  <c r="K1313" i="73"/>
  <c r="J1313" i="73"/>
  <c r="K1301" i="73"/>
  <c r="J1301" i="73"/>
  <c r="K1311" i="73"/>
  <c r="J1311" i="73"/>
  <c r="K1310" i="73"/>
  <c r="J1310" i="73"/>
  <c r="K1309" i="73"/>
  <c r="J1309" i="73"/>
  <c r="K1308" i="73"/>
  <c r="J1308" i="73"/>
  <c r="K1307" i="73"/>
  <c r="J1307" i="73"/>
  <c r="K1306" i="73"/>
  <c r="J1306" i="73"/>
  <c r="K1304" i="73"/>
  <c r="J1304" i="73"/>
  <c r="K1305" i="73"/>
  <c r="J1305" i="73"/>
  <c r="K1302" i="73"/>
  <c r="J1302" i="73"/>
  <c r="K1303" i="73"/>
  <c r="J1303" i="73"/>
  <c r="K1294" i="73"/>
  <c r="J1294" i="73"/>
  <c r="K1299" i="73"/>
  <c r="J1299" i="73"/>
  <c r="K1297" i="73"/>
  <c r="J1297" i="73"/>
  <c r="K1298" i="73"/>
  <c r="J1298" i="73"/>
  <c r="K1295" i="73"/>
  <c r="J1295" i="73"/>
  <c r="K1296" i="73"/>
  <c r="J1296" i="73"/>
  <c r="K1022" i="73"/>
  <c r="J1022" i="73"/>
  <c r="K1291" i="73"/>
  <c r="J1291" i="73"/>
  <c r="K1290" i="73"/>
  <c r="J1290" i="73"/>
  <c r="K1289" i="73"/>
  <c r="J1289" i="73"/>
  <c r="K1288" i="73"/>
  <c r="J1288" i="73"/>
  <c r="K1287" i="73"/>
  <c r="J1287" i="73"/>
  <c r="K1286" i="73"/>
  <c r="J1286" i="73"/>
  <c r="K1285" i="73"/>
  <c r="J1285" i="73"/>
  <c r="K1284" i="73"/>
  <c r="J1284" i="73"/>
  <c r="K1283" i="73"/>
  <c r="J1283" i="73"/>
  <c r="K1282" i="73"/>
  <c r="J1282" i="73"/>
  <c r="K1281" i="73"/>
  <c r="J1281" i="73"/>
  <c r="K1280" i="73"/>
  <c r="J1280" i="73"/>
  <c r="K1279" i="73"/>
  <c r="J1279" i="73"/>
  <c r="K1278" i="73"/>
  <c r="J1278" i="73"/>
  <c r="K1277" i="73"/>
  <c r="J1277" i="73"/>
  <c r="K1276" i="73"/>
  <c r="J1276" i="73"/>
  <c r="K1275" i="73"/>
  <c r="J1275" i="73"/>
  <c r="K1274" i="73"/>
  <c r="J1274" i="73"/>
  <c r="K1273" i="73"/>
  <c r="J1273" i="73"/>
  <c r="K1272" i="73"/>
  <c r="J1272" i="73"/>
  <c r="K1271" i="73"/>
  <c r="J1271" i="73"/>
  <c r="K1270" i="73"/>
  <c r="J1270" i="73"/>
  <c r="K1268" i="73"/>
  <c r="J1268" i="73"/>
  <c r="K1269" i="73"/>
  <c r="J1269" i="73"/>
  <c r="K1266" i="73"/>
  <c r="J1266" i="73"/>
  <c r="K1267" i="73"/>
  <c r="J1267" i="73"/>
  <c r="K1260" i="73"/>
  <c r="J1260" i="73"/>
  <c r="K1265" i="73"/>
  <c r="J1265" i="73"/>
  <c r="K1264" i="73"/>
  <c r="J1264" i="73"/>
  <c r="K1263" i="73"/>
  <c r="J1263" i="73"/>
  <c r="K1262" i="73"/>
  <c r="J1262" i="73"/>
  <c r="K1261" i="73"/>
  <c r="J1261" i="73"/>
  <c r="K1258" i="73"/>
  <c r="J1258" i="73"/>
  <c r="K1259" i="73"/>
  <c r="J1259" i="73"/>
  <c r="K1256" i="73"/>
  <c r="J1256" i="73"/>
  <c r="K1257" i="73"/>
  <c r="J1257" i="73"/>
  <c r="K1250" i="73"/>
  <c r="J1250" i="73"/>
  <c r="K1255" i="73"/>
  <c r="J1255" i="73"/>
  <c r="K1254" i="73"/>
  <c r="J1254" i="73"/>
  <c r="K1253" i="73"/>
  <c r="J1253" i="73"/>
  <c r="K1252" i="73"/>
  <c r="J1252" i="73"/>
  <c r="K1251" i="73"/>
  <c r="J1251" i="73"/>
  <c r="K1248" i="73"/>
  <c r="J1248" i="73"/>
  <c r="K1249" i="73"/>
  <c r="J1249" i="73"/>
  <c r="K1246" i="73"/>
  <c r="J1246" i="73"/>
  <c r="K1247" i="73"/>
  <c r="J1247" i="73"/>
  <c r="K1244" i="73"/>
  <c r="J1244" i="73"/>
  <c r="K1245" i="73"/>
  <c r="J1245" i="73"/>
  <c r="K1242" i="73"/>
  <c r="J1242" i="73"/>
  <c r="K1243" i="73"/>
  <c r="J1243" i="73"/>
  <c r="K1240" i="73"/>
  <c r="J1240" i="73"/>
  <c r="K1241" i="73"/>
  <c r="J1241" i="73"/>
  <c r="K1238" i="73"/>
  <c r="J1238" i="73"/>
  <c r="K1239" i="73"/>
  <c r="J1239" i="73"/>
  <c r="K1236" i="73"/>
  <c r="J1236" i="73"/>
  <c r="K1237" i="73"/>
  <c r="J1237" i="73"/>
  <c r="K1230" i="73"/>
  <c r="J1230" i="73"/>
  <c r="K1235" i="73"/>
  <c r="J1235" i="73"/>
  <c r="K1234" i="73"/>
  <c r="J1234" i="73"/>
  <c r="K1233" i="73"/>
  <c r="J1233" i="73"/>
  <c r="K1232" i="73"/>
  <c r="J1232" i="73"/>
  <c r="K1231" i="73"/>
  <c r="J1231" i="73"/>
  <c r="K1226" i="73"/>
  <c r="J1226" i="73"/>
  <c r="K1229" i="73"/>
  <c r="J1229" i="73"/>
  <c r="K1227" i="73"/>
  <c r="J1227" i="73"/>
  <c r="K1228" i="73"/>
  <c r="J1228" i="73"/>
  <c r="K1216" i="73"/>
  <c r="J1216" i="73"/>
  <c r="K1225" i="73"/>
  <c r="J1225" i="73"/>
  <c r="K1224" i="73"/>
  <c r="J1224" i="73"/>
  <c r="K1223" i="73"/>
  <c r="J1223" i="73"/>
  <c r="K1221" i="73"/>
  <c r="J1221" i="73"/>
  <c r="K1222" i="73"/>
  <c r="J1222" i="73"/>
  <c r="K1219" i="73"/>
  <c r="J1219" i="73"/>
  <c r="K1220" i="73"/>
  <c r="J1220" i="73"/>
  <c r="K1217" i="73"/>
  <c r="J1217" i="73"/>
  <c r="K1218" i="73"/>
  <c r="J1218" i="73"/>
  <c r="K1166" i="73"/>
  <c r="J1166" i="73"/>
  <c r="K1215" i="73"/>
  <c r="J1215" i="73"/>
  <c r="K1214" i="73"/>
  <c r="J1214" i="73"/>
  <c r="K1213" i="73"/>
  <c r="J1213" i="73"/>
  <c r="K1207" i="73"/>
  <c r="J1207" i="73"/>
  <c r="K1212" i="73"/>
  <c r="J1212" i="73"/>
  <c r="K1211" i="73"/>
  <c r="J1211" i="73"/>
  <c r="K1210" i="73"/>
  <c r="J1210" i="73"/>
  <c r="K1209" i="73"/>
  <c r="J1209" i="73"/>
  <c r="K1208" i="73"/>
  <c r="J1208" i="73"/>
  <c r="K1205" i="73"/>
  <c r="J1205" i="73"/>
  <c r="K1206" i="73"/>
  <c r="J1206" i="73"/>
  <c r="K1203" i="73"/>
  <c r="J1203" i="73"/>
  <c r="K1204" i="73"/>
  <c r="J1204" i="73"/>
  <c r="K1201" i="73"/>
  <c r="J1201" i="73"/>
  <c r="K1202" i="73"/>
  <c r="J1202" i="73"/>
  <c r="K1184" i="73"/>
  <c r="J1184" i="73"/>
  <c r="K1200" i="73"/>
  <c r="J1200" i="73"/>
  <c r="K1199" i="73"/>
  <c r="J1199" i="73"/>
  <c r="K1198" i="73"/>
  <c r="J1198" i="73"/>
  <c r="K1197" i="73"/>
  <c r="J1197" i="73"/>
  <c r="K1196" i="73"/>
  <c r="J1196" i="73"/>
  <c r="K1195" i="73"/>
  <c r="J1195" i="73"/>
  <c r="K1194" i="73"/>
  <c r="J1194" i="73"/>
  <c r="K1192" i="73"/>
  <c r="J1192" i="73"/>
  <c r="K1193" i="73"/>
  <c r="J1193" i="73"/>
  <c r="K1185" i="73"/>
  <c r="J1185" i="73"/>
  <c r="K1191" i="73"/>
  <c r="J1191" i="73"/>
  <c r="K1190" i="73"/>
  <c r="J1190" i="73"/>
  <c r="K1188" i="73"/>
  <c r="J1188" i="73"/>
  <c r="K1189" i="73"/>
  <c r="J1189" i="73"/>
  <c r="K1186" i="73"/>
  <c r="J1186" i="73"/>
  <c r="K1187" i="73"/>
  <c r="J1187" i="73"/>
  <c r="K1167" i="73"/>
  <c r="J1167" i="73"/>
  <c r="K1183" i="73"/>
  <c r="J1183" i="73"/>
  <c r="K1182" i="73"/>
  <c r="J1182" i="73"/>
  <c r="K1181" i="73"/>
  <c r="J1181" i="73"/>
  <c r="K1180" i="73"/>
  <c r="J1180" i="73"/>
  <c r="K1179" i="73"/>
  <c r="J1179" i="73"/>
  <c r="K1178" i="73"/>
  <c r="J1178" i="73"/>
  <c r="K1177" i="73"/>
  <c r="J1177" i="73"/>
  <c r="K1175" i="73"/>
  <c r="J1175" i="73"/>
  <c r="K1176" i="73"/>
  <c r="J1176" i="73"/>
  <c r="K1168" i="73"/>
  <c r="J1168" i="73"/>
  <c r="K1174" i="73"/>
  <c r="J1174" i="73"/>
  <c r="K1173" i="73"/>
  <c r="J1173" i="73"/>
  <c r="K1171" i="73"/>
  <c r="J1171" i="73"/>
  <c r="K1172" i="73"/>
  <c r="J1172" i="73"/>
  <c r="K1169" i="73"/>
  <c r="J1169" i="73"/>
  <c r="K1170" i="73"/>
  <c r="J1170" i="73"/>
  <c r="K1139" i="73"/>
  <c r="J1139" i="73"/>
  <c r="K1165" i="73"/>
  <c r="J1165" i="73"/>
  <c r="K1164" i="73"/>
  <c r="J1164" i="73"/>
  <c r="K1163" i="73"/>
  <c r="J1163" i="73"/>
  <c r="K1157" i="73"/>
  <c r="J1157" i="73"/>
  <c r="K1162" i="73"/>
  <c r="J1162" i="73"/>
  <c r="K1161" i="73"/>
  <c r="J1161" i="73"/>
  <c r="K1160" i="73"/>
  <c r="J1160" i="73"/>
  <c r="K1159" i="73"/>
  <c r="J1159" i="73"/>
  <c r="K1158" i="73"/>
  <c r="J1158" i="73"/>
  <c r="K1140" i="73"/>
  <c r="J1140" i="73"/>
  <c r="K1156" i="73"/>
  <c r="J1156" i="73"/>
  <c r="K1155" i="73"/>
  <c r="J1155" i="73"/>
  <c r="K1154" i="73"/>
  <c r="J1154" i="73"/>
  <c r="K1153" i="73"/>
  <c r="J1153" i="73"/>
  <c r="K1152" i="73"/>
  <c r="J1152" i="73"/>
  <c r="K1151" i="73"/>
  <c r="J1151" i="73"/>
  <c r="K1149" i="73"/>
  <c r="J1149" i="73"/>
  <c r="K1150" i="73"/>
  <c r="J1150" i="73"/>
  <c r="K1147" i="73"/>
  <c r="J1147" i="73"/>
  <c r="K1148" i="73"/>
  <c r="J1148" i="73"/>
  <c r="K1145" i="73"/>
  <c r="J1145" i="73"/>
  <c r="K1146" i="73"/>
  <c r="J1146" i="73"/>
  <c r="K1143" i="73"/>
  <c r="J1143" i="73"/>
  <c r="K1144" i="73"/>
  <c r="J1144" i="73"/>
  <c r="K1141" i="73"/>
  <c r="J1141" i="73"/>
  <c r="K1142" i="73"/>
  <c r="J1142" i="73"/>
  <c r="K1115" i="73"/>
  <c r="J1115" i="73"/>
  <c r="K1138" i="73"/>
  <c r="J1138" i="73"/>
  <c r="K1137" i="73"/>
  <c r="J1137" i="73"/>
  <c r="K1136" i="73"/>
  <c r="J1136" i="73"/>
  <c r="K1135" i="73"/>
  <c r="J1135" i="73"/>
  <c r="K1129" i="73"/>
  <c r="J1129" i="73"/>
  <c r="K1134" i="73"/>
  <c r="J1134" i="73"/>
  <c r="K1133" i="73"/>
  <c r="J1133" i="73"/>
  <c r="K1132" i="73"/>
  <c r="J1132" i="73"/>
  <c r="K1131" i="73"/>
  <c r="J1131" i="73"/>
  <c r="K1130" i="73"/>
  <c r="J1130" i="73"/>
  <c r="K1116" i="73"/>
  <c r="J1116" i="73"/>
  <c r="K1128" i="73"/>
  <c r="J1128" i="73"/>
  <c r="K1127" i="73"/>
  <c r="J1127" i="73"/>
  <c r="K1126" i="73"/>
  <c r="J1126" i="73"/>
  <c r="K1125" i="73"/>
  <c r="J1125" i="73"/>
  <c r="K1124" i="73"/>
  <c r="J1124" i="73"/>
  <c r="K1123" i="73"/>
  <c r="J1123" i="73"/>
  <c r="K1121" i="73"/>
  <c r="J1121" i="73"/>
  <c r="K1122" i="73"/>
  <c r="J1122" i="73"/>
  <c r="K1119" i="73"/>
  <c r="J1119" i="73"/>
  <c r="K1120" i="73"/>
  <c r="J1120" i="73"/>
  <c r="K1117" i="73"/>
  <c r="J1117" i="73"/>
  <c r="K1118" i="73"/>
  <c r="J1118" i="73"/>
  <c r="K1096" i="73"/>
  <c r="J1096" i="73"/>
  <c r="K1114" i="73"/>
  <c r="J1114" i="73"/>
  <c r="K1112" i="73"/>
  <c r="J1112" i="73"/>
  <c r="K1113" i="73"/>
  <c r="J1113" i="73"/>
  <c r="K1097" i="73"/>
  <c r="J1097" i="73"/>
  <c r="K1111" i="73"/>
  <c r="J1111" i="73"/>
  <c r="K1110" i="73"/>
  <c r="J1110" i="73"/>
  <c r="K1109" i="73"/>
  <c r="J1109" i="73"/>
  <c r="K1108" i="73"/>
  <c r="J1108" i="73"/>
  <c r="K1107" i="73"/>
  <c r="J1107" i="73"/>
  <c r="K1106" i="73"/>
  <c r="J1106" i="73"/>
  <c r="K1105" i="73"/>
  <c r="J1105" i="73"/>
  <c r="K1104" i="73"/>
  <c r="J1104" i="73"/>
  <c r="K1102" i="73"/>
  <c r="J1102" i="73"/>
  <c r="K1103" i="73"/>
  <c r="J1103" i="73"/>
  <c r="K1100" i="73"/>
  <c r="J1100" i="73"/>
  <c r="K1101" i="73"/>
  <c r="J1101" i="73"/>
  <c r="K1098" i="73"/>
  <c r="J1098" i="73"/>
  <c r="K1099" i="73"/>
  <c r="J1099" i="73"/>
  <c r="K1045" i="73"/>
  <c r="J1045" i="73"/>
  <c r="K1095" i="73"/>
  <c r="J1095" i="73"/>
  <c r="K1094" i="73"/>
  <c r="J1094" i="73"/>
  <c r="K1093" i="73"/>
  <c r="J1093" i="73"/>
  <c r="K1092" i="73"/>
  <c r="J1092" i="73"/>
  <c r="K1091" i="73"/>
  <c r="J1091" i="73"/>
  <c r="K1089" i="73"/>
  <c r="J1089" i="73"/>
  <c r="K1090" i="73"/>
  <c r="J1090" i="73"/>
  <c r="K1087" i="73"/>
  <c r="J1087" i="73"/>
  <c r="K1088" i="73"/>
  <c r="J1088" i="73"/>
  <c r="K1081" i="73"/>
  <c r="J1081" i="73"/>
  <c r="K1086" i="73"/>
  <c r="J1086" i="73"/>
  <c r="K1085" i="73"/>
  <c r="J1085" i="73"/>
  <c r="K1084" i="73"/>
  <c r="J1084" i="73"/>
  <c r="K1083" i="73"/>
  <c r="J1083" i="73"/>
  <c r="K1082" i="73"/>
  <c r="J1082" i="73"/>
  <c r="K1075" i="73"/>
  <c r="J1075" i="73"/>
  <c r="K1080" i="73"/>
  <c r="J1080" i="73"/>
  <c r="K1079" i="73"/>
  <c r="J1079" i="73"/>
  <c r="K1078" i="73"/>
  <c r="J1078" i="73"/>
  <c r="K1077" i="73"/>
  <c r="J1077" i="73"/>
  <c r="K1076" i="73"/>
  <c r="J1076" i="73"/>
  <c r="K1069" i="73"/>
  <c r="J1069" i="73"/>
  <c r="K1074" i="73"/>
  <c r="J1074" i="73"/>
  <c r="K1073" i="73"/>
  <c r="J1073" i="73"/>
  <c r="K1072" i="73"/>
  <c r="J1072" i="73"/>
  <c r="K1071" i="73"/>
  <c r="J1071" i="73"/>
  <c r="K1070" i="73"/>
  <c r="J1070" i="73"/>
  <c r="K1046" i="73"/>
  <c r="J1046" i="73"/>
  <c r="K1068" i="73"/>
  <c r="J1068" i="73"/>
  <c r="K1067" i="73"/>
  <c r="J1067" i="73"/>
  <c r="K1066" i="73"/>
  <c r="J1066" i="73"/>
  <c r="K1065" i="73"/>
  <c r="J1065" i="73"/>
  <c r="K1064" i="73"/>
  <c r="J1064" i="73"/>
  <c r="K1063" i="73"/>
  <c r="J1063" i="73"/>
  <c r="K1061" i="73"/>
  <c r="J1061" i="73"/>
  <c r="K1062" i="73"/>
  <c r="J1062" i="73"/>
  <c r="K1059" i="73"/>
  <c r="J1059" i="73"/>
  <c r="K1060" i="73"/>
  <c r="J1060" i="73"/>
  <c r="K1054" i="73"/>
  <c r="J1054" i="73"/>
  <c r="K1058" i="73"/>
  <c r="J1058" i="73"/>
  <c r="K1057" i="73"/>
  <c r="J1057" i="73"/>
  <c r="K1055" i="73"/>
  <c r="J1055" i="73"/>
  <c r="K1056" i="73"/>
  <c r="J1056" i="73"/>
  <c r="K1047" i="73"/>
  <c r="J1047" i="73"/>
  <c r="K1053" i="73"/>
  <c r="J1053" i="73"/>
  <c r="K1052" i="73"/>
  <c r="J1052" i="73"/>
  <c r="K1050" i="73"/>
  <c r="J1050" i="73"/>
  <c r="K1051" i="73"/>
  <c r="J1051" i="73"/>
  <c r="K1048" i="73"/>
  <c r="J1048" i="73"/>
  <c r="K1049" i="73"/>
  <c r="J1049" i="73"/>
  <c r="K1034" i="73"/>
  <c r="J1034" i="73"/>
  <c r="K1044" i="73"/>
  <c r="J1044" i="73"/>
  <c r="K1043" i="73"/>
  <c r="J1043" i="73"/>
  <c r="K1041" i="73"/>
  <c r="J1041" i="73"/>
  <c r="K1042" i="73"/>
  <c r="J1042" i="73"/>
  <c r="K1035" i="73"/>
  <c r="J1035" i="73"/>
  <c r="K1040" i="73"/>
  <c r="J1040" i="73"/>
  <c r="K1039" i="73"/>
  <c r="J1039" i="73"/>
  <c r="K1038" i="73"/>
  <c r="J1038" i="73"/>
  <c r="K1037" i="73"/>
  <c r="J1037" i="73"/>
  <c r="K1036" i="73"/>
  <c r="J1036" i="73"/>
  <c r="K1023" i="73"/>
  <c r="J1023" i="73"/>
  <c r="K1033" i="73"/>
  <c r="J1033" i="73"/>
  <c r="K1032" i="73"/>
  <c r="J1032" i="73"/>
  <c r="K1030" i="73"/>
  <c r="J1030" i="73"/>
  <c r="K1031" i="73"/>
  <c r="J1031" i="73"/>
  <c r="K1024" i="73"/>
  <c r="J1024" i="73"/>
  <c r="K1029" i="73"/>
  <c r="J1029" i="73"/>
  <c r="K1028" i="73"/>
  <c r="J1028" i="73"/>
  <c r="K1027" i="73"/>
  <c r="J1027" i="73"/>
  <c r="K1026" i="73"/>
  <c r="J1026" i="73"/>
  <c r="K1025" i="73"/>
  <c r="J1025" i="73"/>
  <c r="K971" i="73"/>
  <c r="J971" i="73"/>
  <c r="K1015" i="73" a="1"/>
  <c r="K1015" i="73" s="1"/>
  <c r="J1015" i="73"/>
  <c r="K1020" i="73"/>
  <c r="J1020" i="73"/>
  <c r="K1021" i="73"/>
  <c r="J1021" i="73"/>
  <c r="K1018" i="73"/>
  <c r="J1018" i="73"/>
  <c r="K1019" i="73"/>
  <c r="J1019" i="73"/>
  <c r="K1016" i="73"/>
  <c r="J1016" i="73"/>
  <c r="K1017" i="73"/>
  <c r="J1017" i="73"/>
  <c r="K1014" i="73"/>
  <c r="J1014" i="73"/>
  <c r="K1013" i="73"/>
  <c r="J1013" i="73"/>
  <c r="K1012" i="73"/>
  <c r="J1012" i="73"/>
  <c r="K1011" i="73"/>
  <c r="J1011" i="73"/>
  <c r="K1009" i="73"/>
  <c r="J1009" i="73"/>
  <c r="K1010" i="73"/>
  <c r="J1010" i="73"/>
  <c r="K1007" i="73"/>
  <c r="J1007" i="73"/>
  <c r="K1008" i="73"/>
  <c r="J1008" i="73"/>
  <c r="K1005" i="73"/>
  <c r="J1005" i="73"/>
  <c r="K1006" i="73"/>
  <c r="J1006" i="73"/>
  <c r="K1003" i="73"/>
  <c r="J1003" i="73"/>
  <c r="K1004" i="73"/>
  <c r="J1004" i="73"/>
  <c r="K1001" i="73"/>
  <c r="J1001" i="73"/>
  <c r="K1002" i="73"/>
  <c r="J1002" i="73"/>
  <c r="K999" i="73"/>
  <c r="J999" i="73"/>
  <c r="K1000" i="73"/>
  <c r="J1000" i="73"/>
  <c r="K997" i="73"/>
  <c r="J997" i="73"/>
  <c r="K998" i="73"/>
  <c r="J998" i="73"/>
  <c r="K995" i="73"/>
  <c r="J995" i="73"/>
  <c r="K996" i="73"/>
  <c r="J996" i="73"/>
  <c r="K993" i="73"/>
  <c r="J993" i="73"/>
  <c r="K994" i="73"/>
  <c r="J994" i="73"/>
  <c r="K972" i="73"/>
  <c r="J972" i="73"/>
  <c r="K991" i="73"/>
  <c r="J991" i="73"/>
  <c r="K992" i="73"/>
  <c r="J992" i="73"/>
  <c r="K989" i="73"/>
  <c r="J989" i="73"/>
  <c r="K990" i="73"/>
  <c r="J990" i="73"/>
  <c r="K987" i="73"/>
  <c r="J987" i="73"/>
  <c r="K988" i="73"/>
  <c r="J988" i="73"/>
  <c r="K985" i="73"/>
  <c r="J985" i="73"/>
  <c r="K986" i="73"/>
  <c r="J986" i="73"/>
  <c r="K983" i="73"/>
  <c r="J983" i="73"/>
  <c r="K984" i="73"/>
  <c r="J984" i="73"/>
  <c r="K981" i="73"/>
  <c r="J981" i="73"/>
  <c r="K982" i="73"/>
  <c r="J982" i="73"/>
  <c r="K979" i="73"/>
  <c r="J979" i="73"/>
  <c r="K980" i="73"/>
  <c r="J980" i="73"/>
  <c r="K977" i="73"/>
  <c r="J977" i="73"/>
  <c r="K978" i="73"/>
  <c r="J978" i="73"/>
  <c r="K975" i="73"/>
  <c r="J975" i="73"/>
  <c r="K976" i="73"/>
  <c r="J976" i="73"/>
  <c r="K973" i="73"/>
  <c r="J973" i="73"/>
  <c r="K974" i="73"/>
  <c r="J974" i="73"/>
  <c r="K840" i="73"/>
  <c r="J840" i="73"/>
  <c r="J966" i="73"/>
  <c r="K969" i="73"/>
  <c r="J969" i="73"/>
  <c r="K970" i="73"/>
  <c r="J970" i="73"/>
  <c r="K967" i="73"/>
  <c r="J967" i="73"/>
  <c r="K966" i="73" a="1"/>
  <c r="K966" i="73" s="1"/>
  <c r="K968" i="73"/>
  <c r="J968" i="73"/>
  <c r="K965" i="73"/>
  <c r="J965" i="73"/>
  <c r="K964" i="73"/>
  <c r="J964" i="73"/>
  <c r="K963" i="73"/>
  <c r="J963" i="73"/>
  <c r="K962" i="73"/>
  <c r="J962" i="73"/>
  <c r="K961" i="73"/>
  <c r="J961" i="73"/>
  <c r="K960" i="73"/>
  <c r="J960" i="73"/>
  <c r="K959" i="73"/>
  <c r="J959" i="73"/>
  <c r="K958" i="73"/>
  <c r="J958" i="73"/>
  <c r="K957" i="73"/>
  <c r="J957" i="73"/>
  <c r="K955" i="73"/>
  <c r="J955" i="73"/>
  <c r="K956" i="73"/>
  <c r="J956" i="73"/>
  <c r="K949" i="73"/>
  <c r="J949" i="73"/>
  <c r="K954" i="73"/>
  <c r="J954" i="73"/>
  <c r="K953" i="73"/>
  <c r="J953" i="73"/>
  <c r="K952" i="73"/>
  <c r="J952" i="73"/>
  <c r="K951" i="73"/>
  <c r="J951" i="73"/>
  <c r="K950" i="73"/>
  <c r="J950" i="73"/>
  <c r="K947" i="73"/>
  <c r="J947" i="73"/>
  <c r="K948" i="73"/>
  <c r="J948" i="73"/>
  <c r="K945" i="73"/>
  <c r="J945" i="73"/>
  <c r="K946" i="73"/>
  <c r="J946" i="73"/>
  <c r="K943" i="73"/>
  <c r="J943" i="73"/>
  <c r="K944" i="73"/>
  <c r="J944" i="73"/>
  <c r="K937" i="73"/>
  <c r="J937" i="73"/>
  <c r="K942" i="73"/>
  <c r="J942" i="73"/>
  <c r="K941" i="73"/>
  <c r="J941" i="73"/>
  <c r="K940" i="73"/>
  <c r="J940" i="73"/>
  <c r="K939" i="73"/>
  <c r="J939" i="73"/>
  <c r="K938" i="73"/>
  <c r="J938" i="73"/>
  <c r="K935" i="73"/>
  <c r="J935" i="73"/>
  <c r="K936" i="73"/>
  <c r="J936" i="73"/>
  <c r="K933" i="73"/>
  <c r="J933" i="73"/>
  <c r="K934" i="73"/>
  <c r="J934" i="73"/>
  <c r="K931" i="73"/>
  <c r="J931" i="73"/>
  <c r="K932" i="73"/>
  <c r="J932" i="73"/>
  <c r="K929" i="73"/>
  <c r="J929" i="73"/>
  <c r="K930" i="73"/>
  <c r="J930" i="73"/>
  <c r="K927" i="73"/>
  <c r="J927" i="73"/>
  <c r="K928" i="73"/>
  <c r="J928" i="73"/>
  <c r="K925" i="73"/>
  <c r="J925" i="73"/>
  <c r="K926" i="73"/>
  <c r="J926" i="73"/>
  <c r="K923" i="73"/>
  <c r="J923" i="73"/>
  <c r="K924" i="73"/>
  <c r="J924" i="73"/>
  <c r="K921" i="73"/>
  <c r="J921" i="73"/>
  <c r="K922" i="73"/>
  <c r="J922" i="73"/>
  <c r="K919" i="73"/>
  <c r="J919" i="73"/>
  <c r="K920" i="73"/>
  <c r="J920" i="73"/>
  <c r="K917" i="73"/>
  <c r="J917" i="73"/>
  <c r="K918" i="73"/>
  <c r="J918" i="73"/>
  <c r="K915" i="73"/>
  <c r="J915" i="73"/>
  <c r="K916" i="73"/>
  <c r="J916" i="73"/>
  <c r="K913" i="73"/>
  <c r="J913" i="73"/>
  <c r="K914" i="73"/>
  <c r="J914" i="73"/>
  <c r="K911" i="73"/>
  <c r="J911" i="73"/>
  <c r="K912" i="73"/>
  <c r="J912" i="73"/>
  <c r="K909" i="73"/>
  <c r="J909" i="73"/>
  <c r="K910" i="73"/>
  <c r="J910" i="73"/>
  <c r="K907" i="73"/>
  <c r="J907" i="73"/>
  <c r="K908" i="73"/>
  <c r="J908" i="73"/>
  <c r="K905" i="73"/>
  <c r="J905" i="73"/>
  <c r="K906" i="73"/>
  <c r="J906" i="73"/>
  <c r="K903" i="73"/>
  <c r="J903" i="73"/>
  <c r="K904" i="73"/>
  <c r="J904" i="73"/>
  <c r="K901" i="73"/>
  <c r="J901" i="73"/>
  <c r="K902" i="73"/>
  <c r="J902" i="73"/>
  <c r="K899" i="73"/>
  <c r="J899" i="73"/>
  <c r="K900" i="73"/>
  <c r="J900" i="73"/>
  <c r="K897" i="73"/>
  <c r="J897" i="73"/>
  <c r="K898" i="73"/>
  <c r="J898" i="73"/>
  <c r="K895" i="73"/>
  <c r="J895" i="73"/>
  <c r="K896" i="73"/>
  <c r="J896" i="73"/>
  <c r="K893" i="73"/>
  <c r="J893" i="73"/>
  <c r="K894" i="73"/>
  <c r="J894" i="73"/>
  <c r="K854" i="73"/>
  <c r="J854" i="73"/>
  <c r="K892" i="73"/>
  <c r="J892" i="73"/>
  <c r="K891" i="73"/>
  <c r="J891" i="73"/>
  <c r="K890" i="73"/>
  <c r="J890" i="73"/>
  <c r="K889" i="73"/>
  <c r="J889" i="73"/>
  <c r="K888" i="73"/>
  <c r="J888" i="73"/>
  <c r="K887" i="73"/>
  <c r="J887" i="73"/>
  <c r="K886" i="73"/>
  <c r="J886" i="73"/>
  <c r="K885" i="73"/>
  <c r="J885" i="73"/>
  <c r="K884" i="73"/>
  <c r="J884" i="73"/>
  <c r="K883" i="73"/>
  <c r="J883" i="73"/>
  <c r="K882" i="73"/>
  <c r="J882" i="73"/>
  <c r="K881" i="73"/>
  <c r="J881" i="73"/>
  <c r="K880" i="73"/>
  <c r="J880" i="73"/>
  <c r="K879" i="73"/>
  <c r="J879" i="73"/>
  <c r="K878" i="73"/>
  <c r="J878" i="73"/>
  <c r="K876" i="73"/>
  <c r="J876" i="73"/>
  <c r="K877" i="73"/>
  <c r="J877" i="73"/>
  <c r="K874" i="73"/>
  <c r="J874" i="73"/>
  <c r="K875" i="73"/>
  <c r="J875" i="73"/>
  <c r="K872" i="73"/>
  <c r="J872" i="73"/>
  <c r="K873" i="73"/>
  <c r="J873" i="73"/>
  <c r="K870" i="73"/>
  <c r="J870" i="73"/>
  <c r="K871" i="73"/>
  <c r="J871" i="73"/>
  <c r="K868" i="73"/>
  <c r="J868" i="73"/>
  <c r="K869" i="73"/>
  <c r="J869" i="73"/>
  <c r="K855" i="73"/>
  <c r="J855" i="73"/>
  <c r="K867" i="73"/>
  <c r="J867" i="73"/>
  <c r="K866" i="73"/>
  <c r="J866" i="73"/>
  <c r="K864" i="73"/>
  <c r="J864" i="73"/>
  <c r="K865" i="73"/>
  <c r="J865" i="73"/>
  <c r="K858" i="73"/>
  <c r="J858" i="73"/>
  <c r="K863" i="73"/>
  <c r="J863" i="73"/>
  <c r="K862" i="73"/>
  <c r="J862" i="73"/>
  <c r="K861" i="73"/>
  <c r="J861" i="73"/>
  <c r="K860" i="73"/>
  <c r="J860" i="73"/>
  <c r="K859" i="73"/>
  <c r="J859" i="73"/>
  <c r="K856" i="73"/>
  <c r="J856" i="73"/>
  <c r="K857" i="73"/>
  <c r="J857" i="73"/>
  <c r="K849" i="73"/>
  <c r="J849" i="73"/>
  <c r="K853" i="73"/>
  <c r="J853" i="73"/>
  <c r="K852" i="73"/>
  <c r="J852" i="73"/>
  <c r="K850" i="73"/>
  <c r="J850" i="73"/>
  <c r="K851" i="73"/>
  <c r="J851" i="73"/>
  <c r="K841" i="73"/>
  <c r="J841" i="73"/>
  <c r="K848" i="73"/>
  <c r="J848" i="73"/>
  <c r="K846" i="73"/>
  <c r="J846" i="73"/>
  <c r="K847" i="73"/>
  <c r="J847" i="73"/>
  <c r="K844" i="73"/>
  <c r="J844" i="73"/>
  <c r="K845" i="73"/>
  <c r="J845" i="73"/>
  <c r="K842" i="73"/>
  <c r="J842" i="73"/>
  <c r="K843" i="73"/>
  <c r="J843" i="73"/>
  <c r="K719" i="73"/>
  <c r="J719" i="73"/>
  <c r="J835" i="73"/>
  <c r="K838" i="73"/>
  <c r="J838" i="73"/>
  <c r="K839" i="73"/>
  <c r="J839" i="73"/>
  <c r="K836" i="73"/>
  <c r="J836" i="73"/>
  <c r="K835" i="73" a="1"/>
  <c r="K835" i="73" s="1"/>
  <c r="K837" i="73"/>
  <c r="J837" i="73"/>
  <c r="K834" i="73"/>
  <c r="J834" i="73"/>
  <c r="K833" i="73"/>
  <c r="J833" i="73"/>
  <c r="K832" i="73"/>
  <c r="J832" i="73"/>
  <c r="K831" i="73"/>
  <c r="J831" i="73"/>
  <c r="K830" i="73"/>
  <c r="J830" i="73"/>
  <c r="K829" i="73"/>
  <c r="J829" i="73"/>
  <c r="K828" i="73"/>
  <c r="J828" i="73"/>
  <c r="K827" i="73"/>
  <c r="J827" i="73"/>
  <c r="K826" i="73"/>
  <c r="J826" i="73"/>
  <c r="K824" i="73"/>
  <c r="J824" i="73"/>
  <c r="K825" i="73"/>
  <c r="J825" i="73"/>
  <c r="K822" i="73"/>
  <c r="J822" i="73"/>
  <c r="K823" i="73"/>
  <c r="J823" i="73"/>
  <c r="K820" i="73"/>
  <c r="J820" i="73"/>
  <c r="K821" i="73"/>
  <c r="J821" i="73"/>
  <c r="K818" i="73"/>
  <c r="J818" i="73"/>
  <c r="K819" i="73"/>
  <c r="J819" i="73"/>
  <c r="K816" i="73"/>
  <c r="J816" i="73"/>
  <c r="K817" i="73"/>
  <c r="J817" i="73"/>
  <c r="K814" i="73"/>
  <c r="J814" i="73"/>
  <c r="K815" i="73"/>
  <c r="J815" i="73"/>
  <c r="K812" i="73"/>
  <c r="J812" i="73"/>
  <c r="K813" i="73"/>
  <c r="J813" i="73"/>
  <c r="K810" i="73"/>
  <c r="J810" i="73"/>
  <c r="K811" i="73"/>
  <c r="J811" i="73"/>
  <c r="K808" i="73"/>
  <c r="J808" i="73"/>
  <c r="K809" i="73"/>
  <c r="J809" i="73"/>
  <c r="K806" i="73"/>
  <c r="J806" i="73"/>
  <c r="K807" i="73"/>
  <c r="J807" i="73"/>
  <c r="K804" i="73"/>
  <c r="J804" i="73"/>
  <c r="K805" i="73"/>
  <c r="J805" i="73"/>
  <c r="K802" i="73"/>
  <c r="J802" i="73"/>
  <c r="K803" i="73"/>
  <c r="J803" i="73"/>
  <c r="K800" i="73"/>
  <c r="J800" i="73"/>
  <c r="K801" i="73"/>
  <c r="J801" i="73"/>
  <c r="K798" i="73"/>
  <c r="J798" i="73"/>
  <c r="K799" i="73"/>
  <c r="J799" i="73"/>
  <c r="K796" i="73"/>
  <c r="J796" i="73"/>
  <c r="K797" i="73"/>
  <c r="J797" i="73"/>
  <c r="K794" i="73"/>
  <c r="J794" i="73"/>
  <c r="K795" i="73"/>
  <c r="J795" i="73"/>
  <c r="K792" i="73"/>
  <c r="J792" i="73"/>
  <c r="K793" i="73"/>
  <c r="J793" i="73"/>
  <c r="K790" i="73"/>
  <c r="J790" i="73"/>
  <c r="K791" i="73"/>
  <c r="J791" i="73"/>
  <c r="K788" i="73"/>
  <c r="J788" i="73"/>
  <c r="K789" i="73"/>
  <c r="J789" i="73"/>
  <c r="K786" i="73"/>
  <c r="J786" i="73"/>
  <c r="K787" i="73"/>
  <c r="J787" i="73"/>
  <c r="K784" i="73"/>
  <c r="J784" i="73"/>
  <c r="K785" i="73"/>
  <c r="J785" i="73"/>
  <c r="K782" i="73"/>
  <c r="J782" i="73"/>
  <c r="K783" i="73"/>
  <c r="J783" i="73"/>
  <c r="K780" i="73"/>
  <c r="J780" i="73"/>
  <c r="K781" i="73"/>
  <c r="J781" i="73"/>
  <c r="K778" i="73"/>
  <c r="J778" i="73"/>
  <c r="K779" i="73"/>
  <c r="J779" i="73"/>
  <c r="K776" i="73"/>
  <c r="J776" i="73"/>
  <c r="K777" i="73"/>
  <c r="J777" i="73"/>
  <c r="K774" i="73"/>
  <c r="J774" i="73"/>
  <c r="K775" i="73"/>
  <c r="J775" i="73"/>
  <c r="K772" i="73"/>
  <c r="J772" i="73"/>
  <c r="K773" i="73"/>
  <c r="J773" i="73"/>
  <c r="K733" i="73"/>
  <c r="J733" i="73"/>
  <c r="K771" i="73"/>
  <c r="J771" i="73"/>
  <c r="K770" i="73"/>
  <c r="J770" i="73"/>
  <c r="K769" i="73"/>
  <c r="J769" i="73"/>
  <c r="K768" i="73"/>
  <c r="J768" i="73"/>
  <c r="K767" i="73"/>
  <c r="J767" i="73"/>
  <c r="K766" i="73"/>
  <c r="J766" i="73"/>
  <c r="K765" i="73"/>
  <c r="J765" i="73"/>
  <c r="K764" i="73"/>
  <c r="J764" i="73"/>
  <c r="K763" i="73"/>
  <c r="J763" i="73"/>
  <c r="K762" i="73"/>
  <c r="J762" i="73"/>
  <c r="K761" i="73"/>
  <c r="J761" i="73"/>
  <c r="K760" i="73"/>
  <c r="J760" i="73"/>
  <c r="K759" i="73"/>
  <c r="J759" i="73"/>
  <c r="K758" i="73"/>
  <c r="J758" i="73"/>
  <c r="K757" i="73"/>
  <c r="J757" i="73"/>
  <c r="K755" i="73"/>
  <c r="J755" i="73"/>
  <c r="K756" i="73"/>
  <c r="J756" i="73"/>
  <c r="K753" i="73"/>
  <c r="J753" i="73"/>
  <c r="K754" i="73"/>
  <c r="J754" i="73"/>
  <c r="K751" i="73"/>
  <c r="J751" i="73"/>
  <c r="K752" i="73"/>
  <c r="J752" i="73"/>
  <c r="K749" i="73"/>
  <c r="J749" i="73"/>
  <c r="K750" i="73"/>
  <c r="J750" i="73"/>
  <c r="K747" i="73"/>
  <c r="J747" i="73"/>
  <c r="K748" i="73"/>
  <c r="J748" i="73"/>
  <c r="K734" i="73"/>
  <c r="J734" i="73"/>
  <c r="K746" i="73"/>
  <c r="J746" i="73"/>
  <c r="K745" i="73"/>
  <c r="J745" i="73"/>
  <c r="K739" i="73"/>
  <c r="J739" i="73"/>
  <c r="K744" i="73"/>
  <c r="J744" i="73"/>
  <c r="K743" i="73"/>
  <c r="J743" i="73"/>
  <c r="K742" i="73"/>
  <c r="J742" i="73"/>
  <c r="K741" i="73"/>
  <c r="J741" i="73"/>
  <c r="K740" i="73"/>
  <c r="J740" i="73"/>
  <c r="K737" i="73"/>
  <c r="J737" i="73"/>
  <c r="K738" i="73"/>
  <c r="J738" i="73"/>
  <c r="K735" i="73"/>
  <c r="J735" i="73"/>
  <c r="K736" i="73"/>
  <c r="J736" i="73"/>
  <c r="K728" i="73"/>
  <c r="J728" i="73"/>
  <c r="K732" i="73"/>
  <c r="J732" i="73"/>
  <c r="K731" i="73"/>
  <c r="J731" i="73"/>
  <c r="K729" i="73"/>
  <c r="J729" i="73"/>
  <c r="K730" i="73"/>
  <c r="J730" i="73"/>
  <c r="K720" i="73"/>
  <c r="J720" i="73"/>
  <c r="K727" i="73"/>
  <c r="J727" i="73"/>
  <c r="K725" i="73"/>
  <c r="J725" i="73"/>
  <c r="K726" i="73"/>
  <c r="J726" i="73"/>
  <c r="K723" i="73"/>
  <c r="J723" i="73"/>
  <c r="K724" i="73"/>
  <c r="J724" i="73"/>
  <c r="K721" i="73"/>
  <c r="J721" i="73"/>
  <c r="K722" i="73"/>
  <c r="J722" i="73"/>
  <c r="K596" i="73"/>
  <c r="J596" i="73"/>
  <c r="K710" i="73" a="1"/>
  <c r="K710" i="73" s="1"/>
  <c r="J710" i="73"/>
  <c r="K717" i="73"/>
  <c r="J717" i="73"/>
  <c r="K718" i="73"/>
  <c r="J718" i="73"/>
  <c r="K715" i="73"/>
  <c r="J715" i="73"/>
  <c r="K716" i="73"/>
  <c r="J716" i="73"/>
  <c r="K713" i="73"/>
  <c r="J713" i="73"/>
  <c r="K714" i="73"/>
  <c r="J714" i="73"/>
  <c r="K711" i="73"/>
  <c r="J711" i="73"/>
  <c r="K712" i="73"/>
  <c r="J712" i="73"/>
  <c r="K709" i="73"/>
  <c r="J709" i="73"/>
  <c r="K708" i="73"/>
  <c r="J708" i="73"/>
  <c r="K707" i="73"/>
  <c r="J707" i="73"/>
  <c r="K706" i="73"/>
  <c r="J706" i="73"/>
  <c r="K705" i="73"/>
  <c r="J705" i="73"/>
  <c r="K704" i="73"/>
  <c r="J704" i="73"/>
  <c r="K703" i="73"/>
  <c r="J703" i="73"/>
  <c r="K702" i="73"/>
  <c r="J702" i="73"/>
  <c r="K701" i="73"/>
  <c r="J701" i="73"/>
  <c r="K699" i="73"/>
  <c r="J699" i="73"/>
  <c r="K700" i="73"/>
  <c r="J700" i="73"/>
  <c r="K697" i="73"/>
  <c r="J697" i="73"/>
  <c r="K698" i="73"/>
  <c r="J698" i="73"/>
  <c r="K695" i="73"/>
  <c r="J695" i="73"/>
  <c r="K696" i="73"/>
  <c r="J696" i="73"/>
  <c r="K693" i="73"/>
  <c r="J693" i="73"/>
  <c r="K694" i="73"/>
  <c r="J694" i="73"/>
  <c r="K691" i="73"/>
  <c r="J691" i="73"/>
  <c r="K692" i="73"/>
  <c r="J692" i="73"/>
  <c r="K689" i="73"/>
  <c r="J689" i="73"/>
  <c r="K690" i="73"/>
  <c r="J690" i="73"/>
  <c r="K687" i="73"/>
  <c r="J687" i="73"/>
  <c r="K688" i="73"/>
  <c r="J688" i="73"/>
  <c r="K685" i="73"/>
  <c r="J685" i="73"/>
  <c r="K686" i="73"/>
  <c r="J686" i="73"/>
  <c r="K683" i="73"/>
  <c r="J683" i="73"/>
  <c r="K684" i="73"/>
  <c r="J684" i="73"/>
  <c r="K681" i="73"/>
  <c r="J681" i="73"/>
  <c r="K682" i="73"/>
  <c r="J682" i="73"/>
  <c r="K679" i="73"/>
  <c r="J679" i="73"/>
  <c r="K680" i="73"/>
  <c r="J680" i="73"/>
  <c r="K677" i="73"/>
  <c r="J677" i="73"/>
  <c r="K678" i="73"/>
  <c r="J678" i="73"/>
  <c r="K675" i="73"/>
  <c r="J675" i="73"/>
  <c r="K676" i="73"/>
  <c r="J676" i="73"/>
  <c r="K673" i="73"/>
  <c r="J673" i="73"/>
  <c r="K674" i="73"/>
  <c r="J674" i="73"/>
  <c r="K671" i="73"/>
  <c r="J671" i="73"/>
  <c r="K672" i="73"/>
  <c r="J672" i="73"/>
  <c r="K669" i="73"/>
  <c r="J669" i="73"/>
  <c r="K670" i="73"/>
  <c r="J670" i="73"/>
  <c r="K667" i="73"/>
  <c r="J667" i="73"/>
  <c r="K668" i="73"/>
  <c r="J668" i="73"/>
  <c r="K665" i="73"/>
  <c r="J665" i="73"/>
  <c r="K666" i="73"/>
  <c r="J666" i="73"/>
  <c r="K663" i="73"/>
  <c r="J663" i="73"/>
  <c r="K664" i="73"/>
  <c r="J664" i="73"/>
  <c r="K661" i="73"/>
  <c r="J661" i="73"/>
  <c r="K662" i="73"/>
  <c r="J662" i="73"/>
  <c r="K659" i="73"/>
  <c r="J659" i="73"/>
  <c r="K660" i="73"/>
  <c r="J660" i="73"/>
  <c r="K657" i="73"/>
  <c r="J657" i="73"/>
  <c r="K658" i="73"/>
  <c r="J658" i="73"/>
  <c r="K655" i="73"/>
  <c r="J655" i="73"/>
  <c r="K656" i="73"/>
  <c r="J656" i="73"/>
  <c r="K653" i="73"/>
  <c r="J653" i="73"/>
  <c r="K654" i="73"/>
  <c r="J654" i="73"/>
  <c r="K651" i="73"/>
  <c r="J651" i="73"/>
  <c r="K652" i="73"/>
  <c r="J652" i="73"/>
  <c r="K649" i="73"/>
  <c r="J649" i="73"/>
  <c r="K650" i="73"/>
  <c r="J650" i="73"/>
  <c r="K647" i="73"/>
  <c r="J647" i="73"/>
  <c r="K648" i="73"/>
  <c r="J648" i="73"/>
  <c r="K642" i="73"/>
  <c r="J642" i="73"/>
  <c r="K646" i="73"/>
  <c r="J646" i="73"/>
  <c r="K645" i="73"/>
  <c r="J645" i="73"/>
  <c r="K643" i="73"/>
  <c r="J643" i="73"/>
  <c r="K644" i="73"/>
  <c r="J644" i="73"/>
  <c r="K634" i="73"/>
  <c r="J634" i="73"/>
  <c r="K641" i="73"/>
  <c r="J641" i="73"/>
  <c r="K639" i="73"/>
  <c r="J639" i="73"/>
  <c r="K640" i="73"/>
  <c r="J640" i="73"/>
  <c r="K637" i="73"/>
  <c r="J637" i="73"/>
  <c r="K638" i="73"/>
  <c r="J638" i="73"/>
  <c r="K635" i="73"/>
  <c r="J635" i="73"/>
  <c r="K636" i="73"/>
  <c r="J636" i="73"/>
  <c r="K597" i="73"/>
  <c r="J597" i="73"/>
  <c r="K633" i="73"/>
  <c r="J633" i="73"/>
  <c r="K632" i="73"/>
  <c r="J632" i="73"/>
  <c r="K631" i="73"/>
  <c r="J631" i="73"/>
  <c r="K630" i="73"/>
  <c r="J630" i="73"/>
  <c r="K629" i="73"/>
  <c r="J629" i="73"/>
  <c r="K628" i="73"/>
  <c r="J628" i="73"/>
  <c r="K627" i="73"/>
  <c r="J627" i="73"/>
  <c r="K626" i="73"/>
  <c r="J626" i="73"/>
  <c r="K625" i="73"/>
  <c r="J625" i="73"/>
  <c r="K624" i="73"/>
  <c r="J624" i="73"/>
  <c r="K623" i="73"/>
  <c r="J623" i="73"/>
  <c r="K622" i="73"/>
  <c r="J622" i="73"/>
  <c r="K621" i="73"/>
  <c r="J621" i="73"/>
  <c r="K620" i="73"/>
  <c r="J620" i="73"/>
  <c r="K619" i="73"/>
  <c r="J619" i="73"/>
  <c r="K617" i="73"/>
  <c r="J617" i="73"/>
  <c r="K618" i="73"/>
  <c r="J618" i="73"/>
  <c r="K615" i="73"/>
  <c r="J615" i="73"/>
  <c r="K616" i="73"/>
  <c r="J616" i="73"/>
  <c r="K613" i="73"/>
  <c r="J613" i="73"/>
  <c r="K614" i="73"/>
  <c r="J614" i="73"/>
  <c r="K611" i="73"/>
  <c r="J611" i="73"/>
  <c r="K612" i="73"/>
  <c r="J612" i="73"/>
  <c r="K598" i="73"/>
  <c r="J598" i="73"/>
  <c r="K610" i="73"/>
  <c r="J610" i="73"/>
  <c r="K609" i="73"/>
  <c r="J609" i="73"/>
  <c r="K603" i="73"/>
  <c r="J603" i="73"/>
  <c r="K608" i="73"/>
  <c r="J608" i="73"/>
  <c r="K607" i="73"/>
  <c r="J607" i="73"/>
  <c r="K606" i="73"/>
  <c r="J606" i="73"/>
  <c r="K605" i="73"/>
  <c r="J605" i="73"/>
  <c r="K604" i="73"/>
  <c r="J604" i="73"/>
  <c r="K601" i="73"/>
  <c r="J601" i="73"/>
  <c r="K602" i="73"/>
  <c r="J602" i="73"/>
  <c r="K599" i="73"/>
  <c r="J599" i="73"/>
  <c r="K600" i="73"/>
  <c r="J600" i="73"/>
  <c r="K584" i="73"/>
  <c r="J584" i="73"/>
  <c r="K595" i="73"/>
  <c r="J595" i="73"/>
  <c r="K594" i="73"/>
  <c r="J594" i="73"/>
  <c r="K593" i="73"/>
  <c r="J593" i="73"/>
  <c r="K592" i="73"/>
  <c r="J592" i="73"/>
  <c r="K591" i="73"/>
  <c r="J591" i="73"/>
  <c r="K590" i="73"/>
  <c r="J590" i="73"/>
  <c r="K589" i="73"/>
  <c r="J589" i="73"/>
  <c r="K587" i="73"/>
  <c r="J587" i="73"/>
  <c r="K588" i="73"/>
  <c r="J588" i="73"/>
  <c r="K585" i="73"/>
  <c r="J585" i="73"/>
  <c r="K586" i="73"/>
  <c r="J586" i="73"/>
  <c r="K569" i="73"/>
  <c r="J569" i="73"/>
  <c r="K583" i="73"/>
  <c r="J583" i="73"/>
  <c r="K582" i="73"/>
  <c r="J582" i="73"/>
  <c r="K581" i="73"/>
  <c r="J581" i="73"/>
  <c r="K580" i="73"/>
  <c r="J580" i="73"/>
  <c r="K579" i="73"/>
  <c r="J579" i="73"/>
  <c r="K578" i="73"/>
  <c r="J578" i="73"/>
  <c r="K576" i="73"/>
  <c r="J576" i="73"/>
  <c r="K577" i="73"/>
  <c r="J577" i="73"/>
  <c r="K574" i="73"/>
  <c r="J574" i="73"/>
  <c r="K575" i="73"/>
  <c r="J575" i="73"/>
  <c r="K572" i="73"/>
  <c r="J572" i="73"/>
  <c r="K573" i="73"/>
  <c r="J573" i="73"/>
  <c r="K570" i="73"/>
  <c r="J570" i="73"/>
  <c r="K571" i="73"/>
  <c r="J571" i="73"/>
  <c r="K563" i="73"/>
  <c r="J563" i="73"/>
  <c r="K568" i="73"/>
  <c r="J568" i="73"/>
  <c r="K566" i="73"/>
  <c r="J566" i="73"/>
  <c r="K567" i="73"/>
  <c r="J567" i="73"/>
  <c r="K564" i="73"/>
  <c r="J564" i="73"/>
  <c r="K565" i="73"/>
  <c r="J565" i="73"/>
  <c r="K552" i="73"/>
  <c r="J552" i="73"/>
  <c r="K562" i="73"/>
  <c r="J562" i="73"/>
  <c r="K561" i="73"/>
  <c r="J561" i="73"/>
  <c r="K560" i="73"/>
  <c r="J560" i="73"/>
  <c r="K559" i="73"/>
  <c r="J559" i="73"/>
  <c r="K558" i="73"/>
  <c r="J558" i="73"/>
  <c r="K557" i="73"/>
  <c r="J557" i="73"/>
  <c r="K555" i="73"/>
  <c r="J555" i="73"/>
  <c r="K556" i="73"/>
  <c r="J556" i="73"/>
  <c r="K553" i="73"/>
  <c r="J553" i="73"/>
  <c r="K554" i="73"/>
  <c r="J554" i="73"/>
  <c r="K524" i="73"/>
  <c r="J524" i="73"/>
  <c r="K551" i="73"/>
  <c r="J551" i="73"/>
  <c r="K550" i="73"/>
  <c r="J550" i="73"/>
  <c r="K549" i="73"/>
  <c r="J549" i="73"/>
  <c r="K543" i="73"/>
  <c r="J543" i="73"/>
  <c r="K548" i="73"/>
  <c r="J548" i="73"/>
  <c r="K547" i="73"/>
  <c r="J547" i="73"/>
  <c r="K546" i="73"/>
  <c r="J546" i="73"/>
  <c r="K545" i="73"/>
  <c r="J545" i="73"/>
  <c r="K544" i="73"/>
  <c r="J544" i="73"/>
  <c r="K525" i="73"/>
  <c r="J525" i="73"/>
  <c r="K542" i="73"/>
  <c r="J542" i="73"/>
  <c r="K541" i="73"/>
  <c r="J541" i="73"/>
  <c r="K540" i="73"/>
  <c r="J540" i="73"/>
  <c r="K539" i="73"/>
  <c r="J539" i="73"/>
  <c r="K538" i="73"/>
  <c r="J538" i="73"/>
  <c r="K537" i="73"/>
  <c r="J537" i="73"/>
  <c r="K536" i="73"/>
  <c r="J536" i="73"/>
  <c r="K534" i="73"/>
  <c r="J534" i="73"/>
  <c r="K535" i="73"/>
  <c r="J535" i="73"/>
  <c r="K532" i="73"/>
  <c r="J532" i="73"/>
  <c r="K533" i="73"/>
  <c r="J533" i="73"/>
  <c r="K530" i="73"/>
  <c r="J530" i="73"/>
  <c r="K531" i="73"/>
  <c r="J531" i="73"/>
  <c r="K528" i="73"/>
  <c r="J528" i="73"/>
  <c r="K529" i="73"/>
  <c r="J529" i="73"/>
  <c r="K526" i="73"/>
  <c r="J526" i="73"/>
  <c r="K527" i="73"/>
  <c r="J527" i="73"/>
  <c r="K17" i="73"/>
  <c r="J17" i="73"/>
  <c r="K523" i="73"/>
  <c r="J523" i="73"/>
  <c r="K522" i="73"/>
  <c r="J522" i="73"/>
  <c r="K521" i="73"/>
  <c r="J521" i="73"/>
  <c r="K520" i="73"/>
  <c r="J520" i="73"/>
  <c r="K519" i="73"/>
  <c r="J519" i="73"/>
  <c r="K518" i="73"/>
  <c r="J518" i="73"/>
  <c r="K517" i="73"/>
  <c r="J517" i="73"/>
  <c r="K516" i="73"/>
  <c r="J516" i="73"/>
  <c r="K493" i="73"/>
  <c r="J493" i="73"/>
  <c r="K515" i="73"/>
  <c r="J515" i="73"/>
  <c r="K514" i="73"/>
  <c r="J514" i="73"/>
  <c r="K513" i="73"/>
  <c r="J513" i="73"/>
  <c r="K512" i="73"/>
  <c r="J512" i="73"/>
  <c r="K510" i="73"/>
  <c r="J510" i="73"/>
  <c r="K511" i="73"/>
  <c r="J511" i="73"/>
  <c r="K506" i="73"/>
  <c r="J506" i="73"/>
  <c r="K509" i="73"/>
  <c r="J509" i="73"/>
  <c r="K508" i="73"/>
  <c r="J508" i="73"/>
  <c r="K507" i="73"/>
  <c r="J507" i="73"/>
  <c r="K504" i="73"/>
  <c r="J504" i="73"/>
  <c r="K505" i="73"/>
  <c r="J505" i="73"/>
  <c r="K502" i="73"/>
  <c r="J502" i="73"/>
  <c r="K503" i="73"/>
  <c r="J503" i="73"/>
  <c r="K500" i="73"/>
  <c r="J500" i="73"/>
  <c r="K501" i="73"/>
  <c r="J501" i="73"/>
  <c r="K494" i="73"/>
  <c r="J494" i="73"/>
  <c r="K499" i="73"/>
  <c r="J499" i="73"/>
  <c r="K498" i="73"/>
  <c r="J498" i="73"/>
  <c r="K497" i="73"/>
  <c r="J497" i="73"/>
  <c r="K495" i="73"/>
  <c r="J495" i="73"/>
  <c r="K496" i="73"/>
  <c r="J496" i="73"/>
  <c r="K256" i="73"/>
  <c r="J256" i="73"/>
  <c r="K492" i="73"/>
  <c r="J492" i="73"/>
  <c r="K491" i="73"/>
  <c r="J491" i="73"/>
  <c r="K490" i="73"/>
  <c r="J490" i="73"/>
  <c r="K489" i="73"/>
  <c r="J489" i="73"/>
  <c r="K488" i="73"/>
  <c r="J488" i="73"/>
  <c r="K487" i="73"/>
  <c r="J487" i="73"/>
  <c r="K486" i="73"/>
  <c r="J486" i="73"/>
  <c r="K485" i="73"/>
  <c r="J485" i="73"/>
  <c r="K484" i="73"/>
  <c r="J484" i="73"/>
  <c r="K483" i="73"/>
  <c r="J483" i="73"/>
  <c r="K482" i="73"/>
  <c r="J482" i="73"/>
  <c r="K481" i="73"/>
  <c r="J481" i="73"/>
  <c r="K480" i="73"/>
  <c r="J480" i="73"/>
  <c r="K479" i="73"/>
  <c r="J479" i="73"/>
  <c r="K478" i="73"/>
  <c r="J478" i="73"/>
  <c r="K477" i="73"/>
  <c r="J477" i="73"/>
  <c r="K476" i="73"/>
  <c r="J476" i="73"/>
  <c r="K475" i="73"/>
  <c r="J475" i="73"/>
  <c r="K474" i="73"/>
  <c r="J474" i="73"/>
  <c r="K473" i="73"/>
  <c r="J473" i="73"/>
  <c r="K472" i="73"/>
  <c r="J472" i="73"/>
  <c r="K471" i="73"/>
  <c r="J471" i="73"/>
  <c r="K470" i="73"/>
  <c r="J470" i="73"/>
  <c r="K469" i="73"/>
  <c r="J469" i="73"/>
  <c r="K468" i="73"/>
  <c r="J468" i="73"/>
  <c r="K467" i="73"/>
  <c r="J467" i="73"/>
  <c r="K466" i="73"/>
  <c r="J466" i="73"/>
  <c r="K465" i="73"/>
  <c r="J465" i="73"/>
  <c r="K464" i="73"/>
  <c r="J464" i="73"/>
  <c r="K463" i="73"/>
  <c r="J463" i="73"/>
  <c r="K462" i="73"/>
  <c r="J462" i="73"/>
  <c r="K461" i="73"/>
  <c r="J461" i="73"/>
  <c r="K460" i="73"/>
  <c r="J460" i="73"/>
  <c r="K459" i="73"/>
  <c r="J459" i="73"/>
  <c r="K458" i="73"/>
  <c r="J458" i="73"/>
  <c r="K456" i="73"/>
  <c r="J456" i="73"/>
  <c r="K457" i="73"/>
  <c r="J457" i="73"/>
  <c r="K450" i="73"/>
  <c r="J450" i="73"/>
  <c r="K455" i="73"/>
  <c r="J455" i="73"/>
  <c r="K454" i="73"/>
  <c r="J454" i="73"/>
  <c r="K453" i="73"/>
  <c r="J453" i="73"/>
  <c r="K452" i="73"/>
  <c r="J452" i="73"/>
  <c r="K451" i="73"/>
  <c r="J451" i="73"/>
  <c r="K441" i="73"/>
  <c r="J441" i="73"/>
  <c r="K449" i="73"/>
  <c r="J449" i="73"/>
  <c r="K448" i="73"/>
  <c r="J448" i="73"/>
  <c r="K447" i="73"/>
  <c r="J447" i="73"/>
  <c r="K446" i="73"/>
  <c r="J446" i="73"/>
  <c r="K445" i="73"/>
  <c r="J445" i="73"/>
  <c r="K444" i="73"/>
  <c r="J444" i="73"/>
  <c r="K443" i="73"/>
  <c r="J443" i="73"/>
  <c r="K442" i="73"/>
  <c r="J442" i="73"/>
  <c r="K435" i="73"/>
  <c r="J435" i="73"/>
  <c r="K440" i="73"/>
  <c r="J440" i="73"/>
  <c r="K439" i="73"/>
  <c r="J439" i="73"/>
  <c r="K438" i="73"/>
  <c r="J438" i="73"/>
  <c r="K437" i="73"/>
  <c r="J437" i="73"/>
  <c r="K436" i="73"/>
  <c r="J436" i="73"/>
  <c r="K433" i="73"/>
  <c r="J433" i="73"/>
  <c r="K434" i="73"/>
  <c r="J434" i="73"/>
  <c r="K431" i="73"/>
  <c r="J431" i="73"/>
  <c r="K432" i="73"/>
  <c r="J432" i="73"/>
  <c r="K429" i="73"/>
  <c r="J429" i="73"/>
  <c r="K430" i="73"/>
  <c r="J430" i="73"/>
  <c r="K425" i="73"/>
  <c r="J425" i="73"/>
  <c r="K428" i="73"/>
  <c r="J428" i="73"/>
  <c r="K427" i="73"/>
  <c r="J427" i="73"/>
  <c r="K426" i="73"/>
  <c r="J426" i="73"/>
  <c r="K416" i="73"/>
  <c r="J416" i="73"/>
  <c r="K424" i="73"/>
  <c r="J424" i="73"/>
  <c r="K423" i="73"/>
  <c r="J423" i="73"/>
  <c r="K422" i="73"/>
  <c r="J422" i="73"/>
  <c r="K421" i="73"/>
  <c r="J421" i="73"/>
  <c r="K420" i="73"/>
  <c r="J420" i="73"/>
  <c r="K419" i="73"/>
  <c r="J419" i="73"/>
  <c r="K418" i="73"/>
  <c r="J418" i="73"/>
  <c r="K417" i="73"/>
  <c r="J417" i="73"/>
  <c r="K407" i="73"/>
  <c r="J407" i="73"/>
  <c r="K415" i="73"/>
  <c r="J415" i="73"/>
  <c r="K414" i="73"/>
  <c r="J414" i="73"/>
  <c r="K413" i="73"/>
  <c r="J413" i="73"/>
  <c r="K412" i="73"/>
  <c r="J412" i="73"/>
  <c r="K411" i="73"/>
  <c r="J411" i="73"/>
  <c r="K410" i="73"/>
  <c r="J410" i="73"/>
  <c r="K409" i="73"/>
  <c r="J409" i="73"/>
  <c r="K408" i="73"/>
  <c r="J408" i="73"/>
  <c r="K405" i="73"/>
  <c r="J405" i="73"/>
  <c r="K406" i="73"/>
  <c r="J406" i="73"/>
  <c r="K403" i="73"/>
  <c r="J403" i="73"/>
  <c r="K404" i="73"/>
  <c r="J404" i="73"/>
  <c r="K401" i="73"/>
  <c r="J401" i="73"/>
  <c r="K402" i="73"/>
  <c r="J402" i="73"/>
  <c r="K395" i="73"/>
  <c r="J395" i="73"/>
  <c r="K400" i="73"/>
  <c r="J400" i="73"/>
  <c r="K399" i="73"/>
  <c r="J399" i="73"/>
  <c r="K398" i="73"/>
  <c r="J398" i="73"/>
  <c r="K397" i="73"/>
  <c r="J397" i="73"/>
  <c r="K396" i="73"/>
  <c r="J396" i="73"/>
  <c r="K388" i="73"/>
  <c r="J388" i="73"/>
  <c r="K394" i="73"/>
  <c r="J394" i="73"/>
  <c r="K393" i="73"/>
  <c r="J393" i="73"/>
  <c r="K392" i="73"/>
  <c r="J392" i="73"/>
  <c r="K391" i="73"/>
  <c r="J391" i="73"/>
  <c r="K390" i="73"/>
  <c r="J390" i="73"/>
  <c r="K389" i="73"/>
  <c r="J389" i="73"/>
  <c r="K386" i="73"/>
  <c r="J386" i="73"/>
  <c r="K387" i="73"/>
  <c r="J387" i="73"/>
  <c r="K376" i="73"/>
  <c r="J376" i="73"/>
  <c r="K385" i="73"/>
  <c r="J385" i="73"/>
  <c r="K384" i="73"/>
  <c r="J384" i="73"/>
  <c r="K383" i="73"/>
  <c r="J383" i="73"/>
  <c r="K381" i="73"/>
  <c r="J381" i="73"/>
  <c r="K382" i="73"/>
  <c r="J382" i="73"/>
  <c r="K379" i="73"/>
  <c r="J379" i="73"/>
  <c r="K380" i="73"/>
  <c r="J380" i="73"/>
  <c r="K377" i="73"/>
  <c r="J377" i="73"/>
  <c r="K378" i="73"/>
  <c r="J378" i="73"/>
  <c r="K336" i="73"/>
  <c r="J336" i="73"/>
  <c r="K375" i="73"/>
  <c r="J375" i="73"/>
  <c r="K374" i="73"/>
  <c r="J374" i="73"/>
  <c r="K373" i="73"/>
  <c r="J373" i="73"/>
  <c r="K372" i="73"/>
  <c r="J372" i="73"/>
  <c r="K371" i="73"/>
  <c r="J371" i="73"/>
  <c r="K369" i="73"/>
  <c r="J369" i="73"/>
  <c r="K370" i="73"/>
  <c r="J370" i="73"/>
  <c r="K367" i="73"/>
  <c r="J367" i="73"/>
  <c r="K368" i="73"/>
  <c r="J368" i="73"/>
  <c r="K360" i="73"/>
  <c r="J360" i="73"/>
  <c r="K366" i="73"/>
  <c r="J366" i="73"/>
  <c r="K365" i="73"/>
  <c r="J365" i="73"/>
  <c r="K363" i="73"/>
  <c r="J363" i="73"/>
  <c r="K364" i="73"/>
  <c r="J364" i="73"/>
  <c r="K361" i="73"/>
  <c r="J361" i="73"/>
  <c r="K362" i="73"/>
  <c r="J362" i="73"/>
  <c r="K353" i="73"/>
  <c r="J353" i="73"/>
  <c r="K359" i="73"/>
  <c r="J359" i="73"/>
  <c r="K358" i="73"/>
  <c r="J358" i="73"/>
  <c r="K356" i="73"/>
  <c r="J356" i="73"/>
  <c r="K357" i="73"/>
  <c r="J357" i="73"/>
  <c r="K354" i="73"/>
  <c r="J354" i="73"/>
  <c r="K355" i="73"/>
  <c r="J355" i="73"/>
  <c r="K346" i="73"/>
  <c r="J346" i="73"/>
  <c r="K352" i="73"/>
  <c r="J352" i="73"/>
  <c r="K351" i="73"/>
  <c r="J351" i="73"/>
  <c r="K349" i="73"/>
  <c r="J349" i="73"/>
  <c r="K350" i="73"/>
  <c r="J350" i="73"/>
  <c r="K347" i="73"/>
  <c r="J347" i="73"/>
  <c r="K348" i="73"/>
  <c r="J348" i="73"/>
  <c r="K337" i="73"/>
  <c r="J337" i="73"/>
  <c r="K345" i="73"/>
  <c r="J345" i="73"/>
  <c r="K344" i="73"/>
  <c r="J344" i="73"/>
  <c r="K342" i="73"/>
  <c r="J342" i="73"/>
  <c r="K343" i="73"/>
  <c r="J343" i="73"/>
  <c r="K340" i="73"/>
  <c r="J340" i="73"/>
  <c r="K341" i="73"/>
  <c r="J341" i="73"/>
  <c r="K338" i="73"/>
  <c r="J338" i="73"/>
  <c r="K339" i="73"/>
  <c r="J339" i="73"/>
  <c r="K295" i="73"/>
  <c r="J295" i="73"/>
  <c r="K335" i="73"/>
  <c r="J335" i="73"/>
  <c r="K334" i="73"/>
  <c r="J334" i="73"/>
  <c r="K333" i="73"/>
  <c r="J333" i="73"/>
  <c r="K332" i="73"/>
  <c r="J332" i="73"/>
  <c r="K331" i="73"/>
  <c r="J331" i="73"/>
  <c r="K330" i="73"/>
  <c r="J330" i="73"/>
  <c r="K329" i="73"/>
  <c r="J329" i="73"/>
  <c r="K328" i="73"/>
  <c r="J328" i="73"/>
  <c r="K327" i="73"/>
  <c r="J327" i="73"/>
  <c r="K326" i="73"/>
  <c r="J326" i="73"/>
  <c r="K324" i="73"/>
  <c r="J324" i="73"/>
  <c r="K325" i="73"/>
  <c r="J325" i="73"/>
  <c r="K317" i="73"/>
  <c r="J317" i="73"/>
  <c r="K323" i="73"/>
  <c r="J323" i="73"/>
  <c r="K322" i="73"/>
  <c r="J322" i="73"/>
  <c r="K321" i="73"/>
  <c r="J321" i="73"/>
  <c r="K320" i="73"/>
  <c r="J320" i="73"/>
  <c r="K319" i="73"/>
  <c r="J319" i="73"/>
  <c r="K318" i="73"/>
  <c r="J318" i="73"/>
  <c r="K310" i="73"/>
  <c r="J310" i="73"/>
  <c r="K316" i="73"/>
  <c r="J316" i="73"/>
  <c r="K315" i="73"/>
  <c r="J315" i="73"/>
  <c r="K314" i="73"/>
  <c r="J314" i="73"/>
  <c r="K313" i="73"/>
  <c r="J313" i="73"/>
  <c r="K312" i="73"/>
  <c r="J312" i="73"/>
  <c r="K311" i="73"/>
  <c r="J311" i="73"/>
  <c r="K303" i="73"/>
  <c r="J303" i="73"/>
  <c r="K309" i="73"/>
  <c r="J309" i="73"/>
  <c r="K308" i="73"/>
  <c r="J308" i="73"/>
  <c r="K307" i="73"/>
  <c r="J307" i="73"/>
  <c r="K306" i="73"/>
  <c r="J306" i="73"/>
  <c r="K305" i="73"/>
  <c r="J305" i="73"/>
  <c r="K304" i="73"/>
  <c r="J304" i="73"/>
  <c r="K296" i="73"/>
  <c r="J296" i="73"/>
  <c r="K302" i="73"/>
  <c r="J302" i="73"/>
  <c r="K301" i="73"/>
  <c r="J301" i="73"/>
  <c r="K300" i="73"/>
  <c r="J300" i="73"/>
  <c r="K299" i="73"/>
  <c r="J299" i="73"/>
  <c r="K298" i="73"/>
  <c r="J298" i="73"/>
  <c r="K297" i="73"/>
  <c r="J297" i="73"/>
  <c r="K277" i="73"/>
  <c r="J277" i="73"/>
  <c r="K294" i="73"/>
  <c r="J294" i="73"/>
  <c r="K293" i="73"/>
  <c r="J293" i="73"/>
  <c r="K292" i="73"/>
  <c r="J292" i="73"/>
  <c r="K291" i="73"/>
  <c r="J291" i="73"/>
  <c r="K290" i="73"/>
  <c r="J290" i="73"/>
  <c r="K278" i="73"/>
  <c r="J278" i="73"/>
  <c r="K289" i="73"/>
  <c r="J289" i="73"/>
  <c r="K288" i="73"/>
  <c r="J288" i="73"/>
  <c r="K287" i="73"/>
  <c r="J287" i="73"/>
  <c r="K286" i="73"/>
  <c r="J286" i="73"/>
  <c r="K285" i="73"/>
  <c r="J285" i="73"/>
  <c r="K284" i="73"/>
  <c r="J284" i="73"/>
  <c r="K283" i="73"/>
  <c r="J283" i="73"/>
  <c r="K281" i="73"/>
  <c r="J281" i="73"/>
  <c r="K282" i="73"/>
  <c r="J282" i="73"/>
  <c r="K279" i="73"/>
  <c r="J279" i="73"/>
  <c r="K280" i="73"/>
  <c r="J280" i="73"/>
  <c r="K271" i="73"/>
  <c r="J271" i="73"/>
  <c r="K276" i="73"/>
  <c r="J276" i="73"/>
  <c r="K275" i="73"/>
  <c r="J275" i="73"/>
  <c r="K274" i="73"/>
  <c r="J274" i="73"/>
  <c r="K272" i="73"/>
  <c r="J272" i="73"/>
  <c r="K273" i="73"/>
  <c r="J273" i="73"/>
  <c r="K264" i="73"/>
  <c r="J264" i="73"/>
  <c r="K270" i="73"/>
  <c r="J270" i="73"/>
  <c r="K269" i="73"/>
  <c r="J269" i="73"/>
  <c r="K267" i="73"/>
  <c r="J267" i="73"/>
  <c r="K268" i="73"/>
  <c r="J268" i="73"/>
  <c r="K265" i="73"/>
  <c r="J265" i="73"/>
  <c r="K266" i="73"/>
  <c r="J266" i="73"/>
  <c r="K257" i="73"/>
  <c r="J257" i="73"/>
  <c r="K263" i="73"/>
  <c r="J263" i="73"/>
  <c r="K262" i="73"/>
  <c r="J262" i="73"/>
  <c r="K260" i="73"/>
  <c r="J260" i="73"/>
  <c r="K261" i="73"/>
  <c r="J261" i="73"/>
  <c r="K258" i="73"/>
  <c r="J258" i="73"/>
  <c r="K259" i="73"/>
  <c r="J259" i="73"/>
  <c r="K177" i="73"/>
  <c r="J177" i="73"/>
  <c r="K255" i="73"/>
  <c r="J255" i="73"/>
  <c r="K254" i="73"/>
  <c r="J254" i="73"/>
  <c r="K253" i="73"/>
  <c r="J253" i="73"/>
  <c r="K252" i="73"/>
  <c r="J252" i="73"/>
  <c r="K251" i="73"/>
  <c r="J251" i="73"/>
  <c r="K250" i="73"/>
  <c r="J250" i="73"/>
  <c r="K249" i="73"/>
  <c r="J249" i="73"/>
  <c r="K248" i="73"/>
  <c r="J248" i="73"/>
  <c r="K247" i="73"/>
  <c r="J247" i="73"/>
  <c r="K246" i="73"/>
  <c r="J246" i="73"/>
  <c r="K245" i="73"/>
  <c r="J245" i="73"/>
  <c r="K244" i="73"/>
  <c r="J244" i="73"/>
  <c r="K242" i="73"/>
  <c r="J242" i="73"/>
  <c r="K243" i="73"/>
  <c r="J243" i="73"/>
  <c r="K240" i="73"/>
  <c r="J240" i="73"/>
  <c r="K241" i="73"/>
  <c r="J241" i="73"/>
  <c r="K238" i="73"/>
  <c r="J238" i="73"/>
  <c r="K239" i="73"/>
  <c r="J239" i="73"/>
  <c r="K236" i="73"/>
  <c r="J236" i="73"/>
  <c r="K237" i="73"/>
  <c r="J237" i="73"/>
  <c r="K227" i="73"/>
  <c r="J227" i="73"/>
  <c r="K235" i="73"/>
  <c r="J235" i="73"/>
  <c r="K234" i="73"/>
  <c r="J234" i="73"/>
  <c r="K233" i="73"/>
  <c r="J233" i="73"/>
  <c r="K232" i="73"/>
  <c r="J232" i="73"/>
  <c r="K230" i="73"/>
  <c r="J230" i="73"/>
  <c r="K231" i="73"/>
  <c r="J231" i="73"/>
  <c r="K228" i="73"/>
  <c r="J228" i="73"/>
  <c r="K229" i="73"/>
  <c r="J229" i="73"/>
  <c r="K200" i="73"/>
  <c r="J200" i="73"/>
  <c r="K226" i="73"/>
  <c r="J226" i="73"/>
  <c r="K225" i="73"/>
  <c r="J225" i="73"/>
  <c r="K224" i="73"/>
  <c r="J224" i="73"/>
  <c r="K223" i="73"/>
  <c r="J223" i="73"/>
  <c r="K222" i="73"/>
  <c r="J222" i="73"/>
  <c r="K221" i="73"/>
  <c r="J221" i="73"/>
  <c r="K220" i="73"/>
  <c r="J220" i="73"/>
  <c r="K219" i="73"/>
  <c r="J219" i="73"/>
  <c r="K218" i="73"/>
  <c r="J218" i="73"/>
  <c r="K216" i="73"/>
  <c r="J216" i="73"/>
  <c r="K217" i="73"/>
  <c r="J217" i="73"/>
  <c r="K214" i="73"/>
  <c r="J214" i="73"/>
  <c r="K215" i="73"/>
  <c r="J215" i="73"/>
  <c r="K212" i="73"/>
  <c r="J212" i="73"/>
  <c r="K213" i="73"/>
  <c r="J213" i="73"/>
  <c r="K210" i="73"/>
  <c r="J210" i="73"/>
  <c r="K211" i="73"/>
  <c r="J211" i="73"/>
  <c r="K208" i="73"/>
  <c r="J208" i="73"/>
  <c r="K209" i="73"/>
  <c r="J209" i="73"/>
  <c r="K206" i="73"/>
  <c r="J206" i="73"/>
  <c r="K207" i="73"/>
  <c r="J207" i="73"/>
  <c r="K201" i="73"/>
  <c r="J201" i="73"/>
  <c r="K205" i="73"/>
  <c r="J205" i="73"/>
  <c r="K204" i="73"/>
  <c r="J204" i="73"/>
  <c r="K202" i="73"/>
  <c r="J202" i="73"/>
  <c r="K203" i="73"/>
  <c r="J203" i="73"/>
  <c r="K189" i="73"/>
  <c r="J189" i="73"/>
  <c r="K199" i="73"/>
  <c r="J199" i="73"/>
  <c r="K198" i="73"/>
  <c r="J198" i="73"/>
  <c r="K197" i="73"/>
  <c r="J197" i="73"/>
  <c r="K196" i="73"/>
  <c r="J196" i="73"/>
  <c r="K195" i="73"/>
  <c r="J195" i="73"/>
  <c r="K194" i="73"/>
  <c r="J194" i="73"/>
  <c r="K192" i="73"/>
  <c r="J192" i="73"/>
  <c r="K193" i="73"/>
  <c r="J193" i="73"/>
  <c r="K190" i="73"/>
  <c r="J190" i="73"/>
  <c r="K191" i="73"/>
  <c r="J191" i="73"/>
  <c r="K178" i="73"/>
  <c r="J178" i="73"/>
  <c r="K188" i="73"/>
  <c r="J188" i="73"/>
  <c r="K187" i="73"/>
  <c r="J187" i="73"/>
  <c r="K186" i="73"/>
  <c r="J186" i="73"/>
  <c r="K185" i="73"/>
  <c r="J185" i="73"/>
  <c r="K184" i="73"/>
  <c r="J184" i="73"/>
  <c r="K183" i="73"/>
  <c r="J183" i="73"/>
  <c r="K181" i="73"/>
  <c r="J181" i="73"/>
  <c r="K182" i="73"/>
  <c r="J182" i="73"/>
  <c r="K179" i="73"/>
  <c r="J179" i="73"/>
  <c r="K180" i="73"/>
  <c r="J180" i="73"/>
  <c r="K47" i="73"/>
  <c r="J47" i="73"/>
  <c r="K176" i="73"/>
  <c r="J176" i="73"/>
  <c r="K175" i="73"/>
  <c r="J175" i="73"/>
  <c r="K174" i="73"/>
  <c r="J174" i="73"/>
  <c r="K173" i="73"/>
  <c r="J173" i="73"/>
  <c r="K172" i="73"/>
  <c r="J172" i="73"/>
  <c r="K171" i="73"/>
  <c r="J171" i="73"/>
  <c r="K170" i="73"/>
  <c r="J170" i="73"/>
  <c r="K169" i="73"/>
  <c r="J169" i="73"/>
  <c r="K168" i="73"/>
  <c r="J168" i="73"/>
  <c r="K167" i="73"/>
  <c r="J167" i="73"/>
  <c r="K166" i="73"/>
  <c r="J166" i="73"/>
  <c r="K165" i="73"/>
  <c r="J165" i="73"/>
  <c r="K164" i="73"/>
  <c r="J164" i="73"/>
  <c r="K163" i="73"/>
  <c r="J163" i="73"/>
  <c r="K162" i="73"/>
  <c r="J162" i="73"/>
  <c r="K161" i="73"/>
  <c r="J161" i="73"/>
  <c r="K159" i="73"/>
  <c r="J159" i="73"/>
  <c r="K160" i="73"/>
  <c r="J160" i="73"/>
  <c r="K150" i="73"/>
  <c r="J150" i="73"/>
  <c r="K158" i="73"/>
  <c r="J158" i="73"/>
  <c r="K157" i="73"/>
  <c r="J157" i="73"/>
  <c r="K156" i="73"/>
  <c r="J156" i="73"/>
  <c r="K155" i="73"/>
  <c r="J155" i="73"/>
  <c r="K154" i="73"/>
  <c r="J154" i="73"/>
  <c r="K153" i="73"/>
  <c r="J153" i="73"/>
  <c r="K152" i="73"/>
  <c r="J152" i="73"/>
  <c r="K151" i="73"/>
  <c r="J151" i="73"/>
  <c r="K144" i="73"/>
  <c r="J144" i="73"/>
  <c r="K149" i="73"/>
  <c r="J149" i="73"/>
  <c r="K148" i="73"/>
  <c r="J148" i="73"/>
  <c r="K147" i="73"/>
  <c r="J147" i="73"/>
  <c r="K146" i="73"/>
  <c r="J146" i="73"/>
  <c r="K145" i="73"/>
  <c r="J145" i="73"/>
  <c r="K137" i="73"/>
  <c r="J137" i="73"/>
  <c r="K143" i="73"/>
  <c r="J143" i="73"/>
  <c r="K142" i="73"/>
  <c r="J142" i="73"/>
  <c r="K141" i="73"/>
  <c r="J141" i="73"/>
  <c r="K140" i="73"/>
  <c r="J140" i="73"/>
  <c r="K139" i="73"/>
  <c r="J139" i="73"/>
  <c r="K138" i="73"/>
  <c r="J138" i="73"/>
  <c r="K135" i="73"/>
  <c r="J135" i="73"/>
  <c r="K136" i="73"/>
  <c r="J136" i="73"/>
  <c r="K131" i="73"/>
  <c r="J131" i="73"/>
  <c r="K134" i="73"/>
  <c r="J134" i="73"/>
  <c r="K133" i="73"/>
  <c r="J133" i="73"/>
  <c r="K132" i="73"/>
  <c r="J132" i="73"/>
  <c r="K122" i="73"/>
  <c r="J122" i="73"/>
  <c r="K130" i="73"/>
  <c r="J130" i="73"/>
  <c r="K129" i="73"/>
  <c r="J129" i="73"/>
  <c r="K128" i="73"/>
  <c r="J128" i="73"/>
  <c r="K127" i="73"/>
  <c r="J127" i="73"/>
  <c r="K126" i="73"/>
  <c r="J126" i="73"/>
  <c r="K125" i="73"/>
  <c r="J125" i="73"/>
  <c r="K124" i="73"/>
  <c r="J124" i="73"/>
  <c r="K123" i="73"/>
  <c r="J123" i="73"/>
  <c r="K113" i="73"/>
  <c r="J113" i="73"/>
  <c r="K121" i="73"/>
  <c r="J121" i="73"/>
  <c r="K120" i="73"/>
  <c r="J120" i="73"/>
  <c r="K119" i="73"/>
  <c r="J119" i="73"/>
  <c r="K118" i="73"/>
  <c r="J118" i="73"/>
  <c r="K117" i="73"/>
  <c r="J117" i="73"/>
  <c r="K116" i="73"/>
  <c r="J116" i="73"/>
  <c r="K115" i="73"/>
  <c r="J115" i="73"/>
  <c r="K114" i="73"/>
  <c r="J114" i="73"/>
  <c r="K111" i="73"/>
  <c r="J111" i="73"/>
  <c r="K112" i="73"/>
  <c r="J112" i="73"/>
  <c r="K109" i="73"/>
  <c r="J109" i="73"/>
  <c r="K110" i="73"/>
  <c r="J110" i="73"/>
  <c r="K107" i="73"/>
  <c r="J107" i="73"/>
  <c r="K108" i="73"/>
  <c r="J108" i="73"/>
  <c r="K105" i="73"/>
  <c r="J105" i="73"/>
  <c r="K106" i="73"/>
  <c r="J106" i="73"/>
  <c r="K78" i="73"/>
  <c r="J78" i="73"/>
  <c r="K104" i="73"/>
  <c r="J104" i="73"/>
  <c r="K103" i="73"/>
  <c r="J103" i="73"/>
  <c r="K102" i="73"/>
  <c r="J102" i="73"/>
  <c r="K101" i="73"/>
  <c r="J101" i="73"/>
  <c r="K100" i="73"/>
  <c r="J100" i="73"/>
  <c r="K99" i="73"/>
  <c r="J99" i="73"/>
  <c r="K98" i="73"/>
  <c r="J98" i="73"/>
  <c r="K97" i="73"/>
  <c r="J97" i="73"/>
  <c r="K95" i="73"/>
  <c r="J95" i="73"/>
  <c r="K96" i="73"/>
  <c r="J96" i="73"/>
  <c r="K79" i="73"/>
  <c r="J79" i="73"/>
  <c r="K94" i="73"/>
  <c r="J94" i="73"/>
  <c r="K93" i="73"/>
  <c r="J93" i="73"/>
  <c r="K92" i="73"/>
  <c r="J92" i="73"/>
  <c r="K91" i="73"/>
  <c r="J91" i="73"/>
  <c r="K90" i="73"/>
  <c r="J90" i="73"/>
  <c r="K89" i="73"/>
  <c r="J89" i="73"/>
  <c r="K88" i="73"/>
  <c r="J88" i="73"/>
  <c r="K86" i="73"/>
  <c r="J86" i="73"/>
  <c r="K87" i="73"/>
  <c r="J87" i="73"/>
  <c r="K84" i="73"/>
  <c r="J84" i="73"/>
  <c r="K85" i="73"/>
  <c r="J85" i="73"/>
  <c r="K82" i="73"/>
  <c r="J82" i="73"/>
  <c r="K83" i="73"/>
  <c r="J83" i="73"/>
  <c r="K80" i="73"/>
  <c r="J80" i="73"/>
  <c r="K81" i="73"/>
  <c r="J81" i="73"/>
  <c r="K67" i="73"/>
  <c r="J67" i="73"/>
  <c r="K77" i="73"/>
  <c r="J77" i="73"/>
  <c r="K76" i="73"/>
  <c r="J76" i="73"/>
  <c r="K75" i="73"/>
  <c r="J75" i="73"/>
  <c r="K74" i="73"/>
  <c r="J74" i="73"/>
  <c r="K73" i="73"/>
  <c r="J73" i="73"/>
  <c r="K72" i="73"/>
  <c r="J72" i="73"/>
  <c r="K71" i="73"/>
  <c r="J71" i="73"/>
  <c r="K70" i="73"/>
  <c r="J70" i="73"/>
  <c r="K68" i="73"/>
  <c r="J68" i="73"/>
  <c r="K69" i="73"/>
  <c r="J69" i="73"/>
  <c r="K61" i="73"/>
  <c r="J61" i="73"/>
  <c r="K66" i="73"/>
  <c r="J66" i="73"/>
  <c r="K65" i="73"/>
  <c r="J65" i="73"/>
  <c r="K64" i="73"/>
  <c r="J64" i="73"/>
  <c r="K62" i="73"/>
  <c r="J62" i="73"/>
  <c r="K63" i="73"/>
  <c r="J63" i="73"/>
  <c r="K55" i="73"/>
  <c r="J55" i="73"/>
  <c r="K60" i="73"/>
  <c r="J60" i="73"/>
  <c r="K59" i="73"/>
  <c r="J59" i="73"/>
  <c r="K58" i="73"/>
  <c r="J58" i="73"/>
  <c r="K56" i="73"/>
  <c r="J56" i="73"/>
  <c r="K57" i="73"/>
  <c r="J57" i="73"/>
  <c r="K48" i="73"/>
  <c r="J48" i="73"/>
  <c r="K54" i="73"/>
  <c r="J54" i="73"/>
  <c r="K53" i="73"/>
  <c r="J53" i="73"/>
  <c r="K51" i="73"/>
  <c r="J51" i="73"/>
  <c r="K52" i="73"/>
  <c r="J52" i="73"/>
  <c r="K49" i="73"/>
  <c r="J49" i="73"/>
  <c r="K50" i="73"/>
  <c r="J50" i="73"/>
  <c r="K29" i="73"/>
  <c r="J29" i="73"/>
  <c r="K46" i="73"/>
  <c r="J46" i="73"/>
  <c r="K45" i="73"/>
  <c r="J45" i="73"/>
  <c r="K44" i="73"/>
  <c r="J44" i="73"/>
  <c r="K43" i="73"/>
  <c r="J43" i="73"/>
  <c r="K42" i="73"/>
  <c r="J42" i="73"/>
  <c r="K41" i="73"/>
  <c r="J41" i="73"/>
  <c r="K40" i="73"/>
  <c r="J40" i="73"/>
  <c r="K39" i="73"/>
  <c r="J39" i="73"/>
  <c r="K38" i="73"/>
  <c r="J38" i="73"/>
  <c r="K36" i="73"/>
  <c r="J36" i="73"/>
  <c r="K37" i="73"/>
  <c r="J37" i="73"/>
  <c r="K34" i="73"/>
  <c r="J34" i="73"/>
  <c r="K35" i="73"/>
  <c r="J35" i="73"/>
  <c r="K32" i="73"/>
  <c r="J32" i="73"/>
  <c r="K33" i="73"/>
  <c r="J33" i="73"/>
  <c r="K30" i="73"/>
  <c r="J30" i="73"/>
  <c r="K31" i="73"/>
  <c r="J31" i="73"/>
  <c r="J18" i="73"/>
  <c r="K28" i="73"/>
  <c r="J28" i="73"/>
  <c r="K27" i="73"/>
  <c r="J27" i="73"/>
  <c r="K25" i="73"/>
  <c r="J25" i="73"/>
  <c r="K26" i="73"/>
  <c r="J26" i="73"/>
  <c r="J19" i="73"/>
  <c r="K24" i="73"/>
  <c r="J24" i="73"/>
  <c r="K23" i="73"/>
  <c r="J23" i="73"/>
  <c r="K22" i="73"/>
  <c r="J22" i="73"/>
  <c r="K20" i="73"/>
  <c r="J20" i="73"/>
  <c r="K19" i="73" a="1"/>
  <c r="K19" i="73" s="1"/>
  <c r="K18" i="73" s="1" a="1"/>
  <c r="K18" i="73" s="1"/>
  <c r="K21" i="73"/>
  <c r="J21" i="73"/>
  <c r="L4506" i="73"/>
  <c r="M4506" i="73" s="1"/>
  <c r="L4549" i="73"/>
  <c r="M4549" i="73" s="1"/>
  <c r="L65" i="73"/>
  <c r="M65" i="73" s="1"/>
  <c r="L1315" i="73"/>
  <c r="M1315" i="73" s="1"/>
  <c r="L767" i="73"/>
  <c r="M767" i="73" s="1"/>
  <c r="L57" i="73"/>
  <c r="M57" i="73" s="1"/>
  <c r="M56" i="73" s="1"/>
  <c r="L4721" i="73"/>
  <c r="M4721" i="73" s="1"/>
  <c r="M4720" i="73" s="1"/>
  <c r="L4932" i="73"/>
  <c r="M4932" i="73" s="1"/>
  <c r="L2598" i="73"/>
  <c r="M2598" i="73" s="1"/>
  <c r="L887" i="73"/>
  <c r="M887" i="73" s="1"/>
  <c r="L2462" i="73"/>
  <c r="M2462" i="73" s="1"/>
  <c r="L171" i="73"/>
  <c r="M171" i="73" s="1"/>
  <c r="L1282" i="73"/>
  <c r="M1282" i="73" s="1"/>
  <c r="L375" i="73"/>
  <c r="M375" i="73" s="1"/>
  <c r="L2916" i="73"/>
  <c r="M2916" i="73" s="1"/>
  <c r="L4493" i="73"/>
  <c r="M4493" i="73" s="1"/>
  <c r="L3188" i="73"/>
  <c r="M3188" i="73" s="1"/>
  <c r="L3187" i="73"/>
  <c r="M3187" i="73" s="1"/>
  <c r="L2533" i="73"/>
  <c r="M2533" i="73" s="1"/>
  <c r="L4063" i="73"/>
  <c r="M4063" i="73" s="1"/>
  <c r="L2532" i="73"/>
  <c r="M2532" i="73" s="1"/>
  <c r="L2596" i="73"/>
  <c r="M2596" i="73" s="1"/>
  <c r="L101" i="73"/>
  <c r="M101" i="73" s="1"/>
  <c r="L2915" i="73"/>
  <c r="M2915" i="73" s="1"/>
  <c r="L4137" i="73"/>
  <c r="M4137" i="73" s="1"/>
  <c r="L4536" i="73"/>
  <c r="M4536" i="73" s="1"/>
  <c r="L3472" i="73"/>
  <c r="M3472" i="73" s="1"/>
  <c r="L3223" i="73"/>
  <c r="M3223" i="73" s="1"/>
  <c r="L4246" i="73"/>
  <c r="M4246" i="73" s="1"/>
  <c r="L4505" i="73"/>
  <c r="M4505" i="73" s="1"/>
  <c r="L4779" i="73"/>
  <c r="M4779" i="73" s="1"/>
  <c r="L4265" i="73"/>
  <c r="M4265" i="73" s="1"/>
  <c r="L3271" i="73"/>
  <c r="M3271" i="73" s="1"/>
  <c r="L4262" i="73"/>
  <c r="M4262" i="73" s="1"/>
  <c r="L1900" i="73"/>
  <c r="M1900" i="73" s="1"/>
  <c r="L2567" i="73"/>
  <c r="M2567" i="73" s="1"/>
  <c r="L4876" i="73"/>
  <c r="M4876" i="73" s="1"/>
  <c r="L4874" i="73"/>
  <c r="M4874" i="73" s="1"/>
  <c r="L4872" i="73"/>
  <c r="M4872" i="73" s="1"/>
  <c r="L4504" i="73"/>
  <c r="M4504" i="73" s="1"/>
  <c r="L4929" i="73"/>
  <c r="M4929" i="73" s="1"/>
  <c r="L4777" i="73"/>
  <c r="M4777" i="73" s="1"/>
  <c r="L4870" i="73"/>
  <c r="M4870" i="73" s="1"/>
  <c r="L4869" i="73"/>
  <c r="M4869" i="73" s="1"/>
  <c r="L3276" i="73"/>
  <c r="M3276" i="73" s="1"/>
  <c r="L4868" i="73"/>
  <c r="M4868" i="73" s="1"/>
  <c r="L4867" i="73"/>
  <c r="M4867" i="73" s="1"/>
  <c r="L4517" i="73"/>
  <c r="M4517" i="73" s="1"/>
  <c r="L4774" i="73"/>
  <c r="M4774" i="73" s="1"/>
  <c r="L4864" i="73"/>
  <c r="M4864" i="73" s="1"/>
  <c r="L3990" i="73"/>
  <c r="M3990" i="73" s="1"/>
  <c r="M3989" i="73" s="1"/>
  <c r="L3989" i="73" s="1"/>
  <c r="L4773" i="73"/>
  <c r="M4773" i="73" s="1"/>
  <c r="L4772" i="73"/>
  <c r="M4772" i="73" s="1"/>
  <c r="L4771" i="73"/>
  <c r="M4771" i="73" s="1"/>
  <c r="L5026" i="73"/>
  <c r="M5026" i="73" s="1"/>
  <c r="L1346" i="73"/>
  <c r="M1346" i="73" s="1"/>
  <c r="L1906" i="73"/>
  <c r="M1906" i="73" s="1"/>
  <c r="L176" i="73"/>
  <c r="M176" i="73" s="1"/>
  <c r="L3214" i="73"/>
  <c r="M3214" i="73" s="1"/>
  <c r="M3213" i="73" s="1"/>
  <c r="L3213" i="73" s="1"/>
  <c r="L3115" i="73"/>
  <c r="M3115" i="73" s="1"/>
  <c r="L2560" i="73"/>
  <c r="M2560" i="73" s="1"/>
  <c r="M2559" i="73" s="1"/>
  <c r="L2453" i="73"/>
  <c r="M2453" i="73" s="1"/>
  <c r="L1926" i="73"/>
  <c r="M1926" i="73" s="1"/>
  <c r="M1925" i="73" s="1"/>
  <c r="L1925" i="73" s="1"/>
  <c r="L1800" i="73"/>
  <c r="M1800" i="73" s="1"/>
  <c r="L3064" i="73"/>
  <c r="M3064" i="73" s="1"/>
  <c r="M3063" i="73" s="1"/>
  <c r="L3063" i="73" s="1"/>
  <c r="L2402" i="73"/>
  <c r="M2402" i="73" s="1"/>
  <c r="M2401" i="73" s="1"/>
  <c r="L2401" i="73" s="1"/>
  <c r="L1749" i="73"/>
  <c r="M1749" i="73" s="1"/>
  <c r="M1748" i="73" s="1"/>
  <c r="L1170" i="73"/>
  <c r="M1170" i="73" s="1"/>
  <c r="M1169" i="73" s="1"/>
  <c r="L1187" i="73"/>
  <c r="M1187" i="73" s="1"/>
  <c r="M1186" i="73" s="1"/>
  <c r="L1186" i="73" s="1"/>
  <c r="L2771" i="73"/>
  <c r="M2771" i="73" s="1"/>
  <c r="M2770" i="73" s="1"/>
  <c r="L2770" i="73" s="1"/>
  <c r="L2111" i="73"/>
  <c r="M2111" i="73" s="1"/>
  <c r="M2110" i="73" s="1"/>
  <c r="L2110" i="73" s="1"/>
  <c r="L1362" i="73"/>
  <c r="M1362" i="73" s="1"/>
  <c r="M1361" i="73" s="1"/>
  <c r="L1361" i="73" s="1"/>
  <c r="L2858" i="73"/>
  <c r="M2858" i="73" s="1"/>
  <c r="M2857" i="73" s="1"/>
  <c r="L2857" i="73" s="1"/>
  <c r="L2198" i="73"/>
  <c r="M2198" i="73" s="1"/>
  <c r="M2197" i="73" s="1"/>
  <c r="L2197" i="73" s="1"/>
  <c r="L1451" i="73"/>
  <c r="M1451" i="73" s="1"/>
  <c r="M1450" i="73" s="1"/>
  <c r="L1450" i="73" s="1"/>
  <c r="L4058" i="73"/>
  <c r="M4058" i="73" s="1"/>
  <c r="M4057" i="73" s="1"/>
  <c r="L4057" i="73" s="1"/>
  <c r="L4056" i="73"/>
  <c r="M4056" i="73" s="1"/>
  <c r="M4055" i="73" s="1"/>
  <c r="L4055" i="73" s="1"/>
  <c r="K4138" i="73" a="1"/>
  <c r="K4138" i="73" s="1"/>
  <c r="K4288" i="73" a="1"/>
  <c r="K4288" i="73" s="1"/>
  <c r="K4454" i="73" a="1"/>
  <c r="K4454" i="73" s="1"/>
  <c r="L4862" i="73"/>
  <c r="M4862" i="73" s="1"/>
  <c r="L4769" i="73"/>
  <c r="M4769" i="73" s="1"/>
  <c r="L4768" i="73"/>
  <c r="M4768" i="73" s="1"/>
  <c r="L4767" i="73"/>
  <c r="M4767" i="73" s="1"/>
  <c r="L4861" i="73"/>
  <c r="M4861" i="73" s="1"/>
  <c r="L4860" i="73"/>
  <c r="M4860" i="73" s="1"/>
  <c r="L4526" i="73"/>
  <c r="M4526" i="73" s="1"/>
  <c r="L4883" i="73"/>
  <c r="M4883" i="73" s="1"/>
  <c r="L4922" i="73"/>
  <c r="M4922" i="73" s="1"/>
  <c r="L5023" i="73"/>
  <c r="M5023" i="73" s="1"/>
  <c r="L276" i="73"/>
  <c r="M276" i="73" s="1"/>
  <c r="L4857" i="73"/>
  <c r="M4857" i="73" s="1"/>
  <c r="L4764" i="73"/>
  <c r="M4764" i="73" s="1"/>
  <c r="L4497" i="73"/>
  <c r="M4497" i="73" s="1"/>
  <c r="L523" i="73"/>
  <c r="M523" i="73" s="1"/>
  <c r="L4238" i="73"/>
  <c r="M4238" i="73" s="1"/>
  <c r="L1211" i="73"/>
  <c r="M1211" i="73" s="1"/>
  <c r="L4763" i="73"/>
  <c r="M4763" i="73" s="1"/>
  <c r="L4516" i="73"/>
  <c r="M4516" i="73" s="1"/>
  <c r="L4515" i="73"/>
  <c r="M4515" i="73" s="1"/>
  <c r="L1225" i="73"/>
  <c r="M1225" i="73" s="1"/>
  <c r="L771" i="73"/>
  <c r="M771" i="73" s="1"/>
  <c r="L4762" i="73"/>
  <c r="M4762" i="73" s="1"/>
  <c r="L4716" i="73"/>
  <c r="M4716" i="73" s="1"/>
  <c r="L4715" i="73"/>
  <c r="M4715" i="73" s="1"/>
  <c r="L4575" i="73"/>
  <c r="M4575" i="73" s="1"/>
  <c r="L5021" i="73"/>
  <c r="M5021" i="73" s="1"/>
  <c r="L4559" i="73"/>
  <c r="M4559" i="73" s="1"/>
  <c r="L4854" i="73"/>
  <c r="M4854" i="73" s="1"/>
  <c r="L2981" i="73"/>
  <c r="M2981" i="73" s="1"/>
  <c r="L2752" i="73"/>
  <c r="M2752" i="73" s="1"/>
  <c r="L4919" i="73"/>
  <c r="M4919" i="73" s="1"/>
  <c r="L4581" i="73"/>
  <c r="M4581" i="73" s="1"/>
  <c r="L4918" i="73"/>
  <c r="M4918" i="73" s="1"/>
  <c r="L4573" i="73"/>
  <c r="M4573" i="73" s="1"/>
  <c r="L4851" i="73"/>
  <c r="M4851" i="73" s="1"/>
  <c r="L4683" i="73"/>
  <c r="M4683" i="73" s="1"/>
  <c r="L4703" i="73"/>
  <c r="M4703" i="73" s="1"/>
  <c r="L4847" i="73"/>
  <c r="M4847" i="73" s="1"/>
  <c r="L4760" i="73"/>
  <c r="M4760" i="73" s="1"/>
  <c r="L4621" i="73"/>
  <c r="M4621" i="73" s="1"/>
  <c r="L4534" i="73"/>
  <c r="M4534" i="73" s="1"/>
  <c r="L4247" i="73"/>
  <c r="M4247" i="73" s="1"/>
  <c r="L4245" i="73"/>
  <c r="M4245" i="73" s="1"/>
  <c r="M4244" i="73" s="1"/>
  <c r="L4244" i="73" s="1"/>
  <c r="L3210" i="73"/>
  <c r="M3210" i="73" s="1"/>
  <c r="M3209" i="73" s="1"/>
  <c r="L3209" i="73" s="1"/>
  <c r="L2556" i="73"/>
  <c r="M2556" i="73" s="1"/>
  <c r="M2555" i="73" s="1"/>
  <c r="L2555" i="73" s="1"/>
  <c r="L1922" i="73"/>
  <c r="M1922" i="73" s="1"/>
  <c r="M1921" i="73" s="1"/>
  <c r="L4684" i="73"/>
  <c r="M4684" i="73" s="1"/>
  <c r="L4230" i="73"/>
  <c r="M4230" i="73" s="1"/>
  <c r="L2566" i="73"/>
  <c r="M2566" i="73" s="1"/>
  <c r="L4843" i="73"/>
  <c r="M4843" i="73" s="1"/>
  <c r="L4842" i="73"/>
  <c r="M4842" i="73" s="1"/>
  <c r="L96" i="73"/>
  <c r="M96" i="73" s="1"/>
  <c r="M95" i="73" s="1"/>
  <c r="L95" i="73" s="1"/>
  <c r="L26" i="73"/>
  <c r="M26" i="73" s="1"/>
  <c r="M25" i="73" s="1"/>
  <c r="L25" i="73" s="1"/>
  <c r="L857" i="73"/>
  <c r="M857" i="73" s="1"/>
  <c r="M856" i="73" s="1"/>
  <c r="L856" i="73" s="1"/>
  <c r="L3850" i="73"/>
  <c r="M3850" i="73" s="1"/>
  <c r="L4914" i="73"/>
  <c r="M4914" i="73" s="1"/>
  <c r="L4841" i="73"/>
  <c r="M4841" i="73" s="1"/>
  <c r="L4755" i="73"/>
  <c r="M4755" i="73" s="1"/>
  <c r="L4503" i="73"/>
  <c r="M4503" i="73" s="1"/>
  <c r="L4754" i="73"/>
  <c r="M4754" i="73" s="1"/>
  <c r="L4751" i="73"/>
  <c r="M4751" i="73" s="1"/>
  <c r="L4750" i="73"/>
  <c r="M4750" i="73" s="1"/>
  <c r="L4749" i="73"/>
  <c r="M4749" i="73" s="1"/>
  <c r="L4836" i="73"/>
  <c r="M4836" i="73" s="1"/>
  <c r="L4908" i="73"/>
  <c r="M4908" i="73" s="1"/>
  <c r="L4834" i="73"/>
  <c r="M4834" i="73" s="1"/>
  <c r="L4748" i="73"/>
  <c r="M4748" i="73" s="1"/>
  <c r="L4832" i="73"/>
  <c r="M4832" i="73" s="1"/>
  <c r="L4830" i="73"/>
  <c r="M4830" i="73" s="1"/>
  <c r="L4961" i="73"/>
  <c r="M4961" i="73" s="1"/>
  <c r="L4653" i="73"/>
  <c r="M4653" i="73" s="1"/>
  <c r="L4743" i="73"/>
  <c r="M4743" i="73" s="1"/>
  <c r="L4711" i="73"/>
  <c r="M4711" i="73" s="1"/>
  <c r="L4901" i="73"/>
  <c r="M4901" i="73" s="1"/>
  <c r="L4826" i="73"/>
  <c r="M4826" i="73" s="1"/>
  <c r="L4710" i="73"/>
  <c r="M4710" i="73" s="1"/>
  <c r="L4692" i="73"/>
  <c r="M4692" i="73" s="1"/>
  <c r="L4823" i="73"/>
  <c r="M4823" i="73" s="1"/>
  <c r="L4837" i="73"/>
  <c r="M4837" i="73" s="1"/>
  <c r="L4002" i="73"/>
  <c r="M4002" i="73" s="1"/>
  <c r="L4001" i="73"/>
  <c r="M4001" i="73" s="1"/>
  <c r="L1316" i="73"/>
  <c r="M1316" i="73" s="1"/>
  <c r="L1291" i="73"/>
  <c r="M1291" i="73" s="1"/>
  <c r="L4820" i="73"/>
  <c r="M4820" i="73" s="1"/>
  <c r="L4819" i="73"/>
  <c r="M4819" i="73" s="1"/>
  <c r="L4818" i="73"/>
  <c r="M4818" i="73" s="1"/>
  <c r="L4739" i="73"/>
  <c r="M4739" i="73" s="1"/>
  <c r="L4815" i="73"/>
  <c r="M4815" i="73" s="1"/>
  <c r="L4814" i="73"/>
  <c r="M4814" i="73" s="1"/>
  <c r="L4738" i="73"/>
  <c r="M4738" i="73" s="1"/>
  <c r="L4737" i="73"/>
  <c r="M4737" i="73" s="1"/>
  <c r="L4519" i="73"/>
  <c r="M4519" i="73" s="1"/>
  <c r="L4708" i="73"/>
  <c r="M4708" i="73" s="1"/>
  <c r="L4579" i="73"/>
  <c r="M4579" i="73" s="1"/>
  <c r="L5004" i="73"/>
  <c r="M5004" i="73" s="1"/>
  <c r="L2550" i="73"/>
  <c r="M2550" i="73" s="1"/>
  <c r="L2127" i="73"/>
  <c r="M2127" i="73" s="1"/>
  <c r="L4810" i="73"/>
  <c r="M4810" i="73" s="1"/>
  <c r="L4514" i="73"/>
  <c r="M4514" i="73" s="1"/>
  <c r="L2351" i="73"/>
  <c r="M2351" i="73" s="1"/>
  <c r="L2834" i="73"/>
  <c r="M2834" i="73" s="1"/>
  <c r="M2833" i="73" s="1"/>
  <c r="L2833" i="73" s="1"/>
  <c r="L2188" i="73"/>
  <c r="M2188" i="73" s="1"/>
  <c r="M2187" i="73" s="1"/>
  <c r="L2187" i="73" s="1"/>
  <c r="L1425" i="73"/>
  <c r="M1425" i="73" s="1"/>
  <c r="M1424" i="73" s="1"/>
  <c r="L1424" i="73" s="1"/>
  <c r="L554" i="73"/>
  <c r="M554" i="73" s="1"/>
  <c r="M553" i="73" s="1"/>
  <c r="L553" i="73" s="1"/>
  <c r="L3154" i="73"/>
  <c r="M3154" i="73" s="1"/>
  <c r="L2492" i="73"/>
  <c r="M2492" i="73" s="1"/>
  <c r="L1848" i="73"/>
  <c r="M1848" i="73" s="1"/>
  <c r="L2343" i="73"/>
  <c r="M2343" i="73" s="1"/>
  <c r="L1193" i="73"/>
  <c r="M1193" i="73" s="1"/>
  <c r="M1192" i="73" s="1"/>
  <c r="L1192" i="73" s="1"/>
  <c r="L427" i="73"/>
  <c r="M427" i="73" s="1"/>
  <c r="L4427" i="73"/>
  <c r="M4427" i="73" s="1"/>
  <c r="M4426" i="73" s="1"/>
  <c r="L4426" i="73" s="1"/>
  <c r="L4343" i="73"/>
  <c r="M4343" i="73" s="1"/>
  <c r="M4342" i="73" s="1"/>
  <c r="L4342" i="73" s="1"/>
  <c r="L2862" i="73"/>
  <c r="M2862" i="73" s="1"/>
  <c r="M2861" i="73" s="1"/>
  <c r="L2861" i="73" s="1"/>
  <c r="L939" i="73"/>
  <c r="M939" i="73" s="1"/>
  <c r="L1144" i="73"/>
  <c r="M1144" i="73" s="1"/>
  <c r="M1143" i="73" s="1"/>
  <c r="L1143" i="73" s="1"/>
  <c r="L1447" i="73"/>
  <c r="M1447" i="73" s="1"/>
  <c r="M1446" i="73" s="1"/>
  <c r="L1446" i="73" s="1"/>
  <c r="L312" i="73"/>
  <c r="M312" i="73" s="1"/>
  <c r="L87" i="73"/>
  <c r="M87" i="73" s="1"/>
  <c r="M86" i="73" s="1"/>
  <c r="L86" i="73" s="1"/>
  <c r="L4400" i="73"/>
  <c r="M4400" i="73" s="1"/>
  <c r="M4399" i="73" s="1"/>
  <c r="L4399" i="73" s="1"/>
  <c r="L4119" i="73"/>
  <c r="M4119" i="73" s="1"/>
  <c r="M4118" i="73" s="1"/>
  <c r="L4118" i="73" s="1"/>
  <c r="L4117" i="73"/>
  <c r="M4117" i="73" s="1"/>
  <c r="M4116" i="73" s="1"/>
  <c r="L4093" i="73"/>
  <c r="M4093" i="73" s="1"/>
  <c r="M4092" i="73" s="1"/>
  <c r="L4092" i="73" s="1"/>
  <c r="L946" i="73"/>
  <c r="M946" i="73" s="1"/>
  <c r="M945" i="73" s="1"/>
  <c r="L847" i="73"/>
  <c r="M847" i="73" s="1"/>
  <c r="M846" i="73" s="1"/>
  <c r="L846" i="73" s="1"/>
  <c r="L845" i="73"/>
  <c r="M845" i="73" s="1"/>
  <c r="M844" i="73" s="1"/>
  <c r="L843" i="73"/>
  <c r="M843" i="73" s="1"/>
  <c r="M842" i="73" s="1"/>
  <c r="L842" i="73" s="1"/>
  <c r="L726" i="73"/>
  <c r="M726" i="73" s="1"/>
  <c r="M725" i="73" s="1"/>
  <c r="L725" i="73" s="1"/>
  <c r="L724" i="73"/>
  <c r="M724" i="73" s="1"/>
  <c r="M723" i="73" s="1"/>
  <c r="L722" i="73"/>
  <c r="M722" i="73" s="1"/>
  <c r="M721" i="73" s="1"/>
  <c r="L721" i="73" s="1"/>
  <c r="L1008" i="73"/>
  <c r="M1008" i="73" s="1"/>
  <c r="M1007" i="73" s="1"/>
  <c r="L1007" i="73" s="1"/>
  <c r="L1006" i="73"/>
  <c r="M1006" i="73" s="1"/>
  <c r="M1005" i="73" s="1"/>
  <c r="L1005" i="73" s="1"/>
  <c r="L994" i="73"/>
  <c r="M994" i="73" s="1"/>
  <c r="M993" i="73" s="1"/>
  <c r="L993" i="73" s="1"/>
  <c r="L640" i="73"/>
  <c r="M640" i="73" s="1"/>
  <c r="M639" i="73" s="1"/>
  <c r="L639" i="73" s="1"/>
  <c r="L638" i="73"/>
  <c r="M638" i="73" s="1"/>
  <c r="M637" i="73" s="1"/>
  <c r="L637" i="73" s="1"/>
  <c r="L636" i="73"/>
  <c r="M636" i="73" s="1"/>
  <c r="M635" i="73" s="1"/>
  <c r="L635" i="73" s="1"/>
  <c r="L4937" i="73"/>
  <c r="M4937" i="73" s="1"/>
  <c r="M4936" i="73" s="1"/>
  <c r="L4936" i="73" s="1"/>
  <c r="L4987" i="73"/>
  <c r="M4987" i="73" s="1"/>
  <c r="M4986" i="73" s="1"/>
  <c r="L4986" i="73" s="1"/>
  <c r="L4470" i="73"/>
  <c r="M4470" i="73" s="1"/>
  <c r="M4469" i="73" s="1"/>
  <c r="L4458" i="73"/>
  <c r="M4458" i="73" s="1"/>
  <c r="M4457" i="73" s="1"/>
  <c r="L4457" i="73" s="1"/>
  <c r="L4398" i="73"/>
  <c r="M4398" i="73" s="1"/>
  <c r="M4397" i="73" s="1"/>
  <c r="L4397" i="73" s="1"/>
  <c r="L4368" i="73"/>
  <c r="M4368" i="73" s="1"/>
  <c r="M4367" i="73" s="1"/>
  <c r="L4115" i="73"/>
  <c r="M4115" i="73" s="1"/>
  <c r="M4114" i="73" s="1"/>
  <c r="L4114" i="73" s="1"/>
  <c r="L3720" i="73"/>
  <c r="M3720" i="73" s="1"/>
  <c r="M3719" i="73" s="1"/>
  <c r="L3719" i="73" s="1"/>
  <c r="L3718" i="73"/>
  <c r="M3718" i="73" s="1"/>
  <c r="M3717" i="73" s="1"/>
  <c r="L3717" i="73" s="1"/>
  <c r="L3241" i="73"/>
  <c r="M3241" i="73" s="1"/>
  <c r="M3240" i="73" s="1"/>
  <c r="L3240" i="73" s="1"/>
  <c r="L2587" i="73"/>
  <c r="M2587" i="73" s="1"/>
  <c r="M2586" i="73" s="1"/>
  <c r="L2586" i="73" s="1"/>
  <c r="L1953" i="73"/>
  <c r="M1953" i="73" s="1"/>
  <c r="M1952" i="73" s="1"/>
  <c r="L1952" i="73" s="1"/>
  <c r="L1313" i="73"/>
  <c r="M1313" i="73" s="1"/>
  <c r="M1312" i="73" s="1"/>
  <c r="L1312" i="73" s="1"/>
  <c r="L1237" i="73"/>
  <c r="M1237" i="73" s="1"/>
  <c r="M1236" i="73" s="1"/>
  <c r="L956" i="73"/>
  <c r="M956" i="73" s="1"/>
  <c r="M955" i="73" s="1"/>
  <c r="L955" i="73" s="1"/>
  <c r="L948" i="73"/>
  <c r="M948" i="73" s="1"/>
  <c r="M947" i="73" s="1"/>
  <c r="L947" i="73" s="1"/>
  <c r="L944" i="73"/>
  <c r="M944" i="73" s="1"/>
  <c r="M943" i="73" s="1"/>
  <c r="L943" i="73" s="1"/>
  <c r="L930" i="73"/>
  <c r="M930" i="73" s="1"/>
  <c r="M929" i="73" s="1"/>
  <c r="L929" i="73" s="1"/>
  <c r="L928" i="73"/>
  <c r="M928" i="73" s="1"/>
  <c r="M927" i="73" s="1"/>
  <c r="L927" i="73" s="1"/>
  <c r="L926" i="73"/>
  <c r="M926" i="73" s="1"/>
  <c r="M925" i="73" s="1"/>
  <c r="L925" i="73" s="1"/>
  <c r="L920" i="73"/>
  <c r="M920" i="73" s="1"/>
  <c r="M919" i="73" s="1"/>
  <c r="L919" i="73" s="1"/>
  <c r="L918" i="73"/>
  <c r="M918" i="73" s="1"/>
  <c r="M917" i="73" s="1"/>
  <c r="L917" i="73" s="1"/>
  <c r="L916" i="73"/>
  <c r="M916" i="73" s="1"/>
  <c r="M915" i="73" s="1"/>
  <c r="L915" i="73" s="1"/>
  <c r="L914" i="73"/>
  <c r="M914" i="73" s="1"/>
  <c r="M913" i="73" s="1"/>
  <c r="L913" i="73" s="1"/>
  <c r="L912" i="73"/>
  <c r="M912" i="73" s="1"/>
  <c r="M911" i="73" s="1"/>
  <c r="L911" i="73" s="1"/>
  <c r="L910" i="73"/>
  <c r="M910" i="73" s="1"/>
  <c r="M909" i="73" s="1"/>
  <c r="L902" i="73"/>
  <c r="M902" i="73" s="1"/>
  <c r="M901" i="73" s="1"/>
  <c r="L901" i="73" s="1"/>
  <c r="L1247" i="73"/>
  <c r="M1247" i="73" s="1"/>
  <c r="M1246" i="73" s="1"/>
  <c r="L1246" i="73" s="1"/>
  <c r="L1228" i="73"/>
  <c r="M1228" i="73" s="1"/>
  <c r="M1227" i="73" s="1"/>
  <c r="L1218" i="73"/>
  <c r="M1218" i="73" s="1"/>
  <c r="M1217" i="73" s="1"/>
  <c r="L1217" i="73" s="1"/>
  <c r="L825" i="73"/>
  <c r="M825" i="73" s="1"/>
  <c r="M824" i="73" s="1"/>
  <c r="L824" i="73" s="1"/>
  <c r="L823" i="73"/>
  <c r="M823" i="73" s="1"/>
  <c r="M822" i="73" s="1"/>
  <c r="L822" i="73" s="1"/>
  <c r="L821" i="73"/>
  <c r="M821" i="73" s="1"/>
  <c r="M820" i="73" s="1"/>
  <c r="L819" i="73"/>
  <c r="M819" i="73" s="1"/>
  <c r="M818" i="73" s="1"/>
  <c r="L818" i="73" s="1"/>
  <c r="L811" i="73"/>
  <c r="M811" i="73" s="1"/>
  <c r="M810" i="73" s="1"/>
  <c r="L809" i="73"/>
  <c r="M809" i="73" s="1"/>
  <c r="M808" i="73" s="1"/>
  <c r="L808" i="73" s="1"/>
  <c r="L807" i="73"/>
  <c r="M807" i="73" s="1"/>
  <c r="M806" i="73" s="1"/>
  <c r="L806" i="73" s="1"/>
  <c r="L805" i="73"/>
  <c r="M805" i="73" s="1"/>
  <c r="M804" i="73" s="1"/>
  <c r="L799" i="73"/>
  <c r="M799" i="73" s="1"/>
  <c r="M798" i="73" s="1"/>
  <c r="L798" i="73" s="1"/>
  <c r="L797" i="73"/>
  <c r="M797" i="73" s="1"/>
  <c r="M796" i="73" s="1"/>
  <c r="L796" i="73" s="1"/>
  <c r="L795" i="73"/>
  <c r="M795" i="73" s="1"/>
  <c r="M794" i="73" s="1"/>
  <c r="L794" i="73" s="1"/>
  <c r="L791" i="73"/>
  <c r="M791" i="73" s="1"/>
  <c r="M790" i="73" s="1"/>
  <c r="L789" i="73"/>
  <c r="M789" i="73" s="1"/>
  <c r="M788" i="73" s="1"/>
  <c r="L788" i="73" s="1"/>
  <c r="L781" i="73"/>
  <c r="M781" i="73" s="1"/>
  <c r="M780" i="73" s="1"/>
  <c r="L780" i="73" s="1"/>
  <c r="L1296" i="73"/>
  <c r="M1296" i="73" s="1"/>
  <c r="M1295" i="73" s="1"/>
  <c r="L1241" i="73"/>
  <c r="M1241" i="73" s="1"/>
  <c r="M1240" i="73" s="1"/>
  <c r="L1240" i="73" s="1"/>
  <c r="L1220" i="73"/>
  <c r="M1220" i="73" s="1"/>
  <c r="M1219" i="73" s="1"/>
  <c r="L1113" i="73"/>
  <c r="M1113" i="73" s="1"/>
  <c r="M1112" i="73" s="1"/>
  <c r="L1267" i="73"/>
  <c r="M1267" i="73" s="1"/>
  <c r="M1266" i="73" s="1"/>
  <c r="L1266" i="73" s="1"/>
  <c r="L1002" i="73"/>
  <c r="M1002" i="73" s="1"/>
  <c r="M1001" i="73" s="1"/>
  <c r="L1001" i="73" s="1"/>
  <c r="L998" i="73"/>
  <c r="M998" i="73" s="1"/>
  <c r="M997" i="73" s="1"/>
  <c r="L997" i="73" s="1"/>
  <c r="L698" i="73"/>
  <c r="M698" i="73" s="1"/>
  <c r="M697" i="73" s="1"/>
  <c r="L697" i="73" s="1"/>
  <c r="L696" i="73"/>
  <c r="M696" i="73" s="1"/>
  <c r="M695" i="73" s="1"/>
  <c r="L694" i="73"/>
  <c r="M694" i="73" s="1"/>
  <c r="M693" i="73" s="1"/>
  <c r="L693" i="73" s="1"/>
  <c r="L692" i="73"/>
  <c r="M692" i="73" s="1"/>
  <c r="M691" i="73" s="1"/>
  <c r="L690" i="73"/>
  <c r="M690" i="73" s="1"/>
  <c r="M689" i="73" s="1"/>
  <c r="L689" i="73" s="1"/>
  <c r="L688" i="73"/>
  <c r="M688" i="73" s="1"/>
  <c r="M687" i="73" s="1"/>
  <c r="L686" i="73"/>
  <c r="M686" i="73" s="1"/>
  <c r="M685" i="73" s="1"/>
  <c r="L685" i="73" s="1"/>
  <c r="L684" i="73"/>
  <c r="M684" i="73" s="1"/>
  <c r="M683" i="73" s="1"/>
  <c r="L683" i="73" s="1"/>
  <c r="L682" i="73"/>
  <c r="M682" i="73" s="1"/>
  <c r="M681" i="73" s="1"/>
  <c r="L670" i="73"/>
  <c r="M670" i="73" s="1"/>
  <c r="M669" i="73" s="1"/>
  <c r="L669" i="73" s="1"/>
  <c r="L652" i="73"/>
  <c r="M652" i="73" s="1"/>
  <c r="M651" i="73" s="1"/>
  <c r="L650" i="73"/>
  <c r="M650" i="73" s="1"/>
  <c r="M649" i="73" s="1"/>
  <c r="L649" i="73" s="1"/>
  <c r="L648" i="73"/>
  <c r="M648" i="73" s="1"/>
  <c r="M647" i="73" s="1"/>
  <c r="L647" i="73" s="1"/>
  <c r="L511" i="73"/>
  <c r="M511" i="73" s="1"/>
  <c r="M510" i="73" s="1"/>
  <c r="L432" i="73"/>
  <c r="M432" i="73" s="1"/>
  <c r="M431" i="73" s="1"/>
  <c r="L266" i="73"/>
  <c r="M266" i="73" s="1"/>
  <c r="M265" i="73" s="1"/>
  <c r="L265" i="73" s="1"/>
  <c r="L237" i="73"/>
  <c r="M237" i="73" s="1"/>
  <c r="M236" i="73" s="1"/>
  <c r="L108" i="73"/>
  <c r="M108" i="73" s="1"/>
  <c r="M107" i="73" s="1"/>
  <c r="L107" i="73" s="1"/>
  <c r="L404" i="73"/>
  <c r="M404" i="73" s="1"/>
  <c r="M403" i="73" s="1"/>
  <c r="L268" i="73"/>
  <c r="M268" i="73" s="1"/>
  <c r="M267" i="73" s="1"/>
  <c r="L267" i="73" s="1"/>
  <c r="L136" i="73"/>
  <c r="M136" i="73" s="1"/>
  <c r="M135" i="73" s="1"/>
  <c r="L503" i="73"/>
  <c r="M503" i="73" s="1"/>
  <c r="M502" i="73" s="1"/>
  <c r="L430" i="73"/>
  <c r="M430" i="73" s="1"/>
  <c r="M429" i="73" s="1"/>
  <c r="L429" i="73" s="1"/>
  <c r="L501" i="73"/>
  <c r="M501" i="73" s="1"/>
  <c r="M500" i="73" s="1"/>
  <c r="L112" i="73"/>
  <c r="M112" i="73" s="1"/>
  <c r="M111" i="73" s="1"/>
  <c r="L2860" i="73"/>
  <c r="M2860" i="73" s="1"/>
  <c r="M2859" i="73" s="1"/>
  <c r="L2859" i="73" s="1"/>
  <c r="L2190" i="73"/>
  <c r="M2190" i="73" s="1"/>
  <c r="M2189" i="73" s="1"/>
  <c r="L2189" i="73" s="1"/>
  <c r="L1443" i="73"/>
  <c r="M1443" i="73" s="1"/>
  <c r="M1442" i="73" s="1"/>
  <c r="L1442" i="73" s="1"/>
  <c r="L716" i="73"/>
  <c r="M716" i="73" s="1"/>
  <c r="M715" i="73" s="1"/>
  <c r="L715" i="73" s="1"/>
  <c r="L1320" i="73"/>
  <c r="M1320" i="73" s="1"/>
  <c r="M1319" i="73" s="1"/>
  <c r="L1319" i="73" s="1"/>
  <c r="L1322" i="73"/>
  <c r="M1322" i="73" s="1"/>
  <c r="M1321" i="73" s="1"/>
  <c r="L1326" i="73"/>
  <c r="M1326" i="73" s="1"/>
  <c r="M1325" i="73" s="1"/>
  <c r="L1325" i="73" s="1"/>
  <c r="L4448" i="73"/>
  <c r="M4448" i="73" s="1"/>
  <c r="L348" i="73"/>
  <c r="M348" i="73" s="1"/>
  <c r="M347" i="73" s="1"/>
  <c r="L347" i="73" s="1"/>
  <c r="L2156" i="73"/>
  <c r="M2156" i="73" s="1"/>
  <c r="M2155" i="73" s="1"/>
  <c r="L2662" i="73"/>
  <c r="M2662" i="73" s="1"/>
  <c r="M2661" i="73" s="1"/>
  <c r="L1530" i="73"/>
  <c r="M1530" i="73" s="1"/>
  <c r="M1529" i="73" s="1"/>
  <c r="L1529" i="73" s="1"/>
  <c r="L2992" i="73"/>
  <c r="M2992" i="73" s="1"/>
  <c r="M2991" i="73" s="1"/>
  <c r="L2991" i="73" s="1"/>
  <c r="L1711" i="73"/>
  <c r="M1711" i="73" s="1"/>
  <c r="M1710" i="73" s="1"/>
  <c r="L1710" i="73" s="1"/>
  <c r="L3368" i="73"/>
  <c r="M3368" i="73" s="1"/>
  <c r="L362" i="73"/>
  <c r="M362" i="73" s="1"/>
  <c r="M361" i="73" s="1"/>
  <c r="L361" i="73" s="1"/>
  <c r="L3335" i="73"/>
  <c r="M3335" i="73" s="1"/>
  <c r="M3334" i="73" s="1"/>
  <c r="L3334" i="73" s="1"/>
  <c r="L752" i="73"/>
  <c r="M752" i="73" s="1"/>
  <c r="M751" i="73" s="1"/>
  <c r="L4809" i="73"/>
  <c r="M4809" i="73" s="1"/>
  <c r="L4270" i="73"/>
  <c r="M4270" i="73" s="1"/>
  <c r="L2582" i="73"/>
  <c r="M2582" i="73" s="1"/>
  <c r="L5002" i="73"/>
  <c r="M5002" i="73" s="1"/>
  <c r="L4646" i="73"/>
  <c r="M4646" i="73" s="1"/>
  <c r="L4707" i="73"/>
  <c r="M4707" i="73" s="1"/>
  <c r="L4677" i="73"/>
  <c r="M4677" i="73" s="1"/>
  <c r="L4689" i="73"/>
  <c r="M4689" i="73" s="1"/>
  <c r="L4736" i="73"/>
  <c r="M4736" i="73" s="1"/>
  <c r="L4951" i="73"/>
  <c r="M4951" i="73" s="1"/>
  <c r="L4734" i="73"/>
  <c r="M4734" i="73" s="1"/>
  <c r="L4999" i="73"/>
  <c r="M4999" i="73" s="1"/>
  <c r="L4532" i="73"/>
  <c r="M4532" i="73" s="1"/>
  <c r="L4531" i="73"/>
  <c r="M4531" i="73" s="1"/>
  <c r="L4530" i="73"/>
  <c r="M4530" i="73" s="1"/>
  <c r="L4732" i="73"/>
  <c r="M4732" i="73" s="1"/>
  <c r="L4731" i="73"/>
  <c r="M4731" i="73" s="1"/>
  <c r="L4730" i="73"/>
  <c r="M4730" i="73" s="1"/>
  <c r="L2334" i="73"/>
  <c r="M2334" i="73" s="1"/>
  <c r="M2333" i="73" s="1"/>
  <c r="L2333" i="73" s="1"/>
  <c r="L1681" i="73"/>
  <c r="M1681" i="73" s="1"/>
  <c r="M1680" i="73" s="1"/>
  <c r="L1680" i="73" s="1"/>
  <c r="L3218" i="73"/>
  <c r="M3218" i="73" s="1"/>
  <c r="M3217" i="73" s="1"/>
  <c r="L3217" i="73" s="1"/>
  <c r="L3107" i="73"/>
  <c r="M3107" i="73" s="1"/>
  <c r="L1792" i="73"/>
  <c r="M1792" i="73" s="1"/>
  <c r="L63" i="73"/>
  <c r="M63" i="73" s="1"/>
  <c r="M62" i="73" s="1"/>
  <c r="L2423" i="73"/>
  <c r="M2423" i="73" s="1"/>
  <c r="M2422" i="73" s="1"/>
  <c r="L2422" i="73" s="1"/>
  <c r="L1500" i="73"/>
  <c r="M1500" i="73" s="1"/>
  <c r="M1499" i="73" s="1"/>
  <c r="L1499" i="73" s="1"/>
  <c r="L2603" i="73"/>
  <c r="M2603" i="73" s="1"/>
  <c r="M2602" i="73" s="1"/>
  <c r="L2602" i="73" s="1"/>
  <c r="L4478" i="73"/>
  <c r="M4478" i="73" s="1"/>
  <c r="M4477" i="73" s="1"/>
  <c r="L2731" i="73"/>
  <c r="M2731" i="73" s="1"/>
  <c r="L2707" i="73"/>
  <c r="M2707" i="73" s="1"/>
  <c r="L2682" i="73"/>
  <c r="M2682" i="73" s="1"/>
  <c r="L2667" i="73"/>
  <c r="M2667" i="73" s="1"/>
  <c r="L2067" i="73"/>
  <c r="M2067" i="73" s="1"/>
  <c r="L2047" i="73"/>
  <c r="M2047" i="73" s="1"/>
  <c r="L2027" i="73"/>
  <c r="M2027" i="73" s="1"/>
  <c r="L2010" i="73"/>
  <c r="M2010" i="73" s="1"/>
  <c r="L1599" i="73"/>
  <c r="M1599" i="73" s="1"/>
  <c r="L1585" i="73"/>
  <c r="M1585" i="73" s="1"/>
  <c r="L1560" i="73"/>
  <c r="M1560" i="73" s="1"/>
  <c r="L1545" i="73"/>
  <c r="M1545" i="73" s="1"/>
  <c r="L1535" i="73"/>
  <c r="M1535" i="73" s="1"/>
  <c r="L261" i="73"/>
  <c r="M261" i="73" s="1"/>
  <c r="M260" i="73" s="1"/>
  <c r="L260" i="73" s="1"/>
  <c r="L1492" i="73"/>
  <c r="M1492" i="73" s="1"/>
  <c r="M1491" i="73" s="1"/>
  <c r="L1172" i="73"/>
  <c r="M1172" i="73" s="1"/>
  <c r="M1171" i="73" s="1"/>
  <c r="L4729" i="73"/>
  <c r="M4729" i="73" s="1"/>
  <c r="L4529" i="73"/>
  <c r="M4529" i="73" s="1"/>
  <c r="L4528" i="73"/>
  <c r="M4528" i="73" s="1"/>
  <c r="L4634" i="73"/>
  <c r="M4634" i="73" s="1"/>
  <c r="L4706" i="73"/>
  <c r="M4706" i="73" s="1"/>
  <c r="L4728" i="73"/>
  <c r="M4728" i="73" s="1"/>
  <c r="L4806" i="73"/>
  <c r="M4806" i="73" s="1"/>
  <c r="L4997" i="73"/>
  <c r="M4997" i="73" s="1"/>
  <c r="L4727" i="73"/>
  <c r="M4727" i="73" s="1"/>
  <c r="L4897" i="73"/>
  <c r="M4897" i="73" s="1"/>
  <c r="L4136" i="73"/>
  <c r="M4136" i="73" s="1"/>
  <c r="L1229" i="73"/>
  <c r="M1229" i="73" s="1"/>
  <c r="L1299" i="73"/>
  <c r="M1299" i="73" s="1"/>
  <c r="L3991" i="73"/>
  <c r="M3991" i="73" s="1"/>
  <c r="L3196" i="73"/>
  <c r="M3196" i="73" s="1"/>
  <c r="L4429" i="73"/>
  <c r="M4429" i="73" s="1"/>
  <c r="L4719" i="73"/>
  <c r="M4719" i="73" s="1"/>
  <c r="M4718" i="73" s="1"/>
  <c r="L4718" i="73" s="1"/>
  <c r="L4513" i="73"/>
  <c r="M4513" i="73" s="1"/>
  <c r="L4512" i="73"/>
  <c r="M4512" i="73" s="1"/>
  <c r="L4511" i="73"/>
  <c r="M4511" i="73" s="1"/>
  <c r="L443" i="73"/>
  <c r="M443" i="73" s="1"/>
  <c r="L1178" i="73"/>
  <c r="M1178" i="73" s="1"/>
  <c r="L4286" i="73"/>
  <c r="M4286" i="73" s="1"/>
  <c r="L1938" i="73"/>
  <c r="M1938" i="73" s="1"/>
  <c r="L4062" i="73"/>
  <c r="M4062" i="73" s="1"/>
  <c r="L4726" i="73"/>
  <c r="M4726" i="73" s="1"/>
  <c r="L1961" i="73"/>
  <c r="M1961" i="73" s="1"/>
  <c r="L4705" i="73"/>
  <c r="M4705" i="73" s="1"/>
  <c r="L471" i="73"/>
  <c r="M471" i="73" s="1"/>
  <c r="L4895" i="73"/>
  <c r="M4895" i="73" s="1"/>
  <c r="L167" i="73"/>
  <c r="M167" i="73" s="1"/>
  <c r="L373" i="73"/>
  <c r="M373" i="73" s="1"/>
  <c r="L1215" i="73"/>
  <c r="M1215" i="73" s="1"/>
  <c r="L3180" i="73"/>
  <c r="M3180" i="73" s="1"/>
  <c r="L2871" i="73"/>
  <c r="M2871" i="73" s="1"/>
  <c r="L1864" i="73"/>
  <c r="M1864" i="73" s="1"/>
  <c r="L853" i="73"/>
  <c r="M853" i="73" s="1"/>
  <c r="L568" i="73"/>
  <c r="M568" i="73" s="1"/>
  <c r="L28" i="73"/>
  <c r="M28" i="73" s="1"/>
  <c r="L2126" i="73"/>
  <c r="M2126" i="73" s="1"/>
  <c r="L2125" i="73"/>
  <c r="M2125" i="73" s="1"/>
  <c r="L746" i="73"/>
  <c r="M746" i="73" s="1"/>
  <c r="L1278" i="73"/>
  <c r="M1278" i="73" s="1"/>
  <c r="L3730" i="73"/>
  <c r="M3730" i="73" s="1"/>
  <c r="L4510" i="73"/>
  <c r="M4510" i="73" s="1"/>
  <c r="L4894" i="73"/>
  <c r="M4894" i="73" s="1"/>
  <c r="L4800" i="73"/>
  <c r="M4800" i="73" s="1"/>
  <c r="L4893" i="73"/>
  <c r="M4893" i="73" s="1"/>
  <c r="L4995" i="73"/>
  <c r="M4995" i="73" s="1"/>
  <c r="L4724" i="73"/>
  <c r="M4724" i="73" s="1"/>
  <c r="L4797" i="73"/>
  <c r="M4797" i="73" s="1"/>
  <c r="L4889" i="73"/>
  <c r="M4889" i="73" s="1"/>
  <c r="L4795" i="73"/>
  <c r="M4795" i="73" s="1"/>
  <c r="L4509" i="73"/>
  <c r="M4509" i="73" s="1"/>
  <c r="L4794" i="73"/>
  <c r="M4794" i="73" s="1"/>
  <c r="L1345" i="73"/>
  <c r="M1345" i="73" s="1"/>
  <c r="L848" i="73"/>
  <c r="M848" i="73" s="1"/>
  <c r="L4483" i="73"/>
  <c r="M4483" i="73" s="1"/>
  <c r="L468" i="73"/>
  <c r="M468" i="73" s="1"/>
  <c r="L163" i="73"/>
  <c r="M163" i="73" s="1"/>
  <c r="L1093" i="73"/>
  <c r="M1093" i="73" s="1"/>
  <c r="L1223" i="73"/>
  <c r="M1223" i="73" s="1"/>
  <c r="L466" i="73"/>
  <c r="M466" i="73" s="1"/>
  <c r="L465" i="73"/>
  <c r="M465" i="73" s="1"/>
  <c r="L3994" i="73"/>
  <c r="M3994" i="73" s="1"/>
  <c r="L3864" i="73"/>
  <c r="M3864" i="73" s="1"/>
  <c r="L247" i="73"/>
  <c r="M247" i="73" s="1"/>
  <c r="L3708" i="73"/>
  <c r="M3708" i="73" s="1"/>
  <c r="L3327" i="73"/>
  <c r="M3327" i="73" s="1"/>
  <c r="L3707" i="73"/>
  <c r="M3707" i="73" s="1"/>
  <c r="L4132" i="73"/>
  <c r="M4132" i="73" s="1"/>
  <c r="L249" i="73"/>
  <c r="M249" i="73" s="1"/>
  <c r="L166" i="73"/>
  <c r="M166" i="73" s="1"/>
  <c r="L4061" i="73"/>
  <c r="M4061" i="73" s="1"/>
  <c r="L3849" i="73"/>
  <c r="M3849" i="73" s="1"/>
  <c r="L165" i="73"/>
  <c r="M165" i="73" s="1"/>
  <c r="L469" i="73"/>
  <c r="M469" i="73" s="1"/>
  <c r="L164" i="73"/>
  <c r="M164" i="73" s="1"/>
  <c r="L3634" i="73"/>
  <c r="M3634" i="73" s="1"/>
  <c r="L881" i="73"/>
  <c r="M881" i="73" s="1"/>
  <c r="L4130" i="73"/>
  <c r="M4130" i="73" s="1"/>
  <c r="L4489" i="73"/>
  <c r="M4489" i="73" s="1"/>
  <c r="L3248" i="73"/>
  <c r="M3248" i="73" s="1"/>
  <c r="L960" i="73"/>
  <c r="M960" i="73" s="1"/>
  <c r="L4128" i="73"/>
  <c r="M4128" i="73" s="1"/>
  <c r="L4527" i="73"/>
  <c r="M4527" i="73" s="1"/>
  <c r="L4508" i="73"/>
  <c r="M4508" i="73" s="1"/>
  <c r="L246" i="73"/>
  <c r="M246" i="73" s="1"/>
  <c r="L1275" i="73"/>
  <c r="M1275" i="73" s="1"/>
  <c r="L3119" i="73"/>
  <c r="M3119" i="73" s="1"/>
  <c r="L4487" i="73"/>
  <c r="M4487" i="73" s="1"/>
  <c r="L3993" i="73"/>
  <c r="M3993" i="73" s="1"/>
  <c r="L463" i="73"/>
  <c r="M463" i="73" s="1"/>
  <c r="L4060" i="73"/>
  <c r="M4060" i="73" s="1"/>
  <c r="L461" i="73"/>
  <c r="M461" i="73" s="1"/>
  <c r="L3118" i="73"/>
  <c r="M3118" i="73" s="1"/>
  <c r="L4486" i="73"/>
  <c r="M4486" i="73" s="1"/>
  <c r="L4485" i="73"/>
  <c r="M4485" i="73" s="1"/>
  <c r="L3721" i="73"/>
  <c r="M3721" i="73" s="1"/>
  <c r="L1863" i="73"/>
  <c r="M1863" i="73" s="1"/>
  <c r="L1274" i="73"/>
  <c r="M1274" i="73" s="1"/>
  <c r="L549" i="73"/>
  <c r="M549" i="73" s="1"/>
  <c r="L1163" i="73"/>
  <c r="M1163" i="73" s="1"/>
  <c r="L1135" i="73"/>
  <c r="M1135" i="73" s="1"/>
  <c r="L1503" i="73"/>
  <c r="M1503" i="73" s="1"/>
  <c r="L4129" i="73"/>
  <c r="M4129" i="73" s="1"/>
  <c r="L4488" i="73"/>
  <c r="M4488" i="73" s="1"/>
  <c r="L327" i="73"/>
  <c r="M327" i="73" s="1"/>
  <c r="L1272" i="73"/>
  <c r="M1272" i="73" s="1"/>
  <c r="L4296" i="73"/>
  <c r="M4296" i="73" s="1"/>
  <c r="L731" i="73"/>
  <c r="M731" i="73" s="1"/>
  <c r="L878" i="73"/>
  <c r="M878" i="73" s="1"/>
  <c r="L609" i="73"/>
  <c r="M609" i="73" s="1"/>
  <c r="L3174" i="73"/>
  <c r="M3174" i="73" s="1"/>
  <c r="L2520" i="73"/>
  <c r="M2520" i="73" s="1"/>
  <c r="L2828" i="73"/>
  <c r="M2828" i="73" s="1"/>
  <c r="L1463" i="73"/>
  <c r="M1463" i="73" s="1"/>
  <c r="L4401" i="73"/>
  <c r="M4401" i="73" s="1"/>
  <c r="L1860" i="73"/>
  <c r="M1860" i="73" s="1"/>
  <c r="L1859" i="73"/>
  <c r="M1859" i="73" s="1"/>
  <c r="L3704" i="73"/>
  <c r="M3704" i="73" s="1"/>
  <c r="L1213" i="73"/>
  <c r="M1213" i="73" s="1"/>
  <c r="L4793" i="73"/>
  <c r="M4793" i="73" s="1"/>
  <c r="L2776" i="73"/>
  <c r="M2776" i="73" s="1"/>
  <c r="L4501" i="73"/>
  <c r="M4501" i="73" s="1"/>
  <c r="L4500" i="73"/>
  <c r="M4500" i="73" s="1"/>
  <c r="L3978" i="73"/>
  <c r="M3978" i="73" s="1"/>
  <c r="M3977" i="73" s="1"/>
  <c r="L487" i="73"/>
  <c r="M487" i="73" s="1"/>
  <c r="L4792" i="73"/>
  <c r="M4792" i="73" s="1"/>
  <c r="L4887" i="73"/>
  <c r="M4887" i="73" s="1"/>
  <c r="L4886" i="73"/>
  <c r="M4886" i="73" s="1"/>
  <c r="L4790" i="73"/>
  <c r="M4790" i="73" s="1"/>
  <c r="L4789" i="73"/>
  <c r="M4789" i="73" s="1"/>
  <c r="L4885" i="73"/>
  <c r="M4885" i="73" s="1"/>
  <c r="L4787" i="73"/>
  <c r="M4787" i="73" s="1"/>
  <c r="L4786" i="73"/>
  <c r="M4786" i="73" s="1"/>
  <c r="L1879" i="73"/>
  <c r="M1879" i="73" s="1"/>
  <c r="L4000" i="73"/>
  <c r="M4000" i="73" s="1"/>
  <c r="L1290" i="73"/>
  <c r="M1290" i="73" s="1"/>
  <c r="L521" i="73"/>
  <c r="M521" i="73" s="1"/>
  <c r="L486" i="73"/>
  <c r="M486" i="73" s="1"/>
  <c r="L485" i="73"/>
  <c r="M485" i="73" s="1"/>
  <c r="L1289" i="73"/>
  <c r="M1289" i="73" s="1"/>
  <c r="L1138" i="73"/>
  <c r="M1138" i="73" s="1"/>
  <c r="L3194" i="73"/>
  <c r="M3194" i="73" s="1"/>
  <c r="L2922" i="73"/>
  <c r="M2922" i="73" s="1"/>
  <c r="L1288" i="73"/>
  <c r="M1288" i="73" s="1"/>
  <c r="L1287" i="73"/>
  <c r="M1287" i="73" s="1"/>
  <c r="L484" i="73"/>
  <c r="M484" i="73" s="1"/>
  <c r="L483" i="73"/>
  <c r="M483" i="73" s="1"/>
  <c r="L2539" i="73"/>
  <c r="M2539" i="73" s="1"/>
  <c r="L1877" i="73"/>
  <c r="M1877" i="73" s="1"/>
  <c r="L1285" i="73"/>
  <c r="M1285" i="73" s="1"/>
  <c r="L482" i="73"/>
  <c r="M482" i="73" s="1"/>
  <c r="L481" i="73"/>
  <c r="M481" i="73" s="1"/>
  <c r="L4065" i="73"/>
  <c r="M4065" i="73" s="1"/>
  <c r="L488" i="73"/>
  <c r="M488" i="73" s="1"/>
  <c r="L770" i="73"/>
  <c r="M770" i="73" s="1"/>
  <c r="L769" i="73"/>
  <c r="M769" i="73" s="1"/>
  <c r="L630" i="73"/>
  <c r="M630" i="73" s="1"/>
  <c r="L4943" i="73"/>
  <c r="M4943" i="73" s="1"/>
  <c r="L3126" i="73"/>
  <c r="M3126" i="73" s="1"/>
  <c r="L4884" i="73"/>
  <c r="M4884" i="73" s="1"/>
  <c r="L4882" i="73"/>
  <c r="M4882" i="73" s="1"/>
  <c r="M4881" i="73" s="1"/>
  <c r="L4783" i="73"/>
  <c r="M4783" i="73" s="1"/>
  <c r="M4782" i="73" s="1"/>
  <c r="L4991" i="73"/>
  <c r="M4991" i="73" s="1"/>
  <c r="L22" i="73"/>
  <c r="M22" i="73" s="1"/>
  <c r="L385" i="73"/>
  <c r="M385" i="73" s="1"/>
  <c r="L3192" i="73"/>
  <c r="M3192" i="73" s="1"/>
  <c r="L2538" i="73"/>
  <c r="M2538" i="73" s="1"/>
  <c r="L1876" i="73"/>
  <c r="M1876" i="73" s="1"/>
  <c r="L1284" i="73"/>
  <c r="M1284" i="73" s="1"/>
  <c r="L4268" i="73"/>
  <c r="M4268" i="73" s="1"/>
  <c r="L4232" i="73"/>
  <c r="M4232" i="73" s="1"/>
  <c r="L4142" i="73"/>
  <c r="M4142" i="73" s="1"/>
  <c r="M4141" i="73" s="1"/>
  <c r="L968" i="73"/>
  <c r="M968" i="73" s="1"/>
  <c r="M967" i="73" s="1"/>
  <c r="L837" i="73"/>
  <c r="M837" i="73" s="1"/>
  <c r="M836" i="73" s="1"/>
  <c r="L1019" i="73"/>
  <c r="M1019" i="73" s="1"/>
  <c r="M1018" i="73" s="1"/>
  <c r="L1017" i="73"/>
  <c r="M1017" i="73" s="1"/>
  <c r="M1016" i="73" s="1"/>
  <c r="L714" i="73"/>
  <c r="M714" i="73" s="1"/>
  <c r="M713" i="73" s="1"/>
  <c r="L712" i="73"/>
  <c r="M712" i="73" s="1"/>
  <c r="M711" i="73" s="1"/>
  <c r="N885" i="47"/>
  <c r="T885" i="47"/>
  <c r="N884" i="47"/>
  <c r="T884" i="47"/>
  <c r="N883" i="47"/>
  <c r="T883" i="47"/>
  <c r="N882" i="47"/>
  <c r="T882" i="47"/>
  <c r="N881" i="47"/>
  <c r="T881" i="47"/>
  <c r="AS880" i="47"/>
  <c r="AI879" i="47"/>
  <c r="AS878" i="47"/>
  <c r="AI877" i="47"/>
  <c r="AS876" i="47"/>
  <c r="AI875" i="47"/>
  <c r="AI874" i="47"/>
  <c r="AS873" i="47"/>
  <c r="AH872" i="47"/>
  <c r="Q871" i="47"/>
  <c r="AH871" i="47"/>
  <c r="T870" i="47"/>
  <c r="X870" i="47"/>
  <c r="AE870" i="47"/>
  <c r="AV870" i="47"/>
  <c r="AY870" i="47"/>
  <c r="AZ870" i="47"/>
  <c r="Q869" i="47"/>
  <c r="T868" i="47"/>
  <c r="X868" i="47"/>
  <c r="AV868" i="47"/>
  <c r="AZ868" i="47"/>
  <c r="AA867" i="47"/>
  <c r="AQ867" i="47"/>
  <c r="BC867" i="47"/>
  <c r="AI866" i="47"/>
  <c r="S865" i="47"/>
  <c r="AQ865" i="47"/>
  <c r="S864" i="47"/>
  <c r="AO863" i="47"/>
  <c r="BC863" i="47"/>
  <c r="T862" i="47"/>
  <c r="AW862" i="47"/>
  <c r="T861" i="47"/>
  <c r="AW861" i="47"/>
  <c r="AA860" i="47"/>
  <c r="AQ860" i="47"/>
  <c r="AO859" i="47"/>
  <c r="BC859" i="47"/>
  <c r="AO858" i="47"/>
  <c r="BC858" i="47"/>
  <c r="T857" i="47"/>
  <c r="AW857" i="47"/>
  <c r="T856" i="47"/>
  <c r="AW856" i="47"/>
  <c r="AA855" i="47"/>
  <c r="AO854" i="47"/>
  <c r="BC854" i="47"/>
  <c r="T853" i="47"/>
  <c r="AV853" i="47"/>
  <c r="AY853" i="47"/>
  <c r="BC853" i="47"/>
  <c r="T852" i="47"/>
  <c r="AO851" i="47"/>
  <c r="AQ851" i="47"/>
  <c r="AT850" i="47"/>
  <c r="AT849" i="47"/>
  <c r="AI848" i="47"/>
  <c r="T847" i="47"/>
  <c r="AW847" i="47"/>
  <c r="AY847" i="47"/>
  <c r="T846" i="47"/>
  <c r="AU846" i="47"/>
  <c r="AY846" i="47"/>
  <c r="T845" i="47"/>
  <c r="AW845" i="47"/>
  <c r="AY845" i="47"/>
  <c r="P844" i="47"/>
  <c r="P843" i="47"/>
  <c r="Q843" i="47"/>
  <c r="P842" i="47"/>
  <c r="Q842" i="47"/>
  <c r="AH842" i="47"/>
  <c r="P841" i="47"/>
  <c r="P840" i="47"/>
  <c r="T839" i="47"/>
  <c r="AV839" i="47"/>
  <c r="T838" i="47"/>
  <c r="AV838" i="47"/>
  <c r="T837" i="47"/>
  <c r="AV837" i="47"/>
  <c r="AW837" i="47"/>
  <c r="AA836" i="47"/>
  <c r="E835" i="47"/>
  <c r="AA835" i="47"/>
  <c r="V834" i="47"/>
  <c r="W834" i="47"/>
  <c r="AM834" i="47"/>
  <c r="AO834" i="47"/>
  <c r="E833" i="47"/>
  <c r="S833" i="47"/>
  <c r="E832" i="47"/>
  <c r="S832" i="47"/>
  <c r="P831" i="47"/>
  <c r="Q831" i="47"/>
  <c r="AA830" i="47"/>
  <c r="E829" i="47"/>
  <c r="S829" i="47"/>
  <c r="M828" i="47"/>
  <c r="W828" i="47"/>
  <c r="AM828" i="47"/>
  <c r="AO828" i="47"/>
  <c r="E827" i="47"/>
  <c r="S827" i="47"/>
  <c r="E826" i="47"/>
  <c r="AD826" i="47"/>
  <c r="AH825" i="47"/>
  <c r="E824" i="47"/>
  <c r="AD824" i="47"/>
  <c r="E823" i="47"/>
  <c r="S823" i="47"/>
  <c r="E822" i="47"/>
  <c r="AD822" i="47"/>
  <c r="E821" i="47"/>
  <c r="AD821" i="47"/>
  <c r="E820" i="47"/>
  <c r="AD820" i="47"/>
  <c r="S819" i="47"/>
  <c r="S818" i="47"/>
  <c r="E817" i="47"/>
  <c r="AD817" i="47"/>
  <c r="E816" i="47"/>
  <c r="S816" i="47"/>
  <c r="E815" i="47"/>
  <c r="S815" i="47"/>
  <c r="E814" i="47"/>
  <c r="S814" i="47"/>
  <c r="E813" i="47"/>
  <c r="AD813" i="47"/>
  <c r="S812" i="47"/>
  <c r="E811" i="47"/>
  <c r="AD811" i="47"/>
  <c r="E810" i="47"/>
  <c r="AD810" i="47"/>
  <c r="E809" i="47"/>
  <c r="AD809" i="47"/>
  <c r="E808" i="47"/>
  <c r="AD808" i="47"/>
  <c r="E807" i="47"/>
  <c r="AD807" i="47"/>
  <c r="S806" i="47"/>
  <c r="E805" i="47"/>
  <c r="AD805" i="47"/>
  <c r="E804" i="47"/>
  <c r="S804" i="47"/>
  <c r="E803" i="47"/>
  <c r="AD803" i="47"/>
  <c r="E802" i="47"/>
  <c r="AD802" i="47"/>
  <c r="E801" i="47"/>
  <c r="AD801" i="47"/>
  <c r="E800" i="47"/>
  <c r="AD800" i="47"/>
  <c r="S799" i="47"/>
  <c r="E798" i="47"/>
  <c r="AD798" i="47"/>
  <c r="E797" i="47"/>
  <c r="AD797" i="47"/>
  <c r="E796" i="47"/>
  <c r="AD796" i="47"/>
  <c r="E795" i="47"/>
  <c r="AD795" i="47"/>
  <c r="E794" i="47"/>
  <c r="AD794" i="47"/>
  <c r="P793" i="47"/>
  <c r="Q793" i="47"/>
  <c r="E792" i="47"/>
  <c r="S792" i="47"/>
  <c r="E791" i="47"/>
  <c r="S791" i="47"/>
  <c r="V790" i="47"/>
  <c r="W790" i="47"/>
  <c r="AM790" i="47"/>
  <c r="AO790" i="47"/>
  <c r="E789" i="47"/>
  <c r="S789" i="47"/>
  <c r="P788" i="47"/>
  <c r="Q788" i="47"/>
  <c r="P787" i="47"/>
  <c r="Q787" i="47"/>
  <c r="AP786" i="47"/>
  <c r="H785" i="47"/>
  <c r="AD785" i="47"/>
  <c r="F784" i="47"/>
  <c r="AD784" i="47"/>
  <c r="AK783" i="47"/>
  <c r="G782" i="47"/>
  <c r="AD782" i="47"/>
  <c r="E781" i="47"/>
  <c r="AD781" i="47"/>
  <c r="E780" i="47"/>
  <c r="AD780" i="47"/>
  <c r="E779" i="47"/>
  <c r="AD779" i="47"/>
  <c r="E778" i="47"/>
  <c r="AD778" i="47"/>
  <c r="F777" i="47"/>
  <c r="AD777" i="47"/>
  <c r="F776" i="47"/>
  <c r="AD776" i="47"/>
  <c r="H775" i="47"/>
  <c r="AD775" i="47"/>
  <c r="H774" i="47"/>
  <c r="AD774" i="47"/>
  <c r="I773" i="47"/>
  <c r="AD773" i="47"/>
  <c r="K772" i="47"/>
  <c r="AD772" i="47"/>
  <c r="F771" i="47"/>
  <c r="AD771" i="47"/>
  <c r="K770" i="47"/>
  <c r="AD770" i="47"/>
  <c r="K769" i="47"/>
  <c r="AD769" i="47"/>
  <c r="K768" i="47"/>
  <c r="AD768" i="47"/>
  <c r="I767" i="47"/>
  <c r="AD767" i="47"/>
  <c r="I766" i="47"/>
  <c r="AD766" i="47"/>
  <c r="J765" i="47"/>
  <c r="AD765" i="47"/>
  <c r="J764" i="47"/>
  <c r="AD764" i="47"/>
  <c r="G763" i="47"/>
  <c r="AD763" i="47"/>
  <c r="G762" i="47"/>
  <c r="AD762" i="47"/>
  <c r="J761" i="47"/>
  <c r="AD761" i="47"/>
  <c r="J760" i="47"/>
  <c r="AD760" i="47"/>
  <c r="H759" i="47"/>
  <c r="W759" i="47"/>
  <c r="AA759" i="47"/>
  <c r="G758" i="47"/>
  <c r="AD758" i="47"/>
  <c r="H757" i="47"/>
  <c r="W757" i="47"/>
  <c r="AA757" i="47"/>
  <c r="H756" i="47"/>
  <c r="V756" i="47"/>
  <c r="W756" i="47"/>
  <c r="AA756" i="47"/>
  <c r="I755" i="47"/>
  <c r="AD755" i="47"/>
  <c r="I754" i="47"/>
  <c r="V754" i="47"/>
  <c r="W754" i="47"/>
  <c r="AA754" i="47"/>
  <c r="H753" i="47"/>
  <c r="AD753" i="47"/>
  <c r="G752" i="47"/>
  <c r="AD752" i="47"/>
  <c r="G751" i="47"/>
  <c r="AD751" i="47"/>
  <c r="F750" i="47"/>
  <c r="AD750" i="47"/>
  <c r="I749" i="47"/>
  <c r="AD749" i="47"/>
  <c r="I748" i="47"/>
  <c r="AD748" i="47"/>
  <c r="I747" i="47"/>
  <c r="S747" i="47"/>
  <c r="P746" i="47"/>
  <c r="Q746" i="47"/>
  <c r="P745" i="47"/>
  <c r="Q745" i="47"/>
  <c r="T744" i="47"/>
  <c r="AV744" i="47"/>
  <c r="T743" i="47"/>
  <c r="AV743" i="47"/>
  <c r="T742" i="47"/>
  <c r="AV742" i="47"/>
  <c r="W741" i="47"/>
  <c r="Y741" i="47"/>
  <c r="AF741" i="47"/>
  <c r="AH741" i="47"/>
  <c r="AS741" i="47"/>
  <c r="T740" i="47"/>
  <c r="AV740" i="47"/>
  <c r="T739" i="47"/>
  <c r="AV739" i="47"/>
  <c r="T738" i="47"/>
  <c r="AV738" i="47"/>
  <c r="W737" i="47"/>
  <c r="Y737" i="47"/>
  <c r="AF737" i="47"/>
  <c r="AH737" i="47"/>
  <c r="AS737" i="47"/>
  <c r="T736" i="47"/>
  <c r="AV736" i="47"/>
  <c r="T735" i="47"/>
  <c r="AV735" i="47"/>
  <c r="W734" i="47"/>
  <c r="Y734" i="47"/>
  <c r="AF734" i="47"/>
  <c r="AH734" i="47"/>
  <c r="AS734" i="47"/>
  <c r="H733" i="47"/>
  <c r="S733" i="47"/>
  <c r="H732" i="47"/>
  <c r="S732" i="47"/>
  <c r="V731" i="47"/>
  <c r="W731" i="47"/>
  <c r="AM731" i="47"/>
  <c r="AO731" i="47"/>
  <c r="H730" i="47"/>
  <c r="S730" i="47"/>
  <c r="H729" i="47"/>
  <c r="S729" i="47"/>
  <c r="V728" i="47"/>
  <c r="W728" i="47"/>
  <c r="AM728" i="47"/>
  <c r="AO728" i="47"/>
  <c r="T727" i="47"/>
  <c r="AW727" i="47"/>
  <c r="H726" i="47"/>
  <c r="S726" i="47"/>
  <c r="H725" i="47"/>
  <c r="S725" i="47"/>
  <c r="V724" i="47"/>
  <c r="W724" i="47"/>
  <c r="AM724" i="47"/>
  <c r="AO724" i="47"/>
  <c r="D723" i="47"/>
  <c r="F723" i="47"/>
  <c r="S723" i="47"/>
  <c r="S722" i="47"/>
  <c r="D721" i="47"/>
  <c r="F721" i="47"/>
  <c r="S721" i="47"/>
  <c r="S720" i="47"/>
  <c r="F719" i="47"/>
  <c r="S719" i="47"/>
  <c r="S718" i="47"/>
  <c r="F717" i="47"/>
  <c r="S717" i="47"/>
  <c r="G716" i="47"/>
  <c r="S716" i="47"/>
  <c r="G715" i="47"/>
  <c r="S715" i="47"/>
  <c r="S714" i="47"/>
  <c r="E713" i="47"/>
  <c r="AD713" i="47"/>
  <c r="E712" i="47"/>
  <c r="AD712" i="47"/>
  <c r="E711" i="47"/>
  <c r="AD711" i="47"/>
  <c r="E710" i="47"/>
  <c r="AD710" i="47"/>
  <c r="E709" i="47"/>
  <c r="AD709" i="47"/>
  <c r="E708" i="47"/>
  <c r="AD708" i="47"/>
  <c r="E707" i="47"/>
  <c r="AD707" i="47"/>
  <c r="E706" i="47"/>
  <c r="AD706" i="47"/>
  <c r="E705" i="47"/>
  <c r="AD705" i="47"/>
  <c r="E704" i="47"/>
  <c r="AD704" i="47"/>
  <c r="E703" i="47"/>
  <c r="AD703" i="47"/>
  <c r="P702" i="47"/>
  <c r="Q702" i="47"/>
  <c r="AF701" i="47"/>
  <c r="AH701" i="47"/>
  <c r="AS701" i="47"/>
  <c r="W700" i="47"/>
  <c r="Y700" i="47"/>
  <c r="AH700" i="47"/>
  <c r="AN700" i="47"/>
  <c r="T699" i="47"/>
  <c r="AV699" i="47"/>
  <c r="T698" i="47"/>
  <c r="AV698" i="47"/>
  <c r="T697" i="47"/>
  <c r="AV697" i="47"/>
  <c r="AF696" i="47"/>
  <c r="AH696" i="47"/>
  <c r="AS696" i="47"/>
  <c r="W695" i="47"/>
  <c r="Y695" i="47"/>
  <c r="AH695" i="47"/>
  <c r="AN695" i="47"/>
  <c r="T694" i="47"/>
  <c r="T693" i="47"/>
  <c r="AW693" i="47"/>
  <c r="G692" i="47"/>
  <c r="S692" i="47"/>
  <c r="AH691" i="47"/>
  <c r="T690" i="47"/>
  <c r="AV690" i="47"/>
  <c r="T689" i="47"/>
  <c r="AV689" i="47"/>
  <c r="T688" i="47"/>
  <c r="AV688" i="47"/>
  <c r="AF687" i="47"/>
  <c r="AH687" i="47"/>
  <c r="AS687" i="47"/>
  <c r="T686" i="47"/>
  <c r="AW686" i="47"/>
  <c r="AY686" i="47"/>
  <c r="T685" i="47"/>
  <c r="AW685" i="47"/>
  <c r="AY685" i="47"/>
  <c r="AH684" i="47"/>
  <c r="T683" i="47"/>
  <c r="AW683" i="47"/>
  <c r="T682" i="47"/>
  <c r="AW682" i="47"/>
  <c r="T681" i="47"/>
  <c r="AV681" i="47"/>
  <c r="AF680" i="47"/>
  <c r="AH680" i="47"/>
  <c r="AS680" i="47"/>
  <c r="E679" i="47"/>
  <c r="S679" i="47"/>
  <c r="AN678" i="47"/>
  <c r="T677" i="47"/>
  <c r="AV677" i="47"/>
  <c r="T676" i="47"/>
  <c r="AV676" i="47"/>
  <c r="T675" i="47"/>
  <c r="AV675" i="47"/>
  <c r="T674" i="47"/>
  <c r="AV674" i="47"/>
  <c r="T673" i="47"/>
  <c r="AV673" i="47"/>
  <c r="T672" i="47"/>
  <c r="AV672" i="47"/>
  <c r="T671" i="47"/>
  <c r="AV671" i="47"/>
  <c r="T670" i="47"/>
  <c r="AV670" i="47"/>
  <c r="AF669" i="47"/>
  <c r="AH669" i="47"/>
  <c r="AS669" i="47"/>
  <c r="W668" i="47"/>
  <c r="Y668" i="47"/>
  <c r="AH668" i="47"/>
  <c r="AN668" i="47"/>
  <c r="F667" i="47"/>
  <c r="T667" i="47"/>
  <c r="AO666" i="47"/>
  <c r="T665" i="47"/>
  <c r="AW665" i="47"/>
  <c r="O664" i="47"/>
  <c r="AL664" i="47"/>
  <c r="AO664" i="47"/>
  <c r="T663" i="47"/>
  <c r="AW663" i="47"/>
  <c r="T662" i="47"/>
  <c r="AW662" i="47"/>
  <c r="S661" i="47"/>
  <c r="AW661" i="47"/>
  <c r="AL660" i="47"/>
  <c r="AO660" i="47"/>
  <c r="T659" i="47"/>
  <c r="AW659" i="47"/>
  <c r="W658" i="47"/>
  <c r="AI658" i="47"/>
  <c r="AO658" i="47"/>
  <c r="T657" i="47"/>
  <c r="AW657" i="47"/>
  <c r="AA656" i="47"/>
  <c r="S655" i="47"/>
  <c r="S654" i="47"/>
  <c r="S653" i="47"/>
  <c r="AL652" i="47"/>
  <c r="AO652" i="47"/>
  <c r="D651" i="47"/>
  <c r="O651" i="47"/>
  <c r="S651" i="47"/>
  <c r="AO651" i="47"/>
  <c r="T650" i="47"/>
  <c r="AW650" i="47"/>
  <c r="S649" i="47"/>
  <c r="AW649" i="47"/>
  <c r="D648" i="47"/>
  <c r="O648" i="47"/>
  <c r="S648" i="47"/>
  <c r="AO648" i="47"/>
  <c r="AW648" i="47"/>
  <c r="D647" i="47"/>
  <c r="O647" i="47"/>
  <c r="S647" i="47"/>
  <c r="AO647" i="47"/>
  <c r="V646" i="47"/>
  <c r="W646" i="47"/>
  <c r="AL646" i="47"/>
  <c r="AO646" i="47"/>
  <c r="AQ646" i="47"/>
  <c r="AU646" i="47"/>
  <c r="V645" i="47"/>
  <c r="W645" i="47"/>
  <c r="AL645" i="47"/>
  <c r="AO645" i="47"/>
  <c r="AW645" i="47"/>
  <c r="S644" i="47"/>
  <c r="AS644" i="47"/>
  <c r="F643" i="47"/>
  <c r="S643" i="47"/>
  <c r="D642" i="47"/>
  <c r="O642" i="47"/>
  <c r="S642" i="47"/>
  <c r="AO642" i="47"/>
  <c r="D641" i="47"/>
  <c r="O641" i="47"/>
  <c r="S641" i="47"/>
  <c r="AO641" i="47"/>
  <c r="D640" i="47"/>
  <c r="O640" i="47"/>
  <c r="S640" i="47"/>
  <c r="AO640" i="47"/>
  <c r="S639" i="47"/>
  <c r="D638" i="47"/>
  <c r="O638" i="47"/>
  <c r="S638" i="47"/>
  <c r="AO638" i="47"/>
  <c r="V637" i="47"/>
  <c r="W637" i="47"/>
  <c r="AL637" i="47"/>
  <c r="AO637" i="47"/>
  <c r="V636" i="47"/>
  <c r="W636" i="47"/>
  <c r="AM636" i="47"/>
  <c r="AO636" i="47"/>
  <c r="T635" i="47"/>
  <c r="W635" i="47"/>
  <c r="AW635" i="47"/>
  <c r="T634" i="47"/>
  <c r="W634" i="47"/>
  <c r="AW634" i="47"/>
  <c r="G633" i="47"/>
  <c r="S633" i="47"/>
  <c r="G632" i="47"/>
  <c r="S632" i="47"/>
  <c r="D631" i="47"/>
  <c r="S631" i="47"/>
  <c r="G630" i="47"/>
  <c r="S630" i="47"/>
  <c r="G629" i="47"/>
  <c r="S629" i="47"/>
  <c r="F628" i="47"/>
  <c r="S628" i="47"/>
  <c r="W628" i="47"/>
  <c r="AI627" i="47"/>
  <c r="AI626" i="47"/>
  <c r="S625" i="47"/>
  <c r="V625" i="47"/>
  <c r="W625" i="47"/>
  <c r="E624" i="47"/>
  <c r="S624" i="47"/>
  <c r="V624" i="47"/>
  <c r="W624" i="47"/>
  <c r="E623" i="47"/>
  <c r="S623" i="47"/>
  <c r="V623" i="47"/>
  <c r="W623" i="47"/>
  <c r="Q622" i="47"/>
  <c r="E621" i="47"/>
  <c r="S621" i="47"/>
  <c r="W620" i="47"/>
  <c r="AO620" i="47"/>
  <c r="S619" i="47"/>
  <c r="V618" i="47"/>
  <c r="W618" i="47"/>
  <c r="AO618" i="47"/>
  <c r="M617" i="47"/>
  <c r="AA617" i="47"/>
  <c r="W616" i="47"/>
  <c r="AO616" i="47"/>
  <c r="T615" i="47"/>
  <c r="AV615" i="47"/>
  <c r="AW615" i="47"/>
  <c r="AY615" i="47"/>
  <c r="C614" i="47"/>
  <c r="AJ614" i="47"/>
  <c r="AO614" i="47"/>
  <c r="H613" i="47"/>
  <c r="T613" i="47"/>
  <c r="S612" i="47"/>
  <c r="AC612" i="47"/>
  <c r="AY612" i="47"/>
  <c r="AL611" i="47"/>
  <c r="AO611" i="47"/>
  <c r="AL610" i="47"/>
  <c r="AO610" i="47"/>
  <c r="C609" i="47"/>
  <c r="V609" i="47"/>
  <c r="W609" i="47"/>
  <c r="AJ609" i="47"/>
  <c r="E608" i="47"/>
  <c r="AA608" i="47"/>
  <c r="M607" i="47"/>
  <c r="W607" i="47"/>
  <c r="AM607" i="47"/>
  <c r="AO607" i="47"/>
  <c r="AI606" i="47"/>
  <c r="K605" i="47"/>
  <c r="V605" i="47"/>
  <c r="W605" i="47"/>
  <c r="AD605" i="47"/>
  <c r="F604" i="47"/>
  <c r="S604" i="47"/>
  <c r="AH603" i="47"/>
  <c r="AJ602" i="47"/>
  <c r="F601" i="47"/>
  <c r="S601" i="47"/>
  <c r="W600" i="47"/>
  <c r="AO600" i="47"/>
  <c r="S599" i="47"/>
  <c r="V598" i="47"/>
  <c r="W598" i="47"/>
  <c r="AO598" i="47"/>
  <c r="T597" i="47"/>
  <c r="AW597" i="47"/>
  <c r="M596" i="47"/>
  <c r="AA596" i="47"/>
  <c r="W595" i="47"/>
  <c r="AO595" i="47"/>
  <c r="T594" i="47"/>
  <c r="AV594" i="47"/>
  <c r="AW594" i="47"/>
  <c r="AY594" i="47"/>
  <c r="C593" i="47"/>
  <c r="AH593" i="47"/>
  <c r="AJ593" i="47"/>
  <c r="AO593" i="47"/>
  <c r="F592" i="47"/>
  <c r="T592" i="47"/>
  <c r="S591" i="47"/>
  <c r="AC591" i="47"/>
  <c r="AY591" i="47"/>
  <c r="AL590" i="47"/>
  <c r="AO590" i="47"/>
  <c r="AL589" i="47"/>
  <c r="AO589" i="47"/>
  <c r="C588" i="47"/>
  <c r="V588" i="47"/>
  <c r="W588" i="47"/>
  <c r="AJ588" i="47"/>
  <c r="F587" i="47"/>
  <c r="AA587" i="47"/>
  <c r="M586" i="47"/>
  <c r="W586" i="47"/>
  <c r="AM586" i="47"/>
  <c r="AO586" i="47"/>
  <c r="AI585" i="47"/>
  <c r="AI584" i="47"/>
  <c r="K583" i="47"/>
  <c r="S583" i="47"/>
  <c r="K582" i="47"/>
  <c r="S582" i="47"/>
  <c r="V581" i="47"/>
  <c r="W581" i="47"/>
  <c r="AI581" i="47"/>
  <c r="AM581" i="47"/>
  <c r="AO581" i="47"/>
  <c r="H580" i="47"/>
  <c r="S580" i="47"/>
  <c r="V580" i="47"/>
  <c r="W580" i="47"/>
  <c r="H579" i="47"/>
  <c r="V579" i="47"/>
  <c r="W579" i="47"/>
  <c r="AD579" i="47"/>
  <c r="F578" i="47"/>
  <c r="S578" i="47"/>
  <c r="AH577" i="47"/>
  <c r="AJ576" i="47"/>
  <c r="S575" i="47"/>
  <c r="AW575" i="47"/>
  <c r="D574" i="47"/>
  <c r="O574" i="47"/>
  <c r="S574" i="47"/>
  <c r="AO574" i="47"/>
  <c r="S573" i="47"/>
  <c r="AW573" i="47"/>
  <c r="V572" i="47"/>
  <c r="W572" i="47"/>
  <c r="AM572" i="47"/>
  <c r="AO572" i="47"/>
  <c r="E571" i="47"/>
  <c r="S571" i="47"/>
  <c r="W570" i="47"/>
  <c r="AO570" i="47"/>
  <c r="S569" i="47"/>
  <c r="V568" i="47"/>
  <c r="W568" i="47"/>
  <c r="AO568" i="47"/>
  <c r="H567" i="47"/>
  <c r="Z567" i="47"/>
  <c r="AF567" i="47"/>
  <c r="H566" i="47"/>
  <c r="Z566" i="47"/>
  <c r="AF566" i="47"/>
  <c r="D565" i="47"/>
  <c r="Z565" i="47"/>
  <c r="AF565" i="47"/>
  <c r="AO565" i="47"/>
  <c r="AS565" i="47"/>
  <c r="D564" i="47"/>
  <c r="Z564" i="47"/>
  <c r="AF564" i="47"/>
  <c r="AO564" i="47"/>
  <c r="AS564" i="47"/>
  <c r="D563" i="47"/>
  <c r="Z563" i="47"/>
  <c r="AF563" i="47"/>
  <c r="AO563" i="47"/>
  <c r="AS563" i="47"/>
  <c r="D562" i="47"/>
  <c r="Z562" i="47"/>
  <c r="AF562" i="47"/>
  <c r="AO562" i="47"/>
  <c r="AS562" i="47"/>
  <c r="D561" i="47"/>
  <c r="Z561" i="47"/>
  <c r="AF561" i="47"/>
  <c r="AO561" i="47"/>
  <c r="AS561" i="47"/>
  <c r="D560" i="47"/>
  <c r="Z560" i="47"/>
  <c r="AF560" i="47"/>
  <c r="AO560" i="47"/>
  <c r="AS560" i="47"/>
  <c r="D559" i="47"/>
  <c r="Z559" i="47"/>
  <c r="AF559" i="47"/>
  <c r="AO559" i="47"/>
  <c r="AS559" i="47"/>
  <c r="D558" i="47"/>
  <c r="Z558" i="47"/>
  <c r="AF558" i="47"/>
  <c r="AO558" i="47"/>
  <c r="AS558" i="47"/>
  <c r="D557" i="47"/>
  <c r="Z557" i="47"/>
  <c r="AF557" i="47"/>
  <c r="AO557" i="47"/>
  <c r="AS557" i="47"/>
  <c r="D556" i="47"/>
  <c r="Z556" i="47"/>
  <c r="AF556" i="47"/>
  <c r="AO556" i="47"/>
  <c r="AS556" i="47"/>
  <c r="D555" i="47"/>
  <c r="Z555" i="47"/>
  <c r="AF555" i="47"/>
  <c r="AO555" i="47"/>
  <c r="AS555" i="47"/>
  <c r="F554" i="47"/>
  <c r="Z554" i="47"/>
  <c r="AF554" i="47"/>
  <c r="H553" i="47"/>
  <c r="Z553" i="47"/>
  <c r="AF553" i="47"/>
  <c r="F552" i="47"/>
  <c r="Z552" i="47"/>
  <c r="AF552" i="47"/>
  <c r="H551" i="47"/>
  <c r="Z551" i="47"/>
  <c r="AF551" i="47"/>
  <c r="S550" i="47"/>
  <c r="W549" i="47"/>
  <c r="AL549" i="47"/>
  <c r="AO549" i="47"/>
  <c r="AS549" i="47"/>
  <c r="T548" i="47"/>
  <c r="AW548" i="47"/>
  <c r="M547" i="47"/>
  <c r="AA547" i="47"/>
  <c r="W546" i="47"/>
  <c r="AO546" i="47"/>
  <c r="T545" i="47"/>
  <c r="AE545" i="47"/>
  <c r="AV545" i="47"/>
  <c r="AY545" i="47"/>
  <c r="AZ545" i="47"/>
  <c r="T544" i="47"/>
  <c r="AV544" i="47"/>
  <c r="AW544" i="47"/>
  <c r="AY544" i="47"/>
  <c r="C543" i="47"/>
  <c r="AH543" i="47"/>
  <c r="AJ543" i="47"/>
  <c r="AO543" i="47"/>
  <c r="AA542" i="47"/>
  <c r="AW542" i="47"/>
  <c r="T541" i="47"/>
  <c r="AV541" i="47"/>
  <c r="AZ541" i="47"/>
  <c r="AO540" i="47"/>
  <c r="D539" i="47"/>
  <c r="S539" i="47"/>
  <c r="S538" i="47"/>
  <c r="AC538" i="47"/>
  <c r="AY538" i="47"/>
  <c r="S537" i="47"/>
  <c r="AG537" i="47"/>
  <c r="S536" i="47"/>
  <c r="AG536" i="47"/>
  <c r="AW536" i="47"/>
  <c r="AL535" i="47"/>
  <c r="AO535" i="47"/>
  <c r="AL534" i="47"/>
  <c r="AO534" i="47"/>
  <c r="C533" i="47"/>
  <c r="V533" i="47"/>
  <c r="W533" i="47"/>
  <c r="AJ533" i="47"/>
  <c r="AA532" i="47"/>
  <c r="AA531" i="47"/>
  <c r="T530" i="47"/>
  <c r="AR530" i="47"/>
  <c r="T529" i="47"/>
  <c r="AY529" i="47"/>
  <c r="E528" i="47"/>
  <c r="AA528" i="47"/>
  <c r="M527" i="47"/>
  <c r="W527" i="47"/>
  <c r="AM527" i="47"/>
  <c r="AO527" i="47"/>
  <c r="AA526" i="47"/>
  <c r="AA525" i="47"/>
  <c r="M524" i="47"/>
  <c r="W524" i="47"/>
  <c r="AM524" i="47"/>
  <c r="AO524" i="47"/>
  <c r="AM523" i="47"/>
  <c r="AO523" i="47"/>
  <c r="AI522" i="47"/>
  <c r="AA521" i="47"/>
  <c r="AA520" i="47"/>
  <c r="AA519" i="47"/>
  <c r="M518" i="47"/>
  <c r="W518" i="47"/>
  <c r="AM518" i="47"/>
  <c r="AO518" i="47"/>
  <c r="AA517" i="47"/>
  <c r="AA516" i="47"/>
  <c r="AA515" i="47"/>
  <c r="M514" i="47"/>
  <c r="W514" i="47"/>
  <c r="AM514" i="47"/>
  <c r="AO514" i="47"/>
  <c r="E513" i="47"/>
  <c r="M513" i="47"/>
  <c r="W513" i="47"/>
  <c r="AA513" i="47"/>
  <c r="AI512" i="47"/>
  <c r="M511" i="47"/>
  <c r="T511" i="47"/>
  <c r="AR511" i="47"/>
  <c r="AO510" i="47"/>
  <c r="F509" i="47"/>
  <c r="S509" i="47"/>
  <c r="H508" i="47"/>
  <c r="S508" i="47"/>
  <c r="V507" i="47"/>
  <c r="W507" i="47"/>
  <c r="AL507" i="47"/>
  <c r="AO507" i="47"/>
  <c r="S506" i="47"/>
  <c r="D505" i="47"/>
  <c r="J505" i="47"/>
  <c r="S505" i="47"/>
  <c r="AO505" i="47"/>
  <c r="K504" i="47"/>
  <c r="S504" i="47"/>
  <c r="K503" i="47"/>
  <c r="S503" i="47"/>
  <c r="V502" i="47"/>
  <c r="W502" i="47"/>
  <c r="AI502" i="47"/>
  <c r="AM502" i="47"/>
  <c r="AO502" i="47"/>
  <c r="BA501" i="47"/>
  <c r="S500" i="47"/>
  <c r="V500" i="47"/>
  <c r="W500" i="47"/>
  <c r="AI499" i="47"/>
  <c r="S498" i="47"/>
  <c r="W498" i="47"/>
  <c r="H497" i="47"/>
  <c r="S497" i="47"/>
  <c r="V497" i="47"/>
  <c r="W497" i="47"/>
  <c r="G496" i="47"/>
  <c r="S496" i="47"/>
  <c r="W496" i="47"/>
  <c r="F495" i="47"/>
  <c r="S495" i="47"/>
  <c r="J494" i="47"/>
  <c r="V494" i="47"/>
  <c r="W494" i="47"/>
  <c r="AD494" i="47"/>
  <c r="G493" i="47"/>
  <c r="S493" i="47"/>
  <c r="J492" i="47"/>
  <c r="V492" i="47"/>
  <c r="W492" i="47"/>
  <c r="AD492" i="47"/>
  <c r="G491" i="47"/>
  <c r="S491" i="47"/>
  <c r="F490" i="47"/>
  <c r="S490" i="47"/>
  <c r="W490" i="47"/>
  <c r="S489" i="47"/>
  <c r="AH488" i="47"/>
  <c r="AJ487" i="47"/>
  <c r="S486" i="47"/>
  <c r="S485" i="47"/>
  <c r="E484" i="47"/>
  <c r="V484" i="47"/>
  <c r="W484" i="47"/>
  <c r="AD484" i="47"/>
  <c r="T483" i="47"/>
  <c r="W483" i="47"/>
  <c r="AS483" i="47"/>
  <c r="AW483" i="47"/>
  <c r="F482" i="47"/>
  <c r="W482" i="47"/>
  <c r="AA482" i="47"/>
  <c r="T481" i="47"/>
  <c r="AV481" i="47"/>
  <c r="AY481" i="47"/>
  <c r="S480" i="47"/>
  <c r="E479" i="47"/>
  <c r="T479" i="47"/>
  <c r="AP479" i="47"/>
  <c r="W478" i="47"/>
  <c r="AO478" i="47"/>
  <c r="E477" i="47"/>
  <c r="AD477" i="47"/>
  <c r="AH476" i="47"/>
  <c r="E475" i="47"/>
  <c r="AD475" i="47"/>
  <c r="E474" i="47"/>
  <c r="AD474" i="47"/>
  <c r="AH473" i="47"/>
  <c r="AH472" i="47"/>
  <c r="E471" i="47"/>
  <c r="AD471" i="47"/>
  <c r="E470" i="47"/>
  <c r="AD470" i="47"/>
  <c r="E469" i="47"/>
  <c r="AD469" i="47"/>
  <c r="E468" i="47"/>
  <c r="AD468" i="47"/>
  <c r="E467" i="47"/>
  <c r="AD467" i="47"/>
  <c r="E466" i="47"/>
  <c r="AD466" i="47"/>
  <c r="E465" i="47"/>
  <c r="AD465" i="47"/>
  <c r="P464" i="47"/>
  <c r="Q464" i="47"/>
  <c r="E463" i="47"/>
  <c r="S463" i="47"/>
  <c r="AH462" i="47"/>
  <c r="BA461" i="47"/>
  <c r="E460" i="47"/>
  <c r="AD460" i="47"/>
  <c r="E459" i="47"/>
  <c r="S459" i="47"/>
  <c r="AH458" i="47"/>
  <c r="T457" i="47"/>
  <c r="AW457" i="47"/>
  <c r="L456" i="47"/>
  <c r="T456" i="47"/>
  <c r="AO455" i="47"/>
  <c r="AW455" i="47"/>
  <c r="AZ455" i="47"/>
  <c r="S454" i="47"/>
  <c r="W453" i="47"/>
  <c r="AO453" i="47"/>
  <c r="W452" i="47"/>
  <c r="AO452" i="47"/>
  <c r="D451" i="47"/>
  <c r="S451" i="47"/>
  <c r="W451" i="47"/>
  <c r="T450" i="47"/>
  <c r="X450" i="47"/>
  <c r="AV450" i="47"/>
  <c r="AW450" i="47"/>
  <c r="AZ450" i="47"/>
  <c r="T449" i="47"/>
  <c r="X449" i="47"/>
  <c r="AW449" i="47"/>
  <c r="AZ449" i="47"/>
  <c r="T448" i="47"/>
  <c r="X448" i="47"/>
  <c r="AW448" i="47"/>
  <c r="AY448" i="47"/>
  <c r="AZ448" i="47"/>
  <c r="AH447" i="47"/>
  <c r="E446" i="47"/>
  <c r="S446" i="47"/>
  <c r="E445" i="47"/>
  <c r="AA445" i="47"/>
  <c r="AA444" i="47"/>
  <c r="AA443" i="47"/>
  <c r="E442" i="47"/>
  <c r="S442" i="47"/>
  <c r="W441" i="47"/>
  <c r="AO441" i="47"/>
  <c r="W440" i="47"/>
  <c r="AA440" i="47"/>
  <c r="AH439" i="47"/>
  <c r="N438" i="47"/>
  <c r="T438" i="47"/>
  <c r="AA437" i="47"/>
  <c r="F436" i="47"/>
  <c r="AA436" i="47"/>
  <c r="W435" i="47"/>
  <c r="AM435" i="47"/>
  <c r="AO435" i="47"/>
  <c r="W434" i="47"/>
  <c r="AA434" i="47"/>
  <c r="AH433" i="47"/>
  <c r="AA432" i="47"/>
  <c r="AA431" i="47"/>
  <c r="J430" i="47"/>
  <c r="S430" i="47"/>
  <c r="V429" i="47"/>
  <c r="W429" i="47"/>
  <c r="AM429" i="47"/>
  <c r="AO429" i="47"/>
  <c r="S428" i="47"/>
  <c r="AI427" i="47"/>
  <c r="T426" i="47"/>
  <c r="AP426" i="47"/>
  <c r="M425" i="47"/>
  <c r="AO425" i="47"/>
  <c r="E424" i="47"/>
  <c r="S424" i="47"/>
  <c r="E423" i="47"/>
  <c r="S423" i="47"/>
  <c r="AO422" i="47"/>
  <c r="E421" i="47"/>
  <c r="AD421" i="47"/>
  <c r="E420" i="47"/>
  <c r="AD420" i="47"/>
  <c r="W419" i="47"/>
  <c r="AO419" i="47"/>
  <c r="S418" i="47"/>
  <c r="S417" i="47"/>
  <c r="T416" i="47"/>
  <c r="W416" i="47"/>
  <c r="AU416" i="47"/>
  <c r="E415" i="47"/>
  <c r="S415" i="47"/>
  <c r="W415" i="47"/>
  <c r="E414" i="47"/>
  <c r="S414" i="47"/>
  <c r="W414" i="47"/>
  <c r="AH413" i="47"/>
  <c r="E412" i="47"/>
  <c r="AD412" i="47"/>
  <c r="W411" i="47"/>
  <c r="AA411" i="47"/>
  <c r="AD410" i="47"/>
  <c r="E409" i="47"/>
  <c r="S409" i="47"/>
  <c r="E408" i="47"/>
  <c r="S408" i="47"/>
  <c r="W408" i="47"/>
  <c r="AD407" i="47"/>
  <c r="E406" i="47"/>
  <c r="AD406" i="47"/>
  <c r="BA405" i="47"/>
  <c r="E404" i="47"/>
  <c r="AD404" i="47"/>
  <c r="E403" i="47"/>
  <c r="W403" i="47"/>
  <c r="AA403" i="47"/>
  <c r="E402" i="47"/>
  <c r="W402" i="47"/>
  <c r="AA402" i="47"/>
  <c r="AH401" i="47"/>
  <c r="AH400" i="47"/>
  <c r="E399" i="47"/>
  <c r="S399" i="47"/>
  <c r="E398" i="47"/>
  <c r="AD398" i="47"/>
  <c r="E397" i="47"/>
  <c r="AD397" i="47"/>
  <c r="E396" i="47"/>
  <c r="S396" i="47"/>
  <c r="E395" i="47"/>
  <c r="W395" i="47"/>
  <c r="AA395" i="47"/>
  <c r="P394" i="47"/>
  <c r="Q394" i="47"/>
  <c r="E393" i="47"/>
  <c r="AD393" i="47"/>
  <c r="AD392" i="47"/>
  <c r="E391" i="47"/>
  <c r="AD391" i="47"/>
  <c r="E390" i="47"/>
  <c r="AD390" i="47"/>
  <c r="E389" i="47"/>
  <c r="AD389" i="47"/>
  <c r="E388" i="47"/>
  <c r="AD388" i="47"/>
  <c r="E387" i="47"/>
  <c r="AD387" i="47"/>
  <c r="E386" i="47"/>
  <c r="S386" i="47"/>
  <c r="E385" i="47"/>
  <c r="AD385" i="47"/>
  <c r="E384" i="47"/>
  <c r="S384" i="47"/>
  <c r="Q383" i="47"/>
  <c r="E382" i="47"/>
  <c r="AD382" i="47"/>
  <c r="E381" i="47"/>
  <c r="AD381" i="47"/>
  <c r="E380" i="47"/>
  <c r="AD380" i="47"/>
  <c r="E379" i="47"/>
  <c r="AD379" i="47"/>
  <c r="S378" i="47"/>
  <c r="S377" i="47"/>
  <c r="E376" i="47"/>
  <c r="AD376" i="47"/>
  <c r="AD375" i="47"/>
  <c r="E374" i="47"/>
  <c r="AD374" i="47"/>
  <c r="E373" i="47"/>
  <c r="AD373" i="47"/>
  <c r="E372" i="47"/>
  <c r="AD372" i="47"/>
  <c r="E371" i="47"/>
  <c r="S371" i="47"/>
  <c r="P370" i="47"/>
  <c r="Q370" i="47"/>
  <c r="G369" i="47"/>
  <c r="AD369" i="47"/>
  <c r="AI368" i="47"/>
  <c r="K367" i="47"/>
  <c r="AD367" i="47"/>
  <c r="P366" i="47"/>
  <c r="AI366" i="47"/>
  <c r="K365" i="47"/>
  <c r="AD365" i="47"/>
  <c r="G364" i="47"/>
  <c r="W364" i="47"/>
  <c r="AA364" i="47"/>
  <c r="AD363" i="47"/>
  <c r="AD362" i="47"/>
  <c r="K361" i="47"/>
  <c r="AD361" i="47"/>
  <c r="M360" i="47"/>
  <c r="W360" i="47"/>
  <c r="AA360" i="47"/>
  <c r="I359" i="47"/>
  <c r="AD359" i="47"/>
  <c r="P358" i="47"/>
  <c r="Q358" i="47"/>
  <c r="E357" i="47"/>
  <c r="S357" i="47"/>
  <c r="P356" i="47"/>
  <c r="AH356" i="47"/>
  <c r="E355" i="47"/>
  <c r="AD355" i="47"/>
  <c r="E354" i="47"/>
  <c r="AD354" i="47"/>
  <c r="E353" i="47"/>
  <c r="AD353" i="47"/>
  <c r="E352" i="47"/>
  <c r="AD352" i="47"/>
  <c r="I351" i="47"/>
  <c r="AD351" i="47"/>
  <c r="I350" i="47"/>
  <c r="AD350" i="47"/>
  <c r="E349" i="47"/>
  <c r="AD349" i="47"/>
  <c r="E348" i="47"/>
  <c r="AD348" i="47"/>
  <c r="J347" i="47"/>
  <c r="AD347" i="47"/>
  <c r="J346" i="47"/>
  <c r="AD346" i="47"/>
  <c r="G345" i="47"/>
  <c r="AD345" i="47"/>
  <c r="E344" i="47"/>
  <c r="AD344" i="47"/>
  <c r="I343" i="47"/>
  <c r="AD343" i="47"/>
  <c r="I342" i="47"/>
  <c r="AD342" i="47"/>
  <c r="K341" i="47"/>
  <c r="AD341" i="47"/>
  <c r="E340" i="47"/>
  <c r="AD340" i="47"/>
  <c r="K339" i="47"/>
  <c r="AD339" i="47"/>
  <c r="P338" i="47"/>
  <c r="Q338" i="47"/>
  <c r="H337" i="47"/>
  <c r="AD337" i="47"/>
  <c r="AI336" i="47"/>
  <c r="F335" i="47"/>
  <c r="S335" i="47"/>
  <c r="G334" i="47"/>
  <c r="AD334" i="47"/>
  <c r="S333" i="47"/>
  <c r="AS333" i="47"/>
  <c r="AI332" i="47"/>
  <c r="W331" i="47"/>
  <c r="AA331" i="47"/>
  <c r="AQ331" i="47"/>
  <c r="AW331" i="47"/>
  <c r="BA330" i="47"/>
  <c r="H329" i="47"/>
  <c r="AD329" i="47"/>
  <c r="AI328" i="47"/>
  <c r="H327" i="47"/>
  <c r="S327" i="47"/>
  <c r="F326" i="47"/>
  <c r="S326" i="47"/>
  <c r="AN326" i="47"/>
  <c r="F325" i="47"/>
  <c r="AD325" i="47"/>
  <c r="F324" i="47"/>
  <c r="AD324" i="47"/>
  <c r="K323" i="47"/>
  <c r="AD323" i="47"/>
  <c r="AJ322" i="47"/>
  <c r="F321" i="47"/>
  <c r="AD321" i="47"/>
  <c r="AD320" i="47"/>
  <c r="H319" i="47"/>
  <c r="S319" i="47"/>
  <c r="H318" i="47"/>
  <c r="S318" i="47"/>
  <c r="K317" i="47"/>
  <c r="AD317" i="47"/>
  <c r="J316" i="47"/>
  <c r="AD316" i="47"/>
  <c r="J315" i="47"/>
  <c r="AD315" i="47"/>
  <c r="AD314" i="47"/>
  <c r="F313" i="47"/>
  <c r="AD313" i="47"/>
  <c r="F312" i="47"/>
  <c r="AD312" i="47"/>
  <c r="F311" i="47"/>
  <c r="AD311" i="47"/>
  <c r="J310" i="47"/>
  <c r="AD310" i="47"/>
  <c r="J309" i="47"/>
  <c r="AD309" i="47"/>
  <c r="J308" i="47"/>
  <c r="AD308" i="47"/>
  <c r="F307" i="47"/>
  <c r="S307" i="47"/>
  <c r="J306" i="47"/>
  <c r="AD306" i="47"/>
  <c r="AD305" i="47"/>
  <c r="AD304" i="47"/>
  <c r="T303" i="47"/>
  <c r="AC303" i="47"/>
  <c r="BC303" i="47"/>
  <c r="AD302" i="47"/>
  <c r="F301" i="47"/>
  <c r="AD301" i="47"/>
  <c r="F300" i="47"/>
  <c r="S300" i="47"/>
  <c r="G299" i="47"/>
  <c r="AD299" i="47"/>
  <c r="G298" i="47"/>
  <c r="AD298" i="47"/>
  <c r="F297" i="47"/>
  <c r="S297" i="47"/>
  <c r="F296" i="47"/>
  <c r="S296" i="47"/>
  <c r="Z295" i="47"/>
  <c r="AD295" i="47"/>
  <c r="I294" i="47"/>
  <c r="S294" i="47"/>
  <c r="J293" i="47"/>
  <c r="AD293" i="47"/>
  <c r="H292" i="47"/>
  <c r="AD292" i="47"/>
  <c r="J291" i="47"/>
  <c r="AD291" i="47"/>
  <c r="P290" i="47"/>
  <c r="Q290" i="47"/>
  <c r="E289" i="47"/>
  <c r="AD289" i="47"/>
  <c r="S288" i="47"/>
  <c r="E287" i="47"/>
  <c r="AD287" i="47"/>
  <c r="W286" i="47"/>
  <c r="AO286" i="47"/>
  <c r="H285" i="47"/>
  <c r="S285" i="47"/>
  <c r="H284" i="47"/>
  <c r="AD284" i="47"/>
  <c r="F283" i="47"/>
  <c r="AD283" i="47"/>
  <c r="E282" i="47"/>
  <c r="AD282" i="47"/>
  <c r="E281" i="47"/>
  <c r="AD281" i="47"/>
  <c r="G280" i="47"/>
  <c r="AD280" i="47"/>
  <c r="G279" i="47"/>
  <c r="AD279" i="47"/>
  <c r="G278" i="47"/>
  <c r="AD278" i="47"/>
  <c r="H277" i="47"/>
  <c r="W277" i="47"/>
  <c r="AD277" i="47"/>
  <c r="H276" i="47"/>
  <c r="W276" i="47"/>
  <c r="AD276" i="47"/>
  <c r="S275" i="47"/>
  <c r="F274" i="47"/>
  <c r="T274" i="47"/>
  <c r="X274" i="47"/>
  <c r="AW274" i="47"/>
  <c r="G273" i="47"/>
  <c r="AD273" i="47"/>
  <c r="E272" i="47"/>
  <c r="AD272" i="47"/>
  <c r="S271" i="47"/>
  <c r="AA270" i="47"/>
  <c r="AA269" i="47"/>
  <c r="V268" i="47"/>
  <c r="W268" i="47"/>
  <c r="AO268" i="47"/>
  <c r="S267" i="47"/>
  <c r="W267" i="47"/>
  <c r="AW267" i="47"/>
  <c r="T266" i="47"/>
  <c r="W266" i="47"/>
  <c r="AE266" i="47"/>
  <c r="AP266" i="47"/>
  <c r="AV266" i="47"/>
  <c r="AZ266" i="47"/>
  <c r="T265" i="47"/>
  <c r="X265" i="47"/>
  <c r="AW265" i="47"/>
  <c r="AY265" i="47"/>
  <c r="AH264" i="47"/>
  <c r="D263" i="47"/>
  <c r="S263" i="47"/>
  <c r="AO263" i="47"/>
  <c r="T262" i="47"/>
  <c r="AE262" i="47"/>
  <c r="AP262" i="47"/>
  <c r="AV262" i="47"/>
  <c r="AZ262" i="47"/>
  <c r="T261" i="47"/>
  <c r="AE261" i="47"/>
  <c r="AP261" i="47"/>
  <c r="AV261" i="47"/>
  <c r="AZ261" i="47"/>
  <c r="W260" i="47"/>
  <c r="AO260" i="47"/>
  <c r="W259" i="47"/>
  <c r="AO259" i="47"/>
  <c r="T258" i="47"/>
  <c r="W258" i="47"/>
  <c r="AE258" i="47"/>
  <c r="AP258" i="47"/>
  <c r="AV258" i="47"/>
  <c r="AZ258" i="47"/>
  <c r="T257" i="47"/>
  <c r="W257" i="47"/>
  <c r="AE257" i="47"/>
  <c r="AP257" i="47"/>
  <c r="AV257" i="47"/>
  <c r="AZ257" i="47"/>
  <c r="E256" i="47"/>
  <c r="AD256" i="47"/>
  <c r="E255" i="47"/>
  <c r="AD255" i="47"/>
  <c r="E254" i="47"/>
  <c r="S254" i="47"/>
  <c r="AO253" i="47"/>
  <c r="S252" i="47"/>
  <c r="AA251" i="47"/>
  <c r="AO250" i="47"/>
  <c r="E249" i="47"/>
  <c r="AA249" i="47"/>
  <c r="E248" i="47"/>
  <c r="AA248" i="47"/>
  <c r="E247" i="47"/>
  <c r="AA247" i="47"/>
  <c r="AO246" i="47"/>
  <c r="AO245" i="47"/>
  <c r="S244" i="47"/>
  <c r="E243" i="47"/>
  <c r="S243" i="47"/>
  <c r="E242" i="47"/>
  <c r="S242" i="47"/>
  <c r="AO241" i="47"/>
  <c r="S240" i="47"/>
  <c r="E239" i="47"/>
  <c r="S239" i="47"/>
  <c r="E238" i="47"/>
  <c r="S238" i="47"/>
  <c r="D237" i="47"/>
  <c r="S237" i="47"/>
  <c r="T236" i="47"/>
  <c r="AV236" i="47"/>
  <c r="E235" i="47"/>
  <c r="S235" i="47"/>
  <c r="AO234" i="47"/>
  <c r="AA233" i="47"/>
  <c r="AA232" i="47"/>
  <c r="AA231" i="47"/>
  <c r="AA230" i="47"/>
  <c r="T229" i="47"/>
  <c r="E228" i="47"/>
  <c r="AA228" i="47"/>
  <c r="E227" i="47"/>
  <c r="S227" i="47"/>
  <c r="M226" i="47"/>
  <c r="AO226" i="47"/>
  <c r="E225" i="47"/>
  <c r="T225" i="47"/>
  <c r="E224" i="47"/>
  <c r="AA224" i="47"/>
  <c r="AA223" i="47"/>
  <c r="E222" i="47"/>
  <c r="AA222" i="47"/>
  <c r="E221" i="47"/>
  <c r="AA221" i="47"/>
  <c r="E220" i="47"/>
  <c r="AA220" i="47"/>
  <c r="E219" i="47"/>
  <c r="AA219" i="47"/>
  <c r="E218" i="47"/>
  <c r="AA218" i="47"/>
  <c r="E217" i="47"/>
  <c r="AA217" i="47"/>
  <c r="AO217" i="47"/>
  <c r="AO216" i="47"/>
  <c r="W215" i="47"/>
  <c r="AO215" i="47"/>
  <c r="T214" i="47"/>
  <c r="X214" i="47"/>
  <c r="AU214" i="47"/>
  <c r="T213" i="47"/>
  <c r="X213" i="47"/>
  <c r="AP213" i="47"/>
  <c r="AV213" i="47"/>
  <c r="AZ213" i="47"/>
  <c r="AH212" i="47"/>
  <c r="T211" i="47"/>
  <c r="W211" i="47"/>
  <c r="AU211" i="47"/>
  <c r="E210" i="47"/>
  <c r="AA210" i="47"/>
  <c r="E209" i="47"/>
  <c r="AA209" i="47"/>
  <c r="E208" i="47"/>
  <c r="S208" i="47"/>
  <c r="W207" i="47"/>
  <c r="AH207" i="47"/>
  <c r="AO207" i="47"/>
  <c r="S206" i="47"/>
  <c r="W205" i="47"/>
  <c r="AO205" i="47"/>
  <c r="T204" i="47"/>
  <c r="AV204" i="47"/>
  <c r="S203" i="47"/>
  <c r="W203" i="47"/>
  <c r="AW203" i="47"/>
  <c r="T202" i="47"/>
  <c r="X202" i="47"/>
  <c r="AP202" i="47"/>
  <c r="AW202" i="47"/>
  <c r="T201" i="47"/>
  <c r="X201" i="47"/>
  <c r="AP201" i="47"/>
  <c r="AW201" i="47"/>
  <c r="AY201" i="47"/>
  <c r="T200" i="47"/>
  <c r="X200" i="47"/>
  <c r="AP200" i="47"/>
  <c r="AV200" i="47"/>
  <c r="AW200" i="47"/>
  <c r="AZ200" i="47"/>
  <c r="P199" i="47"/>
  <c r="AH199" i="47"/>
  <c r="AW199" i="47"/>
  <c r="P198" i="47"/>
  <c r="AH198" i="47"/>
  <c r="AW198" i="47"/>
  <c r="P197" i="47"/>
  <c r="AH197" i="47"/>
  <c r="AW197" i="47"/>
  <c r="P196" i="47"/>
  <c r="AH196" i="47"/>
  <c r="AW196" i="47"/>
  <c r="P195" i="47"/>
  <c r="E194" i="47"/>
  <c r="S194" i="47"/>
  <c r="E193" i="47"/>
  <c r="S193" i="47"/>
  <c r="E192" i="47"/>
  <c r="S192" i="47"/>
  <c r="AH191" i="47"/>
  <c r="U190" i="47"/>
  <c r="E189" i="47"/>
  <c r="W189" i="47"/>
  <c r="AD189" i="47"/>
  <c r="E188" i="47"/>
  <c r="S188" i="47"/>
  <c r="E187" i="47"/>
  <c r="S187" i="47"/>
  <c r="T186" i="47"/>
  <c r="AP186" i="47"/>
  <c r="AH185" i="47"/>
  <c r="S184" i="47"/>
  <c r="S183" i="47"/>
  <c r="E182" i="47"/>
  <c r="S182" i="47"/>
  <c r="AH181" i="47"/>
  <c r="T180" i="47"/>
  <c r="AP180" i="47"/>
  <c r="AY180" i="47"/>
  <c r="T179" i="47"/>
  <c r="AP179" i="47"/>
  <c r="V178" i="47"/>
  <c r="W178" i="47"/>
  <c r="AO178" i="47"/>
  <c r="AA177" i="47"/>
  <c r="T176" i="47"/>
  <c r="AP176" i="47"/>
  <c r="T175" i="47"/>
  <c r="T174" i="47"/>
  <c r="AP174" i="47"/>
  <c r="M173" i="47"/>
  <c r="W173" i="47"/>
  <c r="AO173" i="47"/>
  <c r="T172" i="47"/>
  <c r="AU172" i="47"/>
  <c r="AY172" i="47"/>
  <c r="S171" i="47"/>
  <c r="AH170" i="47"/>
  <c r="AA169" i="47"/>
  <c r="AA168" i="47"/>
  <c r="AA167" i="47"/>
  <c r="W166" i="47"/>
  <c r="AL166" i="47"/>
  <c r="AO166" i="47"/>
  <c r="W165" i="47"/>
  <c r="AL165" i="47"/>
  <c r="AO165" i="47"/>
  <c r="F164" i="47"/>
  <c r="S164" i="47"/>
  <c r="Q163" i="47"/>
  <c r="T162" i="47"/>
  <c r="AP162" i="47"/>
  <c r="M161" i="47"/>
  <c r="W161" i="47"/>
  <c r="AO161" i="47"/>
  <c r="AA160" i="47"/>
  <c r="E159" i="47"/>
  <c r="AA159" i="47"/>
  <c r="E158" i="47"/>
  <c r="AA158" i="47"/>
  <c r="T157" i="47"/>
  <c r="AA156" i="47"/>
  <c r="M155" i="47"/>
  <c r="W155" i="47"/>
  <c r="AO155" i="47"/>
  <c r="E154" i="47"/>
  <c r="W154" i="47"/>
  <c r="AA154" i="47"/>
  <c r="P153" i="47"/>
  <c r="Q153" i="47"/>
  <c r="T152" i="47"/>
  <c r="AW152" i="47"/>
  <c r="W151" i="47"/>
  <c r="AA151" i="47"/>
  <c r="E150" i="47"/>
  <c r="AD150" i="47"/>
  <c r="S149" i="47"/>
  <c r="T148" i="47"/>
  <c r="AU148" i="47"/>
  <c r="T147" i="47"/>
  <c r="AU147" i="47"/>
  <c r="W146" i="47"/>
  <c r="AA146" i="47"/>
  <c r="AP146" i="47"/>
  <c r="E145" i="47"/>
  <c r="S145" i="47"/>
  <c r="W144" i="47"/>
  <c r="AD144" i="47"/>
  <c r="W143" i="47"/>
  <c r="AD143" i="47"/>
  <c r="E142" i="47"/>
  <c r="S142" i="47"/>
  <c r="E141" i="47"/>
  <c r="AD141" i="47"/>
  <c r="E140" i="47"/>
  <c r="AD140" i="47"/>
  <c r="E139" i="47"/>
  <c r="S139" i="47"/>
  <c r="S138" i="47"/>
  <c r="T137" i="47"/>
  <c r="AU137" i="47"/>
  <c r="AY137" i="47"/>
  <c r="T136" i="47"/>
  <c r="AU136" i="47"/>
  <c r="T135" i="47"/>
  <c r="AU135" i="47"/>
  <c r="T134" i="47"/>
  <c r="AU134" i="47"/>
  <c r="G133" i="47"/>
  <c r="AD133" i="47"/>
  <c r="E132" i="47"/>
  <c r="AD132" i="47"/>
  <c r="E131" i="47"/>
  <c r="S131" i="47"/>
  <c r="S130" i="47"/>
  <c r="E129" i="47"/>
  <c r="AD129" i="47"/>
  <c r="E128" i="47"/>
  <c r="AD128" i="47"/>
  <c r="AI127" i="47"/>
  <c r="AI126" i="47"/>
  <c r="AI125" i="47"/>
  <c r="AI124" i="47"/>
  <c r="AI123" i="47"/>
  <c r="AI122" i="47"/>
  <c r="AI121" i="47"/>
  <c r="AI120" i="47"/>
  <c r="AI119" i="47"/>
  <c r="AI118" i="47"/>
  <c r="AI117" i="47"/>
  <c r="AI116" i="47"/>
  <c r="AI115" i="47"/>
  <c r="AI114" i="47"/>
  <c r="AI113" i="47"/>
  <c r="Q112" i="47"/>
  <c r="AI111" i="47"/>
  <c r="AI110" i="47"/>
  <c r="Q109" i="47"/>
  <c r="AI108" i="47"/>
  <c r="AI107" i="47"/>
  <c r="AI106" i="47"/>
  <c r="AI105" i="47"/>
  <c r="G104" i="47"/>
  <c r="W104" i="47"/>
  <c r="AA104" i="47"/>
  <c r="AD103" i="47"/>
  <c r="S102" i="47"/>
  <c r="W102" i="47"/>
  <c r="E101" i="47"/>
  <c r="S101" i="47"/>
  <c r="AH100" i="47"/>
  <c r="P99" i="47"/>
  <c r="R99" i="47"/>
  <c r="X99" i="47"/>
  <c r="AH99" i="47"/>
  <c r="AK99" i="47"/>
  <c r="P98" i="47"/>
  <c r="AA97" i="47"/>
  <c r="T96" i="47"/>
  <c r="AP96" i="47"/>
  <c r="W95" i="47"/>
  <c r="AO95" i="47"/>
  <c r="E94" i="47"/>
  <c r="S94" i="47"/>
  <c r="E93" i="47"/>
  <c r="S93" i="47"/>
  <c r="E92" i="47"/>
  <c r="AA92" i="47"/>
  <c r="E91" i="47"/>
  <c r="AA91" i="47"/>
  <c r="V90" i="47"/>
  <c r="W90" i="47"/>
  <c r="AM90" i="47"/>
  <c r="AO90" i="47"/>
  <c r="T89" i="47"/>
  <c r="X89" i="47"/>
  <c r="AP89" i="47"/>
  <c r="AW89" i="47"/>
  <c r="AH88" i="47"/>
  <c r="P87" i="47"/>
  <c r="AA86" i="47"/>
  <c r="V85" i="47"/>
  <c r="W85" i="47"/>
  <c r="AM85" i="47"/>
  <c r="AO85" i="47"/>
  <c r="BA84" i="47"/>
  <c r="AI83" i="47"/>
  <c r="H82" i="47"/>
  <c r="S82" i="47"/>
  <c r="V82" i="47"/>
  <c r="W82" i="47"/>
  <c r="S81" i="47"/>
  <c r="W81" i="47"/>
  <c r="AQ81" i="47"/>
  <c r="T80" i="47"/>
  <c r="V80" i="47"/>
  <c r="W80" i="47"/>
  <c r="AR80" i="47"/>
  <c r="AD79" i="47"/>
  <c r="G78" i="47"/>
  <c r="AA78" i="47"/>
  <c r="AA77" i="47"/>
  <c r="V76" i="47"/>
  <c r="W76" i="47"/>
  <c r="AM76" i="47"/>
  <c r="AO76" i="47"/>
  <c r="AI75" i="47"/>
  <c r="H74" i="47"/>
  <c r="S74" i="47"/>
  <c r="V74" i="47"/>
  <c r="W74" i="47"/>
  <c r="W73" i="47"/>
  <c r="AA73" i="47"/>
  <c r="BA72" i="47"/>
  <c r="AD71" i="47"/>
  <c r="H70" i="47"/>
  <c r="S70" i="47"/>
  <c r="T69" i="47"/>
  <c r="AR69" i="47"/>
  <c r="V68" i="47"/>
  <c r="W68" i="47"/>
  <c r="AO68" i="47"/>
  <c r="S67" i="47"/>
  <c r="W67" i="47"/>
  <c r="G66" i="47"/>
  <c r="V66" i="47"/>
  <c r="W66" i="47"/>
  <c r="AA66" i="47"/>
  <c r="G65" i="47"/>
  <c r="V65" i="47"/>
  <c r="W65" i="47"/>
  <c r="AA65" i="47"/>
  <c r="W64" i="47"/>
  <c r="AJ64" i="47"/>
  <c r="S63" i="47"/>
  <c r="W63" i="47"/>
  <c r="G62" i="47"/>
  <c r="V62" i="47"/>
  <c r="W62" i="47"/>
  <c r="AA62" i="47"/>
  <c r="G61" i="47"/>
  <c r="V61" i="47"/>
  <c r="W61" i="47"/>
  <c r="AA61" i="47"/>
  <c r="M60" i="47"/>
  <c r="T60" i="47"/>
  <c r="S59" i="47"/>
  <c r="E58" i="47"/>
  <c r="S58" i="47"/>
  <c r="V57" i="47"/>
  <c r="W57" i="47"/>
  <c r="AM57" i="47"/>
  <c r="AO57" i="47"/>
  <c r="S56" i="47"/>
  <c r="E55" i="47"/>
  <c r="AD55" i="47"/>
  <c r="T54" i="47"/>
  <c r="AP54" i="47"/>
  <c r="AW54" i="47"/>
  <c r="S53" i="47"/>
  <c r="W52" i="47"/>
  <c r="AO52" i="47"/>
  <c r="T51" i="47"/>
  <c r="S50" i="47"/>
  <c r="W49" i="47"/>
  <c r="AO49" i="47"/>
  <c r="S48" i="47"/>
  <c r="T47" i="47"/>
  <c r="S46" i="47"/>
  <c r="S45" i="47"/>
  <c r="E44" i="47"/>
  <c r="S44" i="47"/>
  <c r="T43" i="47"/>
  <c r="S42" i="47"/>
  <c r="AM41" i="47"/>
  <c r="AO41" i="47"/>
  <c r="BA40" i="47"/>
  <c r="AH39" i="47"/>
  <c r="AX39" i="47"/>
  <c r="F38" i="47"/>
  <c r="S38" i="47"/>
  <c r="G37" i="47"/>
  <c r="V37" i="47"/>
  <c r="W37" i="47"/>
  <c r="AA37" i="47"/>
  <c r="G36" i="47"/>
  <c r="V36" i="47"/>
  <c r="W36" i="47"/>
  <c r="AA36" i="47"/>
  <c r="G35" i="47"/>
  <c r="V35" i="47"/>
  <c r="W35" i="47"/>
  <c r="AA35" i="47"/>
  <c r="G34" i="47"/>
  <c r="V34" i="47"/>
  <c r="W34" i="47"/>
  <c r="AA34" i="47"/>
  <c r="T33" i="47"/>
  <c r="X33" i="47"/>
  <c r="AQ33" i="47"/>
  <c r="AW33" i="47"/>
  <c r="AI32" i="47"/>
  <c r="F31" i="47"/>
  <c r="S31" i="47"/>
  <c r="N30" i="47"/>
  <c r="T30" i="47"/>
  <c r="AO29" i="47"/>
  <c r="AA28" i="47"/>
  <c r="AA27" i="47"/>
  <c r="AR26" i="47"/>
  <c r="G25" i="47"/>
  <c r="AD25" i="47"/>
  <c r="S24" i="47"/>
  <c r="F23" i="47"/>
  <c r="T23" i="47"/>
  <c r="W23" i="47"/>
  <c r="AW23" i="47"/>
  <c r="T22" i="47"/>
  <c r="V22" i="47"/>
  <c r="W22" i="47"/>
  <c r="AR22" i="47"/>
  <c r="D21" i="47"/>
  <c r="AD21" i="47"/>
  <c r="G20" i="47"/>
  <c r="S20" i="47"/>
  <c r="AI19" i="47"/>
  <c r="Q18" i="47"/>
  <c r="Q17" i="47"/>
  <c r="Q16" i="47"/>
  <c r="Q15" i="47"/>
  <c r="Q14" i="47"/>
  <c r="Q13" i="47"/>
  <c r="P12" i="47"/>
  <c r="Q12" i="47"/>
  <c r="AI11" i="47"/>
  <c r="AE10" i="47"/>
  <c r="AO10" i="47"/>
  <c r="AP10" i="47"/>
  <c r="AW10" i="47"/>
  <c r="AZ10" i="47"/>
  <c r="T9" i="47"/>
  <c r="AV9" i="47"/>
  <c r="AA8" i="47"/>
  <c r="AW8" i="47"/>
  <c r="T7" i="47"/>
  <c r="AV7" i="47"/>
  <c r="AW7" i="47"/>
  <c r="AY7" i="47"/>
  <c r="T6" i="47"/>
  <c r="AV6" i="47"/>
  <c r="AY6" i="47"/>
  <c r="BB6" i="47"/>
  <c r="T5" i="47"/>
  <c r="X5" i="47"/>
  <c r="AB5" i="47"/>
  <c r="AY5" i="47"/>
  <c r="B885" i="47"/>
  <c r="N4057" i="73"/>
  <c r="O4057" i="73" s="1"/>
  <c r="P4057" i="73" s="1"/>
  <c r="B884" i="47"/>
  <c r="N4055" i="73"/>
  <c r="O4055" i="73" s="1"/>
  <c r="P4055" i="73" s="1"/>
  <c r="B883" i="47"/>
  <c r="B882" i="47"/>
  <c r="B881" i="47"/>
  <c r="N3735" i="73"/>
  <c r="O3735" i="73" s="1"/>
  <c r="P3735" i="73" s="1"/>
  <c r="B880" i="47"/>
  <c r="N4988" i="73"/>
  <c r="O4988" i="73" s="1"/>
  <c r="P4988" i="73" s="1"/>
  <c r="B879" i="47"/>
  <c r="B878" i="47"/>
  <c r="N4938" i="73"/>
  <c r="O4938" i="73" s="1"/>
  <c r="P4938" i="73" s="1"/>
  <c r="B877" i="47"/>
  <c r="B876" i="47"/>
  <c r="N4881" i="73"/>
  <c r="O4881" i="73" s="1"/>
  <c r="B875" i="47"/>
  <c r="B874" i="47"/>
  <c r="B873" i="47"/>
  <c r="N4782" i="73"/>
  <c r="O4782" i="73" s="1"/>
  <c r="B872" i="47"/>
  <c r="B871" i="47"/>
  <c r="B870" i="47"/>
  <c r="N381" i="73"/>
  <c r="O381" i="73" s="1"/>
  <c r="P381" i="73" s="1"/>
  <c r="B869" i="47"/>
  <c r="B868" i="47"/>
  <c r="N379" i="73"/>
  <c r="O379" i="73" s="1"/>
  <c r="P379" i="73" s="1"/>
  <c r="B867" i="47"/>
  <c r="N369" i="73"/>
  <c r="O369" i="73" s="1"/>
  <c r="P369" i="73" s="1"/>
  <c r="B866" i="47"/>
  <c r="B865" i="47"/>
  <c r="N363" i="73"/>
  <c r="O363" i="73" s="1"/>
  <c r="P363" i="73" s="1"/>
  <c r="B864" i="47"/>
  <c r="N361" i="73"/>
  <c r="O361" i="73" s="1"/>
  <c r="P361" i="73" s="1"/>
  <c r="B863" i="47"/>
  <c r="B862" i="47"/>
  <c r="N356" i="73"/>
  <c r="O356" i="73" s="1"/>
  <c r="P356" i="73" s="1"/>
  <c r="B861" i="47"/>
  <c r="N349" i="73"/>
  <c r="O349" i="73" s="1"/>
  <c r="P349" i="73" s="1"/>
  <c r="B860" i="47"/>
  <c r="B859" i="47"/>
  <c r="B858" i="47"/>
  <c r="B857" i="47"/>
  <c r="N342" i="73"/>
  <c r="O342" i="73" s="1"/>
  <c r="P342" i="73" s="1"/>
  <c r="B856" i="47"/>
  <c r="N340" i="73"/>
  <c r="O340" i="73" s="1"/>
  <c r="P340" i="73" s="1"/>
  <c r="B855" i="47"/>
  <c r="N338" i="73"/>
  <c r="O338" i="73" s="1"/>
  <c r="B854" i="47"/>
  <c r="B853" i="47"/>
  <c r="N367" i="73"/>
  <c r="O367" i="73" s="1"/>
  <c r="P367" i="73" s="1"/>
  <c r="B852" i="47"/>
  <c r="N202" i="73"/>
  <c r="O202" i="73" s="1"/>
  <c r="P202" i="73" s="1"/>
  <c r="B851" i="47"/>
  <c r="B850" i="47"/>
  <c r="N4720" i="73"/>
  <c r="O4720" i="73" s="1"/>
  <c r="P4720" i="73" s="1"/>
  <c r="B849" i="47"/>
  <c r="N4718" i="73"/>
  <c r="O4718" i="73" s="1"/>
  <c r="P4718" i="73" s="1"/>
  <c r="B848" i="47"/>
  <c r="B847" i="47"/>
  <c r="N4481" i="73"/>
  <c r="O4481" i="73" s="1"/>
  <c r="P4481" i="73" s="1"/>
  <c r="B846" i="47"/>
  <c r="N4479" i="73"/>
  <c r="O4479" i="73" s="1"/>
  <c r="P4479" i="73" s="1"/>
  <c r="B845" i="47"/>
  <c r="N4477" i="73"/>
  <c r="O4477" i="73" s="1"/>
  <c r="P4477" i="73" s="1"/>
  <c r="B844" i="47"/>
  <c r="B843" i="47"/>
  <c r="B842" i="47"/>
  <c r="B841" i="47"/>
  <c r="B840" i="47"/>
  <c r="B839" i="47"/>
  <c r="N4260" i="73"/>
  <c r="O4260" i="73" s="1"/>
  <c r="P4260" i="73" s="1"/>
  <c r="B838" i="47"/>
  <c r="N4258" i="73"/>
  <c r="O4258" i="73" s="1"/>
  <c r="P4258" i="73" s="1"/>
  <c r="B837" i="47"/>
  <c r="N4256" i="73"/>
  <c r="O4256" i="73" s="1"/>
  <c r="P4256" i="73" s="1"/>
  <c r="B836" i="47"/>
  <c r="N4342" i="73"/>
  <c r="O4342" i="73" s="1"/>
  <c r="B835" i="47"/>
  <c r="N4340" i="73"/>
  <c r="O4340" i="73" s="1"/>
  <c r="P4340" i="73" s="1"/>
  <c r="B834" i="47"/>
  <c r="B833" i="47"/>
  <c r="N4333" i="73"/>
  <c r="O4333" i="73" s="1"/>
  <c r="P4333" i="73" s="1"/>
  <c r="B832" i="47"/>
  <c r="N4331" i="73"/>
  <c r="O4331" i="73" s="1"/>
  <c r="B831" i="47"/>
  <c r="B830" i="47"/>
  <c r="N4322" i="73"/>
  <c r="O4322" i="73" s="1"/>
  <c r="P4322" i="73" s="1"/>
  <c r="B829" i="47"/>
  <c r="N4320" i="73"/>
  <c r="O4320" i="73" s="1"/>
  <c r="P4320" i="73" s="1"/>
  <c r="B828" i="47"/>
  <c r="B827" i="47"/>
  <c r="N3632" i="73"/>
  <c r="O3632" i="73" s="1"/>
  <c r="P3632" i="73" s="1"/>
  <c r="B826" i="47"/>
  <c r="N3630" i="73"/>
  <c r="O3630" i="73" s="1"/>
  <c r="P3630" i="73" s="1"/>
  <c r="B825" i="47"/>
  <c r="B824" i="47"/>
  <c r="N3702" i="73"/>
  <c r="O3702" i="73" s="1"/>
  <c r="P3702" i="73" s="1"/>
  <c r="B823" i="47"/>
  <c r="N3700" i="73"/>
  <c r="O3700" i="73" s="1"/>
  <c r="P3700" i="73" s="1"/>
  <c r="B822" i="47"/>
  <c r="N3698" i="73"/>
  <c r="O3698" i="73" s="1"/>
  <c r="P3698" i="73" s="1"/>
  <c r="B821" i="47"/>
  <c r="N3696" i="73"/>
  <c r="O3696" i="73" s="1"/>
  <c r="P3696" i="73" s="1"/>
  <c r="B820" i="47"/>
  <c r="N3694" i="73"/>
  <c r="O3694" i="73" s="1"/>
  <c r="P3694" i="73" s="1"/>
  <c r="B819" i="47"/>
  <c r="N3692" i="73"/>
  <c r="O3692" i="73" s="1"/>
  <c r="P3692" i="73" s="1"/>
  <c r="B818" i="47"/>
  <c r="N3690" i="73"/>
  <c r="O3690" i="73" s="1"/>
  <c r="P3690" i="73" s="1"/>
  <c r="B817" i="47"/>
  <c r="N3688" i="73"/>
  <c r="O3688" i="73" s="1"/>
  <c r="P3688" i="73" s="1"/>
  <c r="B816" i="47"/>
  <c r="N3686" i="73"/>
  <c r="O3686" i="73" s="1"/>
  <c r="P3686" i="73" s="1"/>
  <c r="B815" i="47"/>
  <c r="N3684" i="73"/>
  <c r="O3684" i="73" s="1"/>
  <c r="P3684" i="73" s="1"/>
  <c r="B814" i="47"/>
  <c r="N3682" i="73"/>
  <c r="O3682" i="73" s="1"/>
  <c r="P3682" i="73" s="1"/>
  <c r="B813" i="47"/>
  <c r="N3680" i="73"/>
  <c r="O3680" i="73" s="1"/>
  <c r="P3680" i="73" s="1"/>
  <c r="B812" i="47"/>
  <c r="N3678" i="73"/>
  <c r="O3678" i="73" s="1"/>
  <c r="P3678" i="73" s="1"/>
  <c r="B811" i="47"/>
  <c r="N3676" i="73"/>
  <c r="O3676" i="73" s="1"/>
  <c r="P3676" i="73" s="1"/>
  <c r="B810" i="47"/>
  <c r="N3674" i="73"/>
  <c r="O3674" i="73" s="1"/>
  <c r="P3674" i="73" s="1"/>
  <c r="B809" i="47"/>
  <c r="N3672" i="73"/>
  <c r="O3672" i="73" s="1"/>
  <c r="P3672" i="73" s="1"/>
  <c r="B808" i="47"/>
  <c r="N3670" i="73"/>
  <c r="O3670" i="73" s="1"/>
  <c r="P3670" i="73" s="1"/>
  <c r="B807" i="47"/>
  <c r="N3668" i="73"/>
  <c r="O3668" i="73" s="1"/>
  <c r="P3668" i="73" s="1"/>
  <c r="B806" i="47"/>
  <c r="N3666" i="73"/>
  <c r="O3666" i="73" s="1"/>
  <c r="P3666" i="73" s="1"/>
  <c r="B805" i="47"/>
  <c r="N3664" i="73"/>
  <c r="O3664" i="73" s="1"/>
  <c r="P3664" i="73" s="1"/>
  <c r="B804" i="47"/>
  <c r="N3662" i="73"/>
  <c r="O3662" i="73" s="1"/>
  <c r="P3662" i="73" s="1"/>
  <c r="B803" i="47"/>
  <c r="N3660" i="73"/>
  <c r="O3660" i="73" s="1"/>
  <c r="P3660" i="73" s="1"/>
  <c r="B802" i="47"/>
  <c r="N3658" i="73"/>
  <c r="O3658" i="73" s="1"/>
  <c r="P3658" i="73" s="1"/>
  <c r="B801" i="47"/>
  <c r="N3656" i="73"/>
  <c r="O3656" i="73" s="1"/>
  <c r="P3656" i="73" s="1"/>
  <c r="B800" i="47"/>
  <c r="N3654" i="73"/>
  <c r="O3654" i="73" s="1"/>
  <c r="P3654" i="73" s="1"/>
  <c r="B799" i="47"/>
  <c r="N3652" i="73"/>
  <c r="O3652" i="73" s="1"/>
  <c r="P3652" i="73" s="1"/>
  <c r="B798" i="47"/>
  <c r="N3650" i="73"/>
  <c r="O3650" i="73" s="1"/>
  <c r="P3650" i="73" s="1"/>
  <c r="B797" i="47"/>
  <c r="N3648" i="73"/>
  <c r="O3648" i="73" s="1"/>
  <c r="P3648" i="73" s="1"/>
  <c r="B796" i="47"/>
  <c r="N3646" i="73"/>
  <c r="O3646" i="73" s="1"/>
  <c r="P3646" i="73" s="1"/>
  <c r="B795" i="47"/>
  <c r="N3644" i="73"/>
  <c r="O3644" i="73" s="1"/>
  <c r="P3644" i="73" s="1"/>
  <c r="B794" i="47"/>
  <c r="N3642" i="73"/>
  <c r="O3642" i="73" s="1"/>
  <c r="P3642" i="73" s="1"/>
  <c r="B793" i="47"/>
  <c r="B792" i="47"/>
  <c r="B791" i="47"/>
  <c r="B790" i="47"/>
  <c r="B789" i="47"/>
  <c r="B788" i="47"/>
  <c r="B787" i="47"/>
  <c r="B786" i="47"/>
  <c r="B785" i="47"/>
  <c r="B784" i="47"/>
  <c r="B783" i="47"/>
  <c r="B782" i="47"/>
  <c r="B781" i="47"/>
  <c r="N3520" i="73"/>
  <c r="O3520" i="73" s="1"/>
  <c r="P3520" i="73" s="1"/>
  <c r="B780" i="47"/>
  <c r="N3518" i="73"/>
  <c r="O3518" i="73" s="1"/>
  <c r="P3518" i="73" s="1"/>
  <c r="B779" i="47"/>
  <c r="N3516" i="73"/>
  <c r="O3516" i="73" s="1"/>
  <c r="P3516" i="73" s="1"/>
  <c r="B778" i="47"/>
  <c r="N3514" i="73"/>
  <c r="O3514" i="73" s="1"/>
  <c r="P3514" i="73" s="1"/>
  <c r="B777" i="47"/>
  <c r="N3421" i="73"/>
  <c r="O3421" i="73" s="1"/>
  <c r="P3421" i="73" s="1"/>
  <c r="B776" i="47"/>
  <c r="B775" i="47"/>
  <c r="N3417" i="73"/>
  <c r="O3417" i="73" s="1"/>
  <c r="P3417" i="73" s="1"/>
  <c r="B774" i="47"/>
  <c r="N3415" i="73"/>
  <c r="O3415" i="73" s="1"/>
  <c r="P3415" i="73" s="1"/>
  <c r="B773" i="47"/>
  <c r="B772" i="47"/>
  <c r="B771" i="47"/>
  <c r="B770" i="47"/>
  <c r="B769" i="47"/>
  <c r="N3405" i="73"/>
  <c r="O3405" i="73" s="1"/>
  <c r="P3405" i="73" s="1"/>
  <c r="B768" i="47"/>
  <c r="N3403" i="73"/>
  <c r="O3403" i="73" s="1"/>
  <c r="P3403" i="73" s="1"/>
  <c r="B767" i="47"/>
  <c r="B766" i="47"/>
  <c r="B765" i="47"/>
  <c r="B764" i="47"/>
  <c r="B763" i="47"/>
  <c r="B762" i="47"/>
  <c r="B761" i="47"/>
  <c r="B760" i="47"/>
  <c r="B759" i="47"/>
  <c r="B758" i="47"/>
  <c r="B757" i="47"/>
  <c r="B756" i="47"/>
  <c r="B755" i="47"/>
  <c r="B754" i="47"/>
  <c r="B753" i="47"/>
  <c r="B752" i="47"/>
  <c r="B751" i="47"/>
  <c r="B750" i="47"/>
  <c r="B749" i="47"/>
  <c r="B748" i="47"/>
  <c r="B747" i="47"/>
  <c r="B746" i="47"/>
  <c r="B745" i="47"/>
  <c r="B744" i="47"/>
  <c r="N4254" i="73"/>
  <c r="O4254" i="73" s="1"/>
  <c r="P4254" i="73" s="1"/>
  <c r="B743" i="47"/>
  <c r="N4252" i="73"/>
  <c r="O4252" i="73" s="1"/>
  <c r="P4252" i="73" s="1"/>
  <c r="B742" i="47"/>
  <c r="N4250" i="73"/>
  <c r="O4250" i="73" s="1"/>
  <c r="P4250" i="73" s="1"/>
  <c r="B741" i="47"/>
  <c r="B740" i="47"/>
  <c r="N4228" i="73"/>
  <c r="O4228" i="73" s="1"/>
  <c r="P4228" i="73" s="1"/>
  <c r="B739" i="47"/>
  <c r="N4226" i="73"/>
  <c r="O4226" i="73" s="1"/>
  <c r="P4226" i="73" s="1"/>
  <c r="B738" i="47"/>
  <c r="B737" i="47"/>
  <c r="B736" i="47"/>
  <c r="N4210" i="73"/>
  <c r="O4210" i="73" s="1"/>
  <c r="P4210" i="73" s="1"/>
  <c r="B735" i="47"/>
  <c r="N4208" i="73"/>
  <c r="O4208" i="73" s="1"/>
  <c r="P4208" i="73" s="1"/>
  <c r="B734" i="47"/>
  <c r="B733" i="47"/>
  <c r="N4177" i="73"/>
  <c r="O4177" i="73" s="1"/>
  <c r="P4177" i="73" s="1"/>
  <c r="B732" i="47"/>
  <c r="N4175" i="73"/>
  <c r="O4175" i="73" s="1"/>
  <c r="P4175" i="73" s="1"/>
  <c r="B731" i="47"/>
  <c r="B730" i="47"/>
  <c r="B729" i="47"/>
  <c r="B728" i="47"/>
  <c r="B727" i="47"/>
  <c r="B726" i="47"/>
  <c r="B725" i="47"/>
  <c r="B724" i="47"/>
  <c r="B723" i="47"/>
  <c r="B722" i="47"/>
  <c r="B721" i="47"/>
  <c r="B720" i="47"/>
  <c r="B719" i="47"/>
  <c r="B718" i="47"/>
  <c r="N4192" i="73"/>
  <c r="O4192" i="73" s="1"/>
  <c r="P4192" i="73" s="1"/>
  <c r="B717" i="47"/>
  <c r="B716" i="47"/>
  <c r="N4188" i="73"/>
  <c r="O4188" i="73" s="1"/>
  <c r="P4188" i="73" s="1"/>
  <c r="B715" i="47"/>
  <c r="N4186" i="73"/>
  <c r="O4186" i="73" s="1"/>
  <c r="P4186" i="73" s="1"/>
  <c r="B714" i="47"/>
  <c r="N3324" i="73"/>
  <c r="O3324" i="73" s="1"/>
  <c r="P3324" i="73" s="1"/>
  <c r="B713" i="47"/>
  <c r="N3322" i="73"/>
  <c r="O3322" i="73" s="1"/>
  <c r="P3322" i="73" s="1"/>
  <c r="B712" i="47"/>
  <c r="N3320" i="73"/>
  <c r="O3320" i="73" s="1"/>
  <c r="P3320" i="73" s="1"/>
  <c r="B711" i="47"/>
  <c r="N3318" i="73"/>
  <c r="O3318" i="73" s="1"/>
  <c r="P3318" i="73" s="1"/>
  <c r="B710" i="47"/>
  <c r="N3316" i="73"/>
  <c r="O3316" i="73" s="1"/>
  <c r="P3316" i="73" s="1"/>
  <c r="B709" i="47"/>
  <c r="N3314" i="73"/>
  <c r="O3314" i="73" s="1"/>
  <c r="P3314" i="73" s="1"/>
  <c r="B708" i="47"/>
  <c r="N3312" i="73"/>
  <c r="O3312" i="73" s="1"/>
  <c r="P3312" i="73" s="1"/>
  <c r="B707" i="47"/>
  <c r="N3310" i="73"/>
  <c r="O3310" i="73" s="1"/>
  <c r="P3310" i="73" s="1"/>
  <c r="B706" i="47"/>
  <c r="N3308" i="73"/>
  <c r="O3308" i="73" s="1"/>
  <c r="P3308" i="73" s="1"/>
  <c r="B705" i="47"/>
  <c r="N3306" i="73"/>
  <c r="O3306" i="73" s="1"/>
  <c r="P3306" i="73" s="1"/>
  <c r="B704" i="47"/>
  <c r="N3304" i="73"/>
  <c r="O3304" i="73" s="1"/>
  <c r="P3304" i="73" s="1"/>
  <c r="B703" i="47"/>
  <c r="N3302" i="73"/>
  <c r="O3302" i="73" s="1"/>
  <c r="P3302" i="73" s="1"/>
  <c r="B702" i="47"/>
  <c r="B701" i="47"/>
  <c r="B700" i="47"/>
  <c r="B699" i="47"/>
  <c r="B698" i="47"/>
  <c r="B697" i="47"/>
  <c r="B696" i="47"/>
  <c r="B695" i="47"/>
  <c r="B694" i="47"/>
  <c r="B693" i="47"/>
  <c r="B692" i="47"/>
  <c r="B691" i="47"/>
  <c r="B690" i="47"/>
  <c r="B689" i="47"/>
  <c r="B688" i="47"/>
  <c r="B687" i="47"/>
  <c r="B686" i="47"/>
  <c r="B685" i="47"/>
  <c r="B684" i="47"/>
  <c r="B683" i="47"/>
  <c r="B682" i="47"/>
  <c r="B681" i="47"/>
  <c r="B680" i="47"/>
  <c r="B679" i="47"/>
  <c r="B678" i="47"/>
  <c r="B677" i="47"/>
  <c r="B676" i="47"/>
  <c r="N1895" i="73"/>
  <c r="O1895" i="73" s="1"/>
  <c r="P1895" i="73" s="1"/>
  <c r="B675" i="47"/>
  <c r="N1893" i="73"/>
  <c r="O1893" i="73" s="1"/>
  <c r="P1893" i="73" s="1"/>
  <c r="B674" i="47"/>
  <c r="B673" i="47"/>
  <c r="B672" i="47"/>
  <c r="B671" i="47"/>
  <c r="N1885" i="73"/>
  <c r="O1885" i="73" s="1"/>
  <c r="P1885" i="73" s="1"/>
  <c r="B670" i="47"/>
  <c r="N1883" i="73"/>
  <c r="O1883" i="73" s="1"/>
  <c r="P1883" i="73" s="1"/>
  <c r="B669" i="47"/>
  <c r="B668" i="47"/>
  <c r="B667" i="47"/>
  <c r="B666" i="47"/>
  <c r="B665" i="47"/>
  <c r="B664" i="47"/>
  <c r="B663" i="47"/>
  <c r="B662" i="47"/>
  <c r="B661" i="47"/>
  <c r="B660" i="47"/>
  <c r="B659" i="47"/>
  <c r="B658" i="47"/>
  <c r="B657" i="47"/>
  <c r="B656" i="47"/>
  <c r="B655" i="47"/>
  <c r="B654" i="47"/>
  <c r="B653" i="47"/>
  <c r="B652" i="47"/>
  <c r="B651" i="47"/>
  <c r="B650" i="47"/>
  <c r="B649" i="47"/>
  <c r="B648" i="47"/>
  <c r="B647" i="47"/>
  <c r="B646" i="47"/>
  <c r="B645" i="47"/>
  <c r="B644" i="47"/>
  <c r="B643" i="47"/>
  <c r="B642" i="47"/>
  <c r="N1656" i="73"/>
  <c r="O1656" i="73" s="1"/>
  <c r="P1656" i="73" s="1"/>
  <c r="B641" i="47"/>
  <c r="B640" i="47"/>
  <c r="B639" i="47"/>
  <c r="B638" i="47"/>
  <c r="B637" i="47"/>
  <c r="B636" i="47"/>
  <c r="B635" i="47"/>
  <c r="B634" i="47"/>
  <c r="B633" i="47"/>
  <c r="B632" i="47"/>
  <c r="B631" i="47"/>
  <c r="B630" i="47"/>
  <c r="B629" i="47"/>
  <c r="B628" i="47"/>
  <c r="B627" i="47"/>
  <c r="B626" i="47"/>
  <c r="B625" i="47"/>
  <c r="N4313" i="73"/>
  <c r="O4313" i="73" s="1"/>
  <c r="P4313" i="73" s="1"/>
  <c r="B624" i="47"/>
  <c r="N4306" i="73"/>
  <c r="O4306" i="73" s="1"/>
  <c r="P4306" i="73" s="1"/>
  <c r="B623" i="47"/>
  <c r="N4299" i="73"/>
  <c r="O4299" i="73" s="1"/>
  <c r="B622" i="47"/>
  <c r="B621" i="47"/>
  <c r="N2950" i="73"/>
  <c r="O2950" i="73" s="1"/>
  <c r="P2950" i="73" s="1"/>
  <c r="B620" i="47"/>
  <c r="B619" i="47"/>
  <c r="N2940" i="73"/>
  <c r="O2940" i="73" s="1"/>
  <c r="B618" i="47"/>
  <c r="B617" i="47"/>
  <c r="N2931" i="73"/>
  <c r="O2931" i="73" s="1"/>
  <c r="P2931" i="73" s="1"/>
  <c r="B616" i="47"/>
  <c r="B615" i="47"/>
  <c r="N2910" i="73"/>
  <c r="O2910" i="73" s="1"/>
  <c r="P2910" i="73" s="1"/>
  <c r="B614" i="47"/>
  <c r="B613" i="47"/>
  <c r="B612" i="47"/>
  <c r="B611" i="47"/>
  <c r="B610" i="47"/>
  <c r="B609" i="47"/>
  <c r="B608" i="47"/>
  <c r="N2861" i="73"/>
  <c r="O2861" i="73" s="1"/>
  <c r="P2861" i="73" s="1"/>
  <c r="B607" i="47"/>
  <c r="B606" i="47"/>
  <c r="B605" i="47"/>
  <c r="N3166" i="73"/>
  <c r="O3166" i="73" s="1"/>
  <c r="P3166" i="73" s="1"/>
  <c r="B604" i="47"/>
  <c r="N3164" i="73"/>
  <c r="O3164" i="73" s="1"/>
  <c r="P3164" i="73" s="1"/>
  <c r="B603" i="47"/>
  <c r="B602" i="47"/>
  <c r="B601" i="47"/>
  <c r="N2288" i="73"/>
  <c r="O2288" i="73" s="1"/>
  <c r="P2288" i="73" s="1"/>
  <c r="B600" i="47"/>
  <c r="B599" i="47"/>
  <c r="N2278" i="73"/>
  <c r="O2278" i="73" s="1"/>
  <c r="N2277" i="73" s="1"/>
  <c r="O2277" i="73" s="1"/>
  <c r="P2277" i="73" s="1"/>
  <c r="B598" i="47"/>
  <c r="B597" i="47"/>
  <c r="B596" i="47"/>
  <c r="N2268" i="73"/>
  <c r="O2268" i="73" s="1"/>
  <c r="P2268" i="73" s="1"/>
  <c r="B595" i="47"/>
  <c r="B594" i="47"/>
  <c r="N2249" i="73"/>
  <c r="O2249" i="73" s="1"/>
  <c r="P2249" i="73" s="1"/>
  <c r="B593" i="47"/>
  <c r="B592" i="47"/>
  <c r="B591" i="47"/>
  <c r="B590" i="47"/>
  <c r="B589" i="47"/>
  <c r="B588" i="47"/>
  <c r="B587" i="47"/>
  <c r="N2201" i="73"/>
  <c r="O2201" i="73" s="1"/>
  <c r="P2201" i="73" s="1"/>
  <c r="B586" i="47"/>
  <c r="B585" i="47"/>
  <c r="B584" i="47"/>
  <c r="B583" i="47"/>
  <c r="B582" i="47"/>
  <c r="B581" i="47"/>
  <c r="B580" i="47"/>
  <c r="N2511" i="73"/>
  <c r="O2511" i="73" s="1"/>
  <c r="P2511" i="73" s="1"/>
  <c r="B579" i="47"/>
  <c r="N2504" i="73"/>
  <c r="O2504" i="73" s="1"/>
  <c r="P2504" i="73" s="1"/>
  <c r="B578" i="47"/>
  <c r="N2502" i="73"/>
  <c r="O2502" i="73" s="1"/>
  <c r="P2502" i="73" s="1"/>
  <c r="B577" i="47"/>
  <c r="B576" i="47"/>
  <c r="B575" i="47"/>
  <c r="B574" i="47"/>
  <c r="B573" i="47"/>
  <c r="B572" i="47"/>
  <c r="B571" i="47"/>
  <c r="N1620" i="73"/>
  <c r="O1620" i="73" s="1"/>
  <c r="B570" i="47"/>
  <c r="B569" i="47"/>
  <c r="N1610" i="73"/>
  <c r="O1610" i="73" s="1"/>
  <c r="P1610" i="73" s="1"/>
  <c r="B568" i="47"/>
  <c r="B567" i="47"/>
  <c r="B566" i="47"/>
  <c r="B565" i="47"/>
  <c r="B564" i="47"/>
  <c r="B563" i="47"/>
  <c r="B562" i="47"/>
  <c r="B561" i="47"/>
  <c r="B560" i="47"/>
  <c r="B559" i="47"/>
  <c r="B558" i="47"/>
  <c r="B557" i="47"/>
  <c r="B556" i="47"/>
  <c r="B555" i="47"/>
  <c r="B554" i="47"/>
  <c r="B553" i="47"/>
  <c r="B552" i="47"/>
  <c r="B551" i="47"/>
  <c r="B550" i="47"/>
  <c r="B549" i="47"/>
  <c r="B548" i="47"/>
  <c r="N1520" i="73"/>
  <c r="O1520" i="73" s="1"/>
  <c r="P1520" i="73" s="1"/>
  <c r="B547" i="47"/>
  <c r="N1518" i="73"/>
  <c r="O1518" i="73" s="1"/>
  <c r="P1518" i="73" s="1"/>
  <c r="B546" i="47"/>
  <c r="B545" i="47"/>
  <c r="B544" i="47"/>
  <c r="N1497" i="73"/>
  <c r="O1497" i="73" s="1"/>
  <c r="P1497" i="73" s="1"/>
  <c r="B543" i="47"/>
  <c r="B542" i="47"/>
  <c r="B541" i="47"/>
  <c r="B540" i="47"/>
  <c r="B539" i="47"/>
  <c r="B538" i="47"/>
  <c r="B537" i="47"/>
  <c r="B536" i="47"/>
  <c r="B535" i="47"/>
  <c r="B534" i="47"/>
  <c r="B533" i="47"/>
  <c r="B532" i="47"/>
  <c r="B531" i="47"/>
  <c r="N1452" i="73"/>
  <c r="O1452" i="73" s="1"/>
  <c r="P1452" i="73" s="1"/>
  <c r="B530" i="47"/>
  <c r="B529" i="47"/>
  <c r="B528" i="47"/>
  <c r="N1446" i="73"/>
  <c r="O1446" i="73" s="1"/>
  <c r="P1446" i="73" s="1"/>
  <c r="B527" i="47"/>
  <c r="B526" i="47"/>
  <c r="B525" i="47"/>
  <c r="B524" i="47"/>
  <c r="B523" i="47"/>
  <c r="B522" i="47"/>
  <c r="B521" i="47"/>
  <c r="B520" i="47"/>
  <c r="B519" i="47"/>
  <c r="B518" i="47"/>
  <c r="B517" i="47"/>
  <c r="B516" i="47"/>
  <c r="B515" i="47"/>
  <c r="B514" i="47"/>
  <c r="B513" i="47"/>
  <c r="B512" i="47"/>
  <c r="B511" i="47"/>
  <c r="B510" i="47"/>
  <c r="B509" i="47"/>
  <c r="B508" i="47"/>
  <c r="B507" i="47"/>
  <c r="B506" i="47"/>
  <c r="B505" i="47"/>
  <c r="B504" i="47"/>
  <c r="N1368" i="73"/>
  <c r="O1368" i="73" s="1"/>
  <c r="P1368" i="73" s="1"/>
  <c r="B503" i="47"/>
  <c r="N1366" i="73"/>
  <c r="O1366" i="73" s="1"/>
  <c r="P1366" i="73" s="1"/>
  <c r="B502" i="47"/>
  <c r="B501" i="47"/>
  <c r="B500" i="47"/>
  <c r="B499" i="47"/>
  <c r="B498" i="47"/>
  <c r="B497" i="47"/>
  <c r="B496" i="47"/>
  <c r="B495" i="47"/>
  <c r="B494" i="47"/>
  <c r="B493" i="47"/>
  <c r="B492" i="47"/>
  <c r="N1822" i="73"/>
  <c r="O1822" i="73" s="1"/>
  <c r="P1822" i="73" s="1"/>
  <c r="B491" i="47"/>
  <c r="N1820" i="73"/>
  <c r="O1820" i="73" s="1"/>
  <c r="P1820" i="73" s="1"/>
  <c r="B490" i="47"/>
  <c r="B489" i="47"/>
  <c r="B488" i="47"/>
  <c r="B487" i="47"/>
  <c r="B486" i="47"/>
  <c r="N4399" i="73"/>
  <c r="O4399" i="73" s="1"/>
  <c r="P4399" i="73" s="1"/>
  <c r="B485" i="47"/>
  <c r="N4397" i="73"/>
  <c r="O4397" i="73" s="1"/>
  <c r="P4397" i="73" s="1"/>
  <c r="B484" i="47"/>
  <c r="N4391" i="73"/>
  <c r="O4391" i="73" s="1"/>
  <c r="P4391" i="73" s="1"/>
  <c r="B483" i="47"/>
  <c r="B482" i="47"/>
  <c r="B481" i="47"/>
  <c r="B480" i="47"/>
  <c r="N1304" i="73"/>
  <c r="O1304" i="73" s="1"/>
  <c r="P1304" i="73" s="1"/>
  <c r="B479" i="47"/>
  <c r="N1302" i="73"/>
  <c r="O1302" i="73" s="1"/>
  <c r="B478" i="47"/>
  <c r="B477" i="47"/>
  <c r="N1312" i="73"/>
  <c r="O1312" i="73" s="1"/>
  <c r="P1312" i="73" s="1"/>
  <c r="B476" i="47"/>
  <c r="B475" i="47"/>
  <c r="N1297" i="73"/>
  <c r="O1297" i="73" s="1"/>
  <c r="P1297" i="73" s="1"/>
  <c r="B474" i="47"/>
  <c r="N1295" i="73"/>
  <c r="O1295" i="73" s="1"/>
  <c r="P1295" i="73" s="1"/>
  <c r="B473" i="47"/>
  <c r="B472" i="47"/>
  <c r="B471" i="47"/>
  <c r="N1329" i="73"/>
  <c r="O1329" i="73" s="1"/>
  <c r="P1329" i="73" s="1"/>
  <c r="B470" i="47"/>
  <c r="N1327" i="73"/>
  <c r="O1327" i="73" s="1"/>
  <c r="P1327" i="73" s="1"/>
  <c r="B469" i="47"/>
  <c r="N1325" i="73"/>
  <c r="O1325" i="73" s="1"/>
  <c r="P1325" i="73" s="1"/>
  <c r="B468" i="47"/>
  <c r="N1323" i="73"/>
  <c r="O1323" i="73" s="1"/>
  <c r="P1323" i="73" s="1"/>
  <c r="B467" i="47"/>
  <c r="N1321" i="73"/>
  <c r="O1321" i="73" s="1"/>
  <c r="P1321" i="73" s="1"/>
  <c r="B466" i="47"/>
  <c r="N1319" i="73"/>
  <c r="O1319" i="73" s="1"/>
  <c r="P1319" i="73" s="1"/>
  <c r="B465" i="47"/>
  <c r="N1317" i="73"/>
  <c r="O1317" i="73" s="1"/>
  <c r="P1317" i="73" s="1"/>
  <c r="B464" i="47"/>
  <c r="B463" i="47"/>
  <c r="N1227" i="73"/>
  <c r="O1227" i="73" s="1"/>
  <c r="B462" i="47"/>
  <c r="B461" i="47"/>
  <c r="N1221" i="73"/>
  <c r="O1221" i="73"/>
  <c r="P1221" i="73" s="1"/>
  <c r="B460" i="47"/>
  <c r="N1219" i="73"/>
  <c r="O1219" i="73" s="1"/>
  <c r="P1219" i="73" s="1"/>
  <c r="B459" i="47"/>
  <c r="N1217" i="73"/>
  <c r="O1217" i="73" s="1"/>
  <c r="B458" i="47"/>
  <c r="B457" i="47"/>
  <c r="B456" i="47"/>
  <c r="B455" i="47"/>
  <c r="B454" i="47"/>
  <c r="B453" i="47"/>
  <c r="B452" i="47"/>
  <c r="B451" i="47"/>
  <c r="N1207" i="73"/>
  <c r="O1207" i="73" s="1"/>
  <c r="P1207" i="73" s="1"/>
  <c r="B450" i="47"/>
  <c r="N1205" i="73"/>
  <c r="O1205" i="73" s="1"/>
  <c r="P1205" i="73" s="1"/>
  <c r="B449" i="47"/>
  <c r="N1203" i="73"/>
  <c r="O1203" i="73" s="1"/>
  <c r="P1203" i="73" s="1"/>
  <c r="B448" i="47"/>
  <c r="N1201" i="73"/>
  <c r="O1201" i="73" s="1"/>
  <c r="P1201" i="73" s="1"/>
  <c r="B447" i="47"/>
  <c r="B446" i="47"/>
  <c r="N1149" i="73"/>
  <c r="O1149" i="73" s="1"/>
  <c r="P1149" i="73" s="1"/>
  <c r="B445" i="47"/>
  <c r="N1147" i="73"/>
  <c r="O1147" i="73" s="1"/>
  <c r="P1147" i="73" s="1"/>
  <c r="B444" i="47"/>
  <c r="N1145" i="73"/>
  <c r="O1145" i="73" s="1"/>
  <c r="P1145" i="73" s="1"/>
  <c r="B443" i="47"/>
  <c r="N1143" i="73"/>
  <c r="O1143" i="73" s="1"/>
  <c r="P1143" i="73" s="1"/>
  <c r="B442" i="47"/>
  <c r="N1141" i="73"/>
  <c r="O1141" i="73" s="1"/>
  <c r="P1141" i="73" s="1"/>
  <c r="B441" i="47"/>
  <c r="B440" i="47"/>
  <c r="N1157" i="73"/>
  <c r="O1157" i="73" s="1"/>
  <c r="P1157" i="73" s="1"/>
  <c r="B439" i="47"/>
  <c r="B438" i="47"/>
  <c r="N1121" i="73"/>
  <c r="O1121" i="73" s="1"/>
  <c r="P1121" i="73" s="1"/>
  <c r="B437" i="47"/>
  <c r="N1119" i="73"/>
  <c r="O1119" i="73" s="1"/>
  <c r="P1119" i="73" s="1"/>
  <c r="B436" i="47"/>
  <c r="N1117" i="73"/>
  <c r="O1117" i="73" s="1"/>
  <c r="B435" i="47"/>
  <c r="B434" i="47"/>
  <c r="N1129" i="73"/>
  <c r="O1129" i="73" s="1"/>
  <c r="P1129" i="73" s="1"/>
  <c r="B433" i="47"/>
  <c r="B432" i="47"/>
  <c r="N1102" i="73"/>
  <c r="O1102" i="73" s="1"/>
  <c r="P1102" i="73" s="1"/>
  <c r="B431" i="47"/>
  <c r="N1100" i="73"/>
  <c r="O1100" i="73" s="1"/>
  <c r="P1100" i="73" s="1"/>
  <c r="B430" i="47"/>
  <c r="N1098" i="73"/>
  <c r="O1098" i="73" s="1"/>
  <c r="P1098" i="73" s="1"/>
  <c r="B429" i="47"/>
  <c r="B428" i="47"/>
  <c r="N1112" i="73"/>
  <c r="O1112" i="73" s="1"/>
  <c r="P1112" i="73" s="1"/>
  <c r="B427" i="47"/>
  <c r="B426" i="47"/>
  <c r="N1055" i="73"/>
  <c r="O1055" i="73" s="1"/>
  <c r="P1055" i="73" s="1"/>
  <c r="B425" i="47"/>
  <c r="B424" i="47"/>
  <c r="N1050" i="73"/>
  <c r="O1050" i="73" s="1"/>
  <c r="B423" i="47"/>
  <c r="N1048" i="73"/>
  <c r="O1048" i="73" s="1"/>
  <c r="P1048" i="73" s="1"/>
  <c r="B422" i="47"/>
  <c r="B421" i="47"/>
  <c r="N1061" i="73"/>
  <c r="O1061" i="73" s="1"/>
  <c r="P1061" i="73" s="1"/>
  <c r="B420" i="47"/>
  <c r="N1059" i="73"/>
  <c r="O1059" i="73" s="1"/>
  <c r="P1059" i="73" s="1"/>
  <c r="B419" i="47"/>
  <c r="B418" i="47"/>
  <c r="N1089" i="73"/>
  <c r="O1089" i="73" s="1"/>
  <c r="P1089" i="73" s="1"/>
  <c r="B417" i="47"/>
  <c r="N1087" i="73"/>
  <c r="O1087" i="73" s="1"/>
  <c r="P1087" i="73" s="1"/>
  <c r="B416" i="47"/>
  <c r="N1081" i="73"/>
  <c r="O1081" i="73" s="1"/>
  <c r="P1081" i="73" s="1"/>
  <c r="B415" i="47"/>
  <c r="N1075" i="73"/>
  <c r="O1075" i="73" s="1"/>
  <c r="P1075" i="73" s="1"/>
  <c r="B414" i="47"/>
  <c r="N1069" i="73"/>
  <c r="O1069" i="73" s="1"/>
  <c r="P1069" i="73" s="1"/>
  <c r="B413" i="47"/>
  <c r="B412" i="47"/>
  <c r="N1266" i="73"/>
  <c r="O1266" i="73" s="1"/>
  <c r="P1266" i="73" s="1"/>
  <c r="B411" i="47"/>
  <c r="N1260" i="73"/>
  <c r="O1260" i="73" s="1"/>
  <c r="P1260" i="73" s="1"/>
  <c r="B410" i="47"/>
  <c r="N1258" i="73"/>
  <c r="O1258" i="73" s="1"/>
  <c r="P1258" i="73" s="1"/>
  <c r="B409" i="47"/>
  <c r="N1256" i="73"/>
  <c r="O1256" i="73" s="1"/>
  <c r="P1256" i="73" s="1"/>
  <c r="B408" i="47"/>
  <c r="N1250" i="73"/>
  <c r="O1250" i="73" s="1"/>
  <c r="P1250" i="73" s="1"/>
  <c r="B407" i="47"/>
  <c r="N1248" i="73"/>
  <c r="O1248" i="73" s="1"/>
  <c r="P1248" i="73" s="1"/>
  <c r="B406" i="47"/>
  <c r="N1246" i="73"/>
  <c r="O1246" i="73" s="1"/>
  <c r="P1246" i="73" s="1"/>
  <c r="B405" i="47"/>
  <c r="B404" i="47"/>
  <c r="N1244" i="73"/>
  <c r="O1244" i="73" s="1"/>
  <c r="P1244" i="73" s="1"/>
  <c r="B403" i="47"/>
  <c r="N1035" i="73"/>
  <c r="O1035" i="73" s="1"/>
  <c r="P1035" i="73" s="1"/>
  <c r="B402" i="47"/>
  <c r="N1024" i="73"/>
  <c r="O1024" i="73" s="1"/>
  <c r="P1024" i="73" s="1"/>
  <c r="B401" i="47"/>
  <c r="B400" i="47"/>
  <c r="B399" i="47"/>
  <c r="N1242" i="73"/>
  <c r="O1242" i="73" s="1"/>
  <c r="P1242" i="73" s="1"/>
  <c r="B398" i="47"/>
  <c r="N1240" i="73"/>
  <c r="O1240" i="73" s="1"/>
  <c r="P1240" i="73" s="1"/>
  <c r="B397" i="47"/>
  <c r="N1238" i="73"/>
  <c r="O1238" i="73" s="1"/>
  <c r="P1238" i="73" s="1"/>
  <c r="B396" i="47"/>
  <c r="N1236" i="73"/>
  <c r="O1236" i="73" s="1"/>
  <c r="P1236" i="73" s="1"/>
  <c r="B395" i="47"/>
  <c r="N1230" i="73"/>
  <c r="O1230" i="73" s="1"/>
  <c r="P1230" i="73" s="1"/>
  <c r="B394" i="47"/>
  <c r="B393" i="47"/>
  <c r="N991" i="73"/>
  <c r="O991" i="73" s="1"/>
  <c r="P991" i="73" s="1"/>
  <c r="B392" i="47"/>
  <c r="B391" i="47"/>
  <c r="N987" i="73"/>
  <c r="O987" i="73" s="1"/>
  <c r="P987" i="73" s="1"/>
  <c r="B390" i="47"/>
  <c r="B389" i="47"/>
  <c r="N983" i="73"/>
  <c r="O983" i="73" s="1"/>
  <c r="P983" i="73" s="1"/>
  <c r="B388" i="47"/>
  <c r="N981" i="73"/>
  <c r="O981" i="73" s="1"/>
  <c r="P981" i="73" s="1"/>
  <c r="B387" i="47"/>
  <c r="N979" i="73"/>
  <c r="O979" i="73" s="1"/>
  <c r="P979" i="73" s="1"/>
  <c r="B386" i="47"/>
  <c r="B385" i="47"/>
  <c r="N975" i="73"/>
  <c r="O975" i="73" s="1"/>
  <c r="P975" i="73" s="1"/>
  <c r="B384" i="47"/>
  <c r="N973" i="73"/>
  <c r="O973" i="73" s="1"/>
  <c r="B383" i="47"/>
  <c r="B382" i="47"/>
  <c r="N1020" i="73"/>
  <c r="O1020" i="73" s="1"/>
  <c r="B381" i="47"/>
  <c r="N1018" i="73"/>
  <c r="O1018" i="73" s="1"/>
  <c r="P1018" i="73" s="1"/>
  <c r="B380" i="47"/>
  <c r="N1016" i="73"/>
  <c r="O1016" i="73" s="1"/>
  <c r="P1016" i="73" s="1"/>
  <c r="B379" i="47"/>
  <c r="N1009" i="73"/>
  <c r="O1009" i="73" s="1"/>
  <c r="P1009" i="73" s="1"/>
  <c r="B378" i="47"/>
  <c r="N1007" i="73"/>
  <c r="O1007" i="73" s="1"/>
  <c r="P1007" i="73" s="1"/>
  <c r="B377" i="47"/>
  <c r="N1005" i="73"/>
  <c r="O1005" i="73" s="1"/>
  <c r="P1005" i="73" s="1"/>
  <c r="B376" i="47"/>
  <c r="N1003" i="73"/>
  <c r="O1003" i="73" s="1"/>
  <c r="P1003" i="73" s="1"/>
  <c r="B375" i="47"/>
  <c r="N1001" i="73"/>
  <c r="O1001" i="73" s="1"/>
  <c r="P1001" i="73" s="1"/>
  <c r="B374" i="47"/>
  <c r="N999" i="73"/>
  <c r="O999" i="73" s="1"/>
  <c r="P999" i="73" s="1"/>
  <c r="B373" i="47"/>
  <c r="N997" i="73"/>
  <c r="O997" i="73" s="1"/>
  <c r="P997" i="73" s="1"/>
  <c r="B372" i="47"/>
  <c r="N995" i="73"/>
  <c r="O995" i="73" s="1"/>
  <c r="P995" i="73" s="1"/>
  <c r="B371" i="47"/>
  <c r="N993" i="73"/>
  <c r="O993" i="73" s="1"/>
  <c r="P993" i="73" s="1"/>
  <c r="B370" i="47"/>
  <c r="B369" i="47"/>
  <c r="N864" i="73"/>
  <c r="O864" i="73" s="1"/>
  <c r="B368" i="47"/>
  <c r="B367" i="47"/>
  <c r="N876" i="73"/>
  <c r="O876" i="73" s="1"/>
  <c r="P876" i="73" s="1"/>
  <c r="B366" i="47"/>
  <c r="B365" i="47"/>
  <c r="N955" i="73"/>
  <c r="O955" i="73" s="1"/>
  <c r="P955" i="73" s="1"/>
  <c r="B364" i="47"/>
  <c r="N949" i="73"/>
  <c r="O949" i="73" s="1"/>
  <c r="P949" i="73" s="1"/>
  <c r="B363" i="47"/>
  <c r="N947" i="73"/>
  <c r="O947" i="73" s="1"/>
  <c r="P947" i="73" s="1"/>
  <c r="B362" i="47"/>
  <c r="N945" i="73"/>
  <c r="O945" i="73" s="1"/>
  <c r="P945" i="73" s="1"/>
  <c r="B361" i="47"/>
  <c r="N943" i="73"/>
  <c r="O943" i="73" s="1"/>
  <c r="P943" i="73" s="1"/>
  <c r="B360" i="47"/>
  <c r="N937" i="73"/>
  <c r="O937" i="73" s="1"/>
  <c r="P937" i="73" s="1"/>
  <c r="B359" i="47"/>
  <c r="N935" i="73"/>
  <c r="O935" i="73" s="1"/>
  <c r="P935" i="73" s="1"/>
  <c r="B358" i="47"/>
  <c r="B357" i="47"/>
  <c r="N755" i="73"/>
  <c r="O755" i="73" s="1"/>
  <c r="P755" i="73" s="1"/>
  <c r="B356" i="47"/>
  <c r="B355" i="47"/>
  <c r="N824" i="73"/>
  <c r="O824" i="73" s="1"/>
  <c r="P824" i="73" s="1"/>
  <c r="B354" i="47"/>
  <c r="N822" i="73"/>
  <c r="O822" i="73" s="1"/>
  <c r="P822" i="73" s="1"/>
  <c r="B353" i="47"/>
  <c r="N820" i="73"/>
  <c r="O820" i="73" s="1"/>
  <c r="P820" i="73" s="1"/>
  <c r="B352" i="47"/>
  <c r="N818" i="73"/>
  <c r="O818" i="73" s="1"/>
  <c r="P818" i="73" s="1"/>
  <c r="B351" i="47"/>
  <c r="B350" i="47"/>
  <c r="B349" i="47"/>
  <c r="N812" i="73"/>
  <c r="O812" i="73" s="1"/>
  <c r="P812" i="73" s="1"/>
  <c r="B348" i="47"/>
  <c r="B347" i="47"/>
  <c r="B346" i="47"/>
  <c r="B345" i="47"/>
  <c r="B344" i="47"/>
  <c r="N804" i="73"/>
  <c r="O804" i="73" s="1"/>
  <c r="P804" i="73" s="1"/>
  <c r="B343" i="47"/>
  <c r="B342" i="47"/>
  <c r="B341" i="47"/>
  <c r="B340" i="47"/>
  <c r="N796" i="73"/>
  <c r="O796" i="73" s="1"/>
  <c r="P796" i="73" s="1"/>
  <c r="B339" i="47"/>
  <c r="B338" i="47"/>
  <c r="B337" i="47"/>
  <c r="B336" i="47"/>
  <c r="B335" i="47"/>
  <c r="B334" i="47"/>
  <c r="B333" i="47"/>
  <c r="B332" i="47"/>
  <c r="B331" i="47"/>
  <c r="B330" i="47"/>
  <c r="B329" i="47"/>
  <c r="B328" i="47"/>
  <c r="B327" i="47"/>
  <c r="B326" i="47"/>
  <c r="B325" i="47"/>
  <c r="B324" i="47"/>
  <c r="B323" i="47"/>
  <c r="N611" i="73"/>
  <c r="O611" i="73" s="1"/>
  <c r="P611" i="73" s="1"/>
  <c r="B322" i="47"/>
  <c r="B321" i="47"/>
  <c r="B320" i="47"/>
  <c r="B319" i="47"/>
  <c r="B318" i="47"/>
  <c r="B317" i="47"/>
  <c r="N691" i="73"/>
  <c r="O691" i="73" s="1"/>
  <c r="P691" i="73" s="1"/>
  <c r="B316" i="47"/>
  <c r="N689" i="73"/>
  <c r="O689" i="73" s="1"/>
  <c r="P689" i="73" s="1"/>
  <c r="B315" i="47"/>
  <c r="N687" i="73"/>
  <c r="O687" i="73" s="1"/>
  <c r="P687" i="73" s="1"/>
  <c r="B314" i="47"/>
  <c r="N685" i="73"/>
  <c r="O685" i="73" s="1"/>
  <c r="P685" i="73" s="1"/>
  <c r="B313" i="47"/>
  <c r="N717" i="73"/>
  <c r="O717" i="73" s="1"/>
  <c r="P717" i="73" s="1"/>
  <c r="B312" i="47"/>
  <c r="N683" i="73"/>
  <c r="O683" i="73" s="1"/>
  <c r="P683" i="73" s="1"/>
  <c r="B311" i="47"/>
  <c r="B310" i="47"/>
  <c r="N679" i="73"/>
  <c r="O679" i="73" s="1"/>
  <c r="P679" i="73" s="1"/>
  <c r="B309" i="47"/>
  <c r="N677" i="73"/>
  <c r="O677" i="73" s="1"/>
  <c r="P677" i="73" s="1"/>
  <c r="B308" i="47"/>
  <c r="N715" i="73"/>
  <c r="O715" i="73" s="1"/>
  <c r="P715" i="73" s="1"/>
  <c r="B307" i="47"/>
  <c r="B306" i="47"/>
  <c r="B305" i="47"/>
  <c r="B304" i="47"/>
  <c r="B303" i="47"/>
  <c r="B302" i="47"/>
  <c r="N665" i="73"/>
  <c r="O665" i="73" s="1"/>
  <c r="P665" i="73" s="1"/>
  <c r="B301" i="47"/>
  <c r="B300" i="47"/>
  <c r="N661" i="73"/>
  <c r="O661" i="73" s="1"/>
  <c r="P661" i="73" s="1"/>
  <c r="B299" i="47"/>
  <c r="B298" i="47"/>
  <c r="N711" i="73"/>
  <c r="O711" i="73" s="1"/>
  <c r="P711" i="73" s="1"/>
  <c r="B297" i="47"/>
  <c r="N659" i="73"/>
  <c r="O659" i="73" s="1"/>
  <c r="P659" i="73" s="1"/>
  <c r="B296" i="47"/>
  <c r="N657" i="73"/>
  <c r="O657" i="73" s="1"/>
  <c r="P657" i="73" s="1"/>
  <c r="B295" i="47"/>
  <c r="B294" i="47"/>
  <c r="B293" i="47"/>
  <c r="N651" i="73"/>
  <c r="O651" i="73" s="1"/>
  <c r="P651" i="73" s="1"/>
  <c r="B292" i="47"/>
  <c r="N649" i="73"/>
  <c r="O649" i="73" s="1"/>
  <c r="P649" i="73" s="1"/>
  <c r="B291" i="47"/>
  <c r="N647" i="73"/>
  <c r="O647" i="73" s="1"/>
  <c r="P647" i="73" s="1"/>
  <c r="B290" i="47"/>
  <c r="B289" i="47"/>
  <c r="N4071" i="73"/>
  <c r="O4071" i="73" s="1"/>
  <c r="P4071" i="73" s="1"/>
  <c r="B288" i="47"/>
  <c r="N4069" i="73"/>
  <c r="O4069" i="73" s="1"/>
  <c r="P4069" i="73" s="1"/>
  <c r="B287" i="47"/>
  <c r="N4067" i="73"/>
  <c r="O4067" i="73" s="1"/>
  <c r="B286" i="47"/>
  <c r="B285" i="47"/>
  <c r="N4124" i="73"/>
  <c r="O4124" i="73" s="1"/>
  <c r="P4124" i="73" s="1"/>
  <c r="B284" i="47"/>
  <c r="N4122" i="73"/>
  <c r="O4122" i="73"/>
  <c r="P4122" i="73" s="1"/>
  <c r="B283" i="47"/>
  <c r="N4120" i="73"/>
  <c r="O4120" i="73" s="1"/>
  <c r="P4120" i="73" s="1"/>
  <c r="B282" i="47"/>
  <c r="N4141" i="73"/>
  <c r="O4141" i="73" s="1"/>
  <c r="P4141" i="73" s="1"/>
  <c r="B281" i="47"/>
  <c r="N4139" i="73"/>
  <c r="O4139" i="73" s="1"/>
  <c r="B280" i="47"/>
  <c r="N4118" i="73"/>
  <c r="O4118" i="73" s="1"/>
  <c r="P4118" i="73" s="1"/>
  <c r="B279" i="47"/>
  <c r="N4116" i="73"/>
  <c r="O4116" i="73" s="1"/>
  <c r="P4116" i="73" s="1"/>
  <c r="B278" i="47"/>
  <c r="N4114" i="73"/>
  <c r="O4114" i="73" s="1"/>
  <c r="P4114" i="73" s="1"/>
  <c r="B277" i="47"/>
  <c r="N4108" i="73"/>
  <c r="O4108" i="73" s="1"/>
  <c r="P4108" i="73" s="1"/>
  <c r="B276" i="47"/>
  <c r="N4102" i="73"/>
  <c r="O4102" i="73" s="1"/>
  <c r="P4102" i="73" s="1"/>
  <c r="B275" i="47"/>
  <c r="N4100" i="73"/>
  <c r="O4100" i="73" s="1"/>
  <c r="P4100" i="73" s="1"/>
  <c r="B274" i="47"/>
  <c r="N4098" i="73"/>
  <c r="O4098" i="73" s="1"/>
  <c r="P4098" i="73" s="1"/>
  <c r="B273" i="47"/>
  <c r="N4096" i="73"/>
  <c r="O4096" i="73" s="1"/>
  <c r="P4096" i="73" s="1"/>
  <c r="B272" i="47"/>
  <c r="N4094" i="73"/>
  <c r="O4094" i="73" s="1"/>
  <c r="P4094" i="73" s="1"/>
  <c r="B271" i="47"/>
  <c r="N4092" i="73"/>
  <c r="O4092" i="73" s="1"/>
  <c r="P4092" i="73" s="1"/>
  <c r="B270" i="47"/>
  <c r="N4033" i="73"/>
  <c r="O4033" i="73" s="1"/>
  <c r="P4033" i="73" s="1"/>
  <c r="B269" i="47"/>
  <c r="N4031" i="73"/>
  <c r="O4031" i="73" s="1"/>
  <c r="B268" i="47"/>
  <c r="B267" i="47"/>
  <c r="N4049" i="73"/>
  <c r="O4049" i="73" s="1"/>
  <c r="P4049" i="73" s="1"/>
  <c r="B266" i="47"/>
  <c r="N4043" i="73"/>
  <c r="O4043" i="73" s="1"/>
  <c r="P4043" i="73" s="1"/>
  <c r="B265" i="47"/>
  <c r="N4041" i="73"/>
  <c r="O4041" i="73" s="1"/>
  <c r="P4041" i="73" s="1"/>
  <c r="B264" i="47"/>
  <c r="B263" i="47"/>
  <c r="B262" i="47"/>
  <c r="N4017" i="73"/>
  <c r="O4017" i="73" s="1"/>
  <c r="P4017" i="73" s="1"/>
  <c r="B261" i="47"/>
  <c r="N4004" i="73"/>
  <c r="O4004" i="73" s="1"/>
  <c r="P4004" i="73" s="1"/>
  <c r="B260" i="47"/>
  <c r="B259" i="47"/>
  <c r="B258" i="47"/>
  <c r="N4086" i="73"/>
  <c r="O4086" i="73" s="1"/>
  <c r="P4086" i="73" s="1"/>
  <c r="B257" i="47"/>
  <c r="N4080" i="73"/>
  <c r="O4080" i="73" s="1"/>
  <c r="P4080" i="73" s="1"/>
  <c r="B256" i="47"/>
  <c r="N3967" i="73"/>
  <c r="O3967" i="73" s="1"/>
  <c r="P3967" i="73" s="1"/>
  <c r="B255" i="47"/>
  <c r="N3965" i="73"/>
  <c r="O3965" i="73" s="1"/>
  <c r="P3965" i="73" s="1"/>
  <c r="B254" i="47"/>
  <c r="N3963" i="73"/>
  <c r="O3963" i="73" s="1"/>
  <c r="B253" i="47"/>
  <c r="B252" i="47"/>
  <c r="N3958" i="73"/>
  <c r="O3958" i="73" s="1"/>
  <c r="P3958" i="73" s="1"/>
  <c r="B251" i="47"/>
  <c r="N3956" i="73"/>
  <c r="O3956" i="73" s="1"/>
  <c r="P3956" i="73" s="1"/>
  <c r="B250" i="47"/>
  <c r="B249" i="47"/>
  <c r="N3933" i="73"/>
  <c r="O3933" i="73" s="1"/>
  <c r="P3933" i="73" s="1"/>
  <c r="B248" i="47"/>
  <c r="N3926" i="73"/>
  <c r="O3926" i="73" s="1"/>
  <c r="P3926" i="73" s="1"/>
  <c r="B247" i="47"/>
  <c r="B246" i="47"/>
  <c r="B245" i="47"/>
  <c r="B244" i="47"/>
  <c r="N3919" i="73"/>
  <c r="O3919" i="73" s="1"/>
  <c r="P3919" i="73" s="1"/>
  <c r="B243" i="47"/>
  <c r="N3917" i="73"/>
  <c r="O3917" i="73" s="1"/>
  <c r="P3917" i="73" s="1"/>
  <c r="B242" i="47"/>
  <c r="N3915" i="73"/>
  <c r="O3915" i="73" s="1"/>
  <c r="P3915" i="73" s="1"/>
  <c r="B241" i="47"/>
  <c r="B240" i="47"/>
  <c r="N3908" i="73"/>
  <c r="O3908" i="73" s="1"/>
  <c r="P3908" i="73" s="1"/>
  <c r="B239" i="47"/>
  <c r="N3906" i="73"/>
  <c r="O3906" i="73" s="1"/>
  <c r="P3906" i="73" s="1"/>
  <c r="B238" i="47"/>
  <c r="N3904" i="73"/>
  <c r="O3904" i="73" s="1"/>
  <c r="P3904" i="73" s="1"/>
  <c r="B237" i="47"/>
  <c r="B236" i="47"/>
  <c r="B235" i="47"/>
  <c r="N3900" i="73"/>
  <c r="O3900" i="73" s="1"/>
  <c r="P3900" i="73" s="1"/>
  <c r="B234" i="47"/>
  <c r="B233" i="47"/>
  <c r="N3949" i="73"/>
  <c r="O3949" i="73" s="1"/>
  <c r="P3949" i="73" s="1"/>
  <c r="B232" i="47"/>
  <c r="N3947" i="73"/>
  <c r="O3947" i="73" s="1"/>
  <c r="P3947" i="73" s="1"/>
  <c r="B231" i="47"/>
  <c r="N3945" i="73"/>
  <c r="O3945" i="73" s="1"/>
  <c r="P3945" i="73" s="1"/>
  <c r="B230" i="47"/>
  <c r="N3943" i="73"/>
  <c r="O3943" i="73" s="1"/>
  <c r="P3943" i="73" s="1"/>
  <c r="B229" i="47"/>
  <c r="N3941" i="73"/>
  <c r="O3941" i="73" s="1"/>
  <c r="P3941" i="73" s="1"/>
  <c r="B228" i="47"/>
  <c r="N3939" i="73"/>
  <c r="O3939" i="73" s="1"/>
  <c r="P3939" i="73" s="1"/>
  <c r="B227" i="47"/>
  <c r="N3937" i="73"/>
  <c r="O3937" i="73" s="1"/>
  <c r="P3937" i="73" s="1"/>
  <c r="B226" i="47"/>
  <c r="B225" i="47"/>
  <c r="N3894" i="73"/>
  <c r="O3894" i="73" s="1"/>
  <c r="P3894" i="73" s="1"/>
  <c r="B224" i="47"/>
  <c r="N3892" i="73"/>
  <c r="O3892" i="73" s="1"/>
  <c r="P3892" i="73" s="1"/>
  <c r="B223" i="47"/>
  <c r="N3890" i="73"/>
  <c r="O3890" i="73" s="1"/>
  <c r="P3890" i="73" s="1"/>
  <c r="B222" i="47"/>
  <c r="N3888" i="73"/>
  <c r="O3888" i="73" s="1"/>
  <c r="P3888" i="73" s="1"/>
  <c r="B221" i="47"/>
  <c r="N3886" i="73"/>
  <c r="O3886" i="73" s="1"/>
  <c r="P3886" i="73" s="1"/>
  <c r="B220" i="47"/>
  <c r="N3884" i="73"/>
  <c r="O3884" i="73" s="1"/>
  <c r="P3884" i="73" s="1"/>
  <c r="B219" i="47"/>
  <c r="N3882" i="73"/>
  <c r="O3882" i="73" s="1"/>
  <c r="P3882" i="73" s="1"/>
  <c r="B218" i="47"/>
  <c r="N3880" i="73"/>
  <c r="O3880" i="73" s="1"/>
  <c r="P3880" i="73" s="1"/>
  <c r="B217" i="47"/>
  <c r="N3876" i="73"/>
  <c r="O3876" i="73" s="1"/>
  <c r="P3876" i="73" s="1"/>
  <c r="B216" i="47"/>
  <c r="B215" i="47"/>
  <c r="B214" i="47"/>
  <c r="N3844" i="73"/>
  <c r="O3844" i="73" s="1"/>
  <c r="P3844" i="73" s="1"/>
  <c r="B213" i="47"/>
  <c r="N3839" i="73"/>
  <c r="O3839" i="73" s="1"/>
  <c r="P3839" i="73" s="1"/>
  <c r="B212" i="47"/>
  <c r="B211" i="47"/>
  <c r="N3858" i="73"/>
  <c r="O3858" i="73" s="1"/>
  <c r="P3858" i="73" s="1"/>
  <c r="B210" i="47"/>
  <c r="N3856" i="73"/>
  <c r="O3856" i="73" s="1"/>
  <c r="P3856" i="73" s="1"/>
  <c r="B209" i="47"/>
  <c r="N3854" i="73"/>
  <c r="O3854" i="73" s="1"/>
  <c r="P3854" i="73" s="1"/>
  <c r="B208" i="47"/>
  <c r="N3852" i="73"/>
  <c r="O3852" i="73" s="1"/>
  <c r="P3852" i="73" s="1"/>
  <c r="B207" i="47"/>
  <c r="B206" i="47"/>
  <c r="B205" i="47"/>
  <c r="B204" i="47"/>
  <c r="B203" i="47"/>
  <c r="B202" i="47"/>
  <c r="B201" i="47"/>
  <c r="B200" i="47"/>
  <c r="N3724" i="73"/>
  <c r="O3724" i="73" s="1"/>
  <c r="P3724" i="73" s="1"/>
  <c r="B199" i="47"/>
  <c r="B198" i="47"/>
  <c r="B197" i="47"/>
  <c r="B196" i="47"/>
  <c r="B195" i="47"/>
  <c r="B194" i="47"/>
  <c r="N3719" i="73"/>
  <c r="O3719" i="73" s="1"/>
  <c r="P3719" i="73" s="1"/>
  <c r="B193" i="47"/>
  <c r="N3717" i="73"/>
  <c r="O3717" i="73" s="1"/>
  <c r="P3717" i="73" s="1"/>
  <c r="B192" i="47"/>
  <c r="N3715" i="73"/>
  <c r="O3715" i="73" s="1"/>
  <c r="B191" i="47"/>
  <c r="B190" i="47"/>
  <c r="N3989" i="73"/>
  <c r="O3989" i="73" s="1"/>
  <c r="P3989" i="73" s="1"/>
  <c r="B189" i="47"/>
  <c r="N3983" i="73"/>
  <c r="O3983" i="73" s="1"/>
  <c r="P3983" i="73" s="1"/>
  <c r="B188" i="47"/>
  <c r="N3981" i="73"/>
  <c r="O3981" i="73" s="1"/>
  <c r="P3981" i="73" s="1"/>
  <c r="B187" i="47"/>
  <c r="N3979" i="73"/>
  <c r="O3979" i="73" s="1"/>
  <c r="P3979" i="73" s="1"/>
  <c r="B186" i="47"/>
  <c r="N3977" i="73"/>
  <c r="O3977" i="73" s="1"/>
  <c r="P3977" i="73" s="1"/>
  <c r="B185" i="47"/>
  <c r="B184" i="47"/>
  <c r="N4294" i="73"/>
  <c r="O4294" i="73" s="1"/>
  <c r="P4294" i="73" s="1"/>
  <c r="B183" i="47"/>
  <c r="N4292" i="73"/>
  <c r="O4292" i="73" s="1"/>
  <c r="P4292" i="73" s="1"/>
  <c r="B182" i="47"/>
  <c r="N4290" i="73"/>
  <c r="O4290" i="73" s="1"/>
  <c r="B181" i="47"/>
  <c r="B180" i="47"/>
  <c r="N587" i="73"/>
  <c r="O587" i="73" s="1"/>
  <c r="P587" i="73" s="1"/>
  <c r="B179" i="47"/>
  <c r="N585" i="73"/>
  <c r="O585" i="73" s="1"/>
  <c r="P585" i="73" s="1"/>
  <c r="B178" i="47"/>
  <c r="B177" i="47"/>
  <c r="N576" i="73"/>
  <c r="O576" i="73" s="1"/>
  <c r="P576" i="73" s="1"/>
  <c r="B176" i="47"/>
  <c r="N574" i="73"/>
  <c r="O574" i="73" s="1"/>
  <c r="P574" i="73" s="1"/>
  <c r="B175" i="47"/>
  <c r="N572" i="73"/>
  <c r="O572" i="73" s="1"/>
  <c r="P572" i="73" s="1"/>
  <c r="B174" i="47"/>
  <c r="N570" i="73"/>
  <c r="O570" i="73" s="1"/>
  <c r="P570" i="73" s="1"/>
  <c r="B173" i="47"/>
  <c r="B172" i="47"/>
  <c r="N566" i="73"/>
  <c r="O566" i="73" s="1"/>
  <c r="P566" i="73" s="1"/>
  <c r="B171" i="47"/>
  <c r="N564" i="73"/>
  <c r="O564" i="73" s="1"/>
  <c r="B170" i="47"/>
  <c r="B169" i="47"/>
  <c r="B168" i="47"/>
  <c r="B167" i="47"/>
  <c r="B166" i="47"/>
  <c r="B165" i="47"/>
  <c r="B164" i="47"/>
  <c r="N4434" i="73"/>
  <c r="O4434" i="73" s="1"/>
  <c r="P4434" i="73" s="1"/>
  <c r="B163" i="47"/>
  <c r="B162" i="47"/>
  <c r="N555" i="73"/>
  <c r="O555" i="73" s="1"/>
  <c r="P555" i="73" s="1"/>
  <c r="B161" i="47"/>
  <c r="B160" i="47"/>
  <c r="N534" i="73"/>
  <c r="O534" i="73" s="1"/>
  <c r="P534" i="73" s="1"/>
  <c r="B159" i="47"/>
  <c r="N532" i="73"/>
  <c r="O532" i="73" s="1"/>
  <c r="P532" i="73" s="1"/>
  <c r="B158" i="47"/>
  <c r="N530" i="73"/>
  <c r="O530" i="73" s="1"/>
  <c r="P530" i="73" s="1"/>
  <c r="B157" i="47"/>
  <c r="N528" i="73"/>
  <c r="O528" i="73" s="1"/>
  <c r="P528" i="73" s="1"/>
  <c r="B156" i="47"/>
  <c r="B155" i="47"/>
  <c r="B154" i="47"/>
  <c r="N543" i="73"/>
  <c r="O543" i="73" s="1"/>
  <c r="P543" i="73" s="1"/>
  <c r="B153" i="47"/>
  <c r="B152" i="47"/>
  <c r="N4377" i="73"/>
  <c r="O4377" i="73" s="1"/>
  <c r="P4377" i="73" s="1"/>
  <c r="B151" i="47"/>
  <c r="N4371" i="73"/>
  <c r="O4371" i="73" s="1"/>
  <c r="P4371" i="73" s="1"/>
  <c r="B150" i="47"/>
  <c r="N4369" i="73"/>
  <c r="O4369" i="73" s="1"/>
  <c r="P4369" i="73" s="1"/>
  <c r="B149" i="47"/>
  <c r="N4367" i="73"/>
  <c r="O4367" i="73" s="1"/>
  <c r="P4367" i="73" s="1"/>
  <c r="B148" i="47"/>
  <c r="N4475" i="73"/>
  <c r="O4475" i="73" s="1"/>
  <c r="P4475" i="73" s="1"/>
  <c r="B147" i="47"/>
  <c r="N4473" i="73"/>
  <c r="O4473" i="73" s="1"/>
  <c r="P4473" i="73" s="1"/>
  <c r="B146" i="47"/>
  <c r="N4361" i="73"/>
  <c r="O4361" i="73" s="1"/>
  <c r="P4361" i="73" s="1"/>
  <c r="B145" i="47"/>
  <c r="N4359" i="73"/>
  <c r="O4359" i="73" s="1"/>
  <c r="P4359" i="73" s="1"/>
  <c r="B144" i="47"/>
  <c r="N4446" i="73"/>
  <c r="O4446" i="73" s="1"/>
  <c r="P4446" i="73" s="1"/>
  <c r="B143" i="47"/>
  <c r="N4440" i="73"/>
  <c r="O4440" i="73" s="1"/>
  <c r="P4440" i="73" s="1"/>
  <c r="B142" i="47"/>
  <c r="N4471" i="73"/>
  <c r="O4471" i="73" s="1"/>
  <c r="P4471" i="73" s="1"/>
  <c r="B141" i="47"/>
  <c r="N4438" i="73"/>
  <c r="O4438" i="73" s="1"/>
  <c r="P4438" i="73" s="1"/>
  <c r="B140" i="47"/>
  <c r="N4436" i="73"/>
  <c r="O4436" i="73" s="1"/>
  <c r="P4436" i="73" s="1"/>
  <c r="B139" i="47"/>
  <c r="N4469" i="73"/>
  <c r="O4469" i="73" s="1"/>
  <c r="P4469" i="73" s="1"/>
  <c r="B138" i="47"/>
  <c r="N4357" i="73"/>
  <c r="O4357" i="73" s="1"/>
  <c r="P4357" i="73" s="1"/>
  <c r="B137" i="47"/>
  <c r="B136" i="47"/>
  <c r="N4465" i="73"/>
  <c r="O4465" i="73" s="1"/>
  <c r="P4465" i="73" s="1"/>
  <c r="B135" i="47"/>
  <c r="B134" i="47"/>
  <c r="N4461" i="73"/>
  <c r="O4461" i="73" s="1"/>
  <c r="P4461" i="73" s="1"/>
  <c r="B133" i="47"/>
  <c r="N4459" i="73"/>
  <c r="O4459" i="73" s="1"/>
  <c r="P4459" i="73" s="1"/>
  <c r="B132" i="47"/>
  <c r="B131" i="47"/>
  <c r="B130" i="47"/>
  <c r="N4355" i="73"/>
  <c r="O4355" i="73" s="1"/>
  <c r="P4355" i="73" s="1"/>
  <c r="B129" i="47"/>
  <c r="N4353" i="73"/>
  <c r="O4353" i="73" s="1"/>
  <c r="P4353" i="73" s="1"/>
  <c r="B128" i="47"/>
  <c r="N4351" i="73"/>
  <c r="O4351" i="73" s="1"/>
  <c r="P4351" i="73" s="1"/>
  <c r="B127" i="47"/>
  <c r="N4704" i="73"/>
  <c r="O4704" i="73" s="1"/>
  <c r="P4704" i="73" s="1"/>
  <c r="B126" i="47"/>
  <c r="N4700" i="73"/>
  <c r="O4700" i="73" s="1"/>
  <c r="P4700" i="73" s="1"/>
  <c r="B125" i="47"/>
  <c r="N4687" i="73"/>
  <c r="O4687" i="73" s="1"/>
  <c r="P4687" i="73" s="1"/>
  <c r="B124" i="47"/>
  <c r="N4674" i="73"/>
  <c r="O4674" i="73" s="1"/>
  <c r="P4674" i="73" s="1"/>
  <c r="B123" i="47"/>
  <c r="B122" i="47"/>
  <c r="B121" i="47"/>
  <c r="N4632" i="73"/>
  <c r="O4632" i="73" s="1"/>
  <c r="P4632" i="73" s="1"/>
  <c r="B120" i="47"/>
  <c r="N4624" i="73"/>
  <c r="O4624" i="73" s="1"/>
  <c r="P4624" i="73" s="1"/>
  <c r="B119" i="47"/>
  <c r="N4619" i="73"/>
  <c r="O4619" i="73" s="1"/>
  <c r="P4619" i="73" s="1"/>
  <c r="B118" i="47"/>
  <c r="N4612" i="73"/>
  <c r="O4612" i="73" s="1"/>
  <c r="P4612" i="73" s="1"/>
  <c r="B117" i="47"/>
  <c r="N4605" i="73"/>
  <c r="O4605" i="73" s="1"/>
  <c r="P4605" i="73" s="1"/>
  <c r="B116" i="47"/>
  <c r="N4598" i="73"/>
  <c r="O4598" i="73" s="1"/>
  <c r="P4598" i="73" s="1"/>
  <c r="B115" i="47"/>
  <c r="N4591" i="73"/>
  <c r="O4591" i="73" s="1"/>
  <c r="P4591" i="73" s="1"/>
  <c r="B114" i="47"/>
  <c r="N4584" i="73"/>
  <c r="O4584" i="73" s="1"/>
  <c r="P4584" i="73" s="1"/>
  <c r="B113" i="47"/>
  <c r="N4577" i="73"/>
  <c r="O4577" i="73" s="1"/>
  <c r="B112" i="47"/>
  <c r="B111" i="47"/>
  <c r="N4569" i="73"/>
  <c r="O4569" i="73" s="1"/>
  <c r="P4569" i="73" s="1"/>
  <c r="B110" i="47"/>
  <c r="N4562" i="73"/>
  <c r="O4562" i="73" s="1"/>
  <c r="B109" i="47"/>
  <c r="B108" i="47"/>
  <c r="B107" i="47"/>
  <c r="N4537" i="73"/>
  <c r="O4537" i="73" s="1"/>
  <c r="P4537" i="73" s="1"/>
  <c r="B106" i="47"/>
  <c r="N4525" i="73"/>
  <c r="O4525" i="73" s="1"/>
  <c r="P4525" i="73" s="1"/>
  <c r="B105" i="47"/>
  <c r="N4518" i="73"/>
  <c r="O4518" i="73" s="1"/>
  <c r="P4518" i="73" s="1"/>
  <c r="B104" i="47"/>
  <c r="N450" i="73"/>
  <c r="O450" i="73" s="1"/>
  <c r="P450" i="73" s="1"/>
  <c r="B103" i="47"/>
  <c r="N510" i="73"/>
  <c r="O510" i="73" s="1"/>
  <c r="P510" i="73" s="1"/>
  <c r="B102" i="47"/>
  <c r="N506" i="73"/>
  <c r="O506" i="73" s="1"/>
  <c r="P506" i="73" s="1"/>
  <c r="B101" i="47"/>
  <c r="N504" i="73"/>
  <c r="O504" i="73" s="1"/>
  <c r="P504" i="73" s="1"/>
  <c r="B100" i="47"/>
  <c r="B99" i="47"/>
  <c r="B98" i="47"/>
  <c r="B97" i="47"/>
  <c r="N230" i="73"/>
  <c r="O230" i="73" s="1"/>
  <c r="B96" i="47"/>
  <c r="N228" i="73"/>
  <c r="O228" i="73" s="1"/>
  <c r="P228" i="73" s="1"/>
  <c r="B95" i="47"/>
  <c r="B94" i="47"/>
  <c r="N216" i="73"/>
  <c r="O216" i="73" s="1"/>
  <c r="P216" i="73" s="1"/>
  <c r="B93" i="47"/>
  <c r="N214" i="73"/>
  <c r="O214" i="73" s="1"/>
  <c r="P214" i="73" s="1"/>
  <c r="B92" i="47"/>
  <c r="N212" i="73"/>
  <c r="O212" i="73" s="1"/>
  <c r="P212" i="73" s="1"/>
  <c r="B91" i="47"/>
  <c r="N210" i="73"/>
  <c r="O210" i="73" s="1"/>
  <c r="P210" i="73" s="1"/>
  <c r="B90" i="47"/>
  <c r="B89" i="47"/>
  <c r="N242" i="73"/>
  <c r="O242" i="73" s="1"/>
  <c r="P242" i="73" s="1"/>
  <c r="B88" i="47"/>
  <c r="B87" i="47"/>
  <c r="B86" i="47"/>
  <c r="N86" i="73"/>
  <c r="O86" i="73" s="1"/>
  <c r="P86" i="73" s="1"/>
  <c r="B85" i="47"/>
  <c r="B84" i="47"/>
  <c r="N95" i="73"/>
  <c r="O95" i="73" s="1"/>
  <c r="P95" i="73" s="1"/>
  <c r="B83" i="47"/>
  <c r="B82" i="47"/>
  <c r="N150" i="73"/>
  <c r="O150" i="73" s="1"/>
  <c r="P150" i="73" s="1"/>
  <c r="B81" i="47"/>
  <c r="N144" i="73"/>
  <c r="O144" i="73" s="1"/>
  <c r="P144" i="73" s="1"/>
  <c r="B80" i="47"/>
  <c r="N137" i="73"/>
  <c r="O137" i="73" s="1"/>
  <c r="P137" i="73" s="1"/>
  <c r="B79" i="47"/>
  <c r="N135" i="73"/>
  <c r="O135" i="73" s="1"/>
  <c r="P135" i="73"/>
  <c r="B78" i="47"/>
  <c r="B77" i="47"/>
  <c r="N279" i="73"/>
  <c r="O279" i="73"/>
  <c r="B76" i="47"/>
  <c r="B75" i="47"/>
  <c r="B74" i="47"/>
  <c r="N441" i="73"/>
  <c r="O441" i="73" s="1"/>
  <c r="P441" i="73" s="1"/>
  <c r="B73" i="47"/>
  <c r="N435" i="73"/>
  <c r="O435" i="73" s="1"/>
  <c r="P435" i="73" s="1"/>
  <c r="B72" i="47"/>
  <c r="N433" i="73"/>
  <c r="O433" i="73" s="1"/>
  <c r="P433" i="73" s="1"/>
  <c r="B71" i="47"/>
  <c r="N431" i="73"/>
  <c r="O431" i="73" s="1"/>
  <c r="P431" i="73" s="1"/>
  <c r="B70" i="47"/>
  <c r="B69" i="47"/>
  <c r="N68" i="73"/>
  <c r="O68" i="73" s="1"/>
  <c r="P68" i="73" s="1"/>
  <c r="B68" i="47"/>
  <c r="B67" i="47"/>
  <c r="N131" i="73"/>
  <c r="O131" i="73" s="1"/>
  <c r="P131" i="73" s="1"/>
  <c r="B66" i="47"/>
  <c r="N122" i="73"/>
  <c r="O122" i="73" s="1"/>
  <c r="P122" i="73" s="1"/>
  <c r="B65" i="47"/>
  <c r="N113" i="73"/>
  <c r="O113" i="73" s="1"/>
  <c r="P113" i="73" s="1"/>
  <c r="B64" i="47"/>
  <c r="B63" i="47"/>
  <c r="N425" i="73"/>
  <c r="O425" i="73" s="1"/>
  <c r="P425" i="73" s="1"/>
  <c r="B62" i="47"/>
  <c r="N416" i="73"/>
  <c r="O416" i="73" s="1"/>
  <c r="P416" i="73" s="1"/>
  <c r="B61" i="47"/>
  <c r="N407" i="73"/>
  <c r="O407" i="73" s="1"/>
  <c r="P407" i="73" s="1"/>
  <c r="B60" i="47"/>
  <c r="N36" i="73"/>
  <c r="O36" i="73" s="1"/>
  <c r="P36" i="73" s="1"/>
  <c r="B59" i="47"/>
  <c r="N34" i="73"/>
  <c r="O34" i="73" s="1"/>
  <c r="P34" i="73" s="1"/>
  <c r="B58" i="47"/>
  <c r="N32" i="73"/>
  <c r="O32" i="73" s="1"/>
  <c r="P32" i="73" s="1"/>
  <c r="B57" i="47"/>
  <c r="B56" i="47"/>
  <c r="N405" i="73"/>
  <c r="O405" i="73" s="1"/>
  <c r="P405" i="73" s="1"/>
  <c r="B55" i="47"/>
  <c r="N403" i="73"/>
  <c r="O403" i="73" s="1"/>
  <c r="P403" i="73" s="1"/>
  <c r="B54" i="47"/>
  <c r="N192" i="73"/>
  <c r="O192" i="73" s="1"/>
  <c r="P192" i="73" s="1"/>
  <c r="B53" i="47"/>
  <c r="N190" i="73"/>
  <c r="O190" i="73" s="1"/>
  <c r="B52" i="47"/>
  <c r="B51" i="47"/>
  <c r="N181" i="73"/>
  <c r="O181" i="73" s="1"/>
  <c r="P181" i="73" s="1"/>
  <c r="B50" i="47"/>
  <c r="N179" i="73"/>
  <c r="O179" i="73" s="1"/>
  <c r="B49" i="47"/>
  <c r="B48" i="47"/>
  <c r="N208" i="73"/>
  <c r="O208" i="73" s="1"/>
  <c r="P208" i="73" s="1"/>
  <c r="B47" i="47"/>
  <c r="N206" i="73"/>
  <c r="O206" i="73" s="1"/>
  <c r="P206" i="73" s="1"/>
  <c r="B46" i="47"/>
  <c r="N240" i="73"/>
  <c r="O240" i="73" s="1"/>
  <c r="P240" i="73" s="1"/>
  <c r="B45" i="47"/>
  <c r="N238" i="73"/>
  <c r="O238" i="73" s="1"/>
  <c r="P238" i="73" s="1"/>
  <c r="B44" i="47"/>
  <c r="N236" i="73"/>
  <c r="O236" i="73" s="1"/>
  <c r="P236" i="73" s="1"/>
  <c r="B43" i="47"/>
  <c r="N30" i="73"/>
  <c r="O30" i="73" s="1"/>
  <c r="P30" i="73" s="1"/>
  <c r="B42" i="47"/>
  <c r="N20" i="73"/>
  <c r="O20" i="73" s="1"/>
  <c r="B41" i="47"/>
  <c r="B40" i="47"/>
  <c r="N25" i="73"/>
  <c r="O25" i="73" s="1"/>
  <c r="P25" i="73" s="1"/>
  <c r="B39" i="47"/>
  <c r="B38" i="47"/>
  <c r="N324" i="73"/>
  <c r="O324" i="73" s="1"/>
  <c r="P324" i="73" s="1"/>
  <c r="B37" i="47"/>
  <c r="N317" i="73"/>
  <c r="O317" i="73" s="1"/>
  <c r="P317" i="73" s="1"/>
  <c r="B36" i="47"/>
  <c r="N310" i="73"/>
  <c r="O310" i="73" s="1"/>
  <c r="P310" i="73" s="1"/>
  <c r="B35" i="47"/>
  <c r="N303" i="73"/>
  <c r="O303" i="73" s="1"/>
  <c r="P303" i="73" s="1"/>
  <c r="B34" i="47"/>
  <c r="N296" i="73"/>
  <c r="O296" i="73" s="1"/>
  <c r="B33" i="47"/>
  <c r="B32" i="47"/>
  <c r="B31" i="47"/>
  <c r="B30" i="47"/>
  <c r="N56" i="73"/>
  <c r="O56" i="73" s="1"/>
  <c r="P56" i="73" s="1"/>
  <c r="B29" i="47"/>
  <c r="B28" i="47"/>
  <c r="N82" i="73"/>
  <c r="O82" i="73" s="1"/>
  <c r="P82" i="73" s="1"/>
  <c r="B27" i="47"/>
  <c r="N80" i="73"/>
  <c r="O80" i="73" s="1"/>
  <c r="P80" i="73" s="1"/>
  <c r="B26" i="47"/>
  <c r="N109" i="73"/>
  <c r="O109" i="73" s="1"/>
  <c r="P109" i="73" s="1"/>
  <c r="B25" i="47"/>
  <c r="N107" i="73"/>
  <c r="O107" i="73" s="1"/>
  <c r="P107" i="73" s="1"/>
  <c r="B24" i="47"/>
  <c r="N401" i="73"/>
  <c r="O401" i="73" s="1"/>
  <c r="P401" i="73" s="1"/>
  <c r="B23" i="47"/>
  <c r="N395" i="73"/>
  <c r="O395" i="73" s="1"/>
  <c r="P395" i="73" s="1"/>
  <c r="B22" i="47"/>
  <c r="N388" i="73"/>
  <c r="O388" i="73" s="1"/>
  <c r="P388" i="73" s="1"/>
  <c r="B21" i="47"/>
  <c r="N267" i="73"/>
  <c r="O267" i="73" s="1"/>
  <c r="P267" i="73" s="1"/>
  <c r="B20" i="47"/>
  <c r="N265" i="73"/>
  <c r="O265" i="73" s="1"/>
  <c r="B19" i="47"/>
  <c r="B18" i="47"/>
  <c r="N4507" i="73"/>
  <c r="O4507" i="73" s="1"/>
  <c r="P4507" i="73" s="1"/>
  <c r="B17" i="47"/>
  <c r="B16" i="47"/>
  <c r="B15" i="47"/>
  <c r="B14" i="47"/>
  <c r="B13" i="47"/>
  <c r="B12" i="47"/>
  <c r="B11" i="47"/>
  <c r="N4499" i="73"/>
  <c r="O4499" i="73"/>
  <c r="P4499" i="73" s="1"/>
  <c r="B10" i="47"/>
  <c r="B9" i="47"/>
  <c r="B8" i="47"/>
  <c r="B7" i="47"/>
  <c r="N386" i="73"/>
  <c r="O386" i="73" s="1"/>
  <c r="P386" i="73" s="1"/>
  <c r="B6" i="47"/>
  <c r="N105" i="73"/>
  <c r="O105" i="73"/>
  <c r="P105" i="73" s="1"/>
  <c r="B5" i="47"/>
  <c r="N377" i="73"/>
  <c r="O377" i="73" s="1"/>
  <c r="P377" i="73" s="1"/>
  <c r="BC4" i="47"/>
  <c r="BB4" i="47"/>
  <c r="BA4" i="47"/>
  <c r="AZ4" i="47"/>
  <c r="AY4" i="47"/>
  <c r="AX4" i="47"/>
  <c r="AW4" i="47"/>
  <c r="AV4" i="47"/>
  <c r="AU4" i="47"/>
  <c r="AT4" i="47"/>
  <c r="AS4" i="47"/>
  <c r="AR4" i="47"/>
  <c r="AQ4" i="47"/>
  <c r="AP4" i="47"/>
  <c r="AO4" i="47"/>
  <c r="AN4" i="47"/>
  <c r="AM4" i="47"/>
  <c r="AL4" i="47"/>
  <c r="AK4" i="47"/>
  <c r="AJ4" i="47"/>
  <c r="AI4" i="47"/>
  <c r="AH4" i="47"/>
  <c r="AG4" i="47"/>
  <c r="AF4" i="47"/>
  <c r="AE4" i="47"/>
  <c r="AD4" i="47"/>
  <c r="AC4" i="47"/>
  <c r="AB4" i="47"/>
  <c r="AA4" i="47"/>
  <c r="Z4" i="47"/>
  <c r="Y4" i="47"/>
  <c r="X4" i="47"/>
  <c r="W4" i="47"/>
  <c r="V4" i="47"/>
  <c r="U4" i="47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C4" i="47"/>
  <c r="B4" i="47"/>
  <c r="N502" i="73"/>
  <c r="O502" i="73"/>
  <c r="P502" i="73" s="1"/>
  <c r="N429" i="73"/>
  <c r="O429" i="73" s="1"/>
  <c r="P429" i="73" s="1"/>
  <c r="N281" i="73"/>
  <c r="O281" i="73" s="1"/>
  <c r="P281" i="73" s="1"/>
  <c r="N84" i="73"/>
  <c r="O84" i="73" s="1"/>
  <c r="P84" i="73" s="1"/>
  <c r="N3824" i="73"/>
  <c r="O3824" i="73" s="1"/>
  <c r="P3824" i="73" s="1"/>
  <c r="N3799" i="73"/>
  <c r="O3799" i="73" s="1"/>
  <c r="P3799" i="73" s="1"/>
  <c r="N3789" i="73"/>
  <c r="O3789" i="73" s="1"/>
  <c r="P3789" i="73" s="1"/>
  <c r="N3764" i="73"/>
  <c r="O3764" i="73" s="1"/>
  <c r="P3764" i="73" s="1"/>
  <c r="N3814" i="73"/>
  <c r="O3814" i="73" s="1"/>
  <c r="P3814" i="73" s="1"/>
  <c r="N3739" i="73"/>
  <c r="O3739" i="73" s="1"/>
  <c r="P3739" i="73" s="1"/>
  <c r="N772" i="73"/>
  <c r="O772" i="73" s="1"/>
  <c r="P772" i="73" s="1"/>
  <c r="N893" i="73"/>
  <c r="O893" i="73" s="1"/>
  <c r="P893" i="73" s="1"/>
  <c r="N653" i="73"/>
  <c r="O653" i="73" s="1"/>
  <c r="P653" i="73" s="1"/>
  <c r="N905" i="73"/>
  <c r="O905" i="73" s="1"/>
  <c r="P905" i="73" s="1"/>
  <c r="N673" i="73"/>
  <c r="O673" i="73" s="1"/>
  <c r="P673" i="73" s="1"/>
  <c r="N784" i="73"/>
  <c r="O784" i="73" s="1"/>
  <c r="P784" i="73" s="1"/>
  <c r="N911" i="73"/>
  <c r="O911" i="73" s="1"/>
  <c r="P911" i="73" s="1"/>
  <c r="N693" i="73"/>
  <c r="O693" i="73" s="1"/>
  <c r="P693" i="73" s="1"/>
  <c r="N872" i="73"/>
  <c r="O872" i="73" s="1"/>
  <c r="P872" i="73" s="1"/>
  <c r="N751" i="73"/>
  <c r="O751" i="73" s="1"/>
  <c r="P751" i="73" s="1"/>
  <c r="N737" i="73"/>
  <c r="O737" i="73" s="1"/>
  <c r="P737" i="73" s="1"/>
  <c r="N856" i="73"/>
  <c r="O856" i="73" s="1"/>
  <c r="P856" i="73" s="1"/>
  <c r="N601" i="73"/>
  <c r="O601" i="73" s="1"/>
  <c r="P601" i="73" s="1"/>
  <c r="N844" i="73"/>
  <c r="O844" i="73" s="1"/>
  <c r="P844" i="73" s="1"/>
  <c r="N723" i="73"/>
  <c r="O723" i="73" s="1"/>
  <c r="P723" i="73" s="1"/>
  <c r="N637" i="73"/>
  <c r="O637" i="73" s="1"/>
  <c r="P637" i="73" s="1"/>
  <c r="N921" i="73"/>
  <c r="O921" i="73" s="1"/>
  <c r="P921" i="73" s="1"/>
  <c r="N800" i="73"/>
  <c r="O800" i="73" s="1"/>
  <c r="P800" i="73" s="1"/>
  <c r="N927" i="73"/>
  <c r="O927" i="73" s="1"/>
  <c r="P927" i="73" s="1"/>
  <c r="N808" i="73"/>
  <c r="O808" i="73" s="1"/>
  <c r="P808" i="73" s="1"/>
  <c r="N814" i="73"/>
  <c r="O814" i="73" s="1"/>
  <c r="P814" i="73" s="1"/>
  <c r="N931" i="73"/>
  <c r="O931" i="73" s="1"/>
  <c r="P931" i="73" s="1"/>
  <c r="N3636" i="73"/>
  <c r="O3636" i="73" s="1"/>
  <c r="P3636" i="73" s="1"/>
  <c r="N977" i="73"/>
  <c r="O977" i="73" s="1"/>
  <c r="P977" i="73" s="1"/>
  <c r="N3638" i="73"/>
  <c r="O3638" i="73" s="1"/>
  <c r="P3638" i="73" s="1"/>
  <c r="N985" i="73"/>
  <c r="O985" i="73" s="1"/>
  <c r="P985" i="73" s="1"/>
  <c r="N1175" i="73"/>
  <c r="O1175" i="73" s="1"/>
  <c r="P1175" i="73" s="1"/>
  <c r="N1192" i="73"/>
  <c r="O1192" i="73" s="1"/>
  <c r="P1192" i="73" s="1"/>
  <c r="N4379" i="73"/>
  <c r="O4379" i="73" s="1"/>
  <c r="P4379" i="73" s="1"/>
  <c r="N3288" i="73"/>
  <c r="O3288" i="73" s="1"/>
  <c r="P3288" i="73" s="1"/>
  <c r="N1974" i="73"/>
  <c r="O1974" i="73" s="1"/>
  <c r="P1974" i="73" s="1"/>
  <c r="N2634" i="73"/>
  <c r="O2634" i="73" s="1"/>
  <c r="P2634" i="73" s="1"/>
  <c r="N3129" i="73"/>
  <c r="O3129" i="73" s="1"/>
  <c r="P3129" i="73" s="1"/>
  <c r="N2467" i="73"/>
  <c r="O2467" i="73" s="1"/>
  <c r="P2467" i="73" s="1"/>
  <c r="N1814" i="73"/>
  <c r="O1814" i="73" s="1"/>
  <c r="P1814" i="73" s="1"/>
  <c r="N3137" i="73"/>
  <c r="O3137" i="73" s="1"/>
  <c r="P3137" i="73" s="1"/>
  <c r="N2475" i="73"/>
  <c r="O2475" i="73" s="1"/>
  <c r="P2475" i="73" s="1"/>
  <c r="N1831" i="73"/>
  <c r="O1831" i="73" s="1"/>
  <c r="P1831" i="73" s="1"/>
  <c r="N3158" i="73"/>
  <c r="O3158" i="73" s="1"/>
  <c r="P3158" i="73" s="1"/>
  <c r="N2496" i="73"/>
  <c r="O2496" i="73" s="1"/>
  <c r="P2496" i="73" s="1"/>
  <c r="N1852" i="73"/>
  <c r="O1852" i="73" s="1"/>
  <c r="P1852" i="73" s="1"/>
  <c r="N2779" i="73"/>
  <c r="O2779" i="73" s="1"/>
  <c r="P2779" i="73" s="1"/>
  <c r="N2119" i="73"/>
  <c r="O2119" i="73" s="1"/>
  <c r="P2119" i="73" s="1"/>
  <c r="N1374" i="73"/>
  <c r="O1374" i="73" s="1"/>
  <c r="P1374" i="73" s="1"/>
  <c r="N2837" i="73"/>
  <c r="O2837" i="73" s="1"/>
  <c r="P2837" i="73" s="1"/>
  <c r="N1428" i="73"/>
  <c r="O1428" i="73" s="1"/>
  <c r="P1428" i="73" s="1"/>
  <c r="N2177" i="73"/>
  <c r="O2177" i="73" s="1"/>
  <c r="P2177" i="73" s="1"/>
  <c r="N2857" i="73"/>
  <c r="O2857" i="73" s="1"/>
  <c r="P2857" i="73" s="1"/>
  <c r="N2197" i="73"/>
  <c r="O2197" i="73" s="1"/>
  <c r="P2197" i="73" s="1"/>
  <c r="Q2197" i="73" s="1"/>
  <c r="N1450" i="73"/>
  <c r="O1450" i="73" s="1"/>
  <c r="P1450" i="73" s="1"/>
  <c r="N1484" i="73"/>
  <c r="O1484" i="73" s="1"/>
  <c r="P1484" i="73" s="1"/>
  <c r="N1473" i="73"/>
  <c r="O1473" i="73" s="1"/>
  <c r="P1473" i="73" s="1"/>
  <c r="N2878" i="73"/>
  <c r="O2878" i="73" s="1"/>
  <c r="P2878" i="73" s="1"/>
  <c r="N2217" i="73"/>
  <c r="O2217" i="73" s="1"/>
  <c r="P2217" i="73" s="1"/>
  <c r="N1493" i="73"/>
  <c r="O1493" i="73" s="1"/>
  <c r="P1493" i="73" s="1"/>
  <c r="N2661" i="73"/>
  <c r="O2661" i="73" s="1"/>
  <c r="P2661" i="73" s="1"/>
  <c r="N2001" i="73"/>
  <c r="O2001" i="73" s="1"/>
  <c r="P2001" i="73" s="1"/>
  <c r="N1529" i="73"/>
  <c r="O1529" i="73" s="1"/>
  <c r="P1529" i="73" s="1"/>
  <c r="N2672" i="73"/>
  <c r="O2672" i="73" s="1"/>
  <c r="P2672" i="73" s="1"/>
  <c r="N1540" i="73"/>
  <c r="O1540" i="73" s="1"/>
  <c r="P1540" i="73" s="1"/>
  <c r="N2012" i="73"/>
  <c r="O2012" i="73" s="1"/>
  <c r="P2012" i="73" s="1"/>
  <c r="N2690" i="73"/>
  <c r="O2690" i="73" s="1"/>
  <c r="P2690" i="73" s="1"/>
  <c r="N2030" i="73"/>
  <c r="O2030" i="73" s="1"/>
  <c r="P2030" i="73" s="1"/>
  <c r="N1558" i="73"/>
  <c r="O1558" i="73" s="1"/>
  <c r="P1558" i="73"/>
  <c r="N2710" i="73"/>
  <c r="O2710" i="73" s="1"/>
  <c r="P2710" i="73" s="1"/>
  <c r="N1578" i="73"/>
  <c r="O1578" i="73" s="1"/>
  <c r="P1578" i="73" s="1"/>
  <c r="N2050" i="73"/>
  <c r="O2050" i="73"/>
  <c r="P2050" i="73" s="1"/>
  <c r="N2730" i="73"/>
  <c r="O2730" i="73"/>
  <c r="P2730" i="73" s="1"/>
  <c r="N2070" i="73"/>
  <c r="O2070" i="73" s="1"/>
  <c r="P2070" i="73" s="1"/>
  <c r="N1598" i="73"/>
  <c r="O1598" i="73" s="1"/>
  <c r="P1598" i="73" s="1"/>
  <c r="N2744" i="73"/>
  <c r="O2744" i="73" s="1"/>
  <c r="P2744" i="73" s="1"/>
  <c r="N2084" i="73"/>
  <c r="O2084" i="73" s="1"/>
  <c r="P2084" i="73" s="1"/>
  <c r="N1632" i="73"/>
  <c r="O1632" i="73" s="1"/>
  <c r="P1632" i="73" s="1"/>
  <c r="N2781" i="73"/>
  <c r="O2781" i="73" s="1"/>
  <c r="P2781" i="73" s="1"/>
  <c r="N2121" i="73"/>
  <c r="O2121" i="73" s="1"/>
  <c r="P2121" i="73" s="1"/>
  <c r="N3097" i="73"/>
  <c r="O3097" i="73" s="1"/>
  <c r="P3097" i="73" s="1"/>
  <c r="N1782" i="73"/>
  <c r="O1782" i="73" s="1"/>
  <c r="P1782" i="73" s="1"/>
  <c r="N2435" i="73"/>
  <c r="O2435" i="73" s="1"/>
  <c r="P2435" i="73" s="1"/>
  <c r="N3105" i="73"/>
  <c r="O3105" i="73" s="1"/>
  <c r="P3105" i="73" s="1"/>
  <c r="N2443" i="73"/>
  <c r="O2443" i="73" s="1"/>
  <c r="P2443" i="73" s="1"/>
  <c r="N1790" i="73"/>
  <c r="O1790" i="73"/>
  <c r="P1790" i="73" s="1"/>
  <c r="N2961" i="73"/>
  <c r="O2961" i="73" s="1"/>
  <c r="P2961" i="73" s="1"/>
  <c r="N1646" i="73"/>
  <c r="O1646" i="73" s="1"/>
  <c r="P1646" i="73" s="1"/>
  <c r="N2299" i="73"/>
  <c r="O2299" i="73" s="1"/>
  <c r="P2299" i="73" s="1"/>
  <c r="N3009" i="73"/>
  <c r="O3009" i="73" s="1"/>
  <c r="P3009" i="73" s="1"/>
  <c r="N3045" i="73"/>
  <c r="O3045" i="73" s="1"/>
  <c r="P3045" i="73" s="1"/>
  <c r="N2347" i="73"/>
  <c r="O2347" i="73" s="1"/>
  <c r="P2347" i="73" s="1"/>
  <c r="N1730" i="73"/>
  <c r="O1730" i="73"/>
  <c r="P1730" i="73" s="1"/>
  <c r="N2383" i="73"/>
  <c r="O2383" i="73" s="1"/>
  <c r="P2383" i="73" s="1"/>
  <c r="N1694" i="73"/>
  <c r="O1694" i="73" s="1"/>
  <c r="P1694" i="73" s="1"/>
  <c r="N2989" i="73"/>
  <c r="O2989" i="73" s="1"/>
  <c r="P2989" i="73" s="1"/>
  <c r="N2363" i="73"/>
  <c r="O2363" i="73" s="1"/>
  <c r="P2363" i="73" s="1"/>
  <c r="N3025" i="73"/>
  <c r="O3025" i="73" s="1"/>
  <c r="P3025" i="73" s="1"/>
  <c r="N2327" i="73"/>
  <c r="O2327" i="73" s="1"/>
  <c r="P2327" i="73" s="1"/>
  <c r="N1674" i="73"/>
  <c r="O1674" i="73" s="1"/>
  <c r="P1674" i="73" s="1"/>
  <c r="N1710" i="73"/>
  <c r="O1710" i="73" s="1"/>
  <c r="P1710" i="73" s="1"/>
  <c r="N3068" i="73"/>
  <c r="O3068" i="73" s="1"/>
  <c r="P3068" i="73" s="1"/>
  <c r="N3061" i="73"/>
  <c r="O3061" i="73" s="1"/>
  <c r="P3061" i="73" s="1"/>
  <c r="N2406" i="73"/>
  <c r="O2406" i="73" s="1"/>
  <c r="P2406" i="73" s="1"/>
  <c r="N1753" i="73"/>
  <c r="O1753" i="73" s="1"/>
  <c r="P1753" i="73" s="1"/>
  <c r="N1746" i="73"/>
  <c r="O1746" i="73" s="1"/>
  <c r="P1746" i="73" s="1"/>
  <c r="N2399" i="73"/>
  <c r="O2399" i="73" s="1"/>
  <c r="P2399" i="73" s="1"/>
  <c r="N3258" i="73"/>
  <c r="O3258" i="73" s="1"/>
  <c r="P3258" i="73" s="1"/>
  <c r="N2604" i="73"/>
  <c r="O2604" i="73" s="1"/>
  <c r="P2604" i="73" s="1"/>
  <c r="N1891" i="73"/>
  <c r="O1891" i="73" s="1"/>
  <c r="P1891" i="73" s="1"/>
  <c r="N3215" i="73"/>
  <c r="O3215" i="73" s="1"/>
  <c r="P3215" i="73" s="1"/>
  <c r="N2561" i="73"/>
  <c r="O2561" i="73" s="1"/>
  <c r="P2561" i="73" s="1"/>
  <c r="N1927" i="73"/>
  <c r="O1927" i="73" s="1"/>
  <c r="P1927" i="73" s="1"/>
  <c r="N3209" i="73"/>
  <c r="O3209" i="73" s="1"/>
  <c r="P3209" i="73" s="1"/>
  <c r="N4244" i="73"/>
  <c r="O4244" i="73" s="1"/>
  <c r="P4244" i="73" s="1"/>
  <c r="N2555" i="73"/>
  <c r="O2555" i="73" s="1"/>
  <c r="P2555" i="73" s="1"/>
  <c r="N1921" i="73"/>
  <c r="O1921" i="73" s="1"/>
  <c r="P1921" i="73" s="1"/>
  <c r="N3233" i="73"/>
  <c r="O3233" i="73"/>
  <c r="P3233" i="73" s="1"/>
  <c r="N2579" i="73"/>
  <c r="O2579" i="73" s="1"/>
  <c r="P2579" i="73" s="1"/>
  <c r="N1945" i="73"/>
  <c r="O1945" i="73" s="1"/>
  <c r="P1945" i="73" s="1"/>
  <c r="N3244" i="73"/>
  <c r="O3244" i="73" s="1"/>
  <c r="P3244" i="73" s="1"/>
  <c r="N2590" i="73"/>
  <c r="O2590" i="73" s="1"/>
  <c r="P2590" i="73" s="1"/>
  <c r="N1956" i="73"/>
  <c r="O1956" i="73" s="1"/>
  <c r="P1956" i="73" s="1"/>
  <c r="N3264" i="73"/>
  <c r="O3264" i="73" s="1"/>
  <c r="P3264" i="73" s="1"/>
  <c r="N2610" i="73"/>
  <c r="O2610" i="73" s="1"/>
  <c r="P2610" i="73" s="1"/>
  <c r="N3301" i="73"/>
  <c r="O3301" i="73" s="1"/>
  <c r="P3301" i="73" s="1"/>
  <c r="N4200" i="73"/>
  <c r="O4200" i="73" s="1"/>
  <c r="P4200" i="73" s="1"/>
  <c r="N3581" i="73"/>
  <c r="O3581" i="73" s="1"/>
  <c r="P3581" i="73" s="1"/>
  <c r="N3534" i="73"/>
  <c r="O3534" i="73" s="1"/>
  <c r="P3534" i="73" s="1"/>
  <c r="N4147" i="73"/>
  <c r="O4147" i="73" s="1"/>
  <c r="P4147" i="73" s="1"/>
  <c r="N3593" i="73"/>
  <c r="O3593" i="73" s="1"/>
  <c r="P3593" i="73" s="1"/>
  <c r="N3550" i="73"/>
  <c r="O3550" i="73" s="1"/>
  <c r="P3550" i="73" s="1"/>
  <c r="N4163" i="73"/>
  <c r="O4163" i="73" s="1"/>
  <c r="P4163" i="73" s="1"/>
  <c r="N4224" i="73"/>
  <c r="O4224" i="73" s="1"/>
  <c r="P4224" i="73" s="1"/>
  <c r="N4248" i="73"/>
  <c r="O4248" i="73" s="1"/>
  <c r="P4248" i="73" s="1"/>
  <c r="N4212" i="73"/>
  <c r="O4212" i="73" s="1"/>
  <c r="P4212" i="73" s="1"/>
  <c r="N3349" i="73"/>
  <c r="O3349" i="73" s="1"/>
  <c r="P3349" i="73" s="1"/>
  <c r="N3450" i="73"/>
  <c r="O3450" i="73" s="1"/>
  <c r="P3450" i="73" s="1"/>
  <c r="N3458" i="73"/>
  <c r="O3458" i="73" s="1"/>
  <c r="P3458" i="73" s="1"/>
  <c r="N3357" i="73"/>
  <c r="O3357" i="73" s="1"/>
  <c r="P3357" i="73" s="1"/>
  <c r="N3379" i="73"/>
  <c r="O3379" i="73" s="1"/>
  <c r="P3379" i="73" s="1"/>
  <c r="N3480" i="73"/>
  <c r="O3480" i="73" s="1"/>
  <c r="P3480" i="73" s="1"/>
  <c r="N3391" i="73"/>
  <c r="O3391" i="73" s="1"/>
  <c r="P3391" i="73" s="1"/>
  <c r="N3492" i="73"/>
  <c r="O3492" i="73" s="1"/>
  <c r="P3492" i="73" s="1"/>
  <c r="N3399" i="73"/>
  <c r="O3399" i="73" s="1"/>
  <c r="P3399" i="73" s="1"/>
  <c r="N3500" i="73"/>
  <c r="O3500" i="73" s="1"/>
  <c r="P3500" i="73" s="1"/>
  <c r="N3504" i="73"/>
  <c r="O3504" i="73" s="1"/>
  <c r="P3504" i="73" s="1"/>
  <c r="N3407" i="73"/>
  <c r="O3407" i="73" s="1"/>
  <c r="P3407" i="73" s="1"/>
  <c r="N3423" i="73"/>
  <c r="O3423" i="73" s="1"/>
  <c r="P3423" i="73" s="1"/>
  <c r="N3522" i="73"/>
  <c r="O3522" i="73" s="1"/>
  <c r="P3522" i="73" s="1"/>
  <c r="N3628" i="73"/>
  <c r="O3628" i="73" s="1"/>
  <c r="P3628" i="73" s="1"/>
  <c r="N3437" i="73"/>
  <c r="O3437" i="73" s="1"/>
  <c r="P3437" i="73" s="1"/>
  <c r="N3336" i="73"/>
  <c r="O3336" i="73" s="1"/>
  <c r="P3336" i="73" s="1"/>
  <c r="N2919" i="73"/>
  <c r="O2919" i="73" s="1"/>
  <c r="P2919" i="73" s="1"/>
  <c r="N2258" i="73"/>
  <c r="O2258" i="73" s="1"/>
  <c r="P2258" i="73" s="1"/>
  <c r="N1508" i="73"/>
  <c r="O1508" i="73" s="1"/>
  <c r="P1508" i="73" s="1"/>
  <c r="N500" i="73"/>
  <c r="O500" i="73" s="1"/>
  <c r="P500" i="73" s="1"/>
  <c r="N111" i="73"/>
  <c r="O111" i="73" s="1"/>
  <c r="P111" i="73" s="1"/>
  <c r="N4984" i="73"/>
  <c r="O4984" i="73"/>
  <c r="P4984" i="73" s="1"/>
  <c r="N4934" i="73"/>
  <c r="O4934" i="73" s="1"/>
  <c r="N4455" i="73"/>
  <c r="O4455" i="73" s="1"/>
  <c r="P4455" i="73" s="1"/>
  <c r="N4463" i="73"/>
  <c r="O4463" i="73" s="1"/>
  <c r="P4463" i="73" s="1"/>
  <c r="N4642" i="73"/>
  <c r="O4642" i="73" s="1"/>
  <c r="P4642" i="73" s="1"/>
  <c r="N4661" i="73"/>
  <c r="O4661" i="73" s="1"/>
  <c r="P4661" i="73" s="1"/>
  <c r="N4422" i="73"/>
  <c r="O4422" i="73" s="1"/>
  <c r="P4422" i="73" s="1"/>
  <c r="N4409" i="73"/>
  <c r="O4409" i="73" s="1"/>
  <c r="P4409" i="73" s="1"/>
  <c r="N3779" i="73"/>
  <c r="O3779" i="73" s="1"/>
  <c r="P3779" i="73" s="1"/>
  <c r="N3754" i="73"/>
  <c r="O3754" i="73" s="1"/>
  <c r="P3754" i="73" s="1"/>
  <c r="N3829" i="73"/>
  <c r="O3829" i="73" s="1"/>
  <c r="P3829" i="73" s="1"/>
  <c r="N3804" i="73"/>
  <c r="O3804" i="73" s="1"/>
  <c r="P3804" i="73" s="1"/>
  <c r="N3729" i="73"/>
  <c r="O3729" i="73" s="1"/>
  <c r="P3729" i="73" s="1"/>
  <c r="N3931" i="73"/>
  <c r="O3931" i="73" s="1"/>
  <c r="P3931" i="73" s="1"/>
  <c r="N3924" i="73"/>
  <c r="O3924" i="73" s="1"/>
  <c r="P3924" i="73" s="1"/>
  <c r="N4006" i="73"/>
  <c r="O4006" i="73" s="1"/>
  <c r="N4019" i="73"/>
  <c r="O4019" i="73" s="1"/>
  <c r="N895" i="73"/>
  <c r="O895" i="73" s="1"/>
  <c r="P895" i="73" s="1"/>
  <c r="N655" i="73"/>
  <c r="O655" i="73" s="1"/>
  <c r="P655" i="73" s="1"/>
  <c r="N774" i="73"/>
  <c r="O774" i="73" s="1"/>
  <c r="P774" i="73" s="1"/>
  <c r="N967" i="73"/>
  <c r="O967" i="73" s="1"/>
  <c r="P967" i="73" s="1"/>
  <c r="N713" i="73"/>
  <c r="O713" i="73" s="1"/>
  <c r="P713" i="73" s="1"/>
  <c r="N836" i="73"/>
  <c r="O836" i="73" s="1"/>
  <c r="P836" i="73" s="1"/>
  <c r="N778" i="73"/>
  <c r="O778" i="73" s="1"/>
  <c r="P778" i="73" s="1"/>
  <c r="N667" i="73"/>
  <c r="O667" i="73" s="1"/>
  <c r="P667" i="73" s="1"/>
  <c r="N899" i="73"/>
  <c r="O899" i="73" s="1"/>
  <c r="P899" i="73" s="1"/>
  <c r="N786" i="73"/>
  <c r="O786" i="73" s="1"/>
  <c r="P786" i="73" s="1"/>
  <c r="N675" i="73"/>
  <c r="O675" i="73" s="1"/>
  <c r="P675" i="73" s="1"/>
  <c r="N907" i="73"/>
  <c r="O907" i="73" s="1"/>
  <c r="P907" i="73" s="1"/>
  <c r="N788" i="73"/>
  <c r="O788" i="73" s="1"/>
  <c r="P788" i="73" s="1"/>
  <c r="N681" i="73"/>
  <c r="O681" i="73" s="1"/>
  <c r="P681" i="73" s="1"/>
  <c r="N909" i="73"/>
  <c r="O909" i="73" s="1"/>
  <c r="P909" i="73" s="1"/>
  <c r="N695" i="73"/>
  <c r="O695" i="73" s="1"/>
  <c r="P695" i="73" s="1"/>
  <c r="N913" i="73"/>
  <c r="O913" i="73" s="1"/>
  <c r="P913" i="73" s="1"/>
  <c r="N874" i="73"/>
  <c r="O874" i="73" s="1"/>
  <c r="P874" i="73" s="1"/>
  <c r="N617" i="73"/>
  <c r="O617" i="73" s="1"/>
  <c r="P617" i="73" s="1"/>
  <c r="N753" i="73"/>
  <c r="O753" i="73" s="1"/>
  <c r="P753" i="73" s="1"/>
  <c r="N739" i="73"/>
  <c r="O739" i="73" s="1"/>
  <c r="P739" i="73" s="1"/>
  <c r="N858" i="73"/>
  <c r="O858" i="73" s="1"/>
  <c r="P858" i="73" s="1"/>
  <c r="N603" i="73"/>
  <c r="O603" i="73" s="1"/>
  <c r="P603" i="73" s="1"/>
  <c r="N639" i="73"/>
  <c r="O639" i="73" s="1"/>
  <c r="P639" i="73" s="1"/>
  <c r="N846" i="73"/>
  <c r="O846" i="73" s="1"/>
  <c r="P846" i="73" s="1"/>
  <c r="N725" i="73"/>
  <c r="O725" i="73" s="1"/>
  <c r="P725" i="73" s="1"/>
  <c r="N794" i="73"/>
  <c r="O794" i="73" s="1"/>
  <c r="P794" i="73" s="1"/>
  <c r="N917" i="73"/>
  <c r="O917" i="73" s="1"/>
  <c r="P917" i="73" s="1"/>
  <c r="N802" i="73"/>
  <c r="O802" i="73" s="1"/>
  <c r="P802" i="73" s="1"/>
  <c r="N923" i="73"/>
  <c r="O923" i="73" s="1"/>
  <c r="P923" i="73" s="1"/>
  <c r="N810" i="73"/>
  <c r="O810" i="73" s="1"/>
  <c r="P810" i="73" s="1"/>
  <c r="N929" i="73"/>
  <c r="O929" i="73" s="1"/>
  <c r="P929" i="73" s="1"/>
  <c r="N933" i="73"/>
  <c r="O933" i="73" s="1"/>
  <c r="P933" i="73" s="1"/>
  <c r="N816" i="73"/>
  <c r="O816" i="73" s="1"/>
  <c r="P816" i="73" s="1"/>
  <c r="N4385" i="73"/>
  <c r="O4385" i="73" s="1"/>
  <c r="P4385" i="73" s="1"/>
  <c r="N1980" i="73"/>
  <c r="O1980" i="73" s="1"/>
  <c r="P1980" i="73" s="1"/>
  <c r="N3294" i="73"/>
  <c r="O3294" i="73" s="1"/>
  <c r="P3294" i="73" s="1"/>
  <c r="N2640" i="73"/>
  <c r="O2640" i="73" s="1"/>
  <c r="P2640" i="73" s="1"/>
  <c r="N2482" i="73"/>
  <c r="O2482" i="73" s="1"/>
  <c r="P2482" i="73" s="1"/>
  <c r="N3144" i="73"/>
  <c r="O3144" i="73" s="1"/>
  <c r="P3144" i="73" s="1"/>
  <c r="N1838" i="73"/>
  <c r="O1838" i="73"/>
  <c r="P1838" i="73" s="1"/>
  <c r="N2770" i="73"/>
  <c r="O2770" i="73" s="1"/>
  <c r="N1361" i="73"/>
  <c r="O1361" i="73" s="1"/>
  <c r="N2110" i="73"/>
  <c r="O2110" i="73" s="1"/>
  <c r="P2110" i="73" s="1"/>
  <c r="N2798" i="73"/>
  <c r="O2798" i="73" s="1"/>
  <c r="P2798" i="73" s="1"/>
  <c r="N2187" i="73"/>
  <c r="O2187" i="73" s="1"/>
  <c r="P2187" i="73" s="1"/>
  <c r="N2847" i="73"/>
  <c r="O2847" i="73" s="1"/>
  <c r="P2847" i="73" s="1"/>
  <c r="N1389" i="73"/>
  <c r="O1389" i="73" s="1"/>
  <c r="P1389" i="73" s="1"/>
  <c r="N1438" i="73"/>
  <c r="O1438" i="73" s="1"/>
  <c r="P1438" i="73" s="1"/>
  <c r="N2138" i="73"/>
  <c r="O2138" i="73"/>
  <c r="P2138" i="73" s="1"/>
  <c r="N2833" i="73"/>
  <c r="O2833" i="73" s="1"/>
  <c r="P2833" i="73" s="1"/>
  <c r="N2811" i="73"/>
  <c r="O2811" i="73" s="1"/>
  <c r="P2811" i="73" s="1"/>
  <c r="N2173" i="73"/>
  <c r="O2173" i="73"/>
  <c r="P2173" i="73" s="1"/>
  <c r="N2151" i="73"/>
  <c r="O2151" i="73" s="1"/>
  <c r="P2151" i="73" s="1"/>
  <c r="N1424" i="73"/>
  <c r="O1424" i="73" s="1"/>
  <c r="P1424" i="73" s="1"/>
  <c r="N1402" i="73"/>
  <c r="O1402" i="73" s="1"/>
  <c r="P1402" i="73" s="1"/>
  <c r="N2887" i="73"/>
  <c r="O2887" i="73" s="1"/>
  <c r="P2887" i="73" s="1"/>
  <c r="N2900" i="73"/>
  <c r="O2900" i="73" s="1"/>
  <c r="P2900" i="73" s="1"/>
  <c r="N2239" i="73"/>
  <c r="O2239" i="73" s="1"/>
  <c r="P2239" i="73" s="1"/>
  <c r="N2226" i="73"/>
  <c r="O2226" i="73" s="1"/>
  <c r="P2226" i="73" s="1"/>
  <c r="N1475" i="73"/>
  <c r="O1475" i="73" s="1"/>
  <c r="P1475" i="73" s="1"/>
  <c r="N1486" i="73"/>
  <c r="O1486" i="73" s="1"/>
  <c r="P1486" i="73" s="1"/>
  <c r="N1531" i="73"/>
  <c r="O1531" i="73" s="1"/>
  <c r="P1531" i="73" s="1"/>
  <c r="N2003" i="73"/>
  <c r="O2003" i="73" s="1"/>
  <c r="P2003" i="73" s="1"/>
  <c r="N2663" i="73"/>
  <c r="O2663" i="73" s="1"/>
  <c r="P2663" i="73" s="1"/>
  <c r="N2675" i="73"/>
  <c r="O2675" i="73" s="1"/>
  <c r="P2675" i="73" s="1"/>
  <c r="N1543" i="73"/>
  <c r="O1543" i="73" s="1"/>
  <c r="P1543" i="73" s="1"/>
  <c r="N2015" i="73"/>
  <c r="O2015" i="73" s="1"/>
  <c r="N2695" i="73"/>
  <c r="O2695" i="73" s="1"/>
  <c r="P2695" i="73" s="1"/>
  <c r="N1563" i="73"/>
  <c r="O1563" i="73" s="1"/>
  <c r="P1563" i="73" s="1"/>
  <c r="N2035" i="73"/>
  <c r="O2035" i="73" s="1"/>
  <c r="P2035" i="73" s="1"/>
  <c r="N2715" i="73"/>
  <c r="O2715" i="73" s="1"/>
  <c r="P2715" i="73" s="1"/>
  <c r="N1583" i="73"/>
  <c r="O1583" i="73" s="1"/>
  <c r="P1583" i="73" s="1"/>
  <c r="N2055" i="73"/>
  <c r="O2055" i="73" s="1"/>
  <c r="P2055" i="73" s="1"/>
  <c r="N1601" i="73"/>
  <c r="O1601" i="73" s="1"/>
  <c r="P1601" i="73" s="1"/>
  <c r="N2073" i="73"/>
  <c r="O2073" i="73" s="1"/>
  <c r="P2073" i="73" s="1"/>
  <c r="N2733" i="73"/>
  <c r="O2733" i="73" s="1"/>
  <c r="P2733" i="73" s="1"/>
  <c r="N2088" i="73"/>
  <c r="O2088" i="73" s="1"/>
  <c r="P2088" i="73" s="1"/>
  <c r="N2748" i="73"/>
  <c r="O2748" i="73" s="1"/>
  <c r="N1636" i="73"/>
  <c r="O1636" i="73" s="1"/>
  <c r="P1636" i="73" s="1"/>
  <c r="N2123" i="73"/>
  <c r="O2123" i="73" s="1"/>
  <c r="P2123" i="73" s="1"/>
  <c r="N2783" i="73"/>
  <c r="O2783" i="73" s="1"/>
  <c r="P2783" i="73" s="1"/>
  <c r="N2241" i="73"/>
  <c r="O2241" i="73" s="1"/>
  <c r="P2241" i="73" s="1"/>
  <c r="N2228" i="73"/>
  <c r="O2228" i="73" s="1"/>
  <c r="P2228" i="73" s="1"/>
  <c r="P2278" i="73"/>
  <c r="N3099" i="73"/>
  <c r="O3099" i="73" s="1"/>
  <c r="P3099" i="73" s="1"/>
  <c r="N2437" i="73"/>
  <c r="O2437" i="73" s="1"/>
  <c r="P2437" i="73" s="1"/>
  <c r="N1784" i="73"/>
  <c r="O1784" i="73" s="1"/>
  <c r="P1784" i="73" s="1"/>
  <c r="N3111" i="73"/>
  <c r="O3111" i="73" s="1"/>
  <c r="P3111" i="73" s="1"/>
  <c r="N2449" i="73"/>
  <c r="O2449" i="73" s="1"/>
  <c r="P2449" i="73" s="1"/>
  <c r="N1796" i="73"/>
  <c r="O1796" i="73" s="1"/>
  <c r="P1796" i="73" s="1"/>
  <c r="N2965" i="73"/>
  <c r="O2965" i="73" s="1"/>
  <c r="N1650" i="73"/>
  <c r="O1650" i="73" s="1"/>
  <c r="P1650" i="73" s="1"/>
  <c r="N2303" i="73"/>
  <c r="O2303" i="73" s="1"/>
  <c r="P2303" i="73" s="1"/>
  <c r="N1660" i="73"/>
  <c r="O1660" i="73" s="1"/>
  <c r="P1660" i="73" s="1"/>
  <c r="N2975" i="73"/>
  <c r="O2975" i="73" s="1"/>
  <c r="P2975" i="73" s="1"/>
  <c r="N2313" i="73"/>
  <c r="O2313" i="73" s="1"/>
  <c r="P2313" i="73" s="1"/>
  <c r="N3035" i="73"/>
  <c r="O3035" i="73" s="1"/>
  <c r="P3035" i="73" s="1"/>
  <c r="N2337" i="73"/>
  <c r="O2337" i="73" s="1"/>
  <c r="P2337" i="73"/>
  <c r="N2373" i="73"/>
  <c r="O2373" i="73" s="1"/>
  <c r="P2373" i="73" s="1"/>
  <c r="N1684" i="73"/>
  <c r="O1684" i="73" s="1"/>
  <c r="P1684" i="73" s="1"/>
  <c r="N1720" i="73"/>
  <c r="O1720" i="73"/>
  <c r="P1720" i="73" s="1"/>
  <c r="N2999" i="73"/>
  <c r="O2999" i="73"/>
  <c r="P2999" i="73" s="1"/>
  <c r="N3047" i="73"/>
  <c r="O3047" i="73" s="1"/>
  <c r="P3047" i="73" s="1"/>
  <c r="N3011" i="73"/>
  <c r="O3011" i="73" s="1"/>
  <c r="P3011" i="73" s="1"/>
  <c r="N2349" i="73"/>
  <c r="O2349" i="73" s="1"/>
  <c r="P2349" i="73" s="1"/>
  <c r="N1696" i="73"/>
  <c r="O1696" i="73" s="1"/>
  <c r="P1696" i="73" s="1"/>
  <c r="N1732" i="73"/>
  <c r="O1732" i="73" s="1"/>
  <c r="P1732" i="73" s="1"/>
  <c r="N2385" i="73"/>
  <c r="O2385" i="73" s="1"/>
  <c r="P2385" i="73" s="1"/>
  <c r="N2991" i="73"/>
  <c r="O2991" i="73"/>
  <c r="P2991" i="73" s="1"/>
  <c r="N3027" i="73"/>
  <c r="O3027" i="73"/>
  <c r="P3027" i="73" s="1"/>
  <c r="N2329" i="73"/>
  <c r="O2329" i="73" s="1"/>
  <c r="P2329" i="73" s="1"/>
  <c r="N2365" i="73"/>
  <c r="O2365" i="73" s="1"/>
  <c r="P2365" i="73" s="1"/>
  <c r="N1712" i="73"/>
  <c r="O1712" i="73" s="1"/>
  <c r="P1712" i="73" s="1"/>
  <c r="N1676" i="73"/>
  <c r="O1676" i="73" s="1"/>
  <c r="P1676" i="73" s="1"/>
  <c r="N3074" i="73"/>
  <c r="O3074" i="73" s="1"/>
  <c r="P3074" i="73" s="1"/>
  <c r="N2412" i="73"/>
  <c r="O2412" i="73" s="1"/>
  <c r="P2412" i="73" s="1"/>
  <c r="N1759" i="73"/>
  <c r="O1759" i="73"/>
  <c r="P1759" i="73" s="1"/>
  <c r="N3063" i="73"/>
  <c r="O3063" i="73"/>
  <c r="P3063" i="73" s="1"/>
  <c r="N2401" i="73"/>
  <c r="O2401" i="73" s="1"/>
  <c r="P2401" i="73" s="1"/>
  <c r="N1748" i="73"/>
  <c r="O1748" i="73" s="1"/>
  <c r="P1748" i="73" s="1"/>
  <c r="N3084" i="73"/>
  <c r="O3084" i="73" s="1"/>
  <c r="P3084" i="73" s="1"/>
  <c r="N2422" i="73"/>
  <c r="O2422" i="73" s="1"/>
  <c r="P2422" i="73" s="1"/>
  <c r="N1769" i="73"/>
  <c r="O1769" i="73" s="1"/>
  <c r="P1769" i="73" s="1"/>
  <c r="N3199" i="73"/>
  <c r="O3199" i="73" s="1"/>
  <c r="P3199" i="73" s="1"/>
  <c r="N2545" i="73"/>
  <c r="O2545" i="73"/>
  <c r="P2545" i="73" s="1"/>
  <c r="N1911" i="73"/>
  <c r="O1911" i="73"/>
  <c r="P1911" i="73" s="1"/>
  <c r="N3217" i="73"/>
  <c r="O3217" i="73" s="1"/>
  <c r="P3217" i="73" s="1"/>
  <c r="N2563" i="73"/>
  <c r="O2563" i="73" s="1"/>
  <c r="P2563" i="73" s="1"/>
  <c r="N1929" i="73"/>
  <c r="O1929" i="73" s="1"/>
  <c r="P1929" i="73" s="1"/>
  <c r="N3266" i="73"/>
  <c r="O3266" i="73" s="1"/>
  <c r="P3266" i="73" s="1"/>
  <c r="N2612" i="73"/>
  <c r="O2612" i="73" s="1"/>
  <c r="P2612" i="73" s="1"/>
  <c r="N3618" i="73"/>
  <c r="O3618" i="73" s="1"/>
  <c r="P3618" i="73" s="1"/>
  <c r="N4194" i="73"/>
  <c r="O4194" i="73" s="1"/>
  <c r="P4194" i="73" s="1"/>
  <c r="N3575" i="73"/>
  <c r="O3575" i="73" s="1"/>
  <c r="P3575" i="73" s="1"/>
  <c r="N4202" i="73"/>
  <c r="O4202" i="73" s="1"/>
  <c r="P4202" i="73" s="1"/>
  <c r="N3583" i="73"/>
  <c r="O3583" i="73" s="1"/>
  <c r="P3583" i="73" s="1"/>
  <c r="N4159" i="73"/>
  <c r="O4159" i="73" s="1"/>
  <c r="P4159" i="73" s="1"/>
  <c r="N3595" i="73"/>
  <c r="O3595" i="73" s="1"/>
  <c r="P3595" i="73" s="1"/>
  <c r="N3605" i="73"/>
  <c r="O3605" i="73" s="1"/>
  <c r="P3605" i="73" s="1"/>
  <c r="N3546" i="73"/>
  <c r="O3546" i="73" s="1"/>
  <c r="P3546" i="73" s="1"/>
  <c r="N4149" i="73"/>
  <c r="O4149" i="73" s="1"/>
  <c r="P4149" i="73" s="1"/>
  <c r="N3536" i="73"/>
  <c r="O3536" i="73" s="1"/>
  <c r="P3536" i="73" s="1"/>
  <c r="N4173" i="73"/>
  <c r="O4173" i="73" s="1"/>
  <c r="N3560" i="73"/>
  <c r="O3560" i="73" s="1"/>
  <c r="P3560" i="73" s="1"/>
  <c r="N3444" i="73"/>
  <c r="O3444" i="73" s="1"/>
  <c r="P3444" i="73" s="1"/>
  <c r="N3343" i="73"/>
  <c r="O3343" i="73" s="1"/>
  <c r="P3343" i="73" s="1"/>
  <c r="N3351" i="73"/>
  <c r="O3351" i="73" s="1"/>
  <c r="P3351" i="73" s="1"/>
  <c r="N3452" i="73"/>
  <c r="O3452" i="73" s="1"/>
  <c r="P3452" i="73" s="1"/>
  <c r="N3465" i="73"/>
  <c r="O3465" i="73"/>
  <c r="P3465" i="73" s="1"/>
  <c r="N3364" i="73"/>
  <c r="O3364" i="73" s="1"/>
  <c r="P3364" i="73" s="1"/>
  <c r="N3482" i="73"/>
  <c r="O3482" i="73" s="1"/>
  <c r="P3482" i="73" s="1"/>
  <c r="N3381" i="73"/>
  <c r="O3381" i="73" s="1"/>
  <c r="P3381" i="73" s="1"/>
  <c r="N3494" i="73"/>
  <c r="O3494" i="73" s="1"/>
  <c r="P3494" i="73" s="1"/>
  <c r="N3393" i="73"/>
  <c r="O3393" i="73" s="1"/>
  <c r="P3393" i="73" s="1"/>
  <c r="N3502" i="73"/>
  <c r="O3502" i="73" s="1"/>
  <c r="P3502" i="73" s="1"/>
  <c r="N3401" i="73"/>
  <c r="O3401" i="73" s="1"/>
  <c r="P3401" i="73" s="1"/>
  <c r="N3506" i="73"/>
  <c r="O3506" i="73" s="1"/>
  <c r="P3506" i="73" s="1"/>
  <c r="N3409" i="73"/>
  <c r="O3409" i="73" s="1"/>
  <c r="P3409" i="73" s="1"/>
  <c r="N3607" i="73"/>
  <c r="O3607" i="73" s="1"/>
  <c r="P3607" i="73" s="1"/>
  <c r="N3562" i="73"/>
  <c r="O3562" i="73" s="1"/>
  <c r="P3562" i="73" s="1"/>
  <c r="N201" i="73"/>
  <c r="O201" i="73" s="1"/>
  <c r="N360" i="73"/>
  <c r="O360" i="73" s="1"/>
  <c r="P360" i="73" s="1"/>
  <c r="N2912" i="73"/>
  <c r="O2912" i="73" s="1"/>
  <c r="P2912" i="73" s="1"/>
  <c r="N2251" i="73"/>
  <c r="O2251" i="73" s="1"/>
  <c r="P2251" i="73" s="1"/>
  <c r="N1501" i="73"/>
  <c r="O1501" i="73" s="1"/>
  <c r="P1501" i="73" s="1"/>
  <c r="N159" i="73"/>
  <c r="O159" i="73" s="1"/>
  <c r="P159" i="73" s="1"/>
  <c r="N1268" i="73"/>
  <c r="O1268" i="73" s="1"/>
  <c r="P1268" i="73" s="1"/>
  <c r="N456" i="73"/>
  <c r="O456" i="73" s="1"/>
  <c r="P456" i="73"/>
  <c r="N49" i="73"/>
  <c r="O49" i="73" s="1"/>
  <c r="P49" i="73" s="1"/>
  <c r="N258" i="73"/>
  <c r="O258" i="73" s="1"/>
  <c r="P258" i="73" s="1"/>
  <c r="N4986" i="73"/>
  <c r="O4986" i="73"/>
  <c r="P4986" i="73" s="1"/>
  <c r="N4457" i="73"/>
  <c r="O4457" i="73" s="1"/>
  <c r="P4457" i="73" s="1"/>
  <c r="N4936" i="73"/>
  <c r="O4936" i="73" s="1"/>
  <c r="P4936" i="73" s="1"/>
  <c r="N526" i="73"/>
  <c r="O526" i="73" s="1"/>
  <c r="P526" i="73" s="1"/>
  <c r="N553" i="73"/>
  <c r="O553" i="73" s="1"/>
  <c r="P553" i="73" s="1"/>
  <c r="N4424" i="73"/>
  <c r="O4424" i="73" s="1"/>
  <c r="P4424" i="73" s="1"/>
  <c r="N4411" i="73"/>
  <c r="O4411" i="73" s="1"/>
  <c r="P4411" i="73" s="1"/>
  <c r="N3810" i="73"/>
  <c r="O3810" i="73" s="1"/>
  <c r="P3810" i="73" s="1"/>
  <c r="N3785" i="73"/>
  <c r="O3785" i="73" s="1"/>
  <c r="P3785" i="73" s="1"/>
  <c r="N3760" i="73"/>
  <c r="O3760" i="73" s="1"/>
  <c r="P3760" i="73" s="1"/>
  <c r="N3835" i="73"/>
  <c r="O3835" i="73" s="1"/>
  <c r="P3835" i="73" s="1"/>
  <c r="N3816" i="73"/>
  <c r="O3816" i="73" s="1"/>
  <c r="P3816" i="73" s="1"/>
  <c r="N3791" i="73"/>
  <c r="O3791" i="73" s="1"/>
  <c r="P3791" i="73" s="1"/>
  <c r="N3766" i="73"/>
  <c r="O3766" i="73" s="1"/>
  <c r="N3741" i="73"/>
  <c r="O3741" i="73" s="1"/>
  <c r="N780" i="73"/>
  <c r="O780" i="73" s="1"/>
  <c r="P780" i="73" s="1"/>
  <c r="N901" i="73"/>
  <c r="O901" i="73" s="1"/>
  <c r="P901" i="73" s="1"/>
  <c r="N669" i="73"/>
  <c r="O669" i="73" s="1"/>
  <c r="P669" i="73" s="1"/>
  <c r="N697" i="73"/>
  <c r="O697" i="73" s="1"/>
  <c r="P697" i="73" s="1"/>
  <c r="N915" i="73"/>
  <c r="O915" i="73" s="1"/>
  <c r="P915" i="73" s="1"/>
  <c r="N790" i="73"/>
  <c r="O790" i="73" s="1"/>
  <c r="P790" i="73" s="1"/>
  <c r="N747" i="73"/>
  <c r="O747" i="73" s="1"/>
  <c r="P747" i="73" s="1"/>
  <c r="N868" i="73"/>
  <c r="O868" i="73" s="1"/>
  <c r="P868" i="73" s="1"/>
  <c r="N613" i="73"/>
  <c r="O613" i="73" s="1"/>
  <c r="P613" i="73" s="1"/>
  <c r="N838" i="73"/>
  <c r="O838" i="73" s="1"/>
  <c r="P838" i="73" s="1"/>
  <c r="N969" i="73"/>
  <c r="O969" i="73" s="1"/>
  <c r="P969" i="73" s="1"/>
  <c r="N3640" i="73"/>
  <c r="O3640" i="73" s="1"/>
  <c r="P3640" i="73" s="1"/>
  <c r="N3341" i="73"/>
  <c r="O3341" i="73" s="1"/>
  <c r="P3341" i="73" s="1"/>
  <c r="N3442" i="73"/>
  <c r="O3442" i="73" s="1"/>
  <c r="P3442" i="73" s="1"/>
  <c r="N989" i="73"/>
  <c r="O989" i="73" s="1"/>
  <c r="P989" i="73" s="1"/>
  <c r="N1169" i="73"/>
  <c r="O1169" i="73" s="1"/>
  <c r="N1186" i="73"/>
  <c r="O1186" i="73" s="1"/>
  <c r="P1186" i="73" s="1"/>
  <c r="N1840" i="73"/>
  <c r="O1840" i="73" s="1"/>
  <c r="P1840" i="73" s="1"/>
  <c r="N3146" i="73"/>
  <c r="O3146" i="73" s="1"/>
  <c r="P3146" i="73" s="1"/>
  <c r="N2484" i="73"/>
  <c r="O2484" i="73" s="1"/>
  <c r="P2484" i="73" s="1"/>
  <c r="N2650" i="73"/>
  <c r="O2650" i="73" s="1"/>
  <c r="N1990" i="73"/>
  <c r="O1990" i="73" s="1"/>
  <c r="N1337" i="73"/>
  <c r="O1337" i="73" s="1"/>
  <c r="P1337" i="73" s="1"/>
  <c r="N2758" i="73"/>
  <c r="O2758" i="73" s="1"/>
  <c r="P2758" i="73" s="1"/>
  <c r="N2098" i="73"/>
  <c r="O2098" i="73" s="1"/>
  <c r="P2098" i="73" s="1"/>
  <c r="N1349" i="73"/>
  <c r="O1349" i="73" s="1"/>
  <c r="P1349" i="73" s="1"/>
  <c r="N2800" i="73"/>
  <c r="O2800" i="73" s="1"/>
  <c r="N2849" i="73"/>
  <c r="O2849" i="73" s="1"/>
  <c r="P2849" i="73" s="1"/>
  <c r="N2140" i="73"/>
  <c r="O2140" i="73" s="1"/>
  <c r="P2140" i="73" s="1"/>
  <c r="N1440" i="73"/>
  <c r="O1440" i="73" s="1"/>
  <c r="P1440" i="73" s="1"/>
  <c r="N2189" i="73"/>
  <c r="O2189" i="73" s="1"/>
  <c r="P2189" i="73" s="1"/>
  <c r="N1391" i="73"/>
  <c r="O1391" i="73" s="1"/>
  <c r="N2153" i="73"/>
  <c r="O2153" i="73" s="1"/>
  <c r="P2153" i="73" s="1"/>
  <c r="N1404" i="73"/>
  <c r="O1404" i="73" s="1"/>
  <c r="N2813" i="73"/>
  <c r="O2813" i="73" s="1"/>
  <c r="P2813" i="73" s="1"/>
  <c r="N2859" i="73"/>
  <c r="O2859" i="73" s="1"/>
  <c r="P2859" i="73" s="1"/>
  <c r="N2199" i="73"/>
  <c r="O2199" i="73" s="1"/>
  <c r="P2199" i="73" s="1"/>
  <c r="N1454" i="73"/>
  <c r="O1454" i="73" s="1"/>
  <c r="P1454" i="73" s="1"/>
  <c r="N2883" i="73"/>
  <c r="O2883" i="73" s="1"/>
  <c r="P2883" i="73" s="1"/>
  <c r="N2222" i="73"/>
  <c r="O2222" i="73" s="1"/>
  <c r="P2222" i="73" s="1"/>
  <c r="N2235" i="73"/>
  <c r="O2235" i="73" s="1"/>
  <c r="P2235" i="73" s="1"/>
  <c r="N2896" i="73"/>
  <c r="O2896" i="73" s="1"/>
  <c r="P2896" i="73" s="1"/>
  <c r="N1480" i="73"/>
  <c r="O1480" i="73" s="1"/>
  <c r="P1480" i="73" s="1"/>
  <c r="N1469" i="73"/>
  <c r="O1469" i="73" s="1"/>
  <c r="P1469" i="73" s="1"/>
  <c r="N2006" i="73"/>
  <c r="O2006" i="73" s="1"/>
  <c r="P2006" i="73" s="1"/>
  <c r="N2666" i="73"/>
  <c r="O2666" i="73" s="1"/>
  <c r="P2666" i="73" s="1"/>
  <c r="N1534" i="73"/>
  <c r="O1534" i="73" s="1"/>
  <c r="N2020" i="73"/>
  <c r="O2020" i="73" s="1"/>
  <c r="P2020" i="73" s="1"/>
  <c r="N2680" i="73"/>
  <c r="O2680" i="73" s="1"/>
  <c r="P2680" i="73" s="1"/>
  <c r="N1548" i="73"/>
  <c r="O1548" i="73" s="1"/>
  <c r="P1548" i="73" s="1"/>
  <c r="N2040" i="73"/>
  <c r="O2040" i="73" s="1"/>
  <c r="P2040" i="73" s="1"/>
  <c r="N2700" i="73"/>
  <c r="O2700" i="73" s="1"/>
  <c r="P2700" i="73" s="1"/>
  <c r="N1568" i="73"/>
  <c r="O1568" i="73" s="1"/>
  <c r="P1568" i="73" s="1"/>
  <c r="N2060" i="73"/>
  <c r="O2060" i="73" s="1"/>
  <c r="P2060" i="73" s="1"/>
  <c r="N2720" i="73"/>
  <c r="O2720" i="73" s="1"/>
  <c r="P2720" i="73" s="1"/>
  <c r="N1588" i="73"/>
  <c r="O1588" i="73" s="1"/>
  <c r="P1588" i="73" s="1"/>
  <c r="N1609" i="73"/>
  <c r="O1609" i="73" s="1"/>
  <c r="P1609" i="73" s="1"/>
  <c r="N2230" i="73"/>
  <c r="O2230" i="73" s="1"/>
  <c r="P2230" i="73" s="1"/>
  <c r="N2243" i="73"/>
  <c r="O2243" i="73" s="1"/>
  <c r="P2243" i="73" s="1"/>
  <c r="N2287" i="73"/>
  <c r="O2287" i="73" s="1"/>
  <c r="P2287" i="73" s="1"/>
  <c r="N2902" i="73"/>
  <c r="O2902" i="73" s="1"/>
  <c r="P2902" i="73" s="1"/>
  <c r="N2889" i="73"/>
  <c r="O2889" i="73" s="1"/>
  <c r="P2889" i="73" s="1"/>
  <c r="N2949" i="73"/>
  <c r="O2949" i="73"/>
  <c r="P2949" i="73" s="1"/>
  <c r="N3089" i="73"/>
  <c r="O3089" i="73" s="1"/>
  <c r="P3089" i="73" s="1"/>
  <c r="N2427" i="73"/>
  <c r="O2427" i="73" s="1"/>
  <c r="P2427" i="73" s="1"/>
  <c r="N1774" i="73"/>
  <c r="O1774" i="73" s="1"/>
  <c r="P1774" i="73" s="1"/>
  <c r="N2439" i="73"/>
  <c r="O2439" i="73" s="1"/>
  <c r="P2439" i="73" s="1"/>
  <c r="N1786" i="73"/>
  <c r="O1786" i="73" s="1"/>
  <c r="P1786" i="73" s="1"/>
  <c r="N3101" i="73"/>
  <c r="O3101" i="73" s="1"/>
  <c r="P3101" i="73" s="1"/>
  <c r="N2967" i="73"/>
  <c r="O2967" i="73" s="1"/>
  <c r="P2967" i="73" s="1"/>
  <c r="N2305" i="73"/>
  <c r="O2305" i="73" s="1"/>
  <c r="P2305" i="73" s="1"/>
  <c r="N1652" i="73"/>
  <c r="O1652" i="73" s="1"/>
  <c r="P1652" i="73" s="1"/>
  <c r="N2977" i="73"/>
  <c r="O2977" i="73" s="1"/>
  <c r="P2977" i="73" s="1"/>
  <c r="N2315" i="73"/>
  <c r="O2315" i="73" s="1"/>
  <c r="P2315" i="73" s="1"/>
  <c r="N1662" i="73"/>
  <c r="O1662" i="73" s="1"/>
  <c r="N3039" i="73"/>
  <c r="O3039" i="73" s="1"/>
  <c r="P3039" i="73" s="1"/>
  <c r="N3003" i="73"/>
  <c r="O3003" i="73" s="1"/>
  <c r="P3003" i="73" s="1"/>
  <c r="N2377" i="73"/>
  <c r="O2377" i="73" s="1"/>
  <c r="P2377" i="73" s="1"/>
  <c r="N2341" i="73"/>
  <c r="O2341" i="73" s="1"/>
  <c r="P2341" i="73" s="1"/>
  <c r="N1688" i="73"/>
  <c r="O1688" i="73" s="1"/>
  <c r="P1688" i="73" s="1"/>
  <c r="N1724" i="73"/>
  <c r="O1724" i="73" s="1"/>
  <c r="P1724" i="73" s="1"/>
  <c r="N3029" i="73"/>
  <c r="O3029" i="73" s="1"/>
  <c r="P3029" i="73" s="1"/>
  <c r="N2331" i="73"/>
  <c r="O2331" i="73" s="1"/>
  <c r="P2331" i="73" s="1"/>
  <c r="N2993" i="73"/>
  <c r="O2993" i="73" s="1"/>
  <c r="P2993" i="73" s="1"/>
  <c r="N1678" i="73"/>
  <c r="O1678" i="73" s="1"/>
  <c r="N2367" i="73"/>
  <c r="O2367" i="73" s="1"/>
  <c r="P2367" i="73" s="1"/>
  <c r="N1714" i="73"/>
  <c r="O1714" i="73" s="1"/>
  <c r="N3254" i="73"/>
  <c r="O3254" i="73" s="1"/>
  <c r="P3254" i="73" s="1"/>
  <c r="N2600" i="73"/>
  <c r="O2600" i="73" s="1"/>
  <c r="P2600" i="73" s="1"/>
  <c r="N1887" i="73"/>
  <c r="O1887" i="73" s="1"/>
  <c r="P1887" i="73" s="1"/>
  <c r="N3229" i="73"/>
  <c r="O3229" i="73" s="1"/>
  <c r="N1941" i="73"/>
  <c r="O1941" i="73" s="1"/>
  <c r="P1941" i="73" s="1"/>
  <c r="N2575" i="73"/>
  <c r="O2575" i="73" s="1"/>
  <c r="P2575" i="73" s="1"/>
  <c r="N1952" i="73"/>
  <c r="O1952" i="73" s="1"/>
  <c r="P1952" i="73" s="1"/>
  <c r="N3240" i="73"/>
  <c r="O3240" i="73" s="1"/>
  <c r="N2586" i="73"/>
  <c r="O2586" i="73" s="1"/>
  <c r="P2586" i="73" s="1"/>
  <c r="N3620" i="73"/>
  <c r="O3620" i="73" s="1"/>
  <c r="P3620" i="73" s="1"/>
  <c r="N3577" i="73"/>
  <c r="O3577" i="73" s="1"/>
  <c r="P3577" i="73" s="1"/>
  <c r="N4196" i="73"/>
  <c r="O4196" i="73" s="1"/>
  <c r="P4196" i="73" s="1"/>
  <c r="N3446" i="73"/>
  <c r="O3446" i="73" s="1"/>
  <c r="P3446" i="73" s="1"/>
  <c r="N3345" i="73"/>
  <c r="O3345" i="73" s="1"/>
  <c r="P3345" i="73" s="1"/>
  <c r="N3454" i="73"/>
  <c r="O3454" i="73" s="1"/>
  <c r="P3454" i="73" s="1"/>
  <c r="N3353" i="73"/>
  <c r="O3353" i="73" s="1"/>
  <c r="P3353" i="73" s="1"/>
  <c r="N3467" i="73"/>
  <c r="O3467" i="73" s="1"/>
  <c r="P3467" i="73" s="1"/>
  <c r="N3366" i="73"/>
  <c r="O3366" i="73" s="1"/>
  <c r="P3366" i="73" s="1"/>
  <c r="N3488" i="73"/>
  <c r="O3488" i="73" s="1"/>
  <c r="P3488" i="73" s="1"/>
  <c r="N3387" i="73"/>
  <c r="O3387" i="73" s="1"/>
  <c r="P3387" i="73" s="1"/>
  <c r="N3496" i="73"/>
  <c r="O3496" i="73" s="1"/>
  <c r="P3496" i="73" s="1"/>
  <c r="N3395" i="73"/>
  <c r="O3395" i="73" s="1"/>
  <c r="P3395" i="73" s="1"/>
  <c r="N3411" i="73"/>
  <c r="O3411" i="73" s="1"/>
  <c r="P3411" i="73" s="1"/>
  <c r="N3508" i="73"/>
  <c r="O3508" i="73" s="1"/>
  <c r="P3508" i="73" s="1"/>
  <c r="N3512" i="73"/>
  <c r="O3512" i="73" s="1"/>
  <c r="P3512" i="73" s="1"/>
  <c r="N3419" i="73"/>
  <c r="O3419" i="73" s="1"/>
  <c r="P3419" i="73" s="1"/>
  <c r="N3433" i="73"/>
  <c r="O3433" i="73" s="1"/>
  <c r="P3433" i="73" s="1"/>
  <c r="N3332" i="73"/>
  <c r="O3332" i="73" s="1"/>
  <c r="P3332" i="73" s="1"/>
  <c r="N3564" i="73"/>
  <c r="O3564" i="73" s="1"/>
  <c r="P3564" i="73" s="1"/>
  <c r="N3609" i="73"/>
  <c r="O3609" i="73" s="1"/>
  <c r="P3609" i="73" s="1"/>
  <c r="N4319" i="73"/>
  <c r="O4319" i="73" s="1"/>
  <c r="P4319" i="73" s="1"/>
  <c r="N4717" i="73"/>
  <c r="O4717" i="73" s="1"/>
  <c r="P4717" i="73" s="1"/>
  <c r="N354" i="73"/>
  <c r="O354" i="73" s="1"/>
  <c r="P354" i="73" s="1"/>
  <c r="N347" i="73"/>
  <c r="O347" i="73" s="1"/>
  <c r="P347" i="73" s="1"/>
  <c r="N4880" i="73"/>
  <c r="O4880" i="73" s="1"/>
  <c r="P4880" i="73" s="1"/>
  <c r="P4881" i="73"/>
  <c r="N260" i="73"/>
  <c r="O260" i="73" s="1"/>
  <c r="N51" i="73"/>
  <c r="O51" i="73" s="1"/>
  <c r="N62" i="73"/>
  <c r="O62" i="73" s="1"/>
  <c r="P62" i="73" s="1"/>
  <c r="N495" i="73"/>
  <c r="O495" i="73" s="1"/>
  <c r="P495" i="73" s="1"/>
  <c r="N272" i="73"/>
  <c r="O272" i="73" s="1"/>
  <c r="N4551" i="73"/>
  <c r="O4551" i="73" s="1"/>
  <c r="N4467" i="73"/>
  <c r="O4467" i="73" s="1"/>
  <c r="N4413" i="73"/>
  <c r="O4413" i="73" s="1"/>
  <c r="P4413" i="73" s="1"/>
  <c r="N4426" i="73"/>
  <c r="O4426" i="73" s="1"/>
  <c r="P4426" i="73" s="1"/>
  <c r="N3749" i="73"/>
  <c r="O3749" i="73" s="1"/>
  <c r="P3749" i="73" s="1"/>
  <c r="N3774" i="73"/>
  <c r="O3774" i="73" s="1"/>
  <c r="P3774" i="73" s="1"/>
  <c r="N3913" i="73"/>
  <c r="O3913" i="73" s="1"/>
  <c r="N3902" i="73"/>
  <c r="O3902" i="73" s="1"/>
  <c r="P3902" i="73" s="1"/>
  <c r="N3954" i="73"/>
  <c r="O3954" i="73" s="1"/>
  <c r="P3954" i="73" s="1"/>
  <c r="N663" i="73"/>
  <c r="O663" i="73" s="1"/>
  <c r="P663" i="73" s="1"/>
  <c r="N897" i="73"/>
  <c r="O897" i="73" s="1"/>
  <c r="P897" i="73" s="1"/>
  <c r="N776" i="73"/>
  <c r="O776" i="73" s="1"/>
  <c r="P776" i="73" s="1"/>
  <c r="N903" i="73"/>
  <c r="O903" i="73" s="1"/>
  <c r="P903" i="73" s="1"/>
  <c r="N671" i="73"/>
  <c r="O671" i="73" s="1"/>
  <c r="P671" i="73" s="1"/>
  <c r="N782" i="73"/>
  <c r="O782" i="73" s="1"/>
  <c r="P782" i="73" s="1"/>
  <c r="N699" i="73"/>
  <c r="O699" i="73" s="1"/>
  <c r="P699" i="73" s="1"/>
  <c r="N792" i="73"/>
  <c r="O792" i="73" s="1"/>
  <c r="P792" i="73" s="1"/>
  <c r="N615" i="73"/>
  <c r="O615" i="73" s="1"/>
  <c r="P615" i="73" s="1"/>
  <c r="N749" i="73"/>
  <c r="O749" i="73" s="1"/>
  <c r="P749" i="73" s="1"/>
  <c r="N870" i="73"/>
  <c r="O870" i="73" s="1"/>
  <c r="P870" i="73" s="1"/>
  <c r="N599" i="73"/>
  <c r="O599" i="73" s="1"/>
  <c r="N735" i="73"/>
  <c r="O735" i="73" s="1"/>
  <c r="P735" i="73" s="1"/>
  <c r="N721" i="73"/>
  <c r="O721" i="73" s="1"/>
  <c r="P721" i="73" s="1"/>
  <c r="N635" i="73"/>
  <c r="O635" i="73" s="1"/>
  <c r="N842" i="73"/>
  <c r="O842" i="73" s="1"/>
  <c r="N729" i="73"/>
  <c r="O729" i="73" s="1"/>
  <c r="P729" i="73" s="1"/>
  <c r="N643" i="73"/>
  <c r="O643" i="73" s="1"/>
  <c r="P643" i="73" s="1"/>
  <c r="N850" i="73"/>
  <c r="O850" i="73" s="1"/>
  <c r="N919" i="73"/>
  <c r="O919" i="73" s="1"/>
  <c r="P919" i="73" s="1"/>
  <c r="N798" i="73"/>
  <c r="O798" i="73" s="1"/>
  <c r="P798" i="73" s="1"/>
  <c r="N925" i="73"/>
  <c r="O925" i="73" s="1"/>
  <c r="P925" i="73" s="1"/>
  <c r="N806" i="73"/>
  <c r="O806" i="73" s="1"/>
  <c r="P806" i="73" s="1"/>
  <c r="N1041" i="73"/>
  <c r="O1041" i="73" s="1"/>
  <c r="N1030" i="73"/>
  <c r="O1030" i="73" s="1"/>
  <c r="P1030" i="73" s="1"/>
  <c r="N1097" i="73"/>
  <c r="O1097" i="73" s="1"/>
  <c r="N1140" i="73"/>
  <c r="O1140" i="73" s="1"/>
  <c r="P1140" i="73" s="1"/>
  <c r="N1171" i="73"/>
  <c r="O1171" i="73" s="1"/>
  <c r="P1171" i="73" s="1"/>
  <c r="N1188" i="73"/>
  <c r="O1188" i="73" s="1"/>
  <c r="P1188" i="73" s="1"/>
  <c r="N1294" i="73"/>
  <c r="O1294" i="73" s="1"/>
  <c r="N3286" i="73"/>
  <c r="O3286" i="73" s="1"/>
  <c r="P3286" i="73" s="1"/>
  <c r="N2632" i="73"/>
  <c r="O2632" i="73" s="1"/>
  <c r="P2632" i="73" s="1"/>
  <c r="N1972" i="73"/>
  <c r="O1972" i="73" s="1"/>
  <c r="P1972" i="73" s="1"/>
  <c r="N3127" i="73"/>
  <c r="O3127" i="73" s="1"/>
  <c r="P3127" i="73" s="1"/>
  <c r="N2465" i="73"/>
  <c r="O2465" i="73" s="1"/>
  <c r="P2465" i="73" s="1"/>
  <c r="N1812" i="73"/>
  <c r="O1812" i="73" s="1"/>
  <c r="P1812" i="73" s="1"/>
  <c r="N2473" i="73"/>
  <c r="O2473" i="73" s="1"/>
  <c r="P2473" i="73" s="1"/>
  <c r="N1829" i="73"/>
  <c r="O1829" i="73" s="1"/>
  <c r="P1829" i="73" s="1"/>
  <c r="N3135" i="73"/>
  <c r="O3135" i="73" s="1"/>
  <c r="P3135" i="73" s="1"/>
  <c r="N3152" i="73"/>
  <c r="O3152" i="73" s="1"/>
  <c r="P3152" i="73" s="1"/>
  <c r="N2490" i="73"/>
  <c r="O2490" i="73" s="1"/>
  <c r="P2490" i="73" s="1"/>
  <c r="N1846" i="73"/>
  <c r="O1846" i="73" s="1"/>
  <c r="P1846" i="73" s="1"/>
  <c r="N2656" i="73"/>
  <c r="O2656" i="73" s="1"/>
  <c r="P2656" i="73" s="1"/>
  <c r="N1996" i="73"/>
  <c r="O1996" i="73" s="1"/>
  <c r="P1996" i="73" s="1"/>
  <c r="N1343" i="73"/>
  <c r="O1343" i="73" s="1"/>
  <c r="N2775" i="73"/>
  <c r="O2775" i="73" s="1"/>
  <c r="P2775" i="73" s="1"/>
  <c r="N2115" i="73"/>
  <c r="O2115" i="73" s="1"/>
  <c r="P2115" i="73" s="1"/>
  <c r="N1370" i="73"/>
  <c r="O1370" i="73" s="1"/>
  <c r="P1370" i="73" s="1"/>
  <c r="N2100" i="73"/>
  <c r="O2100" i="73" s="1"/>
  <c r="N2760" i="73"/>
  <c r="O2760" i="73" s="1"/>
  <c r="N1351" i="73"/>
  <c r="O1351" i="73" s="1"/>
  <c r="P1351" i="73" s="1"/>
  <c r="N2823" i="73"/>
  <c r="O2823" i="73" s="1"/>
  <c r="P2823" i="73" s="1"/>
  <c r="N1414" i="73"/>
  <c r="O1414" i="73" s="1"/>
  <c r="P1414" i="73" s="1"/>
  <c r="N2163" i="73"/>
  <c r="O2163" i="73" s="1"/>
  <c r="P2163" i="73" s="1"/>
  <c r="N2851" i="73"/>
  <c r="O2851" i="73" s="1"/>
  <c r="P2851" i="73" s="1"/>
  <c r="N2142" i="73"/>
  <c r="O2142" i="73" s="1"/>
  <c r="P2142" i="73" s="1"/>
  <c r="N2802" i="73"/>
  <c r="O2802" i="73" s="1"/>
  <c r="P2802" i="73" s="1"/>
  <c r="N2191" i="73"/>
  <c r="O2191" i="73" s="1"/>
  <c r="N1442" i="73"/>
  <c r="O1442" i="73" s="1"/>
  <c r="P1442" i="73" s="1"/>
  <c r="N1393" i="73"/>
  <c r="O1393" i="73" s="1"/>
  <c r="P1393" i="73" s="1"/>
  <c r="N1406" i="73"/>
  <c r="O1406" i="73" s="1"/>
  <c r="P1406" i="73" s="1"/>
  <c r="N2815" i="73"/>
  <c r="O2815" i="73" s="1"/>
  <c r="P2815" i="73" s="1"/>
  <c r="N2155" i="73"/>
  <c r="O2155" i="73" s="1"/>
  <c r="P2155" i="73" s="1"/>
  <c r="N2175" i="73"/>
  <c r="O2175" i="73" s="1"/>
  <c r="N2835" i="73"/>
  <c r="O2835" i="73" s="1"/>
  <c r="N1426" i="73"/>
  <c r="O1426" i="73" s="1"/>
  <c r="N2855" i="73"/>
  <c r="O2855" i="73" s="1"/>
  <c r="P2855" i="73" s="1"/>
  <c r="N1448" i="73"/>
  <c r="O1448" i="73" s="1"/>
  <c r="P1448" i="73" s="1"/>
  <c r="N2195" i="73"/>
  <c r="O2195" i="73" s="1"/>
  <c r="P2195" i="73" s="1"/>
  <c r="N2885" i="73"/>
  <c r="O2885" i="73" s="1"/>
  <c r="N2224" i="73"/>
  <c r="O2224" i="73" s="1"/>
  <c r="N2237" i="73"/>
  <c r="O2237" i="73" s="1"/>
  <c r="N2898" i="73"/>
  <c r="O2898" i="73" s="1"/>
  <c r="N1482" i="73"/>
  <c r="O1482" i="73" s="1"/>
  <c r="N1471" i="73"/>
  <c r="O1471" i="73" s="1"/>
  <c r="N2215" i="73"/>
  <c r="O2215" i="73" s="1"/>
  <c r="N2876" i="73"/>
  <c r="O2876" i="73" s="1"/>
  <c r="N1491" i="73"/>
  <c r="O1491" i="73" s="1"/>
  <c r="N2908" i="73"/>
  <c r="O2908" i="73" s="1"/>
  <c r="P2908" i="73" s="1"/>
  <c r="N2247" i="73"/>
  <c r="O2247" i="73" s="1"/>
  <c r="P2247" i="73" s="1"/>
  <c r="N1499" i="73"/>
  <c r="O1499" i="73" s="1"/>
  <c r="P1499" i="73" s="1"/>
  <c r="N2669" i="73"/>
  <c r="O2669" i="73" s="1"/>
  <c r="N2009" i="73"/>
  <c r="O2009" i="73" s="1"/>
  <c r="P2009" i="73" s="1"/>
  <c r="N1537" i="73"/>
  <c r="O1537" i="73" s="1"/>
  <c r="P1537" i="73" s="1"/>
  <c r="N2685" i="73"/>
  <c r="O2685" i="73" s="1"/>
  <c r="P2685" i="73" s="1"/>
  <c r="N2025" i="73"/>
  <c r="O2025" i="73" s="1"/>
  <c r="P2025" i="73" s="1"/>
  <c r="N1553" i="73"/>
  <c r="O1553" i="73" s="1"/>
  <c r="P1553" i="73" s="1"/>
  <c r="N2705" i="73"/>
  <c r="O2705" i="73" s="1"/>
  <c r="P2705" i="73" s="1"/>
  <c r="N2045" i="73"/>
  <c r="O2045" i="73" s="1"/>
  <c r="P2045" i="73" s="1"/>
  <c r="N1573" i="73"/>
  <c r="O1573" i="73" s="1"/>
  <c r="P1573" i="73" s="1"/>
  <c r="N2725" i="73"/>
  <c r="O2725" i="73" s="1"/>
  <c r="P2725" i="73" s="1"/>
  <c r="N2065" i="73"/>
  <c r="O2065" i="73" s="1"/>
  <c r="P2065" i="73" s="1"/>
  <c r="N1593" i="73"/>
  <c r="O1593" i="73" s="1"/>
  <c r="P1593" i="73" s="1"/>
  <c r="N2742" i="73"/>
  <c r="O2742" i="73" s="1"/>
  <c r="P2742" i="73" s="1"/>
  <c r="N2082" i="73"/>
  <c r="O2082" i="73" s="1"/>
  <c r="P2082" i="73" s="1"/>
  <c r="N1630" i="73"/>
  <c r="O1630" i="73" s="1"/>
  <c r="N2929" i="73"/>
  <c r="O2929" i="73" s="1"/>
  <c r="N2270" i="73"/>
  <c r="O2270" i="73" s="1"/>
  <c r="N2267" i="73" s="1"/>
  <c r="O2267" i="73" s="1"/>
  <c r="P2267" i="73" s="1"/>
  <c r="N2904" i="73"/>
  <c r="O2904" i="73" s="1"/>
  <c r="P2904" i="73" s="1"/>
  <c r="N2891" i="73"/>
  <c r="O2891" i="73" s="1"/>
  <c r="P2891" i="73" s="1"/>
  <c r="N1780" i="73"/>
  <c r="O1780" i="73" s="1"/>
  <c r="P1780" i="73" s="1"/>
  <c r="N3095" i="73"/>
  <c r="O3095" i="73" s="1"/>
  <c r="P3095" i="73" s="1"/>
  <c r="N2433" i="73"/>
  <c r="O2433" i="73" s="1"/>
  <c r="P2433" i="73" s="1"/>
  <c r="N3103" i="73"/>
  <c r="O3103" i="73" s="1"/>
  <c r="P3103" i="73" s="1"/>
  <c r="N1788" i="73"/>
  <c r="O1788" i="73" s="1"/>
  <c r="P1788" i="73" s="1"/>
  <c r="N2441" i="73"/>
  <c r="O2441" i="73" s="1"/>
  <c r="P2441" i="73" s="1"/>
  <c r="N2309" i="73"/>
  <c r="O2309" i="73" s="1"/>
  <c r="N2971" i="73"/>
  <c r="O2971" i="73" s="1"/>
  <c r="P2971" i="73" s="1"/>
  <c r="N3007" i="73"/>
  <c r="O3007" i="73" s="1"/>
  <c r="P3007" i="73" s="1"/>
  <c r="N2381" i="73"/>
  <c r="O2381" i="73" s="1"/>
  <c r="P2381" i="73" s="1"/>
  <c r="N3043" i="73"/>
  <c r="O3043" i="73" s="1"/>
  <c r="P3043" i="73" s="1"/>
  <c r="N1728" i="73"/>
  <c r="O1728" i="73" s="1"/>
  <c r="P1728" i="73" s="1"/>
  <c r="N2345" i="73"/>
  <c r="O2345" i="73" s="1"/>
  <c r="P2345" i="73" s="1"/>
  <c r="N1692" i="73"/>
  <c r="O1692" i="73" s="1"/>
  <c r="P1692" i="73" s="1"/>
  <c r="N3023" i="73"/>
  <c r="O3023" i="73" s="1"/>
  <c r="P3023" i="73" s="1"/>
  <c r="N2361" i="73"/>
  <c r="O2361" i="73" s="1"/>
  <c r="P2361" i="73" s="1"/>
  <c r="N1672" i="73"/>
  <c r="O1672" i="73" s="1"/>
  <c r="P1672" i="73" s="1"/>
  <c r="N2325" i="73"/>
  <c r="O2325" i="73" s="1"/>
  <c r="P2325" i="73" s="1"/>
  <c r="N2987" i="73"/>
  <c r="O2987" i="73" s="1"/>
  <c r="N1708" i="73"/>
  <c r="O1708" i="73" s="1"/>
  <c r="P1708" i="73" s="1"/>
  <c r="N3031" i="73"/>
  <c r="O3031" i="73" s="1"/>
  <c r="P3031" i="73" s="1"/>
  <c r="N2995" i="73"/>
  <c r="O2995" i="73" s="1"/>
  <c r="P2995" i="73" s="1"/>
  <c r="N2369" i="73"/>
  <c r="O2369" i="73" s="1"/>
  <c r="P2369" i="73" s="1"/>
  <c r="N1680" i="73"/>
  <c r="O1680" i="73" s="1"/>
  <c r="P1680" i="73" s="1"/>
  <c r="N2333" i="73"/>
  <c r="O2333" i="73" s="1"/>
  <c r="P2333" i="73" s="1"/>
  <c r="N1716" i="73"/>
  <c r="O1716" i="73" s="1"/>
  <c r="P1716" i="73" s="1"/>
  <c r="N3059" i="73"/>
  <c r="O3059" i="73" s="1"/>
  <c r="P3059" i="73" s="1"/>
  <c r="N1744" i="73"/>
  <c r="O1744" i="73" s="1"/>
  <c r="N2397" i="73"/>
  <c r="O2397" i="73" s="1"/>
  <c r="N3070" i="73"/>
  <c r="O3070" i="73" s="1"/>
  <c r="N2408" i="73"/>
  <c r="O2408" i="73" s="1"/>
  <c r="P2408" i="73" s="1"/>
  <c r="N1755" i="73"/>
  <c r="O1755" i="73" s="1"/>
  <c r="N3256" i="73"/>
  <c r="O3256" i="73" s="1"/>
  <c r="N2602" i="73"/>
  <c r="O2602" i="73" s="1"/>
  <c r="P2602" i="73" s="1"/>
  <c r="N1889" i="73"/>
  <c r="O1889" i="73" s="1"/>
  <c r="P1889" i="73" s="1"/>
  <c r="N3260" i="73"/>
  <c r="O3260" i="73" s="1"/>
  <c r="P3260" i="73" s="1"/>
  <c r="N2606" i="73"/>
  <c r="O2606" i="73" s="1"/>
  <c r="N1897" i="73"/>
  <c r="O1897" i="73" s="1"/>
  <c r="P1897" i="73" s="1"/>
  <c r="N1925" i="73"/>
  <c r="O1925" i="73" s="1"/>
  <c r="P1925" i="73" s="1"/>
  <c r="N3213" i="73"/>
  <c r="O3213" i="73" s="1"/>
  <c r="P3213" i="73" s="1"/>
  <c r="N2559" i="73"/>
  <c r="O2559" i="73" s="1"/>
  <c r="P2559" i="73" s="1"/>
  <c r="N4242" i="73"/>
  <c r="O4242" i="73" s="1"/>
  <c r="N1919" i="73"/>
  <c r="O1919" i="73" s="1"/>
  <c r="P1919" i="73" s="1"/>
  <c r="N3207" i="73"/>
  <c r="O3207" i="73" s="1"/>
  <c r="P3207" i="73" s="1"/>
  <c r="N2553" i="73"/>
  <c r="O2553" i="73" s="1"/>
  <c r="N3231" i="73"/>
  <c r="O3231" i="73" s="1"/>
  <c r="P3231" i="73" s="1"/>
  <c r="N1943" i="73"/>
  <c r="O1943" i="73" s="1"/>
  <c r="N2577" i="73"/>
  <c r="O2577" i="73" s="1"/>
  <c r="P2577" i="73" s="1"/>
  <c r="N3242" i="73"/>
  <c r="O3242" i="73" s="1"/>
  <c r="P3242" i="73" s="1"/>
  <c r="N2588" i="73"/>
  <c r="O2588" i="73" s="1"/>
  <c r="N1954" i="73"/>
  <c r="O1954" i="73" s="1"/>
  <c r="N2608" i="73"/>
  <c r="O2608" i="73" s="1"/>
  <c r="P2608" i="73" s="1"/>
  <c r="N3262" i="73"/>
  <c r="O3262" i="73" s="1"/>
  <c r="P3262" i="73" s="1"/>
  <c r="N4190" i="73"/>
  <c r="O4190" i="73" s="1"/>
  <c r="P4190" i="73" s="1"/>
  <c r="N3573" i="73"/>
  <c r="O3573" i="73" s="1"/>
  <c r="P3573" i="73" s="1"/>
  <c r="N4198" i="73"/>
  <c r="O4198" i="73" s="1"/>
  <c r="P4198" i="73" s="1"/>
  <c r="N3579" i="73"/>
  <c r="O3579" i="73" s="1"/>
  <c r="P3579" i="73" s="1"/>
  <c r="N3532" i="73"/>
  <c r="O3532" i="73" s="1"/>
  <c r="N4145" i="73"/>
  <c r="O4145" i="73" s="1"/>
  <c r="N3591" i="73"/>
  <c r="O3591" i="73" s="1"/>
  <c r="N3548" i="73"/>
  <c r="O3548" i="73" s="1"/>
  <c r="N4161" i="73"/>
  <c r="O4161" i="73" s="1"/>
  <c r="P4161" i="73" s="1"/>
  <c r="N3448" i="73"/>
  <c r="O3448" i="73" s="1"/>
  <c r="P3448" i="73" s="1"/>
  <c r="N3347" i="73"/>
  <c r="O3347" i="73" s="1"/>
  <c r="P3347" i="73" s="1"/>
  <c r="N3456" i="73"/>
  <c r="O3456" i="73" s="1"/>
  <c r="P3456" i="73" s="1"/>
  <c r="N3355" i="73"/>
  <c r="O3355" i="73" s="1"/>
  <c r="P3355" i="73" s="1"/>
  <c r="N3474" i="73"/>
  <c r="O3474" i="73" s="1"/>
  <c r="P3474" i="73" s="1"/>
  <c r="N3373" i="73"/>
  <c r="O3373" i="73" s="1"/>
  <c r="P3373" i="73" s="1"/>
  <c r="N3490" i="73"/>
  <c r="O3490" i="73" s="1"/>
  <c r="P3490" i="73" s="1"/>
  <c r="N3389" i="73"/>
  <c r="O3389" i="73" s="1"/>
  <c r="P3389" i="73" s="1"/>
  <c r="N3498" i="73"/>
  <c r="O3498" i="73" s="1"/>
  <c r="P3498" i="73" s="1"/>
  <c r="N3397" i="73"/>
  <c r="O3397" i="73" s="1"/>
  <c r="P3397" i="73" s="1"/>
  <c r="N3413" i="73"/>
  <c r="O3413" i="73" s="1"/>
  <c r="P3413" i="73" s="1"/>
  <c r="N3510" i="73"/>
  <c r="O3510" i="73" s="1"/>
  <c r="P3510" i="73" s="1"/>
  <c r="N3435" i="73"/>
  <c r="O3435" i="73" s="1"/>
  <c r="N3334" i="73"/>
  <c r="O3334" i="73" s="1"/>
  <c r="N3585" i="73"/>
  <c r="O3585" i="73" s="1"/>
  <c r="P3585" i="73" s="1"/>
  <c r="N3622" i="73"/>
  <c r="O3622" i="73" s="1"/>
  <c r="P3622" i="73" s="1"/>
  <c r="N3627" i="73"/>
  <c r="O3627" i="73" s="1"/>
  <c r="N4207" i="73"/>
  <c r="O4207" i="73" s="1"/>
  <c r="P4207" i="73" s="1"/>
  <c r="N728" i="73"/>
  <c r="O728" i="73" s="1"/>
  <c r="P728" i="73" s="1"/>
  <c r="N3083" i="73"/>
  <c r="O3083" i="73" s="1"/>
  <c r="P3083" i="73" s="1"/>
  <c r="N3930" i="73"/>
  <c r="O3930" i="73" s="1"/>
  <c r="O4498" i="73"/>
  <c r="P4498" i="73"/>
  <c r="N3206" i="73" l="1"/>
  <c r="O3206" i="73" s="1"/>
  <c r="P1361" i="73"/>
  <c r="N1360" i="73"/>
  <c r="O1360" i="73" s="1"/>
  <c r="P1360" i="73" s="1"/>
  <c r="N3198" i="73"/>
  <c r="O3198" i="73" s="1"/>
  <c r="P3198" i="73" s="1"/>
  <c r="N3953" i="73"/>
  <c r="O3953" i="73" s="1"/>
  <c r="P3953" i="73" s="1"/>
  <c r="N1910" i="73"/>
  <c r="O1910" i="73" s="1"/>
  <c r="P1910" i="73" s="1"/>
  <c r="N1348" i="73"/>
  <c r="O1348" i="73" s="1"/>
  <c r="P1348" i="73" s="1"/>
  <c r="N67" i="73"/>
  <c r="O67" i="73" s="1"/>
  <c r="P67" i="73" s="1"/>
  <c r="N346" i="73"/>
  <c r="O346" i="73" s="1"/>
  <c r="N4660" i="73"/>
  <c r="O4660" i="73" s="1"/>
  <c r="P4660" i="73" s="1"/>
  <c r="N4641" i="73"/>
  <c r="O4641" i="73" s="1"/>
  <c r="P4641" i="73" s="1"/>
  <c r="N4223" i="73"/>
  <c r="O4223" i="73" s="1"/>
  <c r="P4223" i="73" s="1"/>
  <c r="N1054" i="73"/>
  <c r="O1054" i="73" s="1"/>
  <c r="P1054" i="73" s="1"/>
  <c r="P3963" i="73"/>
  <c r="N3962" i="73"/>
  <c r="O3962" i="73" s="1"/>
  <c r="P3962" i="73" s="1"/>
  <c r="N3723" i="73"/>
  <c r="O3723" i="73" s="1"/>
  <c r="P3723" i="73" s="1"/>
  <c r="N642" i="73"/>
  <c r="O642" i="73" s="1"/>
  <c r="P642" i="73" s="1"/>
  <c r="N720" i="73"/>
  <c r="O720" i="73" s="1"/>
  <c r="P720" i="73" s="1"/>
  <c r="N2544" i="73"/>
  <c r="O2544" i="73" s="1"/>
  <c r="P2544" i="73" s="1"/>
  <c r="N3899" i="73"/>
  <c r="O3899" i="73" s="1"/>
  <c r="P3899" i="73" s="1"/>
  <c r="P2270" i="73"/>
  <c r="N525" i="73"/>
  <c r="O525" i="73" s="1"/>
  <c r="N1517" i="73"/>
  <c r="O1517" i="73" s="1"/>
  <c r="P1517" i="73" s="1"/>
  <c r="P4139" i="73"/>
  <c r="Q4139" i="73" s="1"/>
  <c r="N4138" i="73"/>
  <c r="O4138" i="73" s="1"/>
  <c r="P4138" i="73" s="1"/>
  <c r="N972" i="73"/>
  <c r="O972" i="73" s="1"/>
  <c r="P972" i="73" s="1"/>
  <c r="P973" i="73"/>
  <c r="P2770" i="73"/>
  <c r="Q2770" i="73" s="1"/>
  <c r="N2769" i="73"/>
  <c r="O2769" i="73" s="1"/>
  <c r="P2769" i="73" s="1"/>
  <c r="P4006" i="73"/>
  <c r="N4003" i="73"/>
  <c r="O4003" i="73" s="1"/>
  <c r="P4003" i="73" s="1"/>
  <c r="P4934" i="73"/>
  <c r="N4933" i="73"/>
  <c r="O4933" i="73" s="1"/>
  <c r="P4933" i="73" s="1"/>
  <c r="P4290" i="73"/>
  <c r="N4289" i="73"/>
  <c r="O4289" i="73" s="1"/>
  <c r="P4289" i="73" s="1"/>
  <c r="N4561" i="73"/>
  <c r="O4561" i="73" s="1"/>
  <c r="P4561" i="73" s="1"/>
  <c r="P4562" i="73"/>
  <c r="N1468" i="73"/>
  <c r="O1468" i="73" s="1"/>
  <c r="P1468" i="73" s="1"/>
  <c r="N79" i="73"/>
  <c r="O79" i="73" s="1"/>
  <c r="N734" i="73"/>
  <c r="O734" i="73" s="1"/>
  <c r="P734" i="73" s="1"/>
  <c r="N2421" i="73"/>
  <c r="O2421" i="73" s="1"/>
  <c r="P2421" i="73" s="1"/>
  <c r="N29" i="73"/>
  <c r="O29" i="73" s="1"/>
  <c r="P29" i="73" s="1"/>
  <c r="N494" i="73"/>
  <c r="O494" i="73" s="1"/>
  <c r="P494" i="73" s="1"/>
  <c r="N2574" i="73"/>
  <c r="O2574" i="73" s="1"/>
  <c r="P2574" i="73" s="1"/>
  <c r="N353" i="73"/>
  <c r="O353" i="73" s="1"/>
  <c r="P353" i="73" s="1"/>
  <c r="N552" i="73"/>
  <c r="O552" i="73" s="1"/>
  <c r="P552" i="73" s="1"/>
  <c r="N584" i="73"/>
  <c r="O584" i="73" s="1"/>
  <c r="P584" i="73" s="1"/>
  <c r="N2137" i="73"/>
  <c r="O2137" i="73" s="1"/>
  <c r="P2137" i="73" s="1"/>
  <c r="N2405" i="73"/>
  <c r="O2405" i="73" s="1"/>
  <c r="N3604" i="73"/>
  <c r="O3604" i="73" s="1"/>
  <c r="P3604" i="73" s="1"/>
  <c r="N2846" i="73"/>
  <c r="O2846" i="73" s="1"/>
  <c r="P2846" i="73" s="1"/>
  <c r="N2109" i="73"/>
  <c r="O2109" i="73" s="1"/>
  <c r="P2109" i="73" s="1"/>
  <c r="N835" i="73"/>
  <c r="O835" i="73" s="1"/>
  <c r="P835" i="73" s="1"/>
  <c r="N376" i="73"/>
  <c r="O376" i="73" s="1"/>
  <c r="P376" i="73" s="1"/>
  <c r="N569" i="73"/>
  <c r="O569" i="73" s="1"/>
  <c r="P569" i="73" s="1"/>
  <c r="P2553" i="73"/>
  <c r="N2552" i="73"/>
  <c r="O2552" i="73" s="1"/>
  <c r="P2552" i="73" s="1"/>
  <c r="P599" i="73"/>
  <c r="N598" i="73"/>
  <c r="O598" i="73" s="1"/>
  <c r="N597" i="73" s="1"/>
  <c r="O597" i="73" s="1"/>
  <c r="P597" i="73" s="1"/>
  <c r="P3229" i="73"/>
  <c r="N3228" i="73"/>
  <c r="O3228" i="73" s="1"/>
  <c r="P3228" i="73" s="1"/>
  <c r="P3070" i="73"/>
  <c r="N3067" i="73"/>
  <c r="O3067" i="73" s="1"/>
  <c r="P3067" i="73" s="1"/>
  <c r="P2987" i="73"/>
  <c r="N2986" i="73"/>
  <c r="O2986" i="73" s="1"/>
  <c r="P1491" i="73"/>
  <c r="Q1491" i="73" s="1"/>
  <c r="N1490" i="73"/>
  <c r="O1490" i="73" s="1"/>
  <c r="P1490" i="73" s="1"/>
  <c r="P1294" i="73"/>
  <c r="P1662" i="73"/>
  <c r="N1645" i="73"/>
  <c r="O1645" i="73" s="1"/>
  <c r="P1645" i="73" s="1"/>
  <c r="P2397" i="73"/>
  <c r="N2396" i="73"/>
  <c r="O2396" i="73" s="1"/>
  <c r="P2396" i="73" s="1"/>
  <c r="P2876" i="73"/>
  <c r="Q2876" i="73" s="1"/>
  <c r="N2875" i="73"/>
  <c r="O2875" i="73" s="1"/>
  <c r="P2875" i="73" s="1"/>
  <c r="P1343" i="73"/>
  <c r="N1336" i="73"/>
  <c r="O1336" i="73" s="1"/>
  <c r="P1336" i="73" s="1"/>
  <c r="P3913" i="73"/>
  <c r="N3912" i="73"/>
  <c r="O3912" i="73" s="1"/>
  <c r="P3912" i="73" s="1"/>
  <c r="P272" i="73"/>
  <c r="N271" i="73"/>
  <c r="O271" i="73" s="1"/>
  <c r="P271" i="73" s="1"/>
  <c r="N1882" i="73"/>
  <c r="O1882" i="73" s="1"/>
  <c r="P1882" i="73" s="1"/>
  <c r="N3058" i="73"/>
  <c r="O3058" i="73" s="1"/>
  <c r="P3058" i="73" s="1"/>
  <c r="N1139" i="73"/>
  <c r="O1139" i="73" s="1"/>
  <c r="P1139" i="73" s="1"/>
  <c r="N61" i="73"/>
  <c r="O61" i="73" s="1"/>
  <c r="P61" i="73" s="1"/>
  <c r="N4408" i="73"/>
  <c r="O4408" i="73" s="1"/>
  <c r="P4408" i="73" s="1"/>
  <c r="P1471" i="73"/>
  <c r="N3875" i="73"/>
  <c r="O3875" i="73" s="1"/>
  <c r="P3875" i="73" s="1"/>
  <c r="P20" i="73"/>
  <c r="N19" i="73"/>
  <c r="O19" i="73" s="1"/>
  <c r="P19" i="73" s="1"/>
  <c r="P190" i="73"/>
  <c r="N189" i="73"/>
  <c r="O189" i="73" s="1"/>
  <c r="P189" i="73" s="1"/>
  <c r="P4067" i="73"/>
  <c r="N4066" i="73"/>
  <c r="O4066" i="73" s="1"/>
  <c r="P4066" i="73" s="1"/>
  <c r="P1020" i="73"/>
  <c r="N1015" i="73"/>
  <c r="O1015" i="73" s="1"/>
  <c r="P1015" i="73" s="1"/>
  <c r="P1302" i="73"/>
  <c r="N1301" i="73"/>
  <c r="O1301" i="73" s="1"/>
  <c r="P338" i="73"/>
  <c r="N337" i="73"/>
  <c r="O337" i="73" s="1"/>
  <c r="P337" i="73" s="1"/>
  <c r="P4019" i="73"/>
  <c r="N4016" i="73"/>
  <c r="O4016" i="73" s="1"/>
  <c r="P4016" i="73" s="1"/>
  <c r="N3923" i="73"/>
  <c r="O3923" i="73" s="1"/>
  <c r="P3923" i="73" s="1"/>
  <c r="P1227" i="73"/>
  <c r="Q1227" i="73" s="1"/>
  <c r="N1226" i="73"/>
  <c r="O1226" i="73" s="1"/>
  <c r="P1226" i="73" s="1"/>
  <c r="N2081" i="73"/>
  <c r="O2081" i="73" s="1"/>
  <c r="P2081" i="73" s="1"/>
  <c r="N2150" i="73"/>
  <c r="O2150" i="73" s="1"/>
  <c r="P2150" i="73" s="1"/>
  <c r="N3022" i="73"/>
  <c r="O3022" i="73" s="1"/>
  <c r="N1437" i="73"/>
  <c r="O1437" i="73" s="1"/>
  <c r="N3788" i="73"/>
  <c r="O3788" i="73" s="1"/>
  <c r="P1050" i="73"/>
  <c r="N1047" i="73"/>
  <c r="O1047" i="73" s="1"/>
  <c r="P1047" i="73" s="1"/>
  <c r="P4331" i="73"/>
  <c r="N4330" i="73"/>
  <c r="O4330" i="73" s="1"/>
  <c r="P4330" i="73" s="1"/>
  <c r="N1023" i="73"/>
  <c r="O1023" i="73" s="1"/>
  <c r="N4158" i="73"/>
  <c r="O4158" i="73" s="1"/>
  <c r="P4158" i="73" s="1"/>
  <c r="N4983" i="73"/>
  <c r="O4983" i="73" s="1"/>
  <c r="P4983" i="73" s="1"/>
  <c r="N966" i="73"/>
  <c r="O966" i="73" s="1"/>
  <c r="P966" i="73" s="1"/>
  <c r="N710" i="73"/>
  <c r="O710" i="73" s="1"/>
  <c r="P710" i="73" s="1"/>
  <c r="N3813" i="73"/>
  <c r="O3813" i="73" s="1"/>
  <c r="P3813" i="73" s="1"/>
  <c r="P1217" i="73"/>
  <c r="Q1217" i="73" s="1"/>
  <c r="N1216" i="73"/>
  <c r="O1216" i="73" s="1"/>
  <c r="P1216" i="73" s="1"/>
  <c r="P2940" i="73"/>
  <c r="N2939" i="73"/>
  <c r="O2939" i="73" s="1"/>
  <c r="P2939" i="73" s="1"/>
  <c r="P4782" i="73"/>
  <c r="Q4782" i="73" s="1"/>
  <c r="N4781" i="73"/>
  <c r="O4781" i="73" s="1"/>
  <c r="P4781" i="73" s="1"/>
  <c r="P346" i="73"/>
  <c r="N336" i="73"/>
  <c r="O336" i="73" s="1"/>
  <c r="P336" i="73" s="1"/>
  <c r="P2588" i="73"/>
  <c r="Q2588" i="73" s="1"/>
  <c r="N2585" i="73"/>
  <c r="O2585" i="73" s="1"/>
  <c r="P2585" i="73" s="1"/>
  <c r="N1347" i="73"/>
  <c r="O1347" i="73" s="1"/>
  <c r="P1347" i="73" s="1"/>
  <c r="N3545" i="73"/>
  <c r="O3545" i="73" s="1"/>
  <c r="P3545" i="73" s="1"/>
  <c r="P3548" i="73"/>
  <c r="P2885" i="73"/>
  <c r="N2882" i="73"/>
  <c r="O2882" i="73" s="1"/>
  <c r="P2882" i="73" s="1"/>
  <c r="P1041" i="73"/>
  <c r="N1034" i="73"/>
  <c r="O1034" i="73" s="1"/>
  <c r="P1034" i="73" s="1"/>
  <c r="P51" i="73"/>
  <c r="N48" i="73"/>
  <c r="O48" i="73" s="1"/>
  <c r="P48" i="73" s="1"/>
  <c r="N524" i="73"/>
  <c r="O524" i="73" s="1"/>
  <c r="P524" i="73" s="1"/>
  <c r="P525" i="73"/>
  <c r="P3591" i="73"/>
  <c r="N3590" i="73"/>
  <c r="O3590" i="73" s="1"/>
  <c r="P3590" i="73" s="1"/>
  <c r="P2929" i="73"/>
  <c r="N2928" i="73"/>
  <c r="O2928" i="73" s="1"/>
  <c r="P2928" i="73" s="1"/>
  <c r="P1426" i="73"/>
  <c r="N1423" i="73"/>
  <c r="O1423" i="73" s="1"/>
  <c r="P1423" i="73" s="1"/>
  <c r="P2100" i="73"/>
  <c r="N2097" i="73"/>
  <c r="O2097" i="73" s="1"/>
  <c r="P260" i="73"/>
  <c r="N257" i="73"/>
  <c r="O257" i="73" s="1"/>
  <c r="P257" i="73" s="1"/>
  <c r="P3240" i="73"/>
  <c r="Q3240" i="73" s="1"/>
  <c r="N3239" i="73"/>
  <c r="O3239" i="73" s="1"/>
  <c r="P3239" i="73" s="1"/>
  <c r="P1169" i="73"/>
  <c r="N1168" i="73"/>
  <c r="O1168" i="73" s="1"/>
  <c r="P1168" i="73" s="1"/>
  <c r="P1630" i="73"/>
  <c r="N1629" i="73"/>
  <c r="O1629" i="73" s="1"/>
  <c r="P1629" i="73" s="1"/>
  <c r="P2237" i="73"/>
  <c r="N2234" i="73"/>
  <c r="O2234" i="73" s="1"/>
  <c r="P2234" i="73" s="1"/>
  <c r="P2191" i="73"/>
  <c r="N2186" i="73"/>
  <c r="O2186" i="73" s="1"/>
  <c r="P1097" i="73"/>
  <c r="N1096" i="73"/>
  <c r="O1096" i="73" s="1"/>
  <c r="P1096" i="73" s="1"/>
  <c r="P2175" i="73"/>
  <c r="N2172" i="73"/>
  <c r="O2172" i="73" s="1"/>
  <c r="P2172" i="73" s="1"/>
  <c r="P635" i="73"/>
  <c r="N634" i="73"/>
  <c r="O634" i="73" s="1"/>
  <c r="P634" i="73" s="1"/>
  <c r="P4467" i="73"/>
  <c r="N4454" i="73"/>
  <c r="O4454" i="73" s="1"/>
  <c r="P4454" i="73" s="1"/>
  <c r="P1714" i="73"/>
  <c r="N1707" i="73"/>
  <c r="O1707" i="73" s="1"/>
  <c r="P1707" i="73" s="1"/>
  <c r="P1534" i="73"/>
  <c r="N1528" i="73"/>
  <c r="O1528" i="73" s="1"/>
  <c r="P1528" i="73" s="1"/>
  <c r="P2835" i="73"/>
  <c r="N2832" i="73"/>
  <c r="O2832" i="73" s="1"/>
  <c r="P2832" i="73" s="1"/>
  <c r="P842" i="73"/>
  <c r="Q842" i="73" s="1"/>
  <c r="N841" i="73"/>
  <c r="O841" i="73" s="1"/>
  <c r="P841" i="73" s="1"/>
  <c r="P1404" i="73"/>
  <c r="N1401" i="73"/>
  <c r="O1401" i="73" s="1"/>
  <c r="P1401" i="73" s="1"/>
  <c r="P2800" i="73"/>
  <c r="N2797" i="73"/>
  <c r="O2797" i="73" s="1"/>
  <c r="P2797" i="73" s="1"/>
  <c r="N3331" i="73"/>
  <c r="O3331" i="73" s="1"/>
  <c r="P3331" i="73" s="1"/>
  <c r="P3334" i="73"/>
  <c r="Q3334" i="73" s="1"/>
  <c r="N4241" i="73"/>
  <c r="O4241" i="73" s="1"/>
  <c r="P4242" i="73"/>
  <c r="P2669" i="73"/>
  <c r="N2660" i="73"/>
  <c r="O2660" i="73" s="1"/>
  <c r="P2660" i="73" s="1"/>
  <c r="P1482" i="73"/>
  <c r="N1479" i="73"/>
  <c r="O1479" i="73" s="1"/>
  <c r="P1479" i="73" s="1"/>
  <c r="N2757" i="73"/>
  <c r="O2757" i="73" s="1"/>
  <c r="P2760" i="73"/>
  <c r="P1990" i="73"/>
  <c r="N1989" i="73"/>
  <c r="O1989" i="73" s="1"/>
  <c r="P1989" i="73" s="1"/>
  <c r="P179" i="73"/>
  <c r="N178" i="73"/>
  <c r="O178" i="73" s="1"/>
  <c r="P178" i="73" s="1"/>
  <c r="P4031" i="73"/>
  <c r="N4030" i="73"/>
  <c r="O4030" i="73" s="1"/>
  <c r="P4030" i="73" s="1"/>
  <c r="P864" i="73"/>
  <c r="N855" i="73"/>
  <c r="O855" i="73" s="1"/>
  <c r="P1117" i="73"/>
  <c r="N1116" i="73"/>
  <c r="O1116" i="73" s="1"/>
  <c r="P279" i="73"/>
  <c r="N278" i="73"/>
  <c r="O278" i="73" s="1"/>
  <c r="P4577" i="73"/>
  <c r="N4576" i="73"/>
  <c r="O4576" i="73" s="1"/>
  <c r="P4576" i="73" s="1"/>
  <c r="P1620" i="73"/>
  <c r="N1619" i="73"/>
  <c r="O1619" i="73" s="1"/>
  <c r="P1619" i="73" s="1"/>
  <c r="P4342" i="73"/>
  <c r="N4339" i="73"/>
  <c r="O4339" i="73" s="1"/>
  <c r="P4339" i="73" s="1"/>
  <c r="N3838" i="73"/>
  <c r="O3838" i="73" s="1"/>
  <c r="P564" i="73"/>
  <c r="N563" i="73"/>
  <c r="O563" i="73" s="1"/>
  <c r="P563" i="73" s="1"/>
  <c r="P3715" i="73"/>
  <c r="N3714" i="73"/>
  <c r="O3714" i="73" s="1"/>
  <c r="P3714" i="73" s="1"/>
  <c r="P4299" i="73"/>
  <c r="N4298" i="73"/>
  <c r="O4298" i="73" s="1"/>
  <c r="K16" i="73" a="1"/>
  <c r="K16" i="73" s="1"/>
  <c r="P3930" i="73"/>
  <c r="P1023" i="73"/>
  <c r="N2985" i="73"/>
  <c r="O2985" i="73" s="1"/>
  <c r="P2985" i="73" s="1"/>
  <c r="P2986" i="73"/>
  <c r="N3205" i="73"/>
  <c r="O3205" i="73" s="1"/>
  <c r="P3206" i="73"/>
  <c r="P2405" i="73"/>
  <c r="P2309" i="73"/>
  <c r="N2298" i="73"/>
  <c r="O2298" i="73" s="1"/>
  <c r="N2551" i="73"/>
  <c r="O2551" i="73" s="1"/>
  <c r="N3330" i="73"/>
  <c r="O3330" i="73" s="1"/>
  <c r="P3330" i="73" s="1"/>
  <c r="N4421" i="73"/>
  <c r="O4421" i="73" s="1"/>
  <c r="N1185" i="73"/>
  <c r="O1185" i="73" s="1"/>
  <c r="P3435" i="73"/>
  <c r="N3432" i="73"/>
  <c r="O3432" i="73" s="1"/>
  <c r="P2606" i="73"/>
  <c r="N2599" i="73"/>
  <c r="O2599" i="73" s="1"/>
  <c r="P2599" i="73" s="1"/>
  <c r="P1744" i="73"/>
  <c r="N1743" i="73"/>
  <c r="O1743" i="73" s="1"/>
  <c r="P2898" i="73"/>
  <c r="N2895" i="73"/>
  <c r="O2895" i="73" s="1"/>
  <c r="P2895" i="73" s="1"/>
  <c r="P2224" i="73"/>
  <c r="N2221" i="73"/>
  <c r="O2221" i="73" s="1"/>
  <c r="P2221" i="73" s="1"/>
  <c r="P2215" i="73"/>
  <c r="N2214" i="73"/>
  <c r="O2214" i="73" s="1"/>
  <c r="P4551" i="73"/>
  <c r="N4550" i="73"/>
  <c r="O4550" i="73" s="1"/>
  <c r="P4550" i="73" s="1"/>
  <c r="P1678" i="73"/>
  <c r="N1671" i="73"/>
  <c r="O1671" i="73" s="1"/>
  <c r="P2650" i="73"/>
  <c r="N2649" i="73"/>
  <c r="O2649" i="73" s="1"/>
  <c r="P2965" i="73"/>
  <c r="N2960" i="73"/>
  <c r="O2960" i="73" s="1"/>
  <c r="P2015" i="73"/>
  <c r="N2000" i="73"/>
  <c r="O2000" i="73" s="1"/>
  <c r="N2360" i="73"/>
  <c r="O2360" i="73" s="1"/>
  <c r="N2324" i="73"/>
  <c r="O2324" i="73" s="1"/>
  <c r="N1918" i="73"/>
  <c r="O1918" i="73" s="1"/>
  <c r="P4145" i="73"/>
  <c r="N4144" i="73"/>
  <c r="O4144" i="73" s="1"/>
  <c r="N1940" i="73"/>
  <c r="O1940" i="73" s="1"/>
  <c r="P1940" i="73" s="1"/>
  <c r="P1943" i="73"/>
  <c r="P850" i="73"/>
  <c r="N849" i="73"/>
  <c r="O849" i="73" s="1"/>
  <c r="P849" i="73" s="1"/>
  <c r="N3626" i="73"/>
  <c r="O3626" i="73" s="1"/>
  <c r="P3626" i="73" s="1"/>
  <c r="P3627" i="73"/>
  <c r="P1755" i="73"/>
  <c r="N1752" i="73"/>
  <c r="O1752" i="73" s="1"/>
  <c r="P1752" i="73" s="1"/>
  <c r="P1391" i="73"/>
  <c r="N1388" i="73"/>
  <c r="O1388" i="73" s="1"/>
  <c r="P201" i="73"/>
  <c r="N200" i="73"/>
  <c r="O200" i="73" s="1"/>
  <c r="P2748" i="73"/>
  <c r="N2741" i="73"/>
  <c r="O2741" i="73" s="1"/>
  <c r="P2741" i="73" s="1"/>
  <c r="N2810" i="73"/>
  <c r="O2810" i="73" s="1"/>
  <c r="P2810" i="73" s="1"/>
  <c r="N1768" i="73"/>
  <c r="O1768" i="73" s="1"/>
  <c r="P1768" i="73" s="1"/>
  <c r="N3559" i="73"/>
  <c r="O3559" i="73" s="1"/>
  <c r="P3559" i="73" s="1"/>
  <c r="N3531" i="73"/>
  <c r="O3531" i="73" s="1"/>
  <c r="P3532" i="73"/>
  <c r="N1951" i="73"/>
  <c r="O1951" i="73" s="1"/>
  <c r="P1951" i="73" s="1"/>
  <c r="P1954" i="73"/>
  <c r="N3253" i="73"/>
  <c r="O3253" i="73" s="1"/>
  <c r="P3253" i="73" s="1"/>
  <c r="P3256" i="73"/>
  <c r="P3766" i="73"/>
  <c r="N3763" i="73"/>
  <c r="O3763" i="73" s="1"/>
  <c r="P4173" i="73"/>
  <c r="N4172" i="73"/>
  <c r="O4172" i="73" s="1"/>
  <c r="P4172" i="73" s="1"/>
  <c r="N3738" i="73"/>
  <c r="O3738" i="73" s="1"/>
  <c r="P3741" i="73"/>
  <c r="N264" i="73"/>
  <c r="O264" i="73" s="1"/>
  <c r="P264" i="73" s="1"/>
  <c r="P265" i="73"/>
  <c r="Q265" i="73" s="1"/>
  <c r="N295" i="73"/>
  <c r="O295" i="73" s="1"/>
  <c r="P295" i="73" s="1"/>
  <c r="P296" i="73"/>
  <c r="P230" i="73"/>
  <c r="N227" i="73"/>
  <c r="O227" i="73" s="1"/>
  <c r="P227" i="73" s="1"/>
  <c r="N55" i="73"/>
  <c r="O55" i="73" s="1"/>
  <c r="P55" i="73" s="1"/>
  <c r="Q4258" i="73"/>
  <c r="Q555" i="73"/>
  <c r="Q1186" i="73"/>
  <c r="L4877" i="73"/>
  <c r="M4877" i="73" s="1"/>
  <c r="Q846" i="73"/>
  <c r="Q911" i="73"/>
  <c r="Q820" i="73"/>
  <c r="Q3717" i="73"/>
  <c r="Q723" i="73"/>
  <c r="Q4342" i="73"/>
  <c r="Q1921" i="73"/>
  <c r="Q2406" i="73"/>
  <c r="Q856" i="73"/>
  <c r="Q3213" i="73"/>
  <c r="Q1925" i="73"/>
  <c r="Q711" i="73"/>
  <c r="Q2155" i="73"/>
  <c r="Q790" i="73"/>
  <c r="Q844" i="73"/>
  <c r="Q1169" i="73"/>
  <c r="Q49" i="73"/>
  <c r="Q4141" i="73"/>
  <c r="Q1171" i="73"/>
  <c r="Q681" i="73"/>
  <c r="Q945" i="73"/>
  <c r="Q56" i="73"/>
  <c r="Q1018" i="73"/>
  <c r="Q62" i="73"/>
  <c r="Q500" i="73"/>
  <c r="Q1219" i="73"/>
  <c r="Q810" i="73"/>
  <c r="Q4469" i="73"/>
  <c r="Q4017" i="73"/>
  <c r="Q794" i="73"/>
  <c r="Q107" i="73"/>
  <c r="Q919" i="73"/>
  <c r="L4990" i="73"/>
  <c r="M4990" i="73" s="1"/>
  <c r="L422" i="73"/>
  <c r="M422" i="73" s="1"/>
  <c r="L235" i="73"/>
  <c r="M235" i="73" s="1"/>
  <c r="Q2401" i="73"/>
  <c r="L1666" i="73"/>
  <c r="M1666" i="73" s="1"/>
  <c r="L1950" i="73"/>
  <c r="M1950" i="73" s="1"/>
  <c r="L219" i="73"/>
  <c r="M219" i="73" s="1"/>
  <c r="Q806" i="73"/>
  <c r="Q2859" i="73"/>
  <c r="Q943" i="73"/>
  <c r="Q1446" i="73"/>
  <c r="L2128" i="73"/>
  <c r="M2128" i="73" s="1"/>
  <c r="Q901" i="73"/>
  <c r="Q2586" i="73"/>
  <c r="L810" i="73"/>
  <c r="Q95" i="73"/>
  <c r="L2403" i="73"/>
  <c r="M2403" i="73" s="1"/>
  <c r="Q2110" i="73"/>
  <c r="L2617" i="73"/>
  <c r="M2617" i="73" s="1"/>
  <c r="L2974" i="73"/>
  <c r="M2974" i="73" s="1"/>
  <c r="L4972" i="73"/>
  <c r="M4972" i="73" s="1"/>
  <c r="L156" i="73"/>
  <c r="M156" i="73" s="1"/>
  <c r="L413" i="73"/>
  <c r="M413" i="73" s="1"/>
  <c r="L2624" i="73"/>
  <c r="M2624" i="73" s="1"/>
  <c r="Q3063" i="73"/>
  <c r="Q4718" i="73"/>
  <c r="L4784" i="73"/>
  <c r="M4784" i="73" s="1"/>
  <c r="L134" i="73"/>
  <c r="M134" i="73" s="1"/>
  <c r="L447" i="73"/>
  <c r="M447" i="73" s="1"/>
  <c r="L1924" i="73"/>
  <c r="M1924" i="73" s="1"/>
  <c r="L3212" i="73"/>
  <c r="M3212" i="73" s="1"/>
  <c r="L1655" i="73"/>
  <c r="M1655" i="73" s="1"/>
  <c r="L4940" i="73"/>
  <c r="M4940" i="73" s="1"/>
  <c r="L175" i="73"/>
  <c r="M175" i="73" s="1"/>
  <c r="L44" i="73"/>
  <c r="M44" i="73" s="1"/>
  <c r="L1939" i="73"/>
  <c r="M1939" i="73" s="1"/>
  <c r="L3278" i="73"/>
  <c r="M3278" i="73" s="1"/>
  <c r="L4649" i="73"/>
  <c r="M4649" i="73" s="1"/>
  <c r="Q927" i="73"/>
  <c r="Q574" i="73"/>
  <c r="Q824" i="73"/>
  <c r="Q997" i="73"/>
  <c r="L4469" i="73"/>
  <c r="L4907" i="73"/>
  <c r="M4907" i="73" s="1"/>
  <c r="Q915" i="73"/>
  <c r="Q1450" i="73"/>
  <c r="Q267" i="73"/>
  <c r="Q86" i="73"/>
  <c r="Q4092" i="73"/>
  <c r="Q683" i="73"/>
  <c r="Q1007" i="73"/>
  <c r="L500" i="73"/>
  <c r="L5011" i="73"/>
  <c r="M5011" i="73" s="1"/>
  <c r="L1496" i="73"/>
  <c r="M1496" i="73" s="1"/>
  <c r="L1844" i="73"/>
  <c r="M1844" i="73" s="1"/>
  <c r="Q798" i="73"/>
  <c r="Q955" i="73"/>
  <c r="Q1710" i="73"/>
  <c r="Q637" i="73"/>
  <c r="Q4377" i="73"/>
  <c r="Q4114" i="73"/>
  <c r="Q649" i="73"/>
  <c r="Q1325" i="73"/>
  <c r="Q4055" i="73"/>
  <c r="L4543" i="73"/>
  <c r="M4543" i="73" s="1"/>
  <c r="L2181" i="73"/>
  <c r="M2181" i="73" s="1"/>
  <c r="L3928" i="73"/>
  <c r="M3928" i="73" s="1"/>
  <c r="Q725" i="73"/>
  <c r="Q3719" i="73"/>
  <c r="L351" i="73"/>
  <c r="M351" i="73" s="1"/>
  <c r="Q2333" i="73"/>
  <c r="Q697" i="73"/>
  <c r="Q4399" i="73"/>
  <c r="L1737" i="73"/>
  <c r="M1737" i="73" s="1"/>
  <c r="Q2189" i="73"/>
  <c r="L1607" i="73"/>
  <c r="M1607" i="73" s="1"/>
  <c r="L3066" i="73"/>
  <c r="M3066" i="73" s="1"/>
  <c r="L4859" i="73"/>
  <c r="M4859" i="73" s="1"/>
  <c r="L4053" i="73"/>
  <c r="M4053" i="73" s="1"/>
  <c r="L74" i="73"/>
  <c r="M74" i="73" s="1"/>
  <c r="L2283" i="73"/>
  <c r="M2283" i="73" s="1"/>
  <c r="L3614" i="73"/>
  <c r="M3614" i="73" s="1"/>
  <c r="L321" i="73"/>
  <c r="M321" i="73" s="1"/>
  <c r="Q1188" i="73"/>
  <c r="Q347" i="73"/>
  <c r="Q1662" i="73"/>
  <c r="Q1769" i="73"/>
  <c r="L1058" i="73"/>
  <c r="M1058" i="73" s="1"/>
  <c r="L2118" i="73"/>
  <c r="M2118" i="73" s="1"/>
  <c r="L1627" i="73"/>
  <c r="M1627" i="73" s="1"/>
  <c r="L288" i="73"/>
  <c r="M288" i="73" s="1"/>
  <c r="Q635" i="73"/>
  <c r="Q4426" i="73"/>
  <c r="Q3217" i="73"/>
  <c r="Q1424" i="73"/>
  <c r="Q647" i="73"/>
  <c r="Q822" i="73"/>
  <c r="L3328" i="73"/>
  <c r="M3328" i="73" s="1"/>
  <c r="L1173" i="73"/>
  <c r="M1173" i="73" s="1"/>
  <c r="L2386" i="73"/>
  <c r="M2386" i="73" s="1"/>
  <c r="L2853" i="73"/>
  <c r="M2853" i="73" s="1"/>
  <c r="L1202" i="73"/>
  <c r="M1202" i="73" s="1"/>
  <c r="M1201" i="73" s="1"/>
  <c r="Q1201" i="73" s="1"/>
  <c r="L945" i="73"/>
  <c r="L4740" i="73"/>
  <c r="M4740" i="73" s="1"/>
  <c r="L1385" i="73"/>
  <c r="M1385" i="73" s="1"/>
  <c r="Q780" i="73"/>
  <c r="Q2555" i="73"/>
  <c r="Q4473" i="73"/>
  <c r="Q689" i="73"/>
  <c r="L516" i="73"/>
  <c r="M516" i="73" s="1"/>
  <c r="L341" i="73"/>
  <c r="M341" i="73" s="1"/>
  <c r="M340" i="73" s="1"/>
  <c r="L340" i="73" s="1"/>
  <c r="L1569" i="73"/>
  <c r="M1569" i="73" s="1"/>
  <c r="L2306" i="73"/>
  <c r="M2306" i="73" s="1"/>
  <c r="L3065" i="73"/>
  <c r="M3065" i="73" s="1"/>
  <c r="L681" i="73"/>
  <c r="L4745" i="73"/>
  <c r="M4745" i="73" s="1"/>
  <c r="L3208" i="73"/>
  <c r="M3208" i="73" s="1"/>
  <c r="M3207" i="73" s="1"/>
  <c r="L1445" i="73"/>
  <c r="M1445" i="73" s="1"/>
  <c r="L1625" i="73"/>
  <c r="M1625" i="73" s="1"/>
  <c r="L4685" i="73"/>
  <c r="M4685" i="73" s="1"/>
  <c r="L4722" i="73"/>
  <c r="M4722" i="73" s="1"/>
  <c r="L5022" i="73"/>
  <c r="M5022" i="73" s="1"/>
  <c r="L224" i="73"/>
  <c r="M224" i="73" s="1"/>
  <c r="L491" i="73"/>
  <c r="M491" i="73" s="1"/>
  <c r="L509" i="73"/>
  <c r="M509" i="73" s="1"/>
  <c r="L2584" i="73"/>
  <c r="M2584" i="73" s="1"/>
  <c r="L4221" i="73"/>
  <c r="M4221" i="73" s="1"/>
  <c r="L1740" i="73"/>
  <c r="M1740" i="73" s="1"/>
  <c r="Q51" i="73"/>
  <c r="Q4457" i="73"/>
  <c r="Q1927" i="73"/>
  <c r="Q2857" i="73"/>
  <c r="Q3956" i="73"/>
  <c r="Q1005" i="73"/>
  <c r="L1196" i="73"/>
  <c r="M1196" i="73" s="1"/>
  <c r="L2292" i="73"/>
  <c r="M2292" i="73" s="1"/>
  <c r="L2696" i="73"/>
  <c r="M2696" i="73" s="1"/>
  <c r="L1919" i="73"/>
  <c r="Q1919" i="73"/>
  <c r="L1302" i="73"/>
  <c r="Q1302" i="73"/>
  <c r="L2563" i="73"/>
  <c r="Q2563" i="73"/>
  <c r="L4041" i="73"/>
  <c r="Q4041" i="73"/>
  <c r="L192" i="73"/>
  <c r="Q192" i="73"/>
  <c r="L2173" i="73"/>
  <c r="Q2173" i="73"/>
  <c r="Q526" i="73"/>
  <c r="L526" i="73"/>
  <c r="Q4340" i="73"/>
  <c r="L4340" i="73"/>
  <c r="L1332" i="73"/>
  <c r="M1332" i="73" s="1"/>
  <c r="L4403" i="73"/>
  <c r="M4403" i="73" s="1"/>
  <c r="L3235" i="73"/>
  <c r="M3235" i="73" s="1"/>
  <c r="L1905" i="73"/>
  <c r="M1905" i="73" s="1"/>
  <c r="Q4244" i="73"/>
  <c r="Q181" i="73"/>
  <c r="L2541" i="73"/>
  <c r="M2541" i="73" s="1"/>
  <c r="L1807" i="73"/>
  <c r="M1807" i="73" s="1"/>
  <c r="L706" i="73"/>
  <c r="M706" i="73" s="1"/>
  <c r="L4217" i="73"/>
  <c r="M4217" i="73" s="1"/>
  <c r="L4234" i="73"/>
  <c r="M4234" i="73" s="1"/>
  <c r="L2581" i="73"/>
  <c r="M2581" i="73" s="1"/>
  <c r="L328" i="73"/>
  <c r="M328" i="73" s="1"/>
  <c r="L3277" i="73"/>
  <c r="M3277" i="73" s="1"/>
  <c r="L4664" i="73"/>
  <c r="M4664" i="73" s="1"/>
  <c r="L4075" i="73"/>
  <c r="M4075" i="73" s="1"/>
  <c r="L3016" i="73"/>
  <c r="M3016" i="73" s="1"/>
  <c r="L2997" i="73"/>
  <c r="M2997" i="73" s="1"/>
  <c r="L2061" i="73"/>
  <c r="M2061" i="73" s="1"/>
  <c r="L1697" i="73"/>
  <c r="M1697" i="73" s="1"/>
  <c r="L1179" i="73"/>
  <c r="M1179" i="73" s="1"/>
  <c r="L23" i="73"/>
  <c r="M23" i="73" s="1"/>
  <c r="L2216" i="73"/>
  <c r="M2216" i="73" s="1"/>
  <c r="M2215" i="73" s="1"/>
  <c r="L4477" i="73"/>
  <c r="Q4477" i="73"/>
  <c r="L3085" i="73"/>
  <c r="M3085" i="73" s="1"/>
  <c r="M3084" i="73" s="1"/>
  <c r="L1930" i="73"/>
  <c r="M1930" i="73" s="1"/>
  <c r="M1929" i="73" s="1"/>
  <c r="L397" i="73"/>
  <c r="M397" i="73" s="1"/>
  <c r="L2370" i="73"/>
  <c r="M2370" i="73" s="1"/>
  <c r="M2369" i="73" s="1"/>
  <c r="L319" i="73"/>
  <c r="M319" i="73" s="1"/>
  <c r="L1146" i="73"/>
  <c r="M1146" i="73" s="1"/>
  <c r="M1145" i="73" s="1"/>
  <c r="L4410" i="73"/>
  <c r="M4410" i="73" s="1"/>
  <c r="M4409" i="73" s="1"/>
  <c r="L133" i="73"/>
  <c r="M133" i="73" s="1"/>
  <c r="L1305" i="73"/>
  <c r="M1305" i="73" s="1"/>
  <c r="M1304" i="73" s="1"/>
  <c r="L2469" i="73"/>
  <c r="M2469" i="73" s="1"/>
  <c r="L3383" i="73"/>
  <c r="M3383" i="73" s="1"/>
  <c r="L1390" i="73"/>
  <c r="M1390" i="73" s="1"/>
  <c r="M1389" i="73" s="1"/>
  <c r="L2848" i="73"/>
  <c r="M2848" i="73" s="1"/>
  <c r="M2847" i="73" s="1"/>
  <c r="L4631" i="73"/>
  <c r="M4631" i="73" s="1"/>
  <c r="L4009" i="73"/>
  <c r="M4009" i="73" s="1"/>
  <c r="L2964" i="73"/>
  <c r="M2964" i="73" s="1"/>
  <c r="L2998" i="73"/>
  <c r="M2998" i="73" s="1"/>
  <c r="L2038" i="73"/>
  <c r="M2038" i="73" s="1"/>
  <c r="L1702" i="73"/>
  <c r="M1702" i="73" s="1"/>
  <c r="L1571" i="73"/>
  <c r="M1571" i="73" s="1"/>
  <c r="L1373" i="73"/>
  <c r="M1373" i="73" s="1"/>
  <c r="L591" i="73"/>
  <c r="M591" i="73" s="1"/>
  <c r="L366" i="73"/>
  <c r="M366" i="73" s="1"/>
  <c r="L3952" i="73"/>
  <c r="M3952" i="73" s="1"/>
  <c r="L2907" i="73"/>
  <c r="M2907" i="73" s="1"/>
  <c r="L2293" i="73"/>
  <c r="M2293" i="73" s="1"/>
  <c r="L2023" i="73"/>
  <c r="M2023" i="73" s="1"/>
  <c r="L1691" i="73"/>
  <c r="M1691" i="73" s="1"/>
  <c r="L1561" i="73"/>
  <c r="M1561" i="73" s="1"/>
  <c r="L1459" i="73"/>
  <c r="M1459" i="73" s="1"/>
  <c r="L205" i="73"/>
  <c r="M205" i="73" s="1"/>
  <c r="L286" i="73"/>
  <c r="M286" i="73" s="1"/>
  <c r="L3462" i="73"/>
  <c r="M3462" i="73" s="1"/>
  <c r="L1358" i="73"/>
  <c r="M1358" i="73" s="1"/>
  <c r="L446" i="73"/>
  <c r="M446" i="73" s="1"/>
  <c r="L2668" i="73"/>
  <c r="M2668" i="73" s="1"/>
  <c r="M2666" i="73" s="1"/>
  <c r="L862" i="73"/>
  <c r="M862" i="73" s="1"/>
  <c r="L75" i="73"/>
  <c r="M75" i="73" s="1"/>
  <c r="L1947" i="73"/>
  <c r="M1947" i="73" s="1"/>
  <c r="Q553" i="73"/>
  <c r="Q1192" i="73"/>
  <c r="Q528" i="73"/>
  <c r="Q1266" i="73"/>
  <c r="Q1143" i="73"/>
  <c r="L464" i="73"/>
  <c r="M464" i="73" s="1"/>
  <c r="L245" i="73"/>
  <c r="M245" i="73" s="1"/>
  <c r="L2458" i="73"/>
  <c r="M2458" i="73" s="1"/>
  <c r="L3120" i="73"/>
  <c r="M3120" i="73" s="1"/>
  <c r="Q2833" i="73"/>
  <c r="Q715" i="73"/>
  <c r="Q1312" i="73"/>
  <c r="Q2861" i="73"/>
  <c r="L2620" i="73"/>
  <c r="M2620" i="73" s="1"/>
  <c r="L1805" i="73"/>
  <c r="M1805" i="73" s="1"/>
  <c r="L195" i="73"/>
  <c r="M195" i="73" s="1"/>
  <c r="L1614" i="73"/>
  <c r="M1614" i="73" s="1"/>
  <c r="L2113" i="73"/>
  <c r="M2113" i="73" s="1"/>
  <c r="L2764" i="73"/>
  <c r="M2764" i="73" s="1"/>
  <c r="L3951" i="73"/>
  <c r="M3951" i="73" s="1"/>
  <c r="L110" i="73"/>
  <c r="M110" i="73" s="1"/>
  <c r="M109" i="73" s="1"/>
  <c r="L109" i="73" s="1"/>
  <c r="L507" i="73"/>
  <c r="M507" i="73" s="1"/>
  <c r="L273" i="73"/>
  <c r="M273" i="73" s="1"/>
  <c r="M272" i="73" s="1"/>
  <c r="L280" i="73"/>
  <c r="M280" i="73" s="1"/>
  <c r="M279" i="73" s="1"/>
  <c r="L535" i="73"/>
  <c r="M535" i="73" s="1"/>
  <c r="M534" i="73" s="1"/>
  <c r="L860" i="73"/>
  <c r="M860" i="73" s="1"/>
  <c r="L35" i="73"/>
  <c r="M35" i="73" s="1"/>
  <c r="M34" i="73" s="1"/>
  <c r="L1726" i="73"/>
  <c r="M1726" i="73" s="1"/>
  <c r="L54" i="73"/>
  <c r="M54" i="73" s="1"/>
  <c r="L1397" i="73"/>
  <c r="M1397" i="73" s="1"/>
  <c r="L1763" i="73"/>
  <c r="M1763" i="73" s="1"/>
  <c r="L2723" i="73"/>
  <c r="M2723" i="73" s="1"/>
  <c r="L4418" i="73"/>
  <c r="M4418" i="73" s="1"/>
  <c r="L1028" i="73"/>
  <c r="M1028" i="73" s="1"/>
  <c r="L4450" i="73"/>
  <c r="M4450" i="73" s="1"/>
  <c r="L1902" i="73"/>
  <c r="M1902" i="73" s="1"/>
  <c r="L3811" i="73"/>
  <c r="M3811" i="73" s="1"/>
  <c r="M3810" i="73" s="1"/>
  <c r="Q3810" i="73" s="1"/>
  <c r="L3761" i="73"/>
  <c r="M3761" i="73" s="1"/>
  <c r="M3760" i="73" s="1"/>
  <c r="L3760" i="73" s="1"/>
  <c r="Q1680" i="73"/>
  <c r="Q2187" i="73"/>
  <c r="L890" i="73"/>
  <c r="M890" i="73" s="1"/>
  <c r="L1277" i="73"/>
  <c r="M1277" i="73" s="1"/>
  <c r="L250" i="73"/>
  <c r="M250" i="73" s="1"/>
  <c r="L3032" i="73"/>
  <c r="M3032" i="73" s="1"/>
  <c r="M3031" i="73" s="1"/>
  <c r="Q3031" i="73" s="1"/>
  <c r="L1717" i="73"/>
  <c r="M1717" i="73" s="1"/>
  <c r="M1716" i="73" s="1"/>
  <c r="Q1716" i="73" s="1"/>
  <c r="L2996" i="73"/>
  <c r="M2996" i="73" s="1"/>
  <c r="M2995" i="73" s="1"/>
  <c r="L4257" i="73"/>
  <c r="M4257" i="73" s="1"/>
  <c r="M4256" i="73" s="1"/>
  <c r="Q4256" i="73" s="1"/>
  <c r="L2445" i="73"/>
  <c r="M2445" i="73" s="1"/>
  <c r="L496" i="73"/>
  <c r="M496" i="73" s="1"/>
  <c r="M495" i="73" s="1"/>
  <c r="L495" i="73" s="1"/>
  <c r="L2812" i="73"/>
  <c r="M2812" i="73" s="1"/>
  <c r="M2811" i="73" s="1"/>
  <c r="L2811" i="73" s="1"/>
  <c r="L2152" i="73"/>
  <c r="M2152" i="73" s="1"/>
  <c r="M2151" i="73" s="1"/>
  <c r="L2151" i="73" s="1"/>
  <c r="L1439" i="73"/>
  <c r="M1439" i="73" s="1"/>
  <c r="M1438" i="73" s="1"/>
  <c r="L1438" i="73" s="1"/>
  <c r="L2799" i="73"/>
  <c r="M2799" i="73" s="1"/>
  <c r="M2798" i="73" s="1"/>
  <c r="L2139" i="73"/>
  <c r="M2139" i="73" s="1"/>
  <c r="M2138" i="73" s="1"/>
  <c r="L2138" i="73" s="1"/>
  <c r="L1403" i="73"/>
  <c r="M1403" i="73" s="1"/>
  <c r="M1402" i="73" s="1"/>
  <c r="L1402" i="73" s="1"/>
  <c r="L4051" i="73"/>
  <c r="M4051" i="73" s="1"/>
  <c r="L3131" i="73"/>
  <c r="M3131" i="73" s="1"/>
  <c r="L3005" i="73"/>
  <c r="M3005" i="73" s="1"/>
  <c r="L1816" i="73"/>
  <c r="M1816" i="73" s="1"/>
  <c r="L1690" i="73"/>
  <c r="M1690" i="73" s="1"/>
  <c r="L1071" i="73"/>
  <c r="M1071" i="73" s="1"/>
  <c r="L33" i="73"/>
  <c r="M33" i="73" s="1"/>
  <c r="M32" i="73" s="1"/>
  <c r="L32" i="73" s="1"/>
  <c r="L3476" i="73"/>
  <c r="M3476" i="73" s="1"/>
  <c r="L3041" i="73"/>
  <c r="M3041" i="73" s="1"/>
  <c r="L3375" i="73"/>
  <c r="M3375" i="73" s="1"/>
  <c r="L2379" i="73"/>
  <c r="M2379" i="73" s="1"/>
  <c r="L1176" i="73"/>
  <c r="M1176" i="73" s="1"/>
  <c r="M1175" i="73" s="1"/>
  <c r="L1175" i="73" s="1"/>
  <c r="L508" i="73"/>
  <c r="M508" i="73" s="1"/>
  <c r="L191" i="73"/>
  <c r="M191" i="73" s="1"/>
  <c r="M190" i="73" s="1"/>
  <c r="L190" i="73" s="1"/>
  <c r="L4425" i="73"/>
  <c r="M4425" i="73" s="1"/>
  <c r="M4424" i="73" s="1"/>
  <c r="L4424" i="73" s="1"/>
  <c r="L4412" i="73"/>
  <c r="M4412" i="73" s="1"/>
  <c r="M4411" i="73" s="1"/>
  <c r="L4411" i="73" s="1"/>
  <c r="L2202" i="73"/>
  <c r="M2202" i="73" s="1"/>
  <c r="M2201" i="73" s="1"/>
  <c r="L2201" i="73" s="1"/>
  <c r="L741" i="73"/>
  <c r="M741" i="73" s="1"/>
  <c r="L1103" i="73"/>
  <c r="M1103" i="73" s="1"/>
  <c r="M1102" i="73" s="1"/>
  <c r="L1102" i="73" s="1"/>
  <c r="L605" i="73"/>
  <c r="M605" i="73" s="1"/>
  <c r="L305" i="73"/>
  <c r="M305" i="73" s="1"/>
  <c r="L85" i="73"/>
  <c r="M85" i="73" s="1"/>
  <c r="M84" i="73" s="1"/>
  <c r="L84" i="73" s="1"/>
  <c r="L4423" i="73"/>
  <c r="M4423" i="73" s="1"/>
  <c r="M4422" i="73" s="1"/>
  <c r="L4422" i="73" s="1"/>
  <c r="L4414" i="73"/>
  <c r="M4414" i="73" s="1"/>
  <c r="M4413" i="73" s="1"/>
  <c r="L951" i="73"/>
  <c r="M951" i="73" s="1"/>
  <c r="L1262" i="73"/>
  <c r="M1262" i="73" s="1"/>
  <c r="L1101" i="73"/>
  <c r="M1101" i="73" s="1"/>
  <c r="M1100" i="73" s="1"/>
  <c r="L577" i="73"/>
  <c r="M577" i="73" s="1"/>
  <c r="M576" i="73" s="1"/>
  <c r="L282" i="73"/>
  <c r="M282" i="73" s="1"/>
  <c r="M281" i="73" s="1"/>
  <c r="L21" i="73"/>
  <c r="M21" i="73" s="1"/>
  <c r="M20" i="73" s="1"/>
  <c r="L3735" i="73"/>
  <c r="Q3735" i="73"/>
  <c r="L4828" i="73"/>
  <c r="M4828" i="73" s="1"/>
  <c r="L4574" i="73"/>
  <c r="M4574" i="73" s="1"/>
  <c r="L2312" i="73"/>
  <c r="M2312" i="73" s="1"/>
  <c r="L119" i="73"/>
  <c r="M119" i="73" s="1"/>
  <c r="L428" i="73"/>
  <c r="M428" i="73" s="1"/>
  <c r="L128" i="73"/>
  <c r="M128" i="73" s="1"/>
  <c r="L1909" i="73"/>
  <c r="M1909" i="73" s="1"/>
  <c r="L2558" i="73"/>
  <c r="M2558" i="73" s="1"/>
  <c r="L3238" i="73"/>
  <c r="M3238" i="73" s="1"/>
  <c r="L4275" i="73"/>
  <c r="M4275" i="73" s="1"/>
  <c r="L377" i="73"/>
  <c r="Q377" i="73"/>
  <c r="Q2910" i="73"/>
  <c r="L2910" i="73"/>
  <c r="L3884" i="73"/>
  <c r="Q3884" i="73"/>
  <c r="L2837" i="73"/>
  <c r="Q2837" i="73"/>
  <c r="L381" i="73"/>
  <c r="Q381" i="73"/>
  <c r="Q1889" i="73"/>
  <c r="Q2908" i="73"/>
  <c r="Q3760" i="73"/>
  <c r="Q429" i="73"/>
  <c r="Q361" i="73"/>
  <c r="L790" i="73"/>
  <c r="L1498" i="73"/>
  <c r="M1498" i="73" s="1"/>
  <c r="M1497" i="73" s="1"/>
  <c r="L3841" i="73"/>
  <c r="M3841" i="73" s="1"/>
  <c r="L1538" i="73"/>
  <c r="M1538" i="73" s="1"/>
  <c r="L1550" i="73"/>
  <c r="M1550" i="73" s="1"/>
  <c r="L1575" i="73"/>
  <c r="M1575" i="73" s="1"/>
  <c r="L1590" i="73"/>
  <c r="M1590" i="73" s="1"/>
  <c r="L1602" i="73"/>
  <c r="M1602" i="73" s="1"/>
  <c r="L2013" i="73"/>
  <c r="M2013" i="73" s="1"/>
  <c r="L2032" i="73"/>
  <c r="M2032" i="73" s="1"/>
  <c r="L2052" i="73"/>
  <c r="M2052" i="73" s="1"/>
  <c r="L2071" i="73"/>
  <c r="M2071" i="73" s="1"/>
  <c r="L2670" i="73"/>
  <c r="M2670" i="73" s="1"/>
  <c r="L2687" i="73"/>
  <c r="M2687" i="73" s="1"/>
  <c r="L2712" i="73"/>
  <c r="M2712" i="73" s="1"/>
  <c r="L2734" i="73"/>
  <c r="M2734" i="73" s="1"/>
  <c r="L4482" i="73"/>
  <c r="M4482" i="73" s="1"/>
  <c r="M4481" i="73" s="1"/>
  <c r="Q4481" i="73" s="1"/>
  <c r="L3257" i="73"/>
  <c r="M3257" i="73" s="1"/>
  <c r="M3256" i="73" s="1"/>
  <c r="L3256" i="73" s="1"/>
  <c r="L2248" i="73"/>
  <c r="M2248" i="73" s="1"/>
  <c r="M2247" i="73" s="1"/>
  <c r="L2247" i="73" s="1"/>
  <c r="L2178" i="73"/>
  <c r="M2178" i="73" s="1"/>
  <c r="M2177" i="73" s="1"/>
  <c r="L2218" i="73"/>
  <c r="M2218" i="73" s="1"/>
  <c r="M2217" i="73" s="1"/>
  <c r="L2217" i="73" s="1"/>
  <c r="L1679" i="73"/>
  <c r="M1679" i="73" s="1"/>
  <c r="M1678" i="73" s="1"/>
  <c r="L2200" i="73"/>
  <c r="M2200" i="73" s="1"/>
  <c r="M2199" i="73" s="1"/>
  <c r="L2199" i="73" s="1"/>
  <c r="L259" i="73"/>
  <c r="M259" i="73" s="1"/>
  <c r="M258" i="73" s="1"/>
  <c r="L258" i="73" s="1"/>
  <c r="L3013" i="73"/>
  <c r="M3013" i="73" s="1"/>
  <c r="Q1361" i="73"/>
  <c r="Q1499" i="73"/>
  <c r="Q1442" i="73"/>
  <c r="Q4098" i="73"/>
  <c r="Q1240" i="73"/>
  <c r="Q4057" i="73"/>
  <c r="L2250" i="73"/>
  <c r="M2250" i="73" s="1"/>
  <c r="M2249" i="73" s="1"/>
  <c r="L4045" i="73"/>
  <c r="M4045" i="73" s="1"/>
  <c r="L1541" i="73"/>
  <c r="M1541" i="73" s="1"/>
  <c r="L1565" i="73"/>
  <c r="M1565" i="73" s="1"/>
  <c r="L1580" i="73"/>
  <c r="M1580" i="73" s="1"/>
  <c r="L2004" i="73"/>
  <c r="M2004" i="73" s="1"/>
  <c r="L2017" i="73"/>
  <c r="M2017" i="73" s="1"/>
  <c r="L2037" i="73"/>
  <c r="M2037" i="73" s="1"/>
  <c r="L2057" i="73"/>
  <c r="M2057" i="73" s="1"/>
  <c r="L2074" i="73"/>
  <c r="M2074" i="73" s="1"/>
  <c r="L2673" i="73"/>
  <c r="M2673" i="73" s="1"/>
  <c r="L2692" i="73"/>
  <c r="M2692" i="73" s="1"/>
  <c r="L2717" i="73"/>
  <c r="M2717" i="73" s="1"/>
  <c r="L4464" i="73"/>
  <c r="M4464" i="73" s="1"/>
  <c r="M4463" i="73" s="1"/>
  <c r="Q4463" i="73" s="1"/>
  <c r="L4643" i="73"/>
  <c r="M4643" i="73" s="1"/>
  <c r="M4642" i="73" s="1"/>
  <c r="L4005" i="73"/>
  <c r="M4005" i="73" s="1"/>
  <c r="M4004" i="73" s="1"/>
  <c r="L4004" i="73" s="1"/>
  <c r="L380" i="73"/>
  <c r="M380" i="73" s="1"/>
  <c r="M379" i="73" s="1"/>
  <c r="L379" i="73" s="1"/>
  <c r="L1407" i="73"/>
  <c r="M1407" i="73" s="1"/>
  <c r="M1406" i="73" s="1"/>
  <c r="L2816" i="73"/>
  <c r="M2816" i="73" s="1"/>
  <c r="M2815" i="73" s="1"/>
  <c r="Q2815" i="73" s="1"/>
  <c r="L1453" i="73"/>
  <c r="M1453" i="73" s="1"/>
  <c r="M1452" i="73" s="1"/>
  <c r="L2332" i="73"/>
  <c r="M2332" i="73" s="1"/>
  <c r="M2331" i="73" s="1"/>
  <c r="L2801" i="73"/>
  <c r="M2801" i="73" s="1"/>
  <c r="M2800" i="73" s="1"/>
  <c r="L1169" i="73"/>
  <c r="L4567" i="73"/>
  <c r="M4567" i="73" s="1"/>
  <c r="L498" i="73"/>
  <c r="M498" i="73" s="1"/>
  <c r="Q3989" i="73"/>
  <c r="Q1319" i="73"/>
  <c r="L2253" i="73"/>
  <c r="M2253" i="73" s="1"/>
  <c r="L1847" i="73"/>
  <c r="M1847" i="73" s="1"/>
  <c r="L1532" i="73"/>
  <c r="M1532" i="73" s="1"/>
  <c r="L1555" i="73"/>
  <c r="M1555" i="73" s="1"/>
  <c r="L1570" i="73"/>
  <c r="M1570" i="73" s="1"/>
  <c r="L1595" i="73"/>
  <c r="M1595" i="73" s="1"/>
  <c r="L2007" i="73"/>
  <c r="M2007" i="73" s="1"/>
  <c r="L2022" i="73"/>
  <c r="M2022" i="73" s="1"/>
  <c r="L2042" i="73"/>
  <c r="M2042" i="73" s="1"/>
  <c r="L2062" i="73"/>
  <c r="M2062" i="73" s="1"/>
  <c r="L2664" i="73"/>
  <c r="M2664" i="73" s="1"/>
  <c r="L2677" i="73"/>
  <c r="M2677" i="73" s="1"/>
  <c r="L2697" i="73"/>
  <c r="M2697" i="73" s="1"/>
  <c r="L4466" i="73"/>
  <c r="M4466" i="73" s="1"/>
  <c r="M4465" i="73" s="1"/>
  <c r="L4082" i="73"/>
  <c r="M4082" i="73" s="1"/>
  <c r="L1429" i="73"/>
  <c r="M1429" i="73" s="1"/>
  <c r="M1428" i="73" s="1"/>
  <c r="L1394" i="73"/>
  <c r="M1394" i="73" s="1"/>
  <c r="M1393" i="73" s="1"/>
  <c r="L2141" i="73"/>
  <c r="M2141" i="73" s="1"/>
  <c r="M2140" i="73" s="1"/>
  <c r="Q2140" i="73" s="1"/>
  <c r="L4853" i="73"/>
  <c r="M4853" i="73" s="1"/>
  <c r="L2559" i="73"/>
  <c r="Q2559" i="73"/>
  <c r="Q1748" i="73"/>
  <c r="L1748" i="73"/>
  <c r="L1878" i="73"/>
  <c r="M1878" i="73" s="1"/>
  <c r="L2540" i="73"/>
  <c r="M2540" i="73" s="1"/>
  <c r="L3524" i="73"/>
  <c r="M3524" i="73" s="1"/>
  <c r="L3705" i="73"/>
  <c r="M3705" i="73" s="1"/>
  <c r="L2519" i="73"/>
  <c r="M2519" i="73" s="1"/>
  <c r="L909" i="73"/>
  <c r="Q909" i="73"/>
  <c r="Q917" i="73"/>
  <c r="Q639" i="73"/>
  <c r="Q25" i="73"/>
  <c r="L4134" i="73"/>
  <c r="M4134" i="73" s="1"/>
  <c r="L883" i="73"/>
  <c r="M883" i="73" s="1"/>
  <c r="L624" i="73"/>
  <c r="M624" i="73" s="1"/>
  <c r="L4416" i="73"/>
  <c r="M4416" i="73" s="1"/>
  <c r="L4345" i="73"/>
  <c r="M4345" i="73" s="1"/>
  <c r="L4011" i="73"/>
  <c r="M4011" i="73" s="1"/>
  <c r="L3910" i="73"/>
  <c r="M3910" i="73" s="1"/>
  <c r="L3769" i="73"/>
  <c r="M3769" i="73" s="1"/>
  <c r="L3048" i="73"/>
  <c r="M3048" i="73" s="1"/>
  <c r="L3539" i="73"/>
  <c r="M3539" i="73" s="1"/>
  <c r="L2818" i="73"/>
  <c r="M2818" i="73" s="1"/>
  <c r="L2726" i="73"/>
  <c r="M2726" i="73" s="1"/>
  <c r="L2686" i="73"/>
  <c r="M2686" i="73" s="1"/>
  <c r="L2944" i="73"/>
  <c r="M2944" i="73" s="1"/>
  <c r="L2962" i="73"/>
  <c r="M2962" i="73" s="1"/>
  <c r="L2219" i="73"/>
  <c r="M2219" i="73" s="1"/>
  <c r="L2091" i="73"/>
  <c r="M2091" i="73" s="1"/>
  <c r="L2041" i="73"/>
  <c r="M2041" i="73" s="1"/>
  <c r="L2350" i="73"/>
  <c r="M2350" i="73" s="1"/>
  <c r="L2354" i="73"/>
  <c r="M2354" i="73" s="1"/>
  <c r="L1725" i="73"/>
  <c r="M1725" i="73" s="1"/>
  <c r="L1657" i="73"/>
  <c r="M1657" i="73" s="1"/>
  <c r="L1594" i="73"/>
  <c r="M1594" i="73" s="1"/>
  <c r="L1544" i="73"/>
  <c r="M1544" i="73" s="1"/>
  <c r="L1190" i="73"/>
  <c r="M1190" i="73" s="1"/>
  <c r="L1057" i="73"/>
  <c r="M1057" i="73" s="1"/>
  <c r="L358" i="73"/>
  <c r="M358" i="73" s="1"/>
  <c r="L59" i="73"/>
  <c r="M59" i="73" s="1"/>
  <c r="L233" i="73"/>
  <c r="M233" i="73" s="1"/>
  <c r="L4180" i="73"/>
  <c r="M4180" i="73" s="1"/>
  <c r="L4152" i="73"/>
  <c r="M4152" i="73" s="1"/>
  <c r="L3877" i="73"/>
  <c r="M3877" i="73" s="1"/>
  <c r="L3598" i="73"/>
  <c r="M3598" i="73" s="1"/>
  <c r="L3036" i="73"/>
  <c r="M3036" i="73" s="1"/>
  <c r="L2906" i="73"/>
  <c r="M2906" i="73" s="1"/>
  <c r="L2791" i="73"/>
  <c r="M2791" i="73" s="1"/>
  <c r="L2716" i="73"/>
  <c r="M2716" i="73" s="1"/>
  <c r="L2676" i="73"/>
  <c r="M2676" i="73" s="1"/>
  <c r="L3004" i="73"/>
  <c r="M3004" i="73" s="1"/>
  <c r="L2378" i="73"/>
  <c r="M2378" i="73" s="1"/>
  <c r="L2180" i="73"/>
  <c r="M2180" i="73" s="1"/>
  <c r="L2077" i="73"/>
  <c r="M2077" i="73" s="1"/>
  <c r="L2031" i="73"/>
  <c r="M2031" i="73" s="1"/>
  <c r="L2310" i="73"/>
  <c r="M2310" i="73" s="1"/>
  <c r="L2256" i="73"/>
  <c r="M2256" i="73" s="1"/>
  <c r="L1718" i="73"/>
  <c r="M1718" i="73" s="1"/>
  <c r="L1647" i="73"/>
  <c r="M1647" i="73" s="1"/>
  <c r="L1584" i="73"/>
  <c r="M1584" i="73" s="1"/>
  <c r="L1506" i="73"/>
  <c r="M1506" i="73" s="1"/>
  <c r="L1431" i="73"/>
  <c r="M1431" i="73" s="1"/>
  <c r="L1477" i="73"/>
  <c r="M1477" i="73" s="1"/>
  <c r="L558" i="73"/>
  <c r="M558" i="73" s="1"/>
  <c r="L40" i="73"/>
  <c r="M40" i="73" s="1"/>
  <c r="L204" i="73"/>
  <c r="M204" i="73" s="1"/>
  <c r="L4998" i="73"/>
  <c r="M4998" i="73" s="1"/>
  <c r="L4948" i="73"/>
  <c r="M4948" i="73" s="1"/>
  <c r="L751" i="73"/>
  <c r="Q751" i="73"/>
  <c r="Q502" i="73"/>
  <c r="L502" i="73"/>
  <c r="L510" i="73"/>
  <c r="Q510" i="73"/>
  <c r="L695" i="73"/>
  <c r="Q695" i="73"/>
  <c r="L1295" i="73"/>
  <c r="Q1295" i="73"/>
  <c r="L4957" i="73"/>
  <c r="M4957" i="73" s="1"/>
  <c r="L5007" i="73"/>
  <c r="M5007" i="73" s="1"/>
  <c r="L4741" i="73"/>
  <c r="M4741" i="73" s="1"/>
  <c r="L2183" i="73"/>
  <c r="M2183" i="73" s="1"/>
  <c r="L4879" i="73"/>
  <c r="M4879" i="73" s="1"/>
  <c r="L3247" i="73"/>
  <c r="M3247" i="73" s="1"/>
  <c r="L1959" i="73"/>
  <c r="M1959" i="73" s="1"/>
  <c r="L4890" i="73"/>
  <c r="M4890" i="73" s="1"/>
  <c r="L538" i="73"/>
  <c r="M538" i="73" s="1"/>
  <c r="L1382" i="73"/>
  <c r="M1382" i="73" s="1"/>
  <c r="L1409" i="73"/>
  <c r="M1409" i="73" s="1"/>
  <c r="L1633" i="73"/>
  <c r="M1633" i="73" s="1"/>
  <c r="L1757" i="73"/>
  <c r="M1757" i="73" s="1"/>
  <c r="L2021" i="73"/>
  <c r="M2021" i="73" s="1"/>
  <c r="L2145" i="73"/>
  <c r="M2145" i="73" s="1"/>
  <c r="L2415" i="73"/>
  <c r="M2415" i="73" s="1"/>
  <c r="L2706" i="73"/>
  <c r="M2706" i="73" s="1"/>
  <c r="L2880" i="73"/>
  <c r="M2880" i="73" s="1"/>
  <c r="L3077" i="73"/>
  <c r="M3077" i="73" s="1"/>
  <c r="L3969" i="73"/>
  <c r="M3969" i="73" s="1"/>
  <c r="L2169" i="73"/>
  <c r="M2169" i="73" s="1"/>
  <c r="L3800" i="73"/>
  <c r="M3800" i="73" s="1"/>
  <c r="L2076" i="73"/>
  <c r="M2076" i="73" s="1"/>
  <c r="L4949" i="73"/>
  <c r="M4949" i="73" s="1"/>
  <c r="L4733" i="73"/>
  <c r="M4733" i="73" s="1"/>
  <c r="L111" i="73"/>
  <c r="Q111" i="73"/>
  <c r="L135" i="73"/>
  <c r="Q135" i="73"/>
  <c r="L236" i="73"/>
  <c r="Q236" i="73"/>
  <c r="L1112" i="73"/>
  <c r="Q1112" i="73"/>
  <c r="L4714" i="73"/>
  <c r="M4714" i="73" s="1"/>
  <c r="L4849" i="73"/>
  <c r="M4849" i="73" s="1"/>
  <c r="L4623" i="73"/>
  <c r="M4623" i="73" s="1"/>
  <c r="L4917" i="73"/>
  <c r="M4917" i="73" s="1"/>
  <c r="L4547" i="73"/>
  <c r="M4547" i="73" s="1"/>
  <c r="L4858" i="73"/>
  <c r="M4858" i="73" s="1"/>
  <c r="L4973" i="73"/>
  <c r="M4973" i="73" s="1"/>
  <c r="L4765" i="73"/>
  <c r="M4765" i="73" s="1"/>
  <c r="L4975" i="73"/>
  <c r="M4975" i="73" s="1"/>
  <c r="L4766" i="73"/>
  <c r="M4766" i="73" s="1"/>
  <c r="L515" i="73"/>
  <c r="M515" i="73" s="1"/>
  <c r="L170" i="73"/>
  <c r="M170" i="73" s="1"/>
  <c r="L56" i="73"/>
  <c r="L4367" i="73"/>
  <c r="Q4367" i="73"/>
  <c r="Q721" i="73"/>
  <c r="Q4986" i="73"/>
  <c r="Q929" i="73"/>
  <c r="Q818" i="73"/>
  <c r="L3525" i="73"/>
  <c r="M3525" i="73" s="1"/>
  <c r="L27" i="73"/>
  <c r="M27" i="73" s="1"/>
  <c r="L326" i="73"/>
  <c r="M326" i="73" s="1"/>
  <c r="L4279" i="73"/>
  <c r="M4279" i="73" s="1"/>
  <c r="L1804" i="73"/>
  <c r="M1804" i="73" s="1"/>
  <c r="L89" i="73"/>
  <c r="M89" i="73" s="1"/>
  <c r="L1106" i="73"/>
  <c r="M1106" i="73" s="1"/>
  <c r="L1554" i="73"/>
  <c r="M1554" i="73" s="1"/>
  <c r="L1685" i="73"/>
  <c r="M1685" i="73" s="1"/>
  <c r="L2335" i="73"/>
  <c r="M2335" i="73" s="1"/>
  <c r="L2051" i="73"/>
  <c r="M2051" i="73" s="1"/>
  <c r="L2245" i="73"/>
  <c r="M2245" i="73" s="1"/>
  <c r="L2972" i="73"/>
  <c r="M2972" i="73" s="1"/>
  <c r="L2745" i="73"/>
  <c r="M2745" i="73" s="1"/>
  <c r="L3567" i="73"/>
  <c r="M3567" i="73" s="1"/>
  <c r="L3896" i="73"/>
  <c r="M3896" i="73" s="1"/>
  <c r="L4024" i="73"/>
  <c r="M4024" i="73" s="1"/>
  <c r="L4491" i="73"/>
  <c r="M4491" i="73" s="1"/>
  <c r="L3268" i="73"/>
  <c r="M3268" i="73" s="1"/>
  <c r="L2614" i="73"/>
  <c r="M2614" i="73" s="1"/>
  <c r="L1899" i="73"/>
  <c r="M1899" i="73" s="1"/>
  <c r="L225" i="73"/>
  <c r="M225" i="73" s="1"/>
  <c r="L76" i="73"/>
  <c r="M76" i="73" s="1"/>
  <c r="L2843" i="73"/>
  <c r="M2843" i="73" s="1"/>
  <c r="L1668" i="73"/>
  <c r="M1668" i="73" s="1"/>
  <c r="L423" i="73"/>
  <c r="M423" i="73" s="1"/>
  <c r="L315" i="73"/>
  <c r="M315" i="73" s="1"/>
  <c r="L2285" i="73"/>
  <c r="M2285" i="73" s="1"/>
  <c r="L1110" i="73"/>
  <c r="M1110" i="73" s="1"/>
  <c r="L3183" i="73"/>
  <c r="M3183" i="73" s="1"/>
  <c r="L1868" i="73"/>
  <c r="M1868" i="73" s="1"/>
  <c r="L1281" i="73"/>
  <c r="M1281" i="73" s="1"/>
  <c r="L1505" i="73"/>
  <c r="M1505" i="73" s="1"/>
  <c r="L2255" i="73"/>
  <c r="M2255" i="73" s="1"/>
  <c r="L1964" i="73"/>
  <c r="M1964" i="73" s="1"/>
  <c r="L3252" i="73"/>
  <c r="M3252" i="73" s="1"/>
  <c r="L1062" i="73"/>
  <c r="M1062" i="73" s="1"/>
  <c r="M1061" i="73" s="1"/>
  <c r="L3905" i="73"/>
  <c r="M3905" i="73" s="1"/>
  <c r="M3904" i="73" s="1"/>
  <c r="L402" i="73"/>
  <c r="M402" i="73" s="1"/>
  <c r="M401" i="73" s="1"/>
  <c r="L4370" i="73"/>
  <c r="M4370" i="73" s="1"/>
  <c r="M4369" i="73" s="1"/>
  <c r="L36" i="73"/>
  <c r="Q36" i="73"/>
  <c r="L3941" i="73"/>
  <c r="Q3941" i="73"/>
  <c r="L2571" i="73"/>
  <c r="M2571" i="73" s="1"/>
  <c r="L3225" i="73"/>
  <c r="M3225" i="73" s="1"/>
  <c r="L1937" i="73"/>
  <c r="M1937" i="73" s="1"/>
  <c r="L4796" i="73"/>
  <c r="M4796" i="73" s="1"/>
  <c r="L2572" i="73"/>
  <c r="M2572" i="73" s="1"/>
  <c r="L39" i="73"/>
  <c r="M39" i="73" s="1"/>
  <c r="L882" i="73"/>
  <c r="M882" i="73" s="1"/>
  <c r="L4852" i="73"/>
  <c r="M4852" i="73" s="1"/>
  <c r="L2319" i="73"/>
  <c r="M2319" i="73" s="1"/>
  <c r="L2573" i="73"/>
  <c r="M2573" i="73" s="1"/>
  <c r="L3227" i="73"/>
  <c r="M3227" i="73" s="1"/>
  <c r="L3172" i="73"/>
  <c r="M3172" i="73" s="1"/>
  <c r="L1858" i="73"/>
  <c r="M1858" i="73" s="1"/>
  <c r="L958" i="73"/>
  <c r="M958" i="73" s="1"/>
  <c r="L758" i="73"/>
  <c r="M758" i="73" s="1"/>
  <c r="L4931" i="73"/>
  <c r="M4931" i="73" s="1"/>
  <c r="L4875" i="73"/>
  <c r="M4875" i="73" s="1"/>
  <c r="L3866" i="73"/>
  <c r="M3866" i="73" s="1"/>
  <c r="L1137" i="73"/>
  <c r="M1137" i="73" s="1"/>
  <c r="L4720" i="73"/>
  <c r="Q4720" i="73"/>
  <c r="L1936" i="73"/>
  <c r="M1936" i="73" s="1"/>
  <c r="L3224" i="73"/>
  <c r="M3224" i="73" s="1"/>
  <c r="L3193" i="73"/>
  <c r="M3193" i="73" s="1"/>
  <c r="L1510" i="73"/>
  <c r="M1510" i="73" s="1"/>
  <c r="L2261" i="73"/>
  <c r="M2261" i="73" s="1"/>
  <c r="L1511" i="73"/>
  <c r="M1511" i="73" s="1"/>
  <c r="L151" i="73"/>
  <c r="M151" i="73" s="1"/>
  <c r="L938" i="73"/>
  <c r="M938" i="73" s="1"/>
  <c r="L2595" i="73"/>
  <c r="M2595" i="73" s="1"/>
  <c r="L4807" i="73"/>
  <c r="M4807" i="73" s="1"/>
  <c r="L4675" i="73"/>
  <c r="M4675" i="73" s="1"/>
  <c r="L4539" i="73"/>
  <c r="M4539" i="73" s="1"/>
  <c r="L687" i="73"/>
  <c r="Q687" i="73"/>
  <c r="L804" i="73"/>
  <c r="Q804" i="73"/>
  <c r="L1236" i="73"/>
  <c r="Q1236" i="73"/>
  <c r="L4116" i="73"/>
  <c r="Q4116" i="73"/>
  <c r="L4812" i="73"/>
  <c r="M4812" i="73" s="1"/>
  <c r="L4954" i="73"/>
  <c r="M4954" i="73" s="1"/>
  <c r="L3181" i="73"/>
  <c r="M3181" i="73" s="1"/>
  <c r="L2527" i="73"/>
  <c r="M2527" i="73" s="1"/>
  <c r="L4625" i="73"/>
  <c r="M4625" i="73" s="1"/>
  <c r="L4613" i="73"/>
  <c r="M4613" i="73" s="1"/>
  <c r="L3219" i="73"/>
  <c r="M3219" i="73" s="1"/>
  <c r="L1931" i="73"/>
  <c r="M1931" i="73" s="1"/>
  <c r="L3282" i="73"/>
  <c r="M3282" i="73" s="1"/>
  <c r="L2497" i="73"/>
  <c r="M2497" i="73" s="1"/>
  <c r="L1841" i="73"/>
  <c r="M1841" i="73" s="1"/>
  <c r="L1130" i="73"/>
  <c r="M1130" i="73" s="1"/>
  <c r="L4441" i="73"/>
  <c r="M4441" i="73" s="1"/>
  <c r="L3015" i="73"/>
  <c r="M3015" i="73" s="1"/>
  <c r="L2485" i="73"/>
  <c r="M2485" i="73" s="1"/>
  <c r="L1761" i="73"/>
  <c r="M1761" i="73" s="1"/>
  <c r="L1036" i="73"/>
  <c r="M1036" i="73" s="1"/>
  <c r="L4447" i="73"/>
  <c r="M4447" i="73" s="1"/>
  <c r="L3459" i="73"/>
  <c r="M3459" i="73" s="1"/>
  <c r="L2389" i="73"/>
  <c r="M2389" i="73" s="1"/>
  <c r="L1638" i="73"/>
  <c r="M1638" i="73" s="1"/>
  <c r="L1408" i="73"/>
  <c r="M1408" i="73" s="1"/>
  <c r="L2661" i="73"/>
  <c r="Q2661" i="73"/>
  <c r="L1321" i="73"/>
  <c r="Q1321" i="73"/>
  <c r="Q2991" i="73"/>
  <c r="L2570" i="73"/>
  <c r="M2570" i="73" s="1"/>
  <c r="L1371" i="73"/>
  <c r="M1371" i="73" s="1"/>
  <c r="L2628" i="73"/>
  <c r="M2628" i="73" s="1"/>
  <c r="L844" i="73"/>
  <c r="L3624" i="73"/>
  <c r="M3624" i="73" s="1"/>
  <c r="L98" i="73"/>
  <c r="M98" i="73" s="1"/>
  <c r="L2593" i="73"/>
  <c r="M2593" i="73" s="1"/>
  <c r="M841" i="73"/>
  <c r="L841" i="73" s="1"/>
  <c r="L184" i="73"/>
  <c r="M184" i="73" s="1"/>
  <c r="L590" i="73"/>
  <c r="M590" i="73" s="1"/>
  <c r="L579" i="73"/>
  <c r="M579" i="73" s="1"/>
  <c r="L72" i="73"/>
  <c r="M72" i="73" s="1"/>
  <c r="L284" i="73"/>
  <c r="M284" i="73" s="1"/>
  <c r="L1152" i="73"/>
  <c r="M1152" i="73" s="1"/>
  <c r="L1396" i="73"/>
  <c r="M1396" i="73" s="1"/>
  <c r="L1064" i="73"/>
  <c r="M1064" i="73" s="1"/>
  <c r="L1364" i="73"/>
  <c r="M1364" i="73" s="1"/>
  <c r="L1458" i="73"/>
  <c r="M1458" i="73" s="1"/>
  <c r="L1488" i="73"/>
  <c r="M1488" i="73" s="1"/>
  <c r="L1523" i="73"/>
  <c r="M1523" i="73" s="1"/>
  <c r="L1559" i="73"/>
  <c r="M1559" i="73" s="1"/>
  <c r="L1574" i="73"/>
  <c r="M1574" i="73" s="1"/>
  <c r="L1589" i="73"/>
  <c r="M1589" i="73" s="1"/>
  <c r="L1624" i="73"/>
  <c r="M1624" i="73" s="1"/>
  <c r="L1653" i="73"/>
  <c r="M1653" i="73" s="1"/>
  <c r="L1682" i="73"/>
  <c r="M1682" i="73" s="1"/>
  <c r="L1701" i="73"/>
  <c r="M1701" i="73" s="1"/>
  <c r="L1733" i="73"/>
  <c r="M1733" i="73" s="1"/>
  <c r="L1762" i="73"/>
  <c r="M1762" i="73" s="1"/>
  <c r="L2390" i="73"/>
  <c r="M2390" i="73" s="1"/>
  <c r="L2300" i="73"/>
  <c r="M2300" i="73" s="1"/>
  <c r="L2374" i="73"/>
  <c r="M2374" i="73" s="1"/>
  <c r="L2016" i="73"/>
  <c r="M2016" i="73" s="1"/>
  <c r="L2036" i="73"/>
  <c r="M2036" i="73" s="1"/>
  <c r="L2056" i="73"/>
  <c r="M2056" i="73" s="1"/>
  <c r="L2085" i="73"/>
  <c r="M2085" i="73" s="1"/>
  <c r="L2131" i="73"/>
  <c r="M2131" i="73" s="1"/>
  <c r="L2193" i="73"/>
  <c r="M2193" i="73" s="1"/>
  <c r="L2232" i="73"/>
  <c r="M2232" i="73" s="1"/>
  <c r="L2342" i="73"/>
  <c r="M2342" i="73" s="1"/>
  <c r="L2968" i="73"/>
  <c r="M2968" i="73" s="1"/>
  <c r="L2425" i="73"/>
  <c r="M2425" i="73" s="1"/>
  <c r="L2954" i="73"/>
  <c r="M2954" i="73" s="1"/>
  <c r="L3000" i="73"/>
  <c r="M3000" i="73" s="1"/>
  <c r="L2691" i="73"/>
  <c r="M2691" i="73" s="1"/>
  <c r="L2711" i="73"/>
  <c r="M2711" i="73" s="1"/>
  <c r="L2737" i="73"/>
  <c r="M2737" i="73" s="1"/>
  <c r="L2773" i="73"/>
  <c r="M2773" i="73" s="1"/>
  <c r="L2840" i="73"/>
  <c r="M2840" i="73" s="1"/>
  <c r="L2893" i="73"/>
  <c r="M2893" i="73" s="1"/>
  <c r="L3553" i="73"/>
  <c r="M3553" i="73" s="1"/>
  <c r="L3033" i="73"/>
  <c r="M3033" i="73" s="1"/>
  <c r="L3052" i="73"/>
  <c r="M3052" i="73" s="1"/>
  <c r="L3087" i="73"/>
  <c r="M3087" i="73" s="1"/>
  <c r="L3744" i="73"/>
  <c r="M3744" i="73" s="1"/>
  <c r="L3819" i="73"/>
  <c r="M3819" i="73" s="1"/>
  <c r="L3921" i="73"/>
  <c r="M3921" i="73" s="1"/>
  <c r="L3960" i="73"/>
  <c r="M3960" i="73" s="1"/>
  <c r="L4007" i="73"/>
  <c r="M4007" i="73" s="1"/>
  <c r="L4036" i="73"/>
  <c r="M4036" i="73" s="1"/>
  <c r="L4325" i="73"/>
  <c r="M4325" i="73" s="1"/>
  <c r="L371" i="73"/>
  <c r="M371" i="73" s="1"/>
  <c r="L762" i="73"/>
  <c r="M762" i="73" s="1"/>
  <c r="L4656" i="73"/>
  <c r="M4656" i="73" s="1"/>
  <c r="L4697" i="73"/>
  <c r="M4697" i="73" s="1"/>
  <c r="L4327" i="73"/>
  <c r="M4327" i="73" s="1"/>
  <c r="L4154" i="73"/>
  <c r="M4154" i="73" s="1"/>
  <c r="L3970" i="73"/>
  <c r="M3970" i="73" s="1"/>
  <c r="L3911" i="73"/>
  <c r="M3911" i="73" s="1"/>
  <c r="L3078" i="73"/>
  <c r="M3078" i="73" s="1"/>
  <c r="L3017" i="73"/>
  <c r="M3017" i="73" s="1"/>
  <c r="L2945" i="73"/>
  <c r="M2945" i="73" s="1"/>
  <c r="L2819" i="73"/>
  <c r="M2819" i="73" s="1"/>
  <c r="L2739" i="73"/>
  <c r="M2739" i="73" s="1"/>
  <c r="L2693" i="73"/>
  <c r="M2693" i="73" s="1"/>
  <c r="L2411" i="73"/>
  <c r="M2411" i="73" s="1"/>
  <c r="L2274" i="73"/>
  <c r="M2274" i="73" s="1"/>
  <c r="L2146" i="73"/>
  <c r="M2146" i="73" s="1"/>
  <c r="L2068" i="73"/>
  <c r="M2068" i="73" s="1"/>
  <c r="L2028" i="73"/>
  <c r="M2028" i="73" s="1"/>
  <c r="L2372" i="73"/>
  <c r="M2372" i="73" s="1"/>
  <c r="L2257" i="73"/>
  <c r="M2257" i="73" s="1"/>
  <c r="L1735" i="73"/>
  <c r="M1735" i="73" s="1"/>
  <c r="L1699" i="73"/>
  <c r="M1699" i="73" s="1"/>
  <c r="L1649" i="73"/>
  <c r="M1649" i="73" s="1"/>
  <c r="L1615" i="73"/>
  <c r="M1615" i="73" s="1"/>
  <c r="L1586" i="73"/>
  <c r="M1586" i="73" s="1"/>
  <c r="L1566" i="73"/>
  <c r="M1566" i="73" s="1"/>
  <c r="L1546" i="73"/>
  <c r="M1546" i="73" s="1"/>
  <c r="L1478" i="73"/>
  <c r="M1478" i="73" s="1"/>
  <c r="L1174" i="73"/>
  <c r="M1174" i="73" s="1"/>
  <c r="L1191" i="73"/>
  <c r="M1191" i="73" s="1"/>
  <c r="L1125" i="73"/>
  <c r="M1125" i="73" s="1"/>
  <c r="L1053" i="73"/>
  <c r="M1053" i="73" s="1"/>
  <c r="L1309" i="73"/>
  <c r="M1309" i="73" s="1"/>
  <c r="L234" i="73"/>
  <c r="M234" i="73" s="1"/>
  <c r="L263" i="73"/>
  <c r="M263" i="73" s="1"/>
  <c r="L60" i="73"/>
  <c r="M60" i="73" s="1"/>
  <c r="L352" i="73"/>
  <c r="M352" i="73" s="1"/>
  <c r="L24" i="73"/>
  <c r="M24" i="73" s="1"/>
  <c r="L4431" i="73"/>
  <c r="M4431" i="73" s="1"/>
  <c r="L4025" i="73"/>
  <c r="M4025" i="73" s="1"/>
  <c r="L3936" i="73"/>
  <c r="M3936" i="73" s="1"/>
  <c r="L3879" i="73"/>
  <c r="M3879" i="73" s="1"/>
  <c r="L3053" i="73"/>
  <c r="M3053" i="73" s="1"/>
  <c r="L3555" i="73"/>
  <c r="M3555" i="73" s="1"/>
  <c r="L2894" i="73"/>
  <c r="M2894" i="73" s="1"/>
  <c r="L2778" i="73"/>
  <c r="M2778" i="73" s="1"/>
  <c r="L2718" i="73"/>
  <c r="M2718" i="73" s="1"/>
  <c r="L2678" i="73"/>
  <c r="M2678" i="73" s="1"/>
  <c r="L2388" i="73"/>
  <c r="M2388" i="73" s="1"/>
  <c r="L2220" i="73"/>
  <c r="M2220" i="73" s="1"/>
  <c r="L2114" i="73"/>
  <c r="M2114" i="73" s="1"/>
  <c r="L2048" i="73"/>
  <c r="M2048" i="73" s="1"/>
  <c r="L2391" i="73"/>
  <c r="M2391" i="73" s="1"/>
  <c r="L2336" i="73"/>
  <c r="M2336" i="73" s="1"/>
  <c r="L1751" i="73"/>
  <c r="M1751" i="73" s="1"/>
  <c r="L1723" i="73"/>
  <c r="M1723" i="73" s="1"/>
  <c r="L1687" i="73"/>
  <c r="M1687" i="73" s="1"/>
  <c r="L1635" i="73"/>
  <c r="M1635" i="73" s="1"/>
  <c r="L1596" i="73"/>
  <c r="M1596" i="73" s="1"/>
  <c r="L1576" i="73"/>
  <c r="M1576" i="73" s="1"/>
  <c r="L1556" i="73"/>
  <c r="M1556" i="73" s="1"/>
  <c r="L1507" i="73"/>
  <c r="M1507" i="73" s="1"/>
  <c r="L1356" i="73"/>
  <c r="M1356" i="73" s="1"/>
  <c r="L1410" i="73"/>
  <c r="M1410" i="73" s="1"/>
  <c r="L1365" i="73"/>
  <c r="M1365" i="73" s="1"/>
  <c r="L1065" i="73"/>
  <c r="M1065" i="73" s="1"/>
  <c r="L1432" i="73"/>
  <c r="M1432" i="73" s="1"/>
  <c r="L1153" i="73"/>
  <c r="M1153" i="73" s="1"/>
  <c r="L359" i="73"/>
  <c r="M359" i="73" s="1"/>
  <c r="L186" i="73"/>
  <c r="M186" i="73" s="1"/>
  <c r="L42" i="73"/>
  <c r="M42" i="73" s="1"/>
  <c r="L539" i="73"/>
  <c r="M539" i="73" s="1"/>
  <c r="L197" i="73"/>
  <c r="M197" i="73" s="1"/>
  <c r="L4698" i="73"/>
  <c r="M4698" i="73" s="1"/>
  <c r="L4560" i="73"/>
  <c r="M4560" i="73" s="1"/>
  <c r="L4971" i="73"/>
  <c r="M4971" i="73" s="1"/>
  <c r="L4672" i="73"/>
  <c r="M4672" i="73" s="1"/>
  <c r="L4383" i="73"/>
  <c r="M4383" i="73" s="1"/>
  <c r="L4014" i="73"/>
  <c r="M4014" i="73" s="1"/>
  <c r="L3292" i="73"/>
  <c r="M3292" i="73" s="1"/>
  <c r="L2638" i="73"/>
  <c r="M2638" i="73" s="1"/>
  <c r="L2024" i="73"/>
  <c r="M2024" i="73" s="1"/>
  <c r="L1608" i="73"/>
  <c r="M1608" i="73" s="1"/>
  <c r="L1536" i="73"/>
  <c r="M1536" i="73" s="1"/>
  <c r="M1534" i="73" s="1"/>
  <c r="L743" i="73"/>
  <c r="M743" i="73" s="1"/>
  <c r="L1073" i="73"/>
  <c r="M1073" i="73" s="1"/>
  <c r="L1199" i="73"/>
  <c r="M1199" i="73" s="1"/>
  <c r="L582" i="73"/>
  <c r="M582" i="73" s="1"/>
  <c r="L593" i="73"/>
  <c r="M593" i="73" s="1"/>
  <c r="L399" i="73"/>
  <c r="M399" i="73" s="1"/>
  <c r="L4303" i="73"/>
  <c r="M4303" i="73" s="1"/>
  <c r="L3862" i="73"/>
  <c r="M3862" i="73" s="1"/>
  <c r="L2729" i="73"/>
  <c r="M2729" i="73" s="1"/>
  <c r="L2937" i="73"/>
  <c r="M2937" i="73" s="1"/>
  <c r="L1826" i="73"/>
  <c r="M1826" i="73" s="1"/>
  <c r="L1572" i="73"/>
  <c r="M1572" i="73" s="1"/>
  <c r="L1161" i="73"/>
  <c r="M1161" i="73" s="1"/>
  <c r="L1127" i="73"/>
  <c r="M1127" i="73" s="1"/>
  <c r="L1310" i="73"/>
  <c r="M1310" i="73" s="1"/>
  <c r="L287" i="73"/>
  <c r="M287" i="73" s="1"/>
  <c r="L439" i="73"/>
  <c r="M439" i="73" s="1"/>
  <c r="L391" i="73"/>
  <c r="M391" i="73" s="1"/>
  <c r="L307" i="73"/>
  <c r="M307" i="73" s="1"/>
  <c r="L5015" i="73"/>
  <c r="M5015" i="73" s="1"/>
  <c r="L4840" i="73"/>
  <c r="M4840" i="73" s="1"/>
  <c r="L4548" i="73"/>
  <c r="M4548" i="73" s="1"/>
  <c r="L4855" i="73"/>
  <c r="M4855" i="73" s="1"/>
  <c r="L580" i="73"/>
  <c r="M580" i="73" s="1"/>
  <c r="L222" i="73"/>
  <c r="M222" i="73" s="1"/>
  <c r="L1197" i="73"/>
  <c r="M1197" i="73" s="1"/>
  <c r="L1107" i="73"/>
  <c r="M1107" i="73" s="1"/>
  <c r="L1489" i="73"/>
  <c r="M1489" i="73" s="1"/>
  <c r="L1524" i="73"/>
  <c r="M1524" i="73" s="1"/>
  <c r="L1581" i="73"/>
  <c r="M1581" i="73" s="1"/>
  <c r="L1640" i="73"/>
  <c r="M1640" i="73" s="1"/>
  <c r="L1727" i="73"/>
  <c r="M1727" i="73" s="1"/>
  <c r="L2344" i="73"/>
  <c r="M2344" i="73" s="1"/>
  <c r="L2058" i="73"/>
  <c r="M2058" i="73" s="1"/>
  <c r="L2233" i="73"/>
  <c r="M2233" i="73" s="1"/>
  <c r="L2683" i="73"/>
  <c r="M2683" i="73" s="1"/>
  <c r="L2792" i="73"/>
  <c r="M2792" i="73" s="1"/>
  <c r="L3569" i="73"/>
  <c r="M3569" i="73" s="1"/>
  <c r="L3870" i="73"/>
  <c r="M3870" i="73" s="1"/>
  <c r="L4037" i="73"/>
  <c r="M4037" i="73" s="1"/>
  <c r="L118" i="73"/>
  <c r="M118" i="73" s="1"/>
  <c r="L92" i="73"/>
  <c r="M92" i="73" s="1"/>
  <c r="L1079" i="73"/>
  <c r="M1079" i="73" s="1"/>
  <c r="L1542" i="73"/>
  <c r="M1542" i="73" s="1"/>
  <c r="L2044" i="73"/>
  <c r="M2044" i="73" s="1"/>
  <c r="L3478" i="73"/>
  <c r="M3478" i="73" s="1"/>
  <c r="L3275" i="73"/>
  <c r="M3275" i="73" s="1"/>
  <c r="L2621" i="73"/>
  <c r="M2621" i="73" s="1"/>
  <c r="L1933" i="73"/>
  <c r="M1933" i="73" s="1"/>
  <c r="L3221" i="73"/>
  <c r="M3221" i="73" s="1"/>
  <c r="L775" i="73"/>
  <c r="M775" i="73" s="1"/>
  <c r="M774" i="73" s="1"/>
  <c r="L896" i="73"/>
  <c r="M896" i="73" s="1"/>
  <c r="M895" i="73" s="1"/>
  <c r="L4480" i="73"/>
  <c r="M4480" i="73" s="1"/>
  <c r="M4479" i="73" s="1"/>
  <c r="L4462" i="73"/>
  <c r="M4462" i="73" s="1"/>
  <c r="M4461" i="73" s="1"/>
  <c r="L2722" i="73"/>
  <c r="M2722" i="73" s="1"/>
  <c r="L2702" i="73"/>
  <c r="M2702" i="73" s="1"/>
  <c r="L3049" i="73"/>
  <c r="M3049" i="73" s="1"/>
  <c r="L1734" i="73"/>
  <c r="M1734" i="73" s="1"/>
  <c r="L2387" i="73"/>
  <c r="M2387" i="73" s="1"/>
  <c r="L2879" i="73"/>
  <c r="M2879" i="73" s="1"/>
  <c r="M2878" i="73" s="1"/>
  <c r="L355" i="73"/>
  <c r="M355" i="73" s="1"/>
  <c r="M354" i="73" s="1"/>
  <c r="L4363" i="73"/>
  <c r="M4363" i="73" s="1"/>
  <c r="L1494" i="73"/>
  <c r="M1494" i="73" s="1"/>
  <c r="M1493" i="73" s="1"/>
  <c r="L3030" i="73"/>
  <c r="M3030" i="73" s="1"/>
  <c r="M3029" i="73" s="1"/>
  <c r="L2803" i="73"/>
  <c r="M2803" i="73" s="1"/>
  <c r="M2802" i="73" s="1"/>
  <c r="L2192" i="73"/>
  <c r="M2192" i="73" s="1"/>
  <c r="M2191" i="73" s="1"/>
  <c r="L2368" i="73"/>
  <c r="M2368" i="73" s="1"/>
  <c r="M2367" i="73" s="1"/>
  <c r="L1392" i="73"/>
  <c r="M1392" i="73" s="1"/>
  <c r="M1391" i="73" s="1"/>
  <c r="L1455" i="73"/>
  <c r="M1455" i="73" s="1"/>
  <c r="M1454" i="73" s="1"/>
  <c r="L2852" i="73"/>
  <c r="M2852" i="73" s="1"/>
  <c r="M2851" i="73" s="1"/>
  <c r="L2994" i="73"/>
  <c r="M2994" i="73" s="1"/>
  <c r="M2993" i="73" s="1"/>
  <c r="L2143" i="73"/>
  <c r="M2143" i="73" s="1"/>
  <c r="M2142" i="73" s="1"/>
  <c r="L1715" i="73"/>
  <c r="M1715" i="73" s="1"/>
  <c r="M1714" i="73" s="1"/>
  <c r="Q1714" i="73" s="1"/>
  <c r="L1441" i="73"/>
  <c r="M1441" i="73" s="1"/>
  <c r="M1440" i="73" s="1"/>
  <c r="L1440" i="73" s="1"/>
  <c r="L2814" i="73"/>
  <c r="M2814" i="73" s="1"/>
  <c r="M2813" i="73" s="1"/>
  <c r="L2154" i="73"/>
  <c r="M2154" i="73" s="1"/>
  <c r="M2153" i="73" s="1"/>
  <c r="L1405" i="73"/>
  <c r="M1405" i="73" s="1"/>
  <c r="M1404" i="73" s="1"/>
  <c r="L2836" i="73"/>
  <c r="M2836" i="73" s="1"/>
  <c r="M2835" i="73" s="1"/>
  <c r="L2835" i="73" s="1"/>
  <c r="L2176" i="73"/>
  <c r="M2176" i="73" s="1"/>
  <c r="M2175" i="73" s="1"/>
  <c r="L2175" i="73" s="1"/>
  <c r="L1427" i="73"/>
  <c r="M1427" i="73" s="1"/>
  <c r="M1426" i="73" s="1"/>
  <c r="L1426" i="73" s="1"/>
  <c r="L1328" i="73"/>
  <c r="M1328" i="73" s="1"/>
  <c r="M1327" i="73" s="1"/>
  <c r="L1324" i="73"/>
  <c r="M1324" i="73" s="1"/>
  <c r="M1323" i="73" s="1"/>
  <c r="L1330" i="73"/>
  <c r="M1330" i="73" s="1"/>
  <c r="M1329" i="73" s="1"/>
  <c r="L1318" i="73"/>
  <c r="M1318" i="73" s="1"/>
  <c r="M1317" i="73" s="1"/>
  <c r="L3786" i="73"/>
  <c r="M3786" i="73" s="1"/>
  <c r="M3785" i="73" s="1"/>
  <c r="L3836" i="73"/>
  <c r="M3836" i="73" s="1"/>
  <c r="M3835" i="73" s="1"/>
  <c r="L2554" i="73"/>
  <c r="M2554" i="73" s="1"/>
  <c r="M2553" i="73" s="1"/>
  <c r="L4243" i="73"/>
  <c r="M4243" i="73" s="1"/>
  <c r="M4242" i="73" s="1"/>
  <c r="L703" i="73"/>
  <c r="M703" i="73" s="1"/>
  <c r="L3425" i="73"/>
  <c r="M3425" i="73" s="1"/>
  <c r="L244" i="73"/>
  <c r="M244" i="73" s="1"/>
  <c r="L3195" i="73"/>
  <c r="M3195" i="73" s="1"/>
  <c r="L645" i="73"/>
  <c r="M645" i="73" s="1"/>
  <c r="L3428" i="73"/>
  <c r="M3428" i="73" s="1"/>
  <c r="L262" i="73"/>
  <c r="M262" i="73" s="1"/>
  <c r="L220" i="73"/>
  <c r="M220" i="73" s="1"/>
  <c r="L365" i="73"/>
  <c r="M365" i="73" s="1"/>
  <c r="L53" i="73"/>
  <c r="M53" i="73" s="1"/>
  <c r="L344" i="73"/>
  <c r="M344" i="73" s="1"/>
  <c r="L1307" i="73"/>
  <c r="M1307" i="73" s="1"/>
  <c r="L1052" i="73"/>
  <c r="M1052" i="73" s="1"/>
  <c r="L1124" i="73"/>
  <c r="M1124" i="73" s="1"/>
  <c r="L1444" i="73"/>
  <c r="M1444" i="73" s="1"/>
  <c r="L1355" i="73"/>
  <c r="M1355" i="73" s="1"/>
  <c r="L1495" i="73"/>
  <c r="M1495" i="73" s="1"/>
  <c r="L1549" i="73"/>
  <c r="M1549" i="73" s="1"/>
  <c r="L1564" i="73"/>
  <c r="M1564" i="73" s="1"/>
  <c r="L1579" i="73"/>
  <c r="M1579" i="73" s="1"/>
  <c r="L1605" i="73"/>
  <c r="M1605" i="73" s="1"/>
  <c r="L1639" i="73"/>
  <c r="M1639" i="73" s="1"/>
  <c r="L1665" i="73"/>
  <c r="M1665" i="73" s="1"/>
  <c r="L1689" i="73"/>
  <c r="M1689" i="73" s="1"/>
  <c r="L1721" i="73"/>
  <c r="M1721" i="73" s="1"/>
  <c r="L1750" i="73"/>
  <c r="M1750" i="73" s="1"/>
  <c r="L2318" i="73"/>
  <c r="M2318" i="73" s="1"/>
  <c r="L2371" i="73"/>
  <c r="M2371" i="73" s="1"/>
  <c r="L2338" i="73"/>
  <c r="M2338" i="73" s="1"/>
  <c r="L1772" i="73"/>
  <c r="M1772" i="73" s="1"/>
  <c r="L2026" i="73"/>
  <c r="M2026" i="73" s="1"/>
  <c r="L2046" i="73"/>
  <c r="M2046" i="73" s="1"/>
  <c r="L2066" i="73"/>
  <c r="M2066" i="73" s="1"/>
  <c r="L2104" i="73"/>
  <c r="M2104" i="73" s="1"/>
  <c r="L2158" i="73"/>
  <c r="M2158" i="73" s="1"/>
  <c r="L2205" i="73"/>
  <c r="M2205" i="73" s="1"/>
  <c r="L2282" i="73"/>
  <c r="M2282" i="73" s="1"/>
  <c r="L2273" i="73"/>
  <c r="M2273" i="73" s="1"/>
  <c r="L2410" i="73"/>
  <c r="M2410" i="73" s="1"/>
  <c r="L2934" i="73"/>
  <c r="M2934" i="73" s="1"/>
  <c r="L2980" i="73"/>
  <c r="M2980" i="73" s="1"/>
  <c r="L2681" i="73"/>
  <c r="M2681" i="73" s="1"/>
  <c r="L2701" i="73"/>
  <c r="M2701" i="73" s="1"/>
  <c r="L2721" i="73"/>
  <c r="M2721" i="73" s="1"/>
  <c r="L2751" i="73"/>
  <c r="M2751" i="73" s="1"/>
  <c r="L2805" i="73"/>
  <c r="M2805" i="73" s="1"/>
  <c r="L2865" i="73"/>
  <c r="M2865" i="73" s="1"/>
  <c r="L2917" i="73"/>
  <c r="M2917" i="73" s="1"/>
  <c r="L3012" i="73"/>
  <c r="M3012" i="73" s="1"/>
  <c r="L3040" i="73"/>
  <c r="M3040" i="73" s="1"/>
  <c r="L3072" i="73"/>
  <c r="M3072" i="73" s="1"/>
  <c r="L3612" i="73"/>
  <c r="M3612" i="73" s="1"/>
  <c r="L3794" i="73"/>
  <c r="M3794" i="73" s="1"/>
  <c r="L3869" i="73"/>
  <c r="M3869" i="73" s="1"/>
  <c r="L3935" i="73"/>
  <c r="M3935" i="73" s="1"/>
  <c r="L3972" i="73"/>
  <c r="M3972" i="73" s="1"/>
  <c r="L4020" i="73"/>
  <c r="M4020" i="73" s="1"/>
  <c r="L4166" i="73"/>
  <c r="M4166" i="73" s="1"/>
  <c r="L2549" i="73"/>
  <c r="M2549" i="73" s="1"/>
  <c r="L2627" i="73"/>
  <c r="M2627" i="73" s="1"/>
  <c r="L70" i="73"/>
  <c r="M70" i="73" s="1"/>
  <c r="L115" i="73"/>
  <c r="M115" i="73" s="1"/>
  <c r="L409" i="73"/>
  <c r="M409" i="73" s="1"/>
  <c r="L3122" i="73"/>
  <c r="M3122" i="73" s="1"/>
  <c r="L4657" i="73"/>
  <c r="M4657" i="73" s="1"/>
  <c r="L91" i="73"/>
  <c r="M91" i="73" s="1"/>
  <c r="L559" i="73"/>
  <c r="M559" i="73" s="1"/>
  <c r="L345" i="73"/>
  <c r="M345" i="73" s="1"/>
  <c r="L1383" i="73"/>
  <c r="M1383" i="73" s="1"/>
  <c r="L1180" i="73"/>
  <c r="M1180" i="73" s="1"/>
  <c r="L1551" i="73"/>
  <c r="M1551" i="73" s="1"/>
  <c r="L1591" i="73"/>
  <c r="M1591" i="73" s="1"/>
  <c r="L1683" i="73"/>
  <c r="M1683" i="73" s="1"/>
  <c r="L1738" i="73"/>
  <c r="M1738" i="73" s="1"/>
  <c r="L2380" i="73"/>
  <c r="M2380" i="73" s="1"/>
  <c r="L2087" i="73"/>
  <c r="M2087" i="73" s="1"/>
  <c r="L2340" i="73"/>
  <c r="M2340" i="73" s="1"/>
  <c r="L2703" i="73"/>
  <c r="M2703" i="73" s="1"/>
  <c r="L2854" i="73"/>
  <c r="M2854" i="73" s="1"/>
  <c r="L3038" i="73"/>
  <c r="M3038" i="73" s="1"/>
  <c r="L3795" i="73"/>
  <c r="M3795" i="73" s="1"/>
  <c r="L4182" i="73"/>
  <c r="M4182" i="73" s="1"/>
  <c r="L454" i="73"/>
  <c r="M454" i="73" s="1"/>
  <c r="L412" i="73"/>
  <c r="M412" i="73" s="1"/>
  <c r="L1133" i="73"/>
  <c r="M1133" i="73" s="1"/>
  <c r="L1582" i="73"/>
  <c r="M1582" i="73" s="1"/>
  <c r="L2431" i="73"/>
  <c r="M2431" i="73" s="1"/>
  <c r="L3803" i="73"/>
  <c r="M3803" i="73" s="1"/>
  <c r="L4927" i="73"/>
  <c r="M4927" i="73" s="1"/>
  <c r="L4059" i="73"/>
  <c r="M4059" i="73" s="1"/>
  <c r="L269" i="73"/>
  <c r="M269" i="73" s="1"/>
  <c r="Q1529" i="73"/>
  <c r="L2455" i="73"/>
  <c r="M2455" i="73" s="1"/>
  <c r="L4785" i="73"/>
  <c r="M4785" i="73" s="1"/>
  <c r="L4992" i="73"/>
  <c r="M4992" i="73" s="1"/>
  <c r="L1092" i="73"/>
  <c r="M1092" i="73" s="1"/>
  <c r="L291" i="73"/>
  <c r="M291" i="73" s="1"/>
  <c r="L99" i="73"/>
  <c r="M99" i="73" s="1"/>
  <c r="L3840" i="73"/>
  <c r="M3840" i="73" s="1"/>
  <c r="L3825" i="73"/>
  <c r="M3825" i="73" s="1"/>
  <c r="L3750" i="73"/>
  <c r="M3750" i="73" s="1"/>
  <c r="L1604" i="73"/>
  <c r="M1604" i="73" s="1"/>
  <c r="L3775" i="73"/>
  <c r="M3775" i="73" s="1"/>
  <c r="L3725" i="73"/>
  <c r="M3725" i="73" s="1"/>
  <c r="L489" i="73"/>
  <c r="M489" i="73" s="1"/>
  <c r="L3845" i="73"/>
  <c r="M3845" i="73" s="1"/>
  <c r="L2736" i="73"/>
  <c r="M2736" i="73" s="1"/>
  <c r="L173" i="73"/>
  <c r="M173" i="73" s="1"/>
  <c r="L2542" i="73"/>
  <c r="M2542" i="73" s="1"/>
  <c r="L1880" i="73"/>
  <c r="M1880" i="73" s="1"/>
  <c r="L4898" i="73"/>
  <c r="M4898" i="73" s="1"/>
  <c r="L4804" i="73"/>
  <c r="M4804" i="73" s="1"/>
  <c r="L4645" i="73"/>
  <c r="M4645" i="73" s="1"/>
  <c r="L4676" i="73"/>
  <c r="M4676" i="73" s="1"/>
  <c r="L4553" i="73"/>
  <c r="M4553" i="73" s="1"/>
  <c r="L4540" i="73"/>
  <c r="M4540" i="73" s="1"/>
  <c r="L4650" i="73"/>
  <c r="M4650" i="73" s="1"/>
  <c r="L4693" i="73"/>
  <c r="M4693" i="73" s="1"/>
  <c r="L631" i="73"/>
  <c r="M631" i="73" s="1"/>
  <c r="L3706" i="73"/>
  <c r="M3706" i="73" s="1"/>
  <c r="L4723" i="73"/>
  <c r="M4723" i="73" s="1"/>
  <c r="L103" i="73"/>
  <c r="M103" i="73" s="1"/>
  <c r="L294" i="73"/>
  <c r="M294" i="73" s="1"/>
  <c r="L512" i="73"/>
  <c r="M512" i="73" s="1"/>
  <c r="L383" i="73"/>
  <c r="M383" i="73" s="1"/>
  <c r="L162" i="73"/>
  <c r="M162" i="73" s="1"/>
  <c r="L957" i="73"/>
  <c r="M957" i="73" s="1"/>
  <c r="L641" i="73"/>
  <c r="M641" i="73" s="1"/>
  <c r="M634" i="73" s="1"/>
  <c r="L634" i="73" s="1"/>
  <c r="L3179" i="73"/>
  <c r="M3179" i="73" s="1"/>
  <c r="L4647" i="73"/>
  <c r="M4647" i="73" s="1"/>
  <c r="L4541" i="73"/>
  <c r="M4541" i="73" s="1"/>
  <c r="L1032" i="73"/>
  <c r="M1032" i="73" s="1"/>
  <c r="L1043" i="73"/>
  <c r="M1043" i="73" s="1"/>
  <c r="L1901" i="73"/>
  <c r="M1901" i="73" s="1"/>
  <c r="L3270" i="73"/>
  <c r="M3270" i="73" s="1"/>
  <c r="L2616" i="73"/>
  <c r="M2616" i="73" s="1"/>
  <c r="L5032" i="73"/>
  <c r="M5032" i="73" s="1"/>
  <c r="L4982" i="73"/>
  <c r="M4982" i="73" s="1"/>
  <c r="L1966" i="73"/>
  <c r="M1966" i="73" s="1"/>
  <c r="L3280" i="73"/>
  <c r="M3280" i="73" s="1"/>
  <c r="L2626" i="73"/>
  <c r="M2626" i="73" s="1"/>
  <c r="L4496" i="73"/>
  <c r="M4496" i="73" s="1"/>
  <c r="L1283" i="73"/>
  <c r="M1283" i="73" s="1"/>
  <c r="L335" i="73"/>
  <c r="M335" i="73" s="1"/>
  <c r="L1955" i="73"/>
  <c r="M1955" i="73" s="1"/>
  <c r="M1954" i="73" s="1"/>
  <c r="L1954" i="73" s="1"/>
  <c r="L3243" i="73"/>
  <c r="M3243" i="73" s="1"/>
  <c r="M3242" i="73" s="1"/>
  <c r="L31" i="73"/>
  <c r="M31" i="73" s="1"/>
  <c r="M30" i="73" s="1"/>
  <c r="L30" i="73" s="1"/>
  <c r="L3895" i="73"/>
  <c r="M3895" i="73" s="1"/>
  <c r="M3894" i="73" s="1"/>
  <c r="L2400" i="73"/>
  <c r="M2400" i="73" s="1"/>
  <c r="M2399" i="73" s="1"/>
  <c r="L3069" i="73"/>
  <c r="M3069" i="73" s="1"/>
  <c r="M3068" i="73" s="1"/>
  <c r="Q3068" i="73" s="1"/>
  <c r="L1754" i="73"/>
  <c r="M1754" i="73" s="1"/>
  <c r="M1753" i="73" s="1"/>
  <c r="Q1753" i="73" s="1"/>
  <c r="L3062" i="73"/>
  <c r="M3062" i="73" s="1"/>
  <c r="M3061" i="73" s="1"/>
  <c r="L1747" i="73"/>
  <c r="M1747" i="73" s="1"/>
  <c r="M1746" i="73" s="1"/>
  <c r="L1204" i="73"/>
  <c r="M1204" i="73" s="1"/>
  <c r="M1203" i="73" s="1"/>
  <c r="L1203" i="73" s="1"/>
  <c r="L1206" i="73"/>
  <c r="M1206" i="73" s="1"/>
  <c r="M1205" i="73" s="1"/>
  <c r="L387" i="73"/>
  <c r="M387" i="73" s="1"/>
  <c r="M386" i="73" s="1"/>
  <c r="L4110" i="73"/>
  <c r="M4110" i="73" s="1"/>
  <c r="L3806" i="73"/>
  <c r="M3806" i="73" s="1"/>
  <c r="L3148" i="73"/>
  <c r="M3148" i="73" s="1"/>
  <c r="L2506" i="73"/>
  <c r="M2506" i="73" s="1"/>
  <c r="L2375" i="73"/>
  <c r="M2375" i="73" s="1"/>
  <c r="L1824" i="73"/>
  <c r="M1824" i="73" s="1"/>
  <c r="L1722" i="73"/>
  <c r="M1722" i="73" s="1"/>
  <c r="L4104" i="73"/>
  <c r="M4104" i="73" s="1"/>
  <c r="L3756" i="73"/>
  <c r="M3756" i="73" s="1"/>
  <c r="L3060" i="73"/>
  <c r="M3060" i="73" s="1"/>
  <c r="M3059" i="73" s="1"/>
  <c r="L2486" i="73"/>
  <c r="M2486" i="73" s="1"/>
  <c r="L2339" i="73"/>
  <c r="M2339" i="73" s="1"/>
  <c r="L2279" i="73"/>
  <c r="M2279" i="73" s="1"/>
  <c r="M2278" i="73" s="1"/>
  <c r="L1686" i="73"/>
  <c r="M1686" i="73" s="1"/>
  <c r="L3781" i="73"/>
  <c r="M3781" i="73" s="1"/>
  <c r="L3731" i="73"/>
  <c r="M3731" i="73" s="1"/>
  <c r="L3037" i="73"/>
  <c r="M3037" i="73" s="1"/>
  <c r="L3001" i="73"/>
  <c r="M3001" i="73" s="1"/>
  <c r="L2002" i="73"/>
  <c r="M2002" i="73" s="1"/>
  <c r="M2001" i="73" s="1"/>
  <c r="L2398" i="73"/>
  <c r="M2398" i="73" s="1"/>
  <c r="M2397" i="73" s="1"/>
  <c r="L1611" i="73"/>
  <c r="M1611" i="73" s="1"/>
  <c r="M1610" i="73" s="1"/>
  <c r="L4315" i="73"/>
  <c r="M4315" i="73" s="1"/>
  <c r="L2941" i="73"/>
  <c r="M2941" i="73" s="1"/>
  <c r="M2940" i="73" s="1"/>
  <c r="L3831" i="73"/>
  <c r="M3831" i="73" s="1"/>
  <c r="L1842" i="73"/>
  <c r="M1842" i="73" s="1"/>
  <c r="L3168" i="73"/>
  <c r="M3168" i="73" s="1"/>
  <c r="L1745" i="73"/>
  <c r="M1745" i="73" s="1"/>
  <c r="M1744" i="73" s="1"/>
  <c r="L3165" i="73"/>
  <c r="M3165" i="73" s="1"/>
  <c r="M3164" i="73" s="1"/>
  <c r="L2503" i="73"/>
  <c r="M2503" i="73" s="1"/>
  <c r="M2502" i="73" s="1"/>
  <c r="L2429" i="73"/>
  <c r="M2429" i="73" s="1"/>
  <c r="L1776" i="73"/>
  <c r="M1776" i="73" s="1"/>
  <c r="L1658" i="73"/>
  <c r="M1658" i="73" s="1"/>
  <c r="L3091" i="73"/>
  <c r="M3091" i="73" s="1"/>
  <c r="L2311" i="73"/>
  <c r="M2311" i="73" s="1"/>
  <c r="L1654" i="73"/>
  <c r="M1654" i="73" s="1"/>
  <c r="L2978" i="73"/>
  <c r="M2978" i="73" s="1"/>
  <c r="M2977" i="73" s="1"/>
  <c r="L2316" i="73"/>
  <c r="M2316" i="73" s="1"/>
  <c r="M2315" i="73" s="1"/>
  <c r="L2307" i="73"/>
  <c r="M2307" i="73" s="1"/>
  <c r="L2973" i="73"/>
  <c r="M2973" i="73" s="1"/>
  <c r="L2969" i="73"/>
  <c r="M2969" i="73" s="1"/>
  <c r="L1821" i="73"/>
  <c r="M1821" i="73" s="1"/>
  <c r="M1820" i="73" s="1"/>
  <c r="L4072" i="73"/>
  <c r="M4072" i="73" s="1"/>
  <c r="M4071" i="73" s="1"/>
  <c r="L3966" i="73"/>
  <c r="M3966" i="73" s="1"/>
  <c r="M3965" i="73" s="1"/>
  <c r="L3938" i="73"/>
  <c r="M3938" i="73" s="1"/>
  <c r="M3937" i="73" s="1"/>
  <c r="L3790" i="73"/>
  <c r="M3790" i="73" s="1"/>
  <c r="M3789" i="73" s="1"/>
  <c r="L3789" i="73" s="1"/>
  <c r="L3914" i="73"/>
  <c r="M3914" i="73" s="1"/>
  <c r="M3913" i="73" s="1"/>
  <c r="L3028" i="73"/>
  <c r="M3028" i="73" s="1"/>
  <c r="M3027" i="73" s="1"/>
  <c r="L2890" i="73"/>
  <c r="M2890" i="73" s="1"/>
  <c r="M2889" i="73" s="1"/>
  <c r="L2780" i="73"/>
  <c r="M2780" i="73" s="1"/>
  <c r="M2779" i="73" s="1"/>
  <c r="L2988" i="73"/>
  <c r="M2988" i="73" s="1"/>
  <c r="M2987" i="73" s="1"/>
  <c r="L2987" i="73" s="1"/>
  <c r="L2242" i="73"/>
  <c r="M2242" i="73" s="1"/>
  <c r="M2241" i="73" s="1"/>
  <c r="L2124" i="73"/>
  <c r="M2124" i="73" s="1"/>
  <c r="M2123" i="73" s="1"/>
  <c r="L2328" i="73"/>
  <c r="M2328" i="73" s="1"/>
  <c r="M2327" i="73" s="1"/>
  <c r="L2327" i="73" s="1"/>
  <c r="L2330" i="73"/>
  <c r="M2330" i="73" s="1"/>
  <c r="M2329" i="73" s="1"/>
  <c r="L1709" i="73"/>
  <c r="M1709" i="73" s="1"/>
  <c r="M1708" i="73" s="1"/>
  <c r="L1708" i="73" s="1"/>
  <c r="L1661" i="73"/>
  <c r="M1661" i="73" s="1"/>
  <c r="M1660" i="73" s="1"/>
  <c r="L1369" i="73"/>
  <c r="M1369" i="73" s="1"/>
  <c r="M1368" i="73" s="1"/>
  <c r="L1368" i="73" s="1"/>
  <c r="L1142" i="73"/>
  <c r="M1142" i="73" s="1"/>
  <c r="M1141" i="73" s="1"/>
  <c r="L1060" i="73"/>
  <c r="M1060" i="73" s="1"/>
  <c r="M1059" i="73" s="1"/>
  <c r="L1059" i="73" s="1"/>
  <c r="L1472" i="73"/>
  <c r="M1472" i="73" s="1"/>
  <c r="M1471" i="73" s="1"/>
  <c r="L1471" i="73" s="1"/>
  <c r="L180" i="73"/>
  <c r="M180" i="73" s="1"/>
  <c r="M179" i="73" s="1"/>
  <c r="L215" i="73"/>
  <c r="M215" i="73" s="1"/>
  <c r="M214" i="73" s="1"/>
  <c r="L214" i="73" s="1"/>
  <c r="L4070" i="73"/>
  <c r="M4070" i="73" s="1"/>
  <c r="M4069" i="73" s="1"/>
  <c r="L3964" i="73"/>
  <c r="M3964" i="73" s="1"/>
  <c r="M3963" i="73" s="1"/>
  <c r="L3909" i="73"/>
  <c r="M3909" i="73" s="1"/>
  <c r="M3908" i="73" s="1"/>
  <c r="L3908" i="73" s="1"/>
  <c r="L3903" i="73"/>
  <c r="M3903" i="73" s="1"/>
  <c r="M3902" i="73" s="1"/>
  <c r="L3920" i="73"/>
  <c r="M3920" i="73" s="1"/>
  <c r="M3919" i="73" s="1"/>
  <c r="L3815" i="73"/>
  <c r="M3815" i="73" s="1"/>
  <c r="M3814" i="73" s="1"/>
  <c r="L3026" i="73"/>
  <c r="M3026" i="73" s="1"/>
  <c r="M3025" i="73" s="1"/>
  <c r="L2976" i="73"/>
  <c r="M2976" i="73" s="1"/>
  <c r="M2975" i="73" s="1"/>
  <c r="L2886" i="73"/>
  <c r="M2886" i="73" s="1"/>
  <c r="M2885" i="73" s="1"/>
  <c r="L2885" i="73" s="1"/>
  <c r="L2513" i="73"/>
  <c r="M2513" i="73" s="1"/>
  <c r="L2314" i="73"/>
  <c r="M2314" i="73" s="1"/>
  <c r="M2313" i="73" s="1"/>
  <c r="L2238" i="73"/>
  <c r="M2238" i="73" s="1"/>
  <c r="M2237" i="73" s="1"/>
  <c r="L2122" i="73"/>
  <c r="M2122" i="73" s="1"/>
  <c r="M2121" i="73" s="1"/>
  <c r="L2366" i="73"/>
  <c r="M2366" i="73" s="1"/>
  <c r="M2365" i="73" s="1"/>
  <c r="L2326" i="73"/>
  <c r="M2326" i="73" s="1"/>
  <c r="M2325" i="73" s="1"/>
  <c r="L1677" i="73"/>
  <c r="M1677" i="73" s="1"/>
  <c r="M1676" i="73" s="1"/>
  <c r="L1621" i="73"/>
  <c r="M1621" i="73" s="1"/>
  <c r="M1620" i="73" s="1"/>
  <c r="L1620" i="73" s="1"/>
  <c r="L1375" i="73"/>
  <c r="M1375" i="73" s="1"/>
  <c r="M1374" i="73" s="1"/>
  <c r="L1099" i="73"/>
  <c r="M1099" i="73" s="1"/>
  <c r="M1098" i="73" s="1"/>
  <c r="L1051" i="73"/>
  <c r="M1051" i="73" s="1"/>
  <c r="M1050" i="73" s="1"/>
  <c r="L1367" i="73"/>
  <c r="M1367" i="73" s="1"/>
  <c r="M1366" i="73" s="1"/>
  <c r="L217" i="73"/>
  <c r="M217" i="73" s="1"/>
  <c r="M216" i="73" s="1"/>
  <c r="L4308" i="73"/>
  <c r="M4308" i="73" s="1"/>
  <c r="L4068" i="73"/>
  <c r="M4068" i="73" s="1"/>
  <c r="M4067" i="73" s="1"/>
  <c r="L3959" i="73"/>
  <c r="M3959" i="73" s="1"/>
  <c r="M3958" i="73" s="1"/>
  <c r="L3958" i="73" s="1"/>
  <c r="L3907" i="73"/>
  <c r="M3907" i="73" s="1"/>
  <c r="M3906" i="73" s="1"/>
  <c r="L3901" i="73"/>
  <c r="M3901" i="73" s="1"/>
  <c r="M3900" i="73" s="1"/>
  <c r="L3918" i="73"/>
  <c r="M3918" i="73" s="1"/>
  <c r="M3917" i="73" s="1"/>
  <c r="L3765" i="73"/>
  <c r="M3765" i="73" s="1"/>
  <c r="M3764" i="73" s="1"/>
  <c r="L3024" i="73"/>
  <c r="M3024" i="73" s="1"/>
  <c r="M3023" i="73" s="1"/>
  <c r="L2903" i="73"/>
  <c r="M2903" i="73" s="1"/>
  <c r="M2902" i="73" s="1"/>
  <c r="L2784" i="73"/>
  <c r="M2784" i="73" s="1"/>
  <c r="M2783" i="73" s="1"/>
  <c r="L2990" i="73"/>
  <c r="M2990" i="73" s="1"/>
  <c r="M2989" i="73" s="1"/>
  <c r="L2289" i="73"/>
  <c r="M2289" i="73" s="1"/>
  <c r="M2288" i="73" s="1"/>
  <c r="L2229" i="73"/>
  <c r="M2229" i="73" s="1"/>
  <c r="M2228" i="73" s="1"/>
  <c r="L2120" i="73"/>
  <c r="M2120" i="73" s="1"/>
  <c r="M2119" i="73" s="1"/>
  <c r="L1713" i="73"/>
  <c r="M1713" i="73" s="1"/>
  <c r="M1712" i="73" s="1"/>
  <c r="L1675" i="73"/>
  <c r="M1675" i="73" s="1"/>
  <c r="M1674" i="73" s="1"/>
  <c r="L1485" i="73"/>
  <c r="M1485" i="73" s="1"/>
  <c r="M1484" i="73" s="1"/>
  <c r="L1150" i="73"/>
  <c r="M1150" i="73" s="1"/>
  <c r="M1149" i="73" s="1"/>
  <c r="L1077" i="73"/>
  <c r="M1077" i="73" s="1"/>
  <c r="L1049" i="73"/>
  <c r="M1049" i="73" s="1"/>
  <c r="M1048" i="73" s="1"/>
  <c r="L1252" i="73"/>
  <c r="M1252" i="73" s="1"/>
  <c r="L209" i="73"/>
  <c r="M209" i="73" s="1"/>
  <c r="M208" i="73" s="1"/>
  <c r="L4301" i="73"/>
  <c r="M4301" i="73" s="1"/>
  <c r="L3853" i="73"/>
  <c r="M3853" i="73" s="1"/>
  <c r="M3852" i="73" s="1"/>
  <c r="L2899" i="73"/>
  <c r="M2899" i="73" s="1"/>
  <c r="M2898" i="73" s="1"/>
  <c r="L2225" i="73"/>
  <c r="M2225" i="73" s="1"/>
  <c r="M2224" i="73" s="1"/>
  <c r="L1673" i="73"/>
  <c r="M1673" i="73" s="1"/>
  <c r="M1672" i="73" s="1"/>
  <c r="L1474" i="73"/>
  <c r="M1474" i="73" s="1"/>
  <c r="M1473" i="73" s="1"/>
  <c r="L3968" i="73"/>
  <c r="M3968" i="73" s="1"/>
  <c r="M3967" i="73" s="1"/>
  <c r="L3916" i="73"/>
  <c r="M3916" i="73" s="1"/>
  <c r="M3915" i="73" s="1"/>
  <c r="L2782" i="73"/>
  <c r="M2782" i="73" s="1"/>
  <c r="M2781" i="73" s="1"/>
  <c r="L2364" i="73"/>
  <c r="M2364" i="73" s="1"/>
  <c r="M2363" i="73" s="1"/>
  <c r="L1483" i="73"/>
  <c r="M1483" i="73" s="1"/>
  <c r="M1482" i="73" s="1"/>
  <c r="L1209" i="73"/>
  <c r="M1209" i="73" s="1"/>
  <c r="L3955" i="73"/>
  <c r="M3955" i="73" s="1"/>
  <c r="M3954" i="73" s="1"/>
  <c r="L3740" i="73"/>
  <c r="M3740" i="73" s="1"/>
  <c r="M3739" i="73" s="1"/>
  <c r="L2951" i="73"/>
  <c r="M2951" i="73" s="1"/>
  <c r="M2950" i="73" s="1"/>
  <c r="L2362" i="73"/>
  <c r="M2362" i="73" s="1"/>
  <c r="M2361" i="73" s="1"/>
  <c r="L3950" i="73"/>
  <c r="M3950" i="73" s="1"/>
  <c r="M3949" i="73" s="1"/>
  <c r="L3934" i="73"/>
  <c r="M3934" i="73" s="1"/>
  <c r="M3933" i="73" s="1"/>
  <c r="L3878" i="73"/>
  <c r="M3878" i="73" s="1"/>
  <c r="L3881" i="73"/>
  <c r="M3881" i="73" s="1"/>
  <c r="M3880" i="73" s="1"/>
  <c r="L3469" i="73"/>
  <c r="M3469" i="73" s="1"/>
  <c r="L1148" i="73"/>
  <c r="M1148" i="73" s="1"/>
  <c r="M1147" i="73" s="1"/>
  <c r="L1037" i="73"/>
  <c r="M1037" i="73" s="1"/>
  <c r="L531" i="73"/>
  <c r="M531" i="73" s="1"/>
  <c r="M530" i="73" s="1"/>
  <c r="L530" i="73" s="1"/>
  <c r="L213" i="73"/>
  <c r="M213" i="73" s="1"/>
  <c r="M212" i="73" s="1"/>
  <c r="L212" i="73" s="1"/>
  <c r="L125" i="73"/>
  <c r="M125" i="73" s="1"/>
  <c r="L364" i="73"/>
  <c r="M364" i="73" s="1"/>
  <c r="M363" i="73" s="1"/>
  <c r="L4381" i="73"/>
  <c r="M4381" i="73" s="1"/>
  <c r="L3932" i="73"/>
  <c r="M3932" i="73" s="1"/>
  <c r="M3931" i="73" s="1"/>
  <c r="L3893" i="73"/>
  <c r="M3893" i="73" s="1"/>
  <c r="M3892" i="73" s="1"/>
  <c r="L3290" i="73"/>
  <c r="M3290" i="73" s="1"/>
  <c r="L3359" i="73"/>
  <c r="M3359" i="73" s="1"/>
  <c r="L1131" i="73"/>
  <c r="M1131" i="73" s="1"/>
  <c r="L1026" i="73"/>
  <c r="M1026" i="73" s="1"/>
  <c r="L452" i="73"/>
  <c r="M452" i="73" s="1"/>
  <c r="L116" i="73"/>
  <c r="M116" i="73" s="1"/>
  <c r="L545" i="73"/>
  <c r="M545" i="73" s="1"/>
  <c r="L231" i="73"/>
  <c r="M231" i="73" s="1"/>
  <c r="M230" i="73" s="1"/>
  <c r="L3948" i="73"/>
  <c r="M3948" i="73" s="1"/>
  <c r="M3947" i="73" s="1"/>
  <c r="L3927" i="73"/>
  <c r="M3927" i="73" s="1"/>
  <c r="M3926" i="73" s="1"/>
  <c r="L3926" i="73" s="1"/>
  <c r="L3891" i="73"/>
  <c r="M3891" i="73" s="1"/>
  <c r="M3890" i="73" s="1"/>
  <c r="L3460" i="73"/>
  <c r="M3460" i="73" s="1"/>
  <c r="L2636" i="73"/>
  <c r="M2636" i="73" s="1"/>
  <c r="L1120" i="73"/>
  <c r="M1120" i="73" s="1"/>
  <c r="M1119" i="73" s="1"/>
  <c r="L1232" i="73"/>
  <c r="M1232" i="73" s="1"/>
  <c r="L419" i="73"/>
  <c r="M419" i="73" s="1"/>
  <c r="L211" i="73"/>
  <c r="M211" i="73" s="1"/>
  <c r="M210" i="73" s="1"/>
  <c r="L444" i="73"/>
  <c r="M444" i="73" s="1"/>
  <c r="L153" i="73"/>
  <c r="M153" i="73" s="1"/>
  <c r="L3940" i="73"/>
  <c r="M3940" i="73" s="1"/>
  <c r="M3939" i="73" s="1"/>
  <c r="L1976" i="73"/>
  <c r="M1976" i="73" s="1"/>
  <c r="L410" i="73"/>
  <c r="M410" i="73" s="1"/>
  <c r="L3925" i="73"/>
  <c r="M3925" i="73" s="1"/>
  <c r="M3924" i="73" s="1"/>
  <c r="L1118" i="73"/>
  <c r="M1118" i="73" s="1"/>
  <c r="M1117" i="73" s="1"/>
  <c r="L437" i="73"/>
  <c r="M437" i="73" s="1"/>
  <c r="L3883" i="73"/>
  <c r="M3883" i="73" s="1"/>
  <c r="M3882" i="73" s="1"/>
  <c r="L533" i="73"/>
  <c r="M533" i="73" s="1"/>
  <c r="M532" i="73" s="1"/>
  <c r="L4032" i="73"/>
  <c r="M4032" i="73" s="1"/>
  <c r="M4031" i="73" s="1"/>
  <c r="L2269" i="73"/>
  <c r="M2269" i="73" s="1"/>
  <c r="M2268" i="73" s="1"/>
  <c r="L298" i="73"/>
  <c r="M298" i="73" s="1"/>
  <c r="L3946" i="73"/>
  <c r="M3946" i="73" s="1"/>
  <c r="M3945" i="73" s="1"/>
  <c r="L1519" i="73"/>
  <c r="M1519" i="73" s="1"/>
  <c r="M1518" i="73" s="1"/>
  <c r="L146" i="73"/>
  <c r="M146" i="73" s="1"/>
  <c r="L3889" i="73"/>
  <c r="M3889" i="73" s="1"/>
  <c r="M3888" i="73" s="1"/>
  <c r="L1159" i="73"/>
  <c r="M1159" i="73" s="1"/>
  <c r="L370" i="73"/>
  <c r="M370" i="73" s="1"/>
  <c r="M369" i="73" s="1"/>
  <c r="L4034" i="73"/>
  <c r="M4034" i="73" s="1"/>
  <c r="M4033" i="73" s="1"/>
  <c r="L839" i="73"/>
  <c r="M839" i="73" s="1"/>
  <c r="M838" i="73" s="1"/>
  <c r="L783" i="73"/>
  <c r="M783" i="73" s="1"/>
  <c r="M782" i="73" s="1"/>
  <c r="L970" i="73"/>
  <c r="M970" i="73" s="1"/>
  <c r="M969" i="73" s="1"/>
  <c r="L969" i="73" s="1"/>
  <c r="L672" i="73"/>
  <c r="M672" i="73" s="1"/>
  <c r="M671" i="73" s="1"/>
  <c r="L671" i="73" s="1"/>
  <c r="L904" i="73"/>
  <c r="M904" i="73" s="1"/>
  <c r="M903" i="73" s="1"/>
  <c r="L718" i="73"/>
  <c r="M718" i="73" s="1"/>
  <c r="M717" i="73" s="1"/>
  <c r="M710" i="73" s="1"/>
  <c r="L4985" i="73"/>
  <c r="M4985" i="73" s="1"/>
  <c r="M4984" i="73" s="1"/>
  <c r="L4360" i="73"/>
  <c r="M4360" i="73" s="1"/>
  <c r="M4359" i="73" s="1"/>
  <c r="L4095" i="73"/>
  <c r="M4095" i="73" s="1"/>
  <c r="M4094" i="73" s="1"/>
  <c r="L4094" i="73" s="1"/>
  <c r="L3657" i="73"/>
  <c r="M3657" i="73" s="1"/>
  <c r="M3656" i="73" s="1"/>
  <c r="L3631" i="73"/>
  <c r="M3631" i="73" s="1"/>
  <c r="M3630" i="73" s="1"/>
  <c r="L3323" i="73"/>
  <c r="M3323" i="73" s="1"/>
  <c r="M3322" i="73" s="1"/>
  <c r="L3412" i="73"/>
  <c r="M3412" i="73" s="1"/>
  <c r="M3411" i="73" s="1"/>
  <c r="L3416" i="73"/>
  <c r="M3416" i="73" s="1"/>
  <c r="M3415" i="73" s="1"/>
  <c r="L3333" i="73"/>
  <c r="M3333" i="73" s="1"/>
  <c r="M3332" i="73" s="1"/>
  <c r="L1912" i="73"/>
  <c r="M1912" i="73" s="1"/>
  <c r="M1911" i="73" s="1"/>
  <c r="L873" i="73"/>
  <c r="M873" i="73" s="1"/>
  <c r="M872" i="73" s="1"/>
  <c r="L1239" i="73"/>
  <c r="M1239" i="73" s="1"/>
  <c r="M1238" i="73" s="1"/>
  <c r="L750" i="73"/>
  <c r="M750" i="73" s="1"/>
  <c r="M749" i="73" s="1"/>
  <c r="L1000" i="73"/>
  <c r="M1000" i="73" s="1"/>
  <c r="M999" i="73" s="1"/>
  <c r="L666" i="73"/>
  <c r="M666" i="73" s="1"/>
  <c r="M665" i="73" s="1"/>
  <c r="L612" i="73"/>
  <c r="M612" i="73" s="1"/>
  <c r="M611" i="73" s="1"/>
  <c r="L4935" i="73"/>
  <c r="M4935" i="73" s="1"/>
  <c r="M4934" i="73" s="1"/>
  <c r="L4934" i="73" s="1"/>
  <c r="L4358" i="73"/>
  <c r="M4358" i="73" s="1"/>
  <c r="M4357" i="73" s="1"/>
  <c r="L4357" i="73" s="1"/>
  <c r="L3655" i="73"/>
  <c r="M3655" i="73" s="1"/>
  <c r="M3654" i="73" s="1"/>
  <c r="L3515" i="73"/>
  <c r="M3515" i="73" s="1"/>
  <c r="M3514" i="73" s="1"/>
  <c r="L3514" i="73" s="1"/>
  <c r="L3200" i="73"/>
  <c r="M3200" i="73" s="1"/>
  <c r="M3199" i="73" s="1"/>
  <c r="L3199" i="73" s="1"/>
  <c r="L3509" i="73"/>
  <c r="M3509" i="73" s="1"/>
  <c r="M3508" i="73" s="1"/>
  <c r="L3404" i="73"/>
  <c r="M3404" i="73" s="1"/>
  <c r="M3403" i="73" s="1"/>
  <c r="L3403" i="73" s="1"/>
  <c r="L3408" i="73"/>
  <c r="M3408" i="73" s="1"/>
  <c r="M3407" i="73" s="1"/>
  <c r="L3407" i="73" s="1"/>
  <c r="L2546" i="73"/>
  <c r="M2546" i="73" s="1"/>
  <c r="M2545" i="73" s="1"/>
  <c r="L2545" i="73" s="1"/>
  <c r="L1830" i="73"/>
  <c r="M1830" i="73" s="1"/>
  <c r="M1829" i="73" s="1"/>
  <c r="L1829" i="73" s="1"/>
  <c r="L871" i="73"/>
  <c r="M871" i="73" s="1"/>
  <c r="M870" i="73" s="1"/>
  <c r="L870" i="73" s="1"/>
  <c r="L813" i="73"/>
  <c r="M813" i="73" s="1"/>
  <c r="M812" i="73" s="1"/>
  <c r="L748" i="73"/>
  <c r="M748" i="73" s="1"/>
  <c r="M747" i="73" s="1"/>
  <c r="L747" i="73" s="1"/>
  <c r="L990" i="73"/>
  <c r="M990" i="73" s="1"/>
  <c r="M989" i="73" s="1"/>
  <c r="L600" i="73"/>
  <c r="M600" i="73" s="1"/>
  <c r="M599" i="73" s="1"/>
  <c r="L406" i="73"/>
  <c r="M406" i="73" s="1"/>
  <c r="M405" i="73" s="1"/>
  <c r="L4456" i="73"/>
  <c r="M4456" i="73" s="1"/>
  <c r="M4455" i="73" s="1"/>
  <c r="L4291" i="73"/>
  <c r="M4291" i="73" s="1"/>
  <c r="M4290" i="73" s="1"/>
  <c r="L3661" i="73"/>
  <c r="M3661" i="73" s="1"/>
  <c r="M3660" i="73" s="1"/>
  <c r="L3641" i="73"/>
  <c r="M3641" i="73" s="1"/>
  <c r="M3640" i="73" s="1"/>
  <c r="L3418" i="73"/>
  <c r="M3418" i="73" s="1"/>
  <c r="M3417" i="73" s="1"/>
  <c r="L3136" i="73"/>
  <c r="M3136" i="73" s="1"/>
  <c r="M3135" i="73" s="1"/>
  <c r="L3443" i="73"/>
  <c r="M3443" i="73" s="1"/>
  <c r="M3442" i="73" s="1"/>
  <c r="L3325" i="73"/>
  <c r="M3325" i="73" s="1"/>
  <c r="M3324" i="73" s="1"/>
  <c r="L3342" i="73"/>
  <c r="M3342" i="73" s="1"/>
  <c r="M3341" i="73" s="1"/>
  <c r="L3436" i="73"/>
  <c r="M3436" i="73" s="1"/>
  <c r="M3435" i="73" s="1"/>
  <c r="L1245" i="73"/>
  <c r="M1245" i="73" s="1"/>
  <c r="M1244" i="73" s="1"/>
  <c r="L869" i="73"/>
  <c r="M869" i="73" s="1"/>
  <c r="M868" i="73" s="1"/>
  <c r="L756" i="73"/>
  <c r="M756" i="73" s="1"/>
  <c r="M755" i="73" s="1"/>
  <c r="L736" i="73"/>
  <c r="M736" i="73" s="1"/>
  <c r="M735" i="73" s="1"/>
  <c r="L616" i="73"/>
  <c r="M616" i="73" s="1"/>
  <c r="M615" i="73" s="1"/>
  <c r="L241" i="73"/>
  <c r="M241" i="73" s="1"/>
  <c r="M240" i="73" s="1"/>
  <c r="L4101" i="73"/>
  <c r="M4101" i="73" s="1"/>
  <c r="M4100" i="73" s="1"/>
  <c r="Q4100" i="73" s="1"/>
  <c r="L3517" i="73"/>
  <c r="M3517" i="73" s="1"/>
  <c r="M3516" i="73" s="1"/>
  <c r="L2474" i="73"/>
  <c r="M2474" i="73" s="1"/>
  <c r="M2473" i="73" s="1"/>
  <c r="L1243" i="73"/>
  <c r="M1243" i="73" s="1"/>
  <c r="M1242" i="73" s="1"/>
  <c r="L3659" i="73"/>
  <c r="M3659" i="73" s="1"/>
  <c r="M3658" i="73" s="1"/>
  <c r="L3434" i="73"/>
  <c r="M3434" i="73" s="1"/>
  <c r="M3433" i="73" s="1"/>
  <c r="L877" i="73"/>
  <c r="M877" i="73" s="1"/>
  <c r="M876" i="73" s="1"/>
  <c r="L988" i="73"/>
  <c r="M988" i="73" s="1"/>
  <c r="M987" i="73" s="1"/>
  <c r="L3633" i="73"/>
  <c r="M3633" i="73" s="1"/>
  <c r="M3632" i="73" s="1"/>
  <c r="L3505" i="73"/>
  <c r="M3505" i="73" s="1"/>
  <c r="M3504" i="73" s="1"/>
  <c r="L865" i="73"/>
  <c r="M865" i="73" s="1"/>
  <c r="M864" i="73" s="1"/>
  <c r="L614" i="73"/>
  <c r="M614" i="73" s="1"/>
  <c r="M613" i="73" s="1"/>
  <c r="L2591" i="73"/>
  <c r="M2591" i="73" s="1"/>
  <c r="M2590" i="73" s="1"/>
  <c r="L2590" i="73" s="1"/>
  <c r="L1957" i="73"/>
  <c r="M1957" i="73" s="1"/>
  <c r="M1956" i="73" s="1"/>
  <c r="L3245" i="73"/>
  <c r="M3245" i="73" s="1"/>
  <c r="M3244" i="73" s="1"/>
  <c r="L4251" i="73"/>
  <c r="M4251" i="73" s="1"/>
  <c r="M4250" i="73" s="1"/>
  <c r="L4261" i="73"/>
  <c r="M4261" i="73" s="1"/>
  <c r="M4260" i="73" s="1"/>
  <c r="L832" i="73"/>
  <c r="M832" i="73" s="1"/>
  <c r="L3203" i="73"/>
  <c r="M3203" i="73" s="1"/>
  <c r="L1967" i="73"/>
  <c r="M1967" i="73" s="1"/>
  <c r="L3226" i="73"/>
  <c r="M3226" i="73" s="1"/>
  <c r="L4271" i="73"/>
  <c r="M4271" i="73" s="1"/>
  <c r="L418" i="73"/>
  <c r="M418" i="73" s="1"/>
  <c r="L232" i="73"/>
  <c r="M232" i="73" s="1"/>
  <c r="L426" i="73"/>
  <c r="M426" i="73" s="1"/>
  <c r="L3178" i="73"/>
  <c r="M3178" i="73" s="1"/>
  <c r="L2460" i="73"/>
  <c r="M2460" i="73" s="1"/>
  <c r="L4803" i="73"/>
  <c r="M4803" i="73" s="1"/>
  <c r="L4978" i="73"/>
  <c r="M4978" i="73" s="1"/>
  <c r="L5028" i="73"/>
  <c r="M5028" i="73" s="1"/>
  <c r="L4776" i="73"/>
  <c r="M4776" i="73" s="1"/>
  <c r="L707" i="73"/>
  <c r="M707" i="73" s="1"/>
  <c r="L1224" i="73"/>
  <c r="M1224" i="73" s="1"/>
  <c r="L1908" i="73"/>
  <c r="M1908" i="73" s="1"/>
  <c r="L2623" i="73"/>
  <c r="M2623" i="73" s="1"/>
  <c r="L3281" i="73"/>
  <c r="M3281" i="73" s="1"/>
  <c r="L58" i="73"/>
  <c r="M58" i="73" s="1"/>
  <c r="L152" i="73"/>
  <c r="M152" i="73" s="1"/>
  <c r="L124" i="73"/>
  <c r="M124" i="73" s="1"/>
  <c r="L470" i="73"/>
  <c r="M470" i="73" s="1"/>
  <c r="L831" i="73"/>
  <c r="M831" i="73" s="1"/>
  <c r="L5017" i="73"/>
  <c r="M5017" i="73" s="1"/>
  <c r="L4967" i="73"/>
  <c r="M4967" i="73" s="1"/>
  <c r="L4671" i="73"/>
  <c r="M4671" i="73" s="1"/>
  <c r="L3886" i="73"/>
  <c r="Q3886" i="73"/>
  <c r="L3340" i="73"/>
  <c r="M3340" i="73" s="1"/>
  <c r="L3851" i="73"/>
  <c r="M3851" i="73" s="1"/>
  <c r="L490" i="73"/>
  <c r="M490" i="73" s="1"/>
  <c r="L174" i="73"/>
  <c r="M174" i="73" s="1"/>
  <c r="L4958" i="73"/>
  <c r="M4958" i="73" s="1"/>
  <c r="L4742" i="73"/>
  <c r="M4742" i="73" s="1"/>
  <c r="Q2602" i="73"/>
  <c r="Q4936" i="73"/>
  <c r="Q808" i="73"/>
  <c r="Q693" i="73"/>
  <c r="Q242" i="73"/>
  <c r="Q1001" i="73"/>
  <c r="Q4397" i="73"/>
  <c r="L2914" i="73"/>
  <c r="M2914" i="73" s="1"/>
  <c r="L827" i="73"/>
  <c r="M827" i="73" s="1"/>
  <c r="L2518" i="73"/>
  <c r="M2518" i="73" s="1"/>
  <c r="L3611" i="73"/>
  <c r="M3611" i="73" s="1"/>
  <c r="L462" i="73"/>
  <c r="M462" i="73" s="1"/>
  <c r="L2116" i="73"/>
  <c r="M2116" i="73" s="1"/>
  <c r="L1276" i="73"/>
  <c r="M1276" i="73" s="1"/>
  <c r="L2457" i="73"/>
  <c r="M2457" i="73" s="1"/>
  <c r="L4892" i="73"/>
  <c r="M4892" i="73" s="1"/>
  <c r="L1331" i="73"/>
  <c r="M1331" i="73" s="1"/>
  <c r="L1716" i="73"/>
  <c r="L2588" i="73"/>
  <c r="L4896" i="73"/>
  <c r="M4896" i="73" s="1"/>
  <c r="L4599" i="73"/>
  <c r="M4599" i="73" s="1"/>
  <c r="L4272" i="73"/>
  <c r="M4272" i="73" s="1"/>
  <c r="L4235" i="73"/>
  <c r="M4235" i="73" s="1"/>
  <c r="L3868" i="73"/>
  <c r="M3868" i="73" s="1"/>
  <c r="L4947" i="73"/>
  <c r="M4947" i="73" s="1"/>
  <c r="L4805" i="73"/>
  <c r="M4805" i="73" s="1"/>
  <c r="L723" i="73"/>
  <c r="L49" i="73"/>
  <c r="L1219" i="73"/>
  <c r="L5000" i="73"/>
  <c r="M5000" i="73" s="1"/>
  <c r="L4950" i="73"/>
  <c r="M4950" i="73" s="1"/>
  <c r="L5008" i="73"/>
  <c r="M5008" i="73" s="1"/>
  <c r="L5018" i="73"/>
  <c r="M5018" i="73" s="1"/>
  <c r="L4545" i="73"/>
  <c r="M4545" i="73" s="1"/>
  <c r="L4695" i="73"/>
  <c r="M4695" i="73" s="1"/>
  <c r="L4638" i="73"/>
  <c r="M4638" i="73" s="1"/>
  <c r="L4639" i="73"/>
  <c r="M4639" i="73" s="1"/>
  <c r="L4970" i="73"/>
  <c r="M4970" i="73" s="1"/>
  <c r="L4916" i="73"/>
  <c r="M4916" i="73" s="1"/>
  <c r="L4761" i="73"/>
  <c r="M4761" i="73" s="1"/>
  <c r="L4546" i="73"/>
  <c r="M4546" i="73" s="1"/>
  <c r="L4617" i="73"/>
  <c r="M4617" i="73" s="1"/>
  <c r="L4596" i="73"/>
  <c r="M4596" i="73" s="1"/>
  <c r="L4589" i="73"/>
  <c r="M4589" i="73" s="1"/>
  <c r="L4618" i="73"/>
  <c r="M4618" i="73" s="1"/>
  <c r="L4597" i="73"/>
  <c r="M4597" i="73" s="1"/>
  <c r="L4590" i="73"/>
  <c r="M4590" i="73" s="1"/>
  <c r="L499" i="73"/>
  <c r="M499" i="73" s="1"/>
  <c r="L66" i="73"/>
  <c r="M66" i="73" s="1"/>
  <c r="L4974" i="73"/>
  <c r="M4974" i="73" s="1"/>
  <c r="L5024" i="73"/>
  <c r="M5024" i="73" s="1"/>
  <c r="L3189" i="73"/>
  <c r="M3189" i="73" s="1"/>
  <c r="L520" i="73"/>
  <c r="M520" i="73" s="1"/>
  <c r="L5006" i="73"/>
  <c r="M5006" i="73" s="1"/>
  <c r="L4816" i="73"/>
  <c r="M4816" i="73" s="1"/>
  <c r="L2129" i="73"/>
  <c r="M2129" i="73" s="1"/>
  <c r="L1380" i="73"/>
  <c r="M1380" i="73" s="1"/>
  <c r="Q925" i="73"/>
  <c r="Q260" i="73"/>
  <c r="Q669" i="73"/>
  <c r="Q913" i="73"/>
  <c r="Q788" i="73"/>
  <c r="Q685" i="73"/>
  <c r="Q993" i="73"/>
  <c r="Q1246" i="73"/>
  <c r="L459" i="73"/>
  <c r="M459" i="73" s="1"/>
  <c r="L620" i="73"/>
  <c r="M620" i="73" s="1"/>
  <c r="L879" i="73"/>
  <c r="M879" i="73" s="1"/>
  <c r="L4791" i="73"/>
  <c r="M4791" i="73" s="1"/>
  <c r="L2523" i="73"/>
  <c r="M2523" i="73" s="1"/>
  <c r="L4993" i="73"/>
  <c r="M4993" i="73" s="1"/>
  <c r="L3202" i="73"/>
  <c r="M3202" i="73" s="1"/>
  <c r="L4788" i="73"/>
  <c r="M4788" i="73" s="1"/>
  <c r="L891" i="73"/>
  <c r="M891" i="73" s="1"/>
  <c r="L829" i="73"/>
  <c r="M829" i="73" s="1"/>
  <c r="L1998" i="73"/>
  <c r="M1998" i="73" s="1"/>
  <c r="L4799" i="73"/>
  <c r="M4799" i="73" s="1"/>
  <c r="L727" i="73"/>
  <c r="M727" i="73" s="1"/>
  <c r="M720" i="73" s="1"/>
  <c r="L1353" i="73"/>
  <c r="M1353" i="73" s="1"/>
  <c r="L1063" i="73"/>
  <c r="M1063" i="73" s="1"/>
  <c r="L1354" i="73"/>
  <c r="M1354" i="73" s="1"/>
  <c r="L2468" i="73"/>
  <c r="M2468" i="73" s="1"/>
  <c r="L1853" i="73"/>
  <c r="M1853" i="73" s="1"/>
  <c r="L2979" i="73"/>
  <c r="M2979" i="73" s="1"/>
  <c r="L2651" i="73"/>
  <c r="M2651" i="73" s="1"/>
  <c r="L3076" i="73"/>
  <c r="M3076" i="73" s="1"/>
  <c r="L3859" i="73"/>
  <c r="M3859" i="73" s="1"/>
  <c r="L4314" i="73"/>
  <c r="M4314" i="73" s="1"/>
  <c r="L3249" i="73"/>
  <c r="M3249" i="73" s="1"/>
  <c r="L4633" i="73"/>
  <c r="M4633" i="73" s="1"/>
  <c r="L104" i="73"/>
  <c r="M104" i="73" s="1"/>
  <c r="L4566" i="73"/>
  <c r="M4566" i="73" s="1"/>
  <c r="L4968" i="73"/>
  <c r="M4968" i="73" s="1"/>
  <c r="L3081" i="73"/>
  <c r="M3081" i="73" s="1"/>
  <c r="L2419" i="73"/>
  <c r="M2419" i="73" s="1"/>
  <c r="L1222" i="73"/>
  <c r="M1222" i="73" s="1"/>
  <c r="M1221" i="73" s="1"/>
  <c r="L1042" i="73"/>
  <c r="M1042" i="73" s="1"/>
  <c r="M1041" i="73" s="1"/>
  <c r="L1031" i="73"/>
  <c r="M1031" i="73" s="1"/>
  <c r="M1030" i="73" s="1"/>
  <c r="L3269" i="73"/>
  <c r="M3269" i="73" s="1"/>
  <c r="L2615" i="73"/>
  <c r="M2615" i="73" s="1"/>
  <c r="L4701" i="73"/>
  <c r="M4701" i="73" s="1"/>
  <c r="L4635" i="73"/>
  <c r="M4635" i="73" s="1"/>
  <c r="L4690" i="73"/>
  <c r="M4690" i="73" s="1"/>
  <c r="L4626" i="73"/>
  <c r="M4626" i="73" s="1"/>
  <c r="L4665" i="73"/>
  <c r="M4665" i="73" s="1"/>
  <c r="L4554" i="73"/>
  <c r="M4554" i="73" s="1"/>
  <c r="Q1952" i="73"/>
  <c r="Q2422" i="73"/>
  <c r="Q3209" i="73"/>
  <c r="Q4118" i="73"/>
  <c r="Q796" i="73"/>
  <c r="Q947" i="73"/>
  <c r="L1273" i="73"/>
  <c r="M1273" i="73" s="1"/>
  <c r="L702" i="73"/>
  <c r="M702" i="73" s="1"/>
  <c r="L517" i="73"/>
  <c r="M517" i="73" s="1"/>
  <c r="L3177" i="73"/>
  <c r="M3177" i="73" s="1"/>
  <c r="L4215" i="73"/>
  <c r="M4215" i="73" s="1"/>
  <c r="L4335" i="73"/>
  <c r="M4335" i="73" s="1"/>
  <c r="L4941" i="73"/>
  <c r="M4941" i="73" s="1"/>
  <c r="L4888" i="73"/>
  <c r="M4888" i="73" s="1"/>
  <c r="L1044" i="73"/>
  <c r="M1044" i="73" s="1"/>
  <c r="L963" i="73"/>
  <c r="M963" i="73" s="1"/>
  <c r="L3722" i="73"/>
  <c r="M3722" i="73" s="1"/>
  <c r="L2524" i="73"/>
  <c r="M2524" i="73" s="1"/>
  <c r="L623" i="73"/>
  <c r="M623" i="73" s="1"/>
  <c r="L962" i="73"/>
  <c r="M962" i="73" s="1"/>
  <c r="L2786" i="73"/>
  <c r="M2786" i="73" s="1"/>
  <c r="L1338" i="73"/>
  <c r="M1338" i="73" s="1"/>
  <c r="L1123" i="73"/>
  <c r="M1123" i="73" s="1"/>
  <c r="L1513" i="73"/>
  <c r="M1513" i="73" s="1"/>
  <c r="L2272" i="73"/>
  <c r="M2272" i="73" s="1"/>
  <c r="L2353" i="73"/>
  <c r="M2353" i="73" s="1"/>
  <c r="L2491" i="73"/>
  <c r="M2491" i="73" s="1"/>
  <c r="L2790" i="73"/>
  <c r="M2790" i="73" s="1"/>
  <c r="L3147" i="73"/>
  <c r="M3147" i="73" s="1"/>
  <c r="L4044" i="73"/>
  <c r="M4044" i="73" s="1"/>
  <c r="L4392" i="73"/>
  <c r="M4392" i="73" s="1"/>
  <c r="L4592" i="73"/>
  <c r="M4592" i="73" s="1"/>
  <c r="L1866" i="73"/>
  <c r="M1866" i="73" s="1"/>
  <c r="L2789" i="73"/>
  <c r="M2789" i="73" s="1"/>
  <c r="L3441" i="73"/>
  <c r="M3441" i="73" s="1"/>
  <c r="L4709" i="73"/>
  <c r="M4709" i="73" s="1"/>
  <c r="L4822" i="73"/>
  <c r="M4822" i="73" s="1"/>
  <c r="L4669" i="73"/>
  <c r="M4669" i="73" s="1"/>
  <c r="L4651" i="73"/>
  <c r="M4651" i="73" s="1"/>
  <c r="L4744" i="73"/>
  <c r="M4744" i="73" s="1"/>
  <c r="L4902" i="73"/>
  <c r="M4902" i="73" s="1"/>
  <c r="L4557" i="73"/>
  <c r="M4557" i="73" s="1"/>
  <c r="L1766" i="73"/>
  <c r="M1766" i="73" s="1"/>
  <c r="L4923" i="73"/>
  <c r="M4923" i="73" s="1"/>
  <c r="L5025" i="73"/>
  <c r="M5025" i="73" s="1"/>
  <c r="L4582" i="73"/>
  <c r="M4582" i="73" s="1"/>
  <c r="L4524" i="73"/>
  <c r="M4524" i="73" s="1"/>
  <c r="L4640" i="73"/>
  <c r="M4640" i="73" s="1"/>
  <c r="L4696" i="73"/>
  <c r="M4696" i="73" s="1"/>
  <c r="L656" i="73"/>
  <c r="M656" i="73" s="1"/>
  <c r="M655" i="73" s="1"/>
  <c r="L478" i="73"/>
  <c r="M478" i="73" s="1"/>
  <c r="L479" i="73"/>
  <c r="M479" i="73" s="1"/>
  <c r="L4495" i="73"/>
  <c r="M4495" i="73" s="1"/>
  <c r="L3711" i="73"/>
  <c r="M3711" i="73" s="1"/>
  <c r="L1504" i="73"/>
  <c r="M1504" i="73" s="1"/>
  <c r="L2529" i="73"/>
  <c r="M2529" i="73" s="1"/>
  <c r="L1434" i="73"/>
  <c r="M1434" i="73" s="1"/>
  <c r="L2295" i="73"/>
  <c r="M2295" i="73" s="1"/>
  <c r="L2494" i="73"/>
  <c r="M2494" i="73" s="1"/>
  <c r="L3557" i="73"/>
  <c r="M3557" i="73" s="1"/>
  <c r="L4928" i="73"/>
  <c r="M4928" i="73" s="1"/>
  <c r="L4926" i="73"/>
  <c r="M4926" i="73" s="1"/>
  <c r="L4658" i="73"/>
  <c r="M4658" i="73" s="1"/>
  <c r="L4558" i="73"/>
  <c r="M4558" i="73" s="1"/>
  <c r="L4655" i="73"/>
  <c r="M4655" i="73" s="1"/>
  <c r="L477" i="73"/>
  <c r="M477" i="73" s="1"/>
  <c r="L384" i="73"/>
  <c r="M384" i="73" s="1"/>
  <c r="L275" i="73"/>
  <c r="M275" i="73" s="1"/>
  <c r="L492" i="73"/>
  <c r="M492" i="73" s="1"/>
  <c r="L2254" i="73"/>
  <c r="M2254" i="73" s="1"/>
  <c r="L1515" i="73"/>
  <c r="M1515" i="73" s="1"/>
  <c r="L1836" i="73"/>
  <c r="M1836" i="73" s="1"/>
  <c r="L2754" i="73"/>
  <c r="M2754" i="73" s="1"/>
  <c r="L1904" i="73"/>
  <c r="M1904" i="73" s="1"/>
  <c r="L2619" i="73"/>
  <c r="M2619" i="73" s="1"/>
  <c r="L97" i="73"/>
  <c r="M97" i="73" s="1"/>
  <c r="L290" i="73"/>
  <c r="M290" i="73" s="1"/>
  <c r="L3121" i="73"/>
  <c r="M3121" i="73" s="1"/>
  <c r="L1806" i="73"/>
  <c r="M1806" i="73" s="1"/>
  <c r="L1201" i="73"/>
  <c r="L2849" i="73"/>
  <c r="Q2849" i="73"/>
  <c r="L403" i="73"/>
  <c r="Q403" i="73"/>
  <c r="L431" i="73"/>
  <c r="Q431" i="73"/>
  <c r="L651" i="73"/>
  <c r="Q651" i="73"/>
  <c r="L691" i="73"/>
  <c r="Q691" i="73"/>
  <c r="L1227" i="73"/>
  <c r="L4980" i="73"/>
  <c r="M4980" i="73" s="1"/>
  <c r="L5030" i="73"/>
  <c r="M5030" i="73" s="1"/>
  <c r="L3185" i="73"/>
  <c r="M3185" i="73" s="1"/>
  <c r="L2531" i="73"/>
  <c r="M2531" i="73" s="1"/>
  <c r="L1869" i="73"/>
  <c r="M1869" i="73" s="1"/>
  <c r="L551" i="73"/>
  <c r="M551" i="73" s="1"/>
  <c r="L4283" i="73"/>
  <c r="M4283" i="73" s="1"/>
  <c r="L2597" i="73"/>
  <c r="M2597" i="73" s="1"/>
  <c r="L1963" i="73"/>
  <c r="M1963" i="73" s="1"/>
  <c r="L3251" i="73"/>
  <c r="M3251" i="73" s="1"/>
  <c r="L4878" i="73"/>
  <c r="M4878" i="73" s="1"/>
  <c r="L4780" i="73"/>
  <c r="M4780" i="73" s="1"/>
  <c r="L4939" i="73"/>
  <c r="M4939" i="73" s="1"/>
  <c r="M4938" i="73" s="1"/>
  <c r="L4989" i="73"/>
  <c r="M4989" i="73" s="1"/>
  <c r="M4988" i="73" s="1"/>
  <c r="L2409" i="73"/>
  <c r="M2409" i="73" s="1"/>
  <c r="M2408" i="73" s="1"/>
  <c r="L2408" i="73" s="1"/>
  <c r="L2905" i="73"/>
  <c r="M2905" i="73" s="1"/>
  <c r="M2904" i="73" s="1"/>
  <c r="L2231" i="73"/>
  <c r="M2231" i="73" s="1"/>
  <c r="M2230" i="73" s="1"/>
  <c r="L1756" i="73"/>
  <c r="M1756" i="73" s="1"/>
  <c r="M1755" i="73" s="1"/>
  <c r="L3071" i="73"/>
  <c r="M3071" i="73" s="1"/>
  <c r="M3070" i="73" s="1"/>
  <c r="L2892" i="73"/>
  <c r="M2892" i="73" s="1"/>
  <c r="M2891" i="73" s="1"/>
  <c r="L350" i="73"/>
  <c r="M350" i="73" s="1"/>
  <c r="M349" i="73" s="1"/>
  <c r="L357" i="73"/>
  <c r="M357" i="73" s="1"/>
  <c r="M356" i="73" s="1"/>
  <c r="L3860" i="73"/>
  <c r="M3860" i="73" s="1"/>
  <c r="L3846" i="73"/>
  <c r="M3846" i="73" s="1"/>
  <c r="L368" i="73"/>
  <c r="M368" i="73" s="1"/>
  <c r="M367" i="73" s="1"/>
  <c r="L4552" i="73"/>
  <c r="M4552" i="73" s="1"/>
  <c r="M4551" i="73" s="1"/>
  <c r="L4468" i="73"/>
  <c r="M4468" i="73" s="1"/>
  <c r="M4467" i="73" s="1"/>
  <c r="L4476" i="73"/>
  <c r="M4476" i="73" s="1"/>
  <c r="M4475" i="73" s="1"/>
  <c r="L3776" i="73"/>
  <c r="M3776" i="73" s="1"/>
  <c r="L3751" i="73"/>
  <c r="M3751" i="73" s="1"/>
  <c r="L3726" i="73"/>
  <c r="M3726" i="73" s="1"/>
  <c r="L3801" i="73"/>
  <c r="M3801" i="73" s="1"/>
  <c r="L3792" i="73"/>
  <c r="M3792" i="73" s="1"/>
  <c r="M3791" i="73" s="1"/>
  <c r="Q3791" i="73" s="1"/>
  <c r="L3742" i="73"/>
  <c r="M3742" i="73" s="1"/>
  <c r="M3741" i="73" s="1"/>
  <c r="L3767" i="73"/>
  <c r="M3767" i="73" s="1"/>
  <c r="M3766" i="73" s="1"/>
  <c r="L3817" i="73"/>
  <c r="M3817" i="73" s="1"/>
  <c r="M3816" i="73" s="1"/>
  <c r="Q3816" i="73" s="1"/>
  <c r="L566" i="73"/>
  <c r="Q566" i="73"/>
  <c r="L1982" i="73"/>
  <c r="M1982" i="73" s="1"/>
  <c r="L3296" i="73"/>
  <c r="M3296" i="73" s="1"/>
  <c r="L2642" i="73"/>
  <c r="M2642" i="73" s="1"/>
  <c r="L2749" i="73"/>
  <c r="M2749" i="73" s="1"/>
  <c r="M2748" i="73" s="1"/>
  <c r="L1693" i="73"/>
  <c r="M1693" i="73" s="1"/>
  <c r="M1692" i="73" s="1"/>
  <c r="L1487" i="73"/>
  <c r="M1487" i="73" s="1"/>
  <c r="M1486" i="73" s="1"/>
  <c r="L4333" i="73"/>
  <c r="Q4333" i="73"/>
  <c r="Q3101" i="73"/>
  <c r="L3101" i="73"/>
  <c r="L1020" i="73"/>
  <c r="Q1020" i="73"/>
  <c r="L3663" i="73"/>
  <c r="M3663" i="73" s="1"/>
  <c r="M3662" i="73" s="1"/>
  <c r="L3145" i="73"/>
  <c r="M3145" i="73" s="1"/>
  <c r="M3144" i="73" s="1"/>
  <c r="L3392" i="73"/>
  <c r="M3392" i="73" s="1"/>
  <c r="M3391" i="73" s="1"/>
  <c r="L3445" i="73"/>
  <c r="M3445" i="73" s="1"/>
  <c r="M3444" i="73" s="1"/>
  <c r="L906" i="73"/>
  <c r="M906" i="73" s="1"/>
  <c r="M905" i="73" s="1"/>
  <c r="L730" i="73"/>
  <c r="M730" i="73" s="1"/>
  <c r="M729" i="73" s="1"/>
  <c r="L678" i="73"/>
  <c r="M678" i="73" s="1"/>
  <c r="M677" i="73" s="1"/>
  <c r="L4197" i="73"/>
  <c r="M4197" i="73" s="1"/>
  <c r="M4196" i="73" s="1"/>
  <c r="L3637" i="73"/>
  <c r="M3637" i="73" s="1"/>
  <c r="M3636" i="73" s="1"/>
  <c r="L3420" i="73"/>
  <c r="M3420" i="73" s="1"/>
  <c r="M3419" i="73" s="1"/>
  <c r="L3350" i="73"/>
  <c r="M3350" i="73" s="1"/>
  <c r="M3349" i="73" s="1"/>
  <c r="L3422" i="73"/>
  <c r="M3422" i="73" s="1"/>
  <c r="M3421" i="73" s="1"/>
  <c r="L851" i="73"/>
  <c r="M851" i="73" s="1"/>
  <c r="M850" i="73" s="1"/>
  <c r="L1298" i="73"/>
  <c r="M1298" i="73" s="1"/>
  <c r="M1297" i="73" s="1"/>
  <c r="M1294" i="73" s="1"/>
  <c r="L662" i="73"/>
  <c r="M662" i="73" s="1"/>
  <c r="M661" i="73" s="1"/>
  <c r="L3695" i="73"/>
  <c r="M3695" i="73" s="1"/>
  <c r="M3694" i="73" s="1"/>
  <c r="L3578" i="73"/>
  <c r="M3578" i="73" s="1"/>
  <c r="M3577" i="73" s="1"/>
  <c r="L3388" i="73"/>
  <c r="M3388" i="73" s="1"/>
  <c r="M3387" i="73" s="1"/>
  <c r="L3303" i="73"/>
  <c r="M3303" i="73" s="1"/>
  <c r="M3302" i="73" s="1"/>
  <c r="L1781" i="73"/>
  <c r="M1781" i="73" s="1"/>
  <c r="M1780" i="73" s="1"/>
  <c r="L803" i="73"/>
  <c r="M803" i="73" s="1"/>
  <c r="M802" i="73" s="1"/>
  <c r="L984" i="73"/>
  <c r="M984" i="73" s="1"/>
  <c r="M983" i="73" s="1"/>
  <c r="L505" i="73"/>
  <c r="M505" i="73" s="1"/>
  <c r="M504" i="73" s="1"/>
  <c r="L3466" i="73"/>
  <c r="M3466" i="73" s="1"/>
  <c r="M3465" i="73" s="1"/>
  <c r="L644" i="73"/>
  <c r="M644" i="73" s="1"/>
  <c r="M643" i="73" s="1"/>
  <c r="L3679" i="73"/>
  <c r="M3679" i="73" s="1"/>
  <c r="M3678" i="73" s="1"/>
  <c r="L932" i="73"/>
  <c r="M932" i="73" s="1"/>
  <c r="M931" i="73" s="1"/>
  <c r="L3402" i="73"/>
  <c r="M3402" i="73" s="1"/>
  <c r="M3401" i="73" s="1"/>
  <c r="L785" i="73"/>
  <c r="M785" i="73" s="1"/>
  <c r="M784" i="73" s="1"/>
  <c r="L3427" i="73"/>
  <c r="M3427" i="73" s="1"/>
  <c r="L3439" i="73"/>
  <c r="M3439" i="73" s="1"/>
  <c r="L105" i="73"/>
  <c r="Q105" i="73"/>
  <c r="Q68" i="73"/>
  <c r="L4126" i="73"/>
  <c r="M4126" i="73" s="1"/>
  <c r="L3173" i="73"/>
  <c r="M3173" i="73" s="1"/>
  <c r="L3201" i="73"/>
  <c r="M3201" i="73" s="1"/>
  <c r="L757" i="73"/>
  <c r="M757" i="73" s="1"/>
  <c r="L2547" i="73"/>
  <c r="M2547" i="73" s="1"/>
  <c r="L619" i="73"/>
  <c r="M619" i="73" s="1"/>
  <c r="L1913" i="73"/>
  <c r="M1913" i="73" s="1"/>
  <c r="L4336" i="73"/>
  <c r="M4336" i="73" s="1"/>
  <c r="L3176" i="73"/>
  <c r="M3176" i="73" s="1"/>
  <c r="L1862" i="73"/>
  <c r="M1862" i="73" s="1"/>
  <c r="L4278" i="73"/>
  <c r="M4278" i="73" s="1"/>
  <c r="L3117" i="73"/>
  <c r="M3117" i="73" s="1"/>
  <c r="L1802" i="73"/>
  <c r="M1802" i="73" s="1"/>
  <c r="L4484" i="73"/>
  <c r="M4484" i="73" s="1"/>
  <c r="L4452" i="73"/>
  <c r="M4452" i="73" s="1"/>
  <c r="L2522" i="73"/>
  <c r="M2522" i="73" s="1"/>
  <c r="L1271" i="73"/>
  <c r="M1271" i="73" s="1"/>
  <c r="L4131" i="73"/>
  <c r="M4131" i="73" s="1"/>
  <c r="L830" i="73"/>
  <c r="M830" i="73" s="1"/>
  <c r="L1013" i="73"/>
  <c r="M1013" i="73" s="1"/>
  <c r="L4404" i="73"/>
  <c r="M4404" i="73" s="1"/>
  <c r="L4337" i="73"/>
  <c r="M4337" i="73" s="1"/>
  <c r="L4297" i="73"/>
  <c r="M4297" i="73" s="1"/>
  <c r="L4453" i="73"/>
  <c r="M4453" i="73" s="1"/>
  <c r="L3635" i="73"/>
  <c r="M3635" i="73" s="1"/>
  <c r="L3300" i="73"/>
  <c r="M3300" i="73" s="1"/>
  <c r="L3329" i="73"/>
  <c r="M3329" i="73" s="1"/>
  <c r="L1014" i="73"/>
  <c r="M1014" i="73" s="1"/>
  <c r="L476" i="73"/>
  <c r="M476" i="73" s="1"/>
  <c r="L4205" i="73"/>
  <c r="M4205" i="73" s="1"/>
  <c r="L3430" i="73"/>
  <c r="M3430" i="73" s="1"/>
  <c r="L2461" i="73"/>
  <c r="M2461" i="73" s="1"/>
  <c r="L833" i="73"/>
  <c r="M833" i="73" s="1"/>
  <c r="L253" i="73"/>
  <c r="M253" i="73" s="1"/>
  <c r="L4492" i="73"/>
  <c r="M4492" i="73" s="1"/>
  <c r="L3996" i="73"/>
  <c r="M3996" i="73" s="1"/>
  <c r="L3123" i="73"/>
  <c r="M3123" i="73" s="1"/>
  <c r="L1867" i="73"/>
  <c r="M1867" i="73" s="1"/>
  <c r="L1333" i="73"/>
  <c r="M1333" i="73" s="1"/>
  <c r="L708" i="73"/>
  <c r="M708" i="73" s="1"/>
  <c r="L2829" i="73"/>
  <c r="M2829" i="73" s="1"/>
  <c r="L1420" i="73"/>
  <c r="M1420" i="73" s="1"/>
  <c r="L3995" i="73"/>
  <c r="M3995" i="73" s="1"/>
  <c r="L2525" i="73"/>
  <c r="M2525" i="73" s="1"/>
  <c r="L1464" i="73"/>
  <c r="M1464" i="73" s="1"/>
  <c r="L3865" i="73"/>
  <c r="M3865" i="73" s="1"/>
  <c r="L2210" i="73"/>
  <c r="M2210" i="73" s="1"/>
  <c r="L1136" i="73"/>
  <c r="M1136" i="73" s="1"/>
  <c r="L4570" i="73"/>
  <c r="M4570" i="73" s="1"/>
  <c r="L4578" i="73"/>
  <c r="M4578" i="73" s="1"/>
  <c r="L4563" i="73"/>
  <c r="M4563" i="73" s="1"/>
  <c r="L4802" i="73"/>
  <c r="M4802" i="73" s="1"/>
  <c r="L4490" i="73"/>
  <c r="M4490" i="73" s="1"/>
  <c r="L472" i="73"/>
  <c r="M472" i="73" s="1"/>
  <c r="L473" i="73"/>
  <c r="M473" i="73" s="1"/>
  <c r="L168" i="73"/>
  <c r="M168" i="73" s="1"/>
  <c r="L251" i="73"/>
  <c r="M251" i="73" s="1"/>
  <c r="L820" i="73"/>
  <c r="L2155" i="73"/>
  <c r="L2244" i="73"/>
  <c r="M2244" i="73" s="1"/>
  <c r="M2243" i="73" s="1"/>
  <c r="L3608" i="73"/>
  <c r="M3608" i="73" s="1"/>
  <c r="M3607" i="73" s="1"/>
  <c r="L3086" i="73"/>
  <c r="M3086" i="73" s="1"/>
  <c r="L1771" i="73"/>
  <c r="M1771" i="73" s="1"/>
  <c r="L2456" i="73"/>
  <c r="M2456" i="73" s="1"/>
  <c r="L2424" i="73"/>
  <c r="M2424" i="73" s="1"/>
  <c r="L440" i="73"/>
  <c r="M440" i="73" s="1"/>
  <c r="L4420" i="73"/>
  <c r="M4420" i="73" s="1"/>
  <c r="L4329" i="73"/>
  <c r="M4329" i="73" s="1"/>
  <c r="L4157" i="73"/>
  <c r="M4157" i="73" s="1"/>
  <c r="L3572" i="73"/>
  <c r="M3572" i="73" s="1"/>
  <c r="L3487" i="73"/>
  <c r="M3487" i="73" s="1"/>
  <c r="L3378" i="73"/>
  <c r="M3378" i="73" s="1"/>
  <c r="L954" i="73"/>
  <c r="M954" i="73" s="1"/>
  <c r="L77" i="73"/>
  <c r="M77" i="73" s="1"/>
  <c r="L226" i="73"/>
  <c r="M226" i="73" s="1"/>
  <c r="L316" i="73"/>
  <c r="M316" i="73" s="1"/>
  <c r="L449" i="73"/>
  <c r="M449" i="73" s="1"/>
  <c r="L143" i="73"/>
  <c r="M143" i="73" s="1"/>
  <c r="L415" i="73"/>
  <c r="M415" i="73" s="1"/>
  <c r="L289" i="73"/>
  <c r="M289" i="73" s="1"/>
  <c r="L4390" i="73"/>
  <c r="M4390" i="73" s="1"/>
  <c r="L4185" i="73"/>
  <c r="M4185" i="73" s="1"/>
  <c r="L3617" i="73"/>
  <c r="M3617" i="73" s="1"/>
  <c r="L3386" i="73"/>
  <c r="M3386" i="73" s="1"/>
  <c r="L2645" i="73"/>
  <c r="M2645" i="73" s="1"/>
  <c r="L1985" i="73"/>
  <c r="M1985" i="73" s="1"/>
  <c r="L942" i="73"/>
  <c r="M942" i="73" s="1"/>
  <c r="L1311" i="73"/>
  <c r="M1311" i="73" s="1"/>
  <c r="L323" i="73"/>
  <c r="M323" i="73" s="1"/>
  <c r="L393" i="73"/>
  <c r="M393" i="73" s="1"/>
  <c r="L158" i="73"/>
  <c r="M158" i="73" s="1"/>
  <c r="L94" i="73"/>
  <c r="M94" i="73" s="1"/>
  <c r="L4171" i="73"/>
  <c r="M4171" i="73" s="1"/>
  <c r="L3603" i="73"/>
  <c r="M3603" i="73" s="1"/>
  <c r="L3299" i="73"/>
  <c r="M3299" i="73" s="1"/>
  <c r="L3558" i="73"/>
  <c r="M3558" i="73" s="1"/>
  <c r="L1979" i="73"/>
  <c r="M1979" i="73" s="1"/>
  <c r="L863" i="73"/>
  <c r="M863" i="73" s="1"/>
  <c r="L121" i="73"/>
  <c r="M121" i="73" s="1"/>
  <c r="L302" i="73"/>
  <c r="M302" i="73" s="1"/>
  <c r="L400" i="73"/>
  <c r="M400" i="73" s="1"/>
  <c r="L130" i="73"/>
  <c r="M130" i="73" s="1"/>
  <c r="L2639" i="73"/>
  <c r="M2639" i="73" s="1"/>
  <c r="L309" i="73"/>
  <c r="M309" i="73" s="1"/>
  <c r="L3479" i="73"/>
  <c r="M3479" i="73" s="1"/>
  <c r="L46" i="73"/>
  <c r="M46" i="73" s="1"/>
  <c r="L188" i="73"/>
  <c r="M188" i="73" s="1"/>
  <c r="L4433" i="73"/>
  <c r="M4433" i="73" s="1"/>
  <c r="L3293" i="73"/>
  <c r="M3293" i="73" s="1"/>
  <c r="L744" i="73"/>
  <c r="M744" i="73" s="1"/>
  <c r="L199" i="73"/>
  <c r="M199" i="73" s="1"/>
  <c r="L424" i="73"/>
  <c r="M424" i="73" s="1"/>
  <c r="L455" i="73"/>
  <c r="M455" i="73" s="1"/>
  <c r="L4384" i="73"/>
  <c r="M4384" i="73" s="1"/>
  <c r="L149" i="73"/>
  <c r="M149" i="73" s="1"/>
  <c r="L3544" i="73"/>
  <c r="M3544" i="73" s="1"/>
  <c r="L608" i="73"/>
  <c r="M608" i="73" s="1"/>
  <c r="Q3512" i="73"/>
  <c r="Q1121" i="73"/>
  <c r="L2923" i="73"/>
  <c r="M2923" i="73" s="1"/>
  <c r="L2262" i="73"/>
  <c r="M2262" i="73" s="1"/>
  <c r="L1512" i="73"/>
  <c r="M1512" i="73" s="1"/>
  <c r="L4380" i="73"/>
  <c r="M4380" i="73" s="1"/>
  <c r="L3382" i="73"/>
  <c r="M3382" i="73" s="1"/>
  <c r="L1306" i="73"/>
  <c r="M1306" i="73" s="1"/>
  <c r="L436" i="73"/>
  <c r="M436" i="73" s="1"/>
  <c r="L4428" i="73"/>
  <c r="M4428" i="73" s="1"/>
  <c r="L3538" i="73"/>
  <c r="M3538" i="73" s="1"/>
  <c r="L318" i="73"/>
  <c r="M318" i="73" s="1"/>
  <c r="L114" i="73"/>
  <c r="M114" i="73" s="1"/>
  <c r="L4324" i="73"/>
  <c r="M4324" i="73" s="1"/>
  <c r="L2635" i="73"/>
  <c r="M2635" i="73" s="1"/>
  <c r="L297" i="73"/>
  <c r="M297" i="73" s="1"/>
  <c r="L88" i="73"/>
  <c r="M88" i="73" s="1"/>
  <c r="L2625" i="73"/>
  <c r="M2625" i="73" s="1"/>
  <c r="L3279" i="73"/>
  <c r="M3279" i="73" s="1"/>
  <c r="L760" i="73"/>
  <c r="M760" i="73" s="1"/>
  <c r="L4944" i="73"/>
  <c r="M4944" i="73" s="1"/>
  <c r="L4994" i="73"/>
  <c r="M4994" i="73" s="1"/>
  <c r="L4891" i="73"/>
  <c r="M4891" i="73" s="1"/>
  <c r="L3826" i="73"/>
  <c r="M3826" i="73" s="1"/>
  <c r="L2463" i="73"/>
  <c r="M2463" i="73" s="1"/>
  <c r="L3125" i="73"/>
  <c r="M3125" i="73" s="1"/>
  <c r="L3272" i="73"/>
  <c r="M3272" i="73" s="1"/>
  <c r="L2618" i="73"/>
  <c r="M2618" i="73" s="1"/>
  <c r="L1903" i="73"/>
  <c r="M1903" i="73" s="1"/>
  <c r="L768" i="73"/>
  <c r="M768" i="73" s="1"/>
  <c r="L1803" i="73"/>
  <c r="M1803" i="73" s="1"/>
  <c r="Q4661" i="73"/>
  <c r="L4661" i="73"/>
  <c r="L976" i="73"/>
  <c r="M976" i="73" s="1"/>
  <c r="M975" i="73" s="1"/>
  <c r="L4615" i="73"/>
  <c r="M4615" i="73" s="1"/>
  <c r="L4608" i="73"/>
  <c r="M4608" i="73" s="1"/>
  <c r="L4594" i="73"/>
  <c r="M4594" i="73" s="1"/>
  <c r="L1011" i="73"/>
  <c r="M1011" i="73" s="1"/>
  <c r="L4267" i="73"/>
  <c r="M4267" i="73" s="1"/>
  <c r="L172" i="73"/>
  <c r="M172" i="73" s="1"/>
  <c r="L1914" i="73"/>
  <c r="M1914" i="73" s="1"/>
  <c r="L2464" i="73"/>
  <c r="M2464" i="73" s="1"/>
  <c r="L2658" i="73"/>
  <c r="M2658" i="73" s="1"/>
  <c r="L1012" i="73"/>
  <c r="M1012" i="73" s="1"/>
  <c r="L3527" i="73"/>
  <c r="M3527" i="73" s="1"/>
  <c r="L1033" i="73"/>
  <c r="M1033" i="73" s="1"/>
  <c r="L1279" i="73"/>
  <c r="M1279" i="73" s="1"/>
  <c r="L1915" i="73"/>
  <c r="M1915" i="73" s="1"/>
  <c r="L1949" i="73"/>
  <c r="M1949" i="73" s="1"/>
  <c r="L2583" i="73"/>
  <c r="M2583" i="73" s="1"/>
  <c r="L3237" i="73"/>
  <c r="M3237" i="73" s="1"/>
  <c r="L132" i="73"/>
  <c r="M132" i="73" s="1"/>
  <c r="L761" i="73"/>
  <c r="M761" i="73" s="1"/>
  <c r="L1381" i="73"/>
  <c r="M1381" i="73" s="1"/>
  <c r="L1070" i="73"/>
  <c r="M1070" i="73" s="1"/>
  <c r="L1158" i="73"/>
  <c r="M1158" i="73" s="1"/>
  <c r="L1664" i="73"/>
  <c r="M1664" i="73" s="1"/>
  <c r="L1775" i="73"/>
  <c r="M1775" i="73" s="1"/>
  <c r="L2179" i="73"/>
  <c r="M2179" i="73" s="1"/>
  <c r="L2924" i="73"/>
  <c r="M2924" i="73" s="1"/>
  <c r="L2505" i="73"/>
  <c r="M2505" i="73" s="1"/>
  <c r="L3367" i="73"/>
  <c r="M3367" i="73" s="1"/>
  <c r="L3138" i="73"/>
  <c r="M3138" i="73" s="1"/>
  <c r="L3743" i="73"/>
  <c r="M3743" i="73" s="1"/>
  <c r="L4074" i="73"/>
  <c r="M4074" i="73" s="1"/>
  <c r="L2565" i="73"/>
  <c r="M2565" i="73" s="1"/>
  <c r="L329" i="73"/>
  <c r="M329" i="73" s="1"/>
  <c r="M1226" i="73"/>
  <c r="L2921" i="73"/>
  <c r="M2921" i="73" s="1"/>
  <c r="L1916" i="73"/>
  <c r="M1916" i="73" s="1"/>
  <c r="L3204" i="73"/>
  <c r="M3204" i="73" s="1"/>
  <c r="L4571" i="73"/>
  <c r="M4571" i="73" s="1"/>
  <c r="L4678" i="73"/>
  <c r="M4678" i="73" s="1"/>
  <c r="L4564" i="73"/>
  <c r="M4564" i="73" s="1"/>
  <c r="L4620" i="73"/>
  <c r="M4620" i="73" s="1"/>
  <c r="L4817" i="73"/>
  <c r="M4817" i="73" s="1"/>
  <c r="L4502" i="73"/>
  <c r="M4502" i="73" s="1"/>
  <c r="M4499" i="73" s="1"/>
  <c r="L5012" i="73"/>
  <c r="M5012" i="73" s="1"/>
  <c r="L4962" i="73"/>
  <c r="M4962" i="73" s="1"/>
  <c r="L4909" i="73"/>
  <c r="M4909" i="73" s="1"/>
  <c r="L4752" i="73"/>
  <c r="M4752" i="73" s="1"/>
  <c r="L3337" i="73"/>
  <c r="M3337" i="73" s="1"/>
  <c r="M3336" i="73" s="1"/>
  <c r="L3629" i="73"/>
  <c r="M3629" i="73" s="1"/>
  <c r="M3628" i="73" s="1"/>
  <c r="L3438" i="73"/>
  <c r="M3438" i="73" s="1"/>
  <c r="M3437" i="73" s="1"/>
  <c r="L4735" i="73"/>
  <c r="M4735" i="73" s="1"/>
  <c r="L4952" i="73"/>
  <c r="M4952" i="73" s="1"/>
  <c r="L4912" i="73"/>
  <c r="M4912" i="73" s="1"/>
  <c r="L4904" i="73"/>
  <c r="M4904" i="73" s="1"/>
  <c r="L4533" i="73"/>
  <c r="M4533" i="73" s="1"/>
  <c r="M4525" i="73" s="1"/>
  <c r="L4915" i="73"/>
  <c r="M4915" i="73" s="1"/>
  <c r="L4845" i="73"/>
  <c r="M4845" i="73" s="1"/>
  <c r="L4712" i="73"/>
  <c r="M4712" i="73" s="1"/>
  <c r="L4629" i="73"/>
  <c r="M4629" i="73" s="1"/>
  <c r="L4758" i="73"/>
  <c r="M4758" i="73" s="1"/>
  <c r="L4521" i="73"/>
  <c r="M4521" i="73" s="1"/>
  <c r="L4848" i="73"/>
  <c r="M4848" i="73" s="1"/>
  <c r="L4654" i="73"/>
  <c r="M4654" i="73" s="1"/>
  <c r="L4622" i="73"/>
  <c r="M4622" i="73" s="1"/>
  <c r="L4523" i="73"/>
  <c r="M4523" i="73" s="1"/>
  <c r="L5020" i="73"/>
  <c r="M5020" i="73" s="1"/>
  <c r="L4713" i="73"/>
  <c r="M4713" i="73" s="1"/>
  <c r="L4630" i="73"/>
  <c r="M4630" i="73" s="1"/>
  <c r="L4610" i="73"/>
  <c r="M4610" i="73" s="1"/>
  <c r="L4850" i="73"/>
  <c r="M4850" i="73" s="1"/>
  <c r="L4603" i="73"/>
  <c r="M4603" i="73" s="1"/>
  <c r="L4921" i="73"/>
  <c r="M4921" i="73" s="1"/>
  <c r="L4604" i="73"/>
  <c r="M4604" i="73" s="1"/>
  <c r="L4611" i="73"/>
  <c r="M4611" i="73" s="1"/>
  <c r="L892" i="73"/>
  <c r="M892" i="73" s="1"/>
  <c r="L633" i="73"/>
  <c r="M633" i="73" s="1"/>
  <c r="L4824" i="73"/>
  <c r="M4824" i="73" s="1"/>
  <c r="L480" i="73"/>
  <c r="M480" i="73" s="1"/>
  <c r="L255" i="73"/>
  <c r="M255" i="73" s="1"/>
  <c r="L4285" i="73"/>
  <c r="M4285" i="73" s="1"/>
  <c r="L4064" i="73"/>
  <c r="M4064" i="73" s="1"/>
  <c r="L3999" i="73"/>
  <c r="M3999" i="73" s="1"/>
  <c r="L4522" i="73"/>
  <c r="M4522" i="73" s="1"/>
  <c r="L4846" i="73"/>
  <c r="M4846" i="73" s="1"/>
  <c r="L4865" i="73"/>
  <c r="M4865" i="73" s="1"/>
  <c r="L4775" i="73"/>
  <c r="M4775" i="73" s="1"/>
  <c r="L2622" i="73"/>
  <c r="M2622" i="73" s="1"/>
  <c r="L1907" i="73"/>
  <c r="M1907" i="73" s="1"/>
  <c r="L293" i="73"/>
  <c r="M293" i="73" s="1"/>
  <c r="L102" i="73"/>
  <c r="M102" i="73" s="1"/>
  <c r="L1809" i="73"/>
  <c r="M1809" i="73" s="1"/>
  <c r="L3124" i="73"/>
  <c r="M3124" i="73" s="1"/>
  <c r="L1719" i="73"/>
  <c r="M1719" i="73" s="1"/>
  <c r="L1758" i="73"/>
  <c r="M1758" i="73" s="1"/>
  <c r="L2355" i="73"/>
  <c r="M2355" i="73" s="1"/>
  <c r="L2018" i="73"/>
  <c r="M2018" i="73" s="1"/>
  <c r="L2033" i="73"/>
  <c r="M2033" i="73" s="1"/>
  <c r="L2053" i="73"/>
  <c r="M2053" i="73" s="1"/>
  <c r="L2079" i="73"/>
  <c r="M2079" i="73" s="1"/>
  <c r="L2105" i="73"/>
  <c r="M2105" i="73" s="1"/>
  <c r="L2132" i="73"/>
  <c r="M2132" i="73" s="1"/>
  <c r="L2194" i="73"/>
  <c r="M2194" i="73" s="1"/>
  <c r="L2302" i="73"/>
  <c r="M2302" i="73" s="1"/>
  <c r="L2376" i="73"/>
  <c r="M2376" i="73" s="1"/>
  <c r="L2404" i="73"/>
  <c r="M2404" i="73" s="1"/>
  <c r="L3002" i="73"/>
  <c r="M3002" i="73" s="1"/>
  <c r="L2698" i="73"/>
  <c r="M2698" i="73" s="1"/>
  <c r="L2713" i="73"/>
  <c r="M2713" i="73" s="1"/>
  <c r="L2728" i="73"/>
  <c r="M2728" i="73" s="1"/>
  <c r="L2765" i="73"/>
  <c r="M2765" i="73" s="1"/>
  <c r="L2841" i="73"/>
  <c r="M2841" i="73" s="1"/>
  <c r="L2881" i="73"/>
  <c r="M2881" i="73" s="1"/>
  <c r="L2935" i="73"/>
  <c r="M2935" i="73" s="1"/>
  <c r="L3006" i="73"/>
  <c r="M3006" i="73" s="1"/>
  <c r="L3034" i="73"/>
  <c r="M3034" i="73" s="1"/>
  <c r="L3050" i="73"/>
  <c r="M3050" i="73" s="1"/>
  <c r="L3073" i="73"/>
  <c r="M3073" i="73" s="1"/>
  <c r="L3745" i="73"/>
  <c r="M3745" i="73" s="1"/>
  <c r="L3770" i="73"/>
  <c r="M3770" i="73" s="1"/>
  <c r="L3929" i="73"/>
  <c r="M3929" i="73" s="1"/>
  <c r="L3961" i="73"/>
  <c r="M3961" i="73" s="1"/>
  <c r="L4012" i="73"/>
  <c r="M4012" i="73" s="1"/>
  <c r="L4168" i="73"/>
  <c r="M4168" i="73" s="1"/>
  <c r="L4346" i="73"/>
  <c r="M4346" i="73" s="1"/>
  <c r="L2043" i="73"/>
  <c r="M2043" i="73" s="1"/>
  <c r="L2063" i="73"/>
  <c r="M2063" i="73" s="1"/>
  <c r="L2092" i="73"/>
  <c r="M2092" i="73" s="1"/>
  <c r="L2159" i="73"/>
  <c r="M2159" i="73" s="1"/>
  <c r="L2206" i="73"/>
  <c r="M2206" i="73" s="1"/>
  <c r="L2246" i="73"/>
  <c r="M2246" i="73" s="1"/>
  <c r="L2352" i="73"/>
  <c r="M2352" i="73" s="1"/>
  <c r="L2416" i="73"/>
  <c r="M2416" i="73" s="1"/>
  <c r="L2918" i="73"/>
  <c r="M2918" i="73" s="1"/>
  <c r="L2688" i="73"/>
  <c r="M2688" i="73" s="1"/>
  <c r="L2708" i="73"/>
  <c r="M2708" i="73" s="1"/>
  <c r="L2747" i="73"/>
  <c r="M2747" i="73" s="1"/>
  <c r="L2774" i="73"/>
  <c r="M2774" i="73" s="1"/>
  <c r="L2806" i="73"/>
  <c r="M2806" i="73" s="1"/>
  <c r="L2866" i="73"/>
  <c r="M2866" i="73" s="1"/>
  <c r="L2955" i="73"/>
  <c r="M2955" i="73" s="1"/>
  <c r="L3541" i="73"/>
  <c r="M3541" i="73" s="1"/>
  <c r="L3014" i="73"/>
  <c r="M3014" i="73" s="1"/>
  <c r="L3042" i="73"/>
  <c r="M3042" i="73" s="1"/>
  <c r="L3600" i="73"/>
  <c r="M3600" i="73" s="1"/>
  <c r="L3820" i="73"/>
  <c r="M3820" i="73" s="1"/>
  <c r="L3922" i="73"/>
  <c r="M3922" i="73" s="1"/>
  <c r="L3897" i="73"/>
  <c r="M3897" i="73" s="1"/>
  <c r="L3973" i="73"/>
  <c r="M3973" i="73" s="1"/>
  <c r="L4022" i="73"/>
  <c r="M4022" i="73" s="1"/>
  <c r="L4076" i="73"/>
  <c r="M4076" i="73" s="1"/>
  <c r="L889" i="73"/>
  <c r="M889" i="73" s="1"/>
  <c r="L1810" i="73"/>
  <c r="M1810" i="73" s="1"/>
  <c r="L866" i="73"/>
  <c r="M866" i="73" s="1"/>
  <c r="L4277" i="73"/>
  <c r="M4277" i="73" s="1"/>
  <c r="L3338" i="73"/>
  <c r="M3338" i="73" s="1"/>
  <c r="L1960" i="73"/>
  <c r="M1960" i="73" s="1"/>
  <c r="L2459" i="73"/>
  <c r="M2459" i="73" s="1"/>
  <c r="L467" i="73"/>
  <c r="M467" i="73" s="1"/>
  <c r="L4801" i="73"/>
  <c r="M4801" i="73" s="1"/>
  <c r="L4644" i="73"/>
  <c r="M4644" i="73" s="1"/>
  <c r="L62" i="73"/>
  <c r="L5003" i="73"/>
  <c r="M5003" i="73" s="1"/>
  <c r="L4811" i="73"/>
  <c r="M4811" i="73" s="1"/>
  <c r="L4953" i="73"/>
  <c r="M4953" i="73" s="1"/>
  <c r="L4899" i="73"/>
  <c r="M4899" i="73" s="1"/>
  <c r="L4614" i="73"/>
  <c r="M4614" i="73" s="1"/>
  <c r="L4586" i="73"/>
  <c r="M4586" i="73" s="1"/>
  <c r="L4607" i="73"/>
  <c r="M4607" i="73" s="1"/>
  <c r="L4600" i="73"/>
  <c r="M4600" i="73" s="1"/>
  <c r="L4593" i="73"/>
  <c r="M4593" i="73" s="1"/>
  <c r="L3273" i="73"/>
  <c r="M3273" i="73" s="1"/>
  <c r="L4798" i="73"/>
  <c r="M4798" i="73" s="1"/>
  <c r="L3526" i="73"/>
  <c r="M3526" i="73" s="1"/>
  <c r="L2594" i="73"/>
  <c r="M2594" i="73" s="1"/>
  <c r="L1958" i="73"/>
  <c r="M1958" i="73" s="1"/>
  <c r="L3246" i="73"/>
  <c r="M3246" i="73" s="1"/>
  <c r="L2592" i="73"/>
  <c r="M2592" i="73" s="1"/>
  <c r="L610" i="73"/>
  <c r="M610" i="73" s="1"/>
  <c r="L867" i="73"/>
  <c r="M867" i="73" s="1"/>
  <c r="L2863" i="73"/>
  <c r="M2863" i="73" s="1"/>
  <c r="L2942" i="73"/>
  <c r="M2942" i="73" s="1"/>
  <c r="L2102" i="73"/>
  <c r="M2102" i="73" s="1"/>
  <c r="L1363" i="73"/>
  <c r="M1363" i="73" s="1"/>
  <c r="L2772" i="73"/>
  <c r="M2772" i="73" s="1"/>
  <c r="L2112" i="73"/>
  <c r="M2112" i="73" s="1"/>
  <c r="L1456" i="73"/>
  <c r="M1456" i="73" s="1"/>
  <c r="L2762" i="73"/>
  <c r="M2762" i="73" s="1"/>
  <c r="L2280" i="73"/>
  <c r="M2280" i="73" s="1"/>
  <c r="L1377" i="73"/>
  <c r="M1377" i="73" s="1"/>
  <c r="L4073" i="73"/>
  <c r="M4073" i="73" s="1"/>
  <c r="L2203" i="73"/>
  <c r="M2203" i="73" s="1"/>
  <c r="L1612" i="73"/>
  <c r="M1612" i="73" s="1"/>
  <c r="L701" i="73"/>
  <c r="M701" i="73" s="1"/>
  <c r="L826" i="73"/>
  <c r="M826" i="73" s="1"/>
  <c r="L513" i="73"/>
  <c r="M513" i="73" s="1"/>
  <c r="L100" i="73"/>
  <c r="M100" i="73" s="1"/>
  <c r="L331" i="73"/>
  <c r="M331" i="73" s="1"/>
  <c r="L884" i="73"/>
  <c r="M884" i="73" s="1"/>
  <c r="L2528" i="73"/>
  <c r="M2528" i="73" s="1"/>
  <c r="L3588" i="73"/>
  <c r="M3588" i="73" s="1"/>
  <c r="L3709" i="73"/>
  <c r="M3709" i="73" s="1"/>
  <c r="L1094" i="73"/>
  <c r="M1094" i="73" s="1"/>
  <c r="L4606" i="73"/>
  <c r="M4606" i="73" s="1"/>
  <c r="L4585" i="73"/>
  <c r="M4585" i="73" s="1"/>
  <c r="L4362" i="73"/>
  <c r="M4362" i="73" s="1"/>
  <c r="L4372" i="73"/>
  <c r="M4372" i="73" s="1"/>
  <c r="L4218" i="73"/>
  <c r="M4218" i="73" s="1"/>
  <c r="L4050" i="73"/>
  <c r="M4050" i="73" s="1"/>
  <c r="L3755" i="73"/>
  <c r="M3755" i="73" s="1"/>
  <c r="L3167" i="73"/>
  <c r="M3167" i="73" s="1"/>
  <c r="L3051" i="73"/>
  <c r="M3051" i="73" s="1"/>
  <c r="L2804" i="73"/>
  <c r="M2804" i="73" s="1"/>
  <c r="L2512" i="73"/>
  <c r="M2512" i="73" s="1"/>
  <c r="L2414" i="73"/>
  <c r="M2414" i="73" s="1"/>
  <c r="L2943" i="73"/>
  <c r="M2943" i="73" s="1"/>
  <c r="L2164" i="73"/>
  <c r="M2164" i="73" s="1"/>
  <c r="L1791" i="73"/>
  <c r="M1791" i="73" s="1"/>
  <c r="L2291" i="73"/>
  <c r="M2291" i="73" s="1"/>
  <c r="L1522" i="73"/>
  <c r="M1522" i="73" s="1"/>
  <c r="L1430" i="73"/>
  <c r="M1430" i="73" s="1"/>
  <c r="L1076" i="73"/>
  <c r="M1076" i="73" s="1"/>
  <c r="L1025" i="73"/>
  <c r="M1025" i="73" s="1"/>
  <c r="L1251" i="73"/>
  <c r="M1251" i="73" s="1"/>
  <c r="L4405" i="73"/>
  <c r="M4405" i="73" s="1"/>
  <c r="L4338" i="73"/>
  <c r="M4338" i="73" s="1"/>
  <c r="L4282" i="73"/>
  <c r="M4282" i="73" s="1"/>
  <c r="L4135" i="73"/>
  <c r="M4135" i="73" s="1"/>
  <c r="L3710" i="73"/>
  <c r="M3710" i="73" s="1"/>
  <c r="L3625" i="73"/>
  <c r="M3625" i="73" s="1"/>
  <c r="L3440" i="73"/>
  <c r="M3440" i="73" s="1"/>
  <c r="L3182" i="73"/>
  <c r="M3182" i="73" s="1"/>
  <c r="L3529" i="73"/>
  <c r="M3529" i="73" s="1"/>
  <c r="L2646" i="73"/>
  <c r="M2646" i="73" s="1"/>
  <c r="L3339" i="73"/>
  <c r="M3339" i="73" s="1"/>
  <c r="L1986" i="73"/>
  <c r="M1986" i="73" s="1"/>
  <c r="L1808" i="73"/>
  <c r="M1808" i="73" s="1"/>
  <c r="L964" i="73"/>
  <c r="M964" i="73" s="1"/>
  <c r="L1280" i="73"/>
  <c r="M1280" i="73" s="1"/>
  <c r="L763" i="73"/>
  <c r="M763" i="73" s="1"/>
  <c r="L1095" i="73"/>
  <c r="M1095" i="73" s="1"/>
  <c r="L519" i="73"/>
  <c r="M519" i="73" s="1"/>
  <c r="L514" i="73"/>
  <c r="M514" i="73" s="1"/>
  <c r="L169" i="73"/>
  <c r="M169" i="73" s="1"/>
  <c r="L625" i="73"/>
  <c r="M625" i="73" s="1"/>
  <c r="L270" i="73"/>
  <c r="M270" i="73" s="1"/>
  <c r="L5005" i="73"/>
  <c r="M5005" i="73" s="1"/>
  <c r="L4955" i="73"/>
  <c r="M4955" i="73" s="1"/>
  <c r="L4813" i="73"/>
  <c r="M4813" i="73" s="1"/>
  <c r="L4679" i="73"/>
  <c r="M4679" i="73" s="1"/>
  <c r="L4825" i="73"/>
  <c r="M4825" i="73" s="1"/>
  <c r="L4827" i="73"/>
  <c r="M4827" i="73" s="1"/>
  <c r="L4903" i="73"/>
  <c r="M4903" i="73" s="1"/>
  <c r="L4628" i="73"/>
  <c r="M4628" i="73" s="1"/>
  <c r="L4637" i="73"/>
  <c r="M4637" i="73" s="1"/>
  <c r="L1177" i="73"/>
  <c r="M1177" i="73" s="1"/>
  <c r="L1194" i="73"/>
  <c r="M1194" i="73" s="1"/>
  <c r="L4956" i="73"/>
  <c r="M4956" i="73" s="1"/>
  <c r="L1932" i="73"/>
  <c r="M1932" i="73" s="1"/>
  <c r="L4556" i="73"/>
  <c r="M4556" i="73" s="1"/>
  <c r="L4959" i="73"/>
  <c r="M4959" i="73" s="1"/>
  <c r="L4680" i="73"/>
  <c r="M4680" i="73" s="1"/>
  <c r="L4667" i="73"/>
  <c r="M4667" i="73" s="1"/>
  <c r="L198" i="73"/>
  <c r="M198" i="73" s="1"/>
  <c r="L314" i="73"/>
  <c r="M314" i="73" s="1"/>
  <c r="L187" i="73"/>
  <c r="M187" i="73" s="1"/>
  <c r="L421" i="73"/>
  <c r="M421" i="73" s="1"/>
  <c r="L148" i="73"/>
  <c r="M148" i="73" s="1"/>
  <c r="L541" i="73"/>
  <c r="M541" i="73" s="1"/>
  <c r="L127" i="73"/>
  <c r="M127" i="73" s="1"/>
  <c r="L561" i="73"/>
  <c r="M561" i="73" s="1"/>
  <c r="L1234" i="73"/>
  <c r="M1234" i="73" s="1"/>
  <c r="L1039" i="73"/>
  <c r="M1039" i="73" s="1"/>
  <c r="L1085" i="73"/>
  <c r="M1085" i="73" s="1"/>
  <c r="L1182" i="73"/>
  <c r="M1182" i="73" s="1"/>
  <c r="L941" i="73"/>
  <c r="M941" i="73" s="1"/>
  <c r="L1526" i="73"/>
  <c r="M1526" i="73" s="1"/>
  <c r="L1552" i="73"/>
  <c r="M1552" i="73" s="1"/>
  <c r="L1592" i="73"/>
  <c r="M1592" i="73" s="1"/>
  <c r="L1778" i="73"/>
  <c r="M1778" i="73" s="1"/>
  <c r="L1970" i="73"/>
  <c r="M1970" i="73" s="1"/>
  <c r="L2064" i="73"/>
  <c r="M2064" i="73" s="1"/>
  <c r="L2471" i="73"/>
  <c r="M2471" i="73" s="1"/>
  <c r="L2679" i="73"/>
  <c r="M2679" i="73" s="1"/>
  <c r="L2740" i="73"/>
  <c r="M2740" i="73" s="1"/>
  <c r="L3114" i="73"/>
  <c r="M3114" i="73" s="1"/>
  <c r="L3808" i="73"/>
  <c r="M3808" i="73" s="1"/>
  <c r="L4090" i="73"/>
  <c r="M4090" i="73" s="1"/>
  <c r="L4348" i="73"/>
  <c r="M4348" i="73" s="1"/>
  <c r="L4871" i="73"/>
  <c r="M4871" i="73" s="1"/>
  <c r="L4778" i="73"/>
  <c r="M4778" i="73" s="1"/>
  <c r="L4979" i="73"/>
  <c r="M4979" i="73" s="1"/>
  <c r="L5029" i="73"/>
  <c r="M5029" i="73" s="1"/>
  <c r="L4873" i="73"/>
  <c r="M4873" i="73" s="1"/>
  <c r="L4930" i="73"/>
  <c r="M4930" i="73" s="1"/>
  <c r="L2534" i="73"/>
  <c r="M2534" i="73" s="1"/>
  <c r="L1872" i="73"/>
  <c r="M1872" i="73" s="1"/>
  <c r="L2535" i="73"/>
  <c r="M2535" i="73" s="1"/>
  <c r="L254" i="73"/>
  <c r="M254" i="73" s="1"/>
  <c r="L1873" i="73"/>
  <c r="M1873" i="73" s="1"/>
  <c r="L4494" i="73"/>
  <c r="M4494" i="73" s="1"/>
  <c r="L2536" i="73"/>
  <c r="M2536" i="73" s="1"/>
  <c r="L333" i="73"/>
  <c r="M333" i="73" s="1"/>
  <c r="L274" i="73"/>
  <c r="M274" i="73" s="1"/>
  <c r="L4284" i="73"/>
  <c r="M4284" i="73" s="1"/>
  <c r="L1874" i="73"/>
  <c r="M1874" i="73" s="1"/>
  <c r="L3190" i="73"/>
  <c r="M3190" i="73" s="1"/>
  <c r="L64" i="73"/>
  <c r="M64" i="73" s="1"/>
  <c r="L497" i="73"/>
  <c r="M497" i="73" s="1"/>
  <c r="L628" i="73"/>
  <c r="M628" i="73" s="1"/>
  <c r="L766" i="73"/>
  <c r="M766" i="73" s="1"/>
  <c r="L3220" i="73"/>
  <c r="M3220" i="73" s="1"/>
  <c r="L434" i="73"/>
  <c r="M434" i="73" s="1"/>
  <c r="M433" i="73" s="1"/>
  <c r="L4920" i="73"/>
  <c r="M4920" i="73" s="1"/>
  <c r="L300" i="73"/>
  <c r="M300" i="73" s="1"/>
  <c r="L607" i="73"/>
  <c r="M607" i="73" s="1"/>
  <c r="L223" i="73"/>
  <c r="M223" i="73" s="1"/>
  <c r="L43" i="73"/>
  <c r="M43" i="73" s="1"/>
  <c r="L155" i="73"/>
  <c r="M155" i="73" s="1"/>
  <c r="L547" i="73"/>
  <c r="M547" i="73" s="1"/>
  <c r="L140" i="73"/>
  <c r="M140" i="73" s="1"/>
  <c r="L1155" i="73"/>
  <c r="M1155" i="73" s="1"/>
  <c r="L1254" i="73"/>
  <c r="M1254" i="73" s="1"/>
  <c r="L1067" i="73"/>
  <c r="M1067" i="73" s="1"/>
  <c r="L1109" i="73"/>
  <c r="M1109" i="73" s="1"/>
  <c r="L1264" i="73"/>
  <c r="M1264" i="73" s="1"/>
  <c r="L953" i="73"/>
  <c r="M953" i="73" s="1"/>
  <c r="L1533" i="73"/>
  <c r="M1533" i="73" s="1"/>
  <c r="L1562" i="73"/>
  <c r="M1562" i="73" s="1"/>
  <c r="L1600" i="73"/>
  <c r="M1600" i="73" s="1"/>
  <c r="M1598" i="73" s="1"/>
  <c r="L1799" i="73"/>
  <c r="M1799" i="73" s="1"/>
  <c r="L2008" i="73"/>
  <c r="M2008" i="73" s="1"/>
  <c r="L2080" i="73"/>
  <c r="M2080" i="73" s="1"/>
  <c r="L2694" i="73"/>
  <c r="M2694" i="73" s="1"/>
  <c r="L3361" i="73"/>
  <c r="M3361" i="73" s="1"/>
  <c r="L3150" i="73"/>
  <c r="M3150" i="73" s="1"/>
  <c r="L3758" i="73"/>
  <c r="M3758" i="73" s="1"/>
  <c r="L4155" i="73"/>
  <c r="M4155" i="73" s="1"/>
  <c r="L374" i="73"/>
  <c r="M374" i="73" s="1"/>
  <c r="L2872" i="73"/>
  <c r="M2872" i="73" s="1"/>
  <c r="L2211" i="73"/>
  <c r="M2211" i="73" s="1"/>
  <c r="L2830" i="73"/>
  <c r="M2830" i="73" s="1"/>
  <c r="L2170" i="73"/>
  <c r="M2170" i="73" s="1"/>
  <c r="L1465" i="73"/>
  <c r="M1465" i="73" s="1"/>
  <c r="L3997" i="73"/>
  <c r="M3997" i="73" s="1"/>
  <c r="L2530" i="73"/>
  <c r="M2530" i="73" s="1"/>
  <c r="L1421" i="73"/>
  <c r="M1421" i="73" s="1"/>
  <c r="L1870" i="73"/>
  <c r="M1870" i="73" s="1"/>
  <c r="L3186" i="73"/>
  <c r="M3186" i="73" s="1"/>
  <c r="L332" i="73"/>
  <c r="M332" i="73" s="1"/>
  <c r="L4375" i="73"/>
  <c r="M4375" i="73" s="1"/>
  <c r="L4328" i="73"/>
  <c r="M4328" i="73" s="1"/>
  <c r="L4274" i="73"/>
  <c r="M4274" i="73" s="1"/>
  <c r="L4183" i="73"/>
  <c r="M4183" i="73" s="1"/>
  <c r="L4084" i="73"/>
  <c r="M4084" i="73" s="1"/>
  <c r="L4047" i="73"/>
  <c r="M4047" i="73" s="1"/>
  <c r="L3987" i="73"/>
  <c r="M3987" i="73" s="1"/>
  <c r="L3833" i="73"/>
  <c r="M3833" i="73" s="1"/>
  <c r="L3797" i="73"/>
  <c r="M3797" i="73" s="1"/>
  <c r="L3843" i="73"/>
  <c r="M3843" i="73" s="1"/>
  <c r="L3753" i="73"/>
  <c r="M3753" i="73" s="1"/>
  <c r="L3728" i="73"/>
  <c r="M3728" i="73" s="1"/>
  <c r="L3284" i="73"/>
  <c r="M3284" i="73" s="1"/>
  <c r="L3141" i="73"/>
  <c r="M3141" i="73" s="1"/>
  <c r="L3109" i="73"/>
  <c r="M3109" i="73" s="1"/>
  <c r="L3570" i="73"/>
  <c r="M3570" i="73" s="1"/>
  <c r="L3377" i="73"/>
  <c r="M3377" i="73" s="1"/>
  <c r="L2735" i="73"/>
  <c r="M2735" i="73" s="1"/>
  <c r="L2724" i="73"/>
  <c r="M2724" i="73" s="1"/>
  <c r="L2709" i="73"/>
  <c r="M2709" i="73" s="1"/>
  <c r="L2674" i="73"/>
  <c r="M2674" i="73" s="1"/>
  <c r="L2665" i="73"/>
  <c r="M2665" i="73" s="1"/>
  <c r="L2630" i="73"/>
  <c r="M2630" i="73" s="1"/>
  <c r="L2500" i="73"/>
  <c r="M2500" i="73" s="1"/>
  <c r="L2418" i="73"/>
  <c r="M2418" i="73" s="1"/>
  <c r="L2479" i="73"/>
  <c r="M2479" i="73" s="1"/>
  <c r="L2075" i="73"/>
  <c r="M2075" i="73" s="1"/>
  <c r="L2059" i="73"/>
  <c r="M2059" i="73" s="1"/>
  <c r="L2039" i="73"/>
  <c r="M2039" i="73" s="1"/>
  <c r="L2019" i="73"/>
  <c r="M2019" i="73" s="1"/>
  <c r="L2005" i="73"/>
  <c r="M2005" i="73" s="1"/>
  <c r="L1856" i="73"/>
  <c r="M1856" i="73" s="1"/>
  <c r="L1818" i="73"/>
  <c r="M1818" i="73" s="1"/>
  <c r="L1765" i="73"/>
  <c r="M1765" i="73" s="1"/>
  <c r="L1603" i="73"/>
  <c r="M1603" i="73" s="1"/>
  <c r="L1587" i="73"/>
  <c r="M1587" i="73" s="1"/>
  <c r="L1567" i="73"/>
  <c r="M1567" i="73" s="1"/>
  <c r="L1547" i="73"/>
  <c r="M1547" i="73" s="1"/>
  <c r="L4444" i="73"/>
  <c r="M4444" i="73" s="1"/>
  <c r="L4310" i="73"/>
  <c r="M4310" i="73" s="1"/>
  <c r="L4237" i="73"/>
  <c r="M4237" i="73" s="1"/>
  <c r="L4169" i="73"/>
  <c r="M4169" i="73" s="1"/>
  <c r="L4112" i="73"/>
  <c r="M4112" i="73" s="1"/>
  <c r="L4027" i="73"/>
  <c r="M4027" i="73" s="1"/>
  <c r="L3975" i="73"/>
  <c r="M3975" i="73" s="1"/>
  <c r="L3828" i="73"/>
  <c r="M3828" i="73" s="1"/>
  <c r="L3778" i="73"/>
  <c r="M3778" i="73" s="1"/>
  <c r="L3783" i="73"/>
  <c r="M3783" i="73" s="1"/>
  <c r="L3747" i="73"/>
  <c r="M3747" i="73" s="1"/>
  <c r="L3615" i="73"/>
  <c r="M3615" i="73" s="1"/>
  <c r="L3385" i="73"/>
  <c r="M3385" i="73" s="1"/>
  <c r="L3133" i="73"/>
  <c r="M3133" i="73" s="1"/>
  <c r="L3093" i="73"/>
  <c r="M3093" i="73" s="1"/>
  <c r="L3556" i="73"/>
  <c r="M3556" i="73" s="1"/>
  <c r="L3370" i="73"/>
  <c r="M3370" i="73" s="1"/>
  <c r="L2732" i="73"/>
  <c r="M2732" i="73" s="1"/>
  <c r="M2730" i="73" s="1"/>
  <c r="L2719" i="73"/>
  <c r="M2719" i="73" s="1"/>
  <c r="L2704" i="73"/>
  <c r="M2704" i="73" s="1"/>
  <c r="L2689" i="73"/>
  <c r="M2689" i="73" s="1"/>
  <c r="L2644" i="73"/>
  <c r="M2644" i="73" s="1"/>
  <c r="L2515" i="73"/>
  <c r="M2515" i="73" s="1"/>
  <c r="L2488" i="73"/>
  <c r="M2488" i="73" s="1"/>
  <c r="L2452" i="73"/>
  <c r="M2452" i="73" s="1"/>
  <c r="L2107" i="73"/>
  <c r="M2107" i="73" s="1"/>
  <c r="L2072" i="73"/>
  <c r="M2072" i="73" s="1"/>
  <c r="L2054" i="73"/>
  <c r="M2054" i="73" s="1"/>
  <c r="L2034" i="73"/>
  <c r="M2034" i="73" s="1"/>
  <c r="L2014" i="73"/>
  <c r="M2014" i="73" s="1"/>
  <c r="L1984" i="73"/>
  <c r="M1984" i="73" s="1"/>
  <c r="L4432" i="73"/>
  <c r="M4432" i="73" s="1"/>
  <c r="L4389" i="73"/>
  <c r="M4389" i="73" s="1"/>
  <c r="L4365" i="73"/>
  <c r="M4365" i="73" s="1"/>
  <c r="L4220" i="73"/>
  <c r="M4220" i="73" s="1"/>
  <c r="L4419" i="73"/>
  <c r="M4419" i="73" s="1"/>
  <c r="L4106" i="73"/>
  <c r="M4106" i="73" s="1"/>
  <c r="L4078" i="73"/>
  <c r="M4078" i="73" s="1"/>
  <c r="L3872" i="73"/>
  <c r="M3872" i="73" s="1"/>
  <c r="L3822" i="73"/>
  <c r="M3822" i="73" s="1"/>
  <c r="L3848" i="73"/>
  <c r="M3848" i="73" s="1"/>
  <c r="L3772" i="73"/>
  <c r="M3772" i="73" s="1"/>
  <c r="L3733" i="73"/>
  <c r="M3733" i="73" s="1"/>
  <c r="L3601" i="73"/>
  <c r="M3601" i="73" s="1"/>
  <c r="L3298" i="73"/>
  <c r="M3298" i="73" s="1"/>
  <c r="L3162" i="73"/>
  <c r="M3162" i="73" s="1"/>
  <c r="L3080" i="73"/>
  <c r="M3080" i="73" s="1"/>
  <c r="L3542" i="73"/>
  <c r="M3542" i="73" s="1"/>
  <c r="L3471" i="73"/>
  <c r="M3471" i="73" s="1"/>
  <c r="L2767" i="73"/>
  <c r="M2767" i="73" s="1"/>
  <c r="L2714" i="73"/>
  <c r="M2714" i="73" s="1"/>
  <c r="L2699" i="73"/>
  <c r="M2699" i="73" s="1"/>
  <c r="L2684" i="73"/>
  <c r="M2684" i="73" s="1"/>
  <c r="L2671" i="73"/>
  <c r="M2671" i="73" s="1"/>
  <c r="L2508" i="73"/>
  <c r="M2508" i="73" s="1"/>
  <c r="L3486" i="73"/>
  <c r="M3486" i="73" s="1"/>
  <c r="L2447" i="73"/>
  <c r="M2447" i="73" s="1"/>
  <c r="L2957" i="73"/>
  <c r="M2957" i="73" s="1"/>
  <c r="L2069" i="73"/>
  <c r="M2069" i="73" s="1"/>
  <c r="L2049" i="73"/>
  <c r="M2049" i="73" s="1"/>
  <c r="L2029" i="73"/>
  <c r="M2029" i="73" s="1"/>
  <c r="L2011" i="73"/>
  <c r="M2011" i="73" s="1"/>
  <c r="M2009" i="73" s="1"/>
  <c r="L1978" i="73"/>
  <c r="M1978" i="73" s="1"/>
  <c r="L1835" i="73"/>
  <c r="M1835" i="73" s="1"/>
  <c r="L1794" i="73"/>
  <c r="M1794" i="73" s="1"/>
  <c r="L1617" i="73"/>
  <c r="M1617" i="73" s="1"/>
  <c r="L1597" i="73"/>
  <c r="M1597" i="73" s="1"/>
  <c r="L1577" i="73"/>
  <c r="M1577" i="73" s="1"/>
  <c r="L1557" i="73"/>
  <c r="M1557" i="73" s="1"/>
  <c r="L1539" i="73"/>
  <c r="M1539" i="73" s="1"/>
  <c r="L4924" i="73"/>
  <c r="M4924" i="73" s="1"/>
  <c r="L4976" i="73"/>
  <c r="M4976" i="73" s="1"/>
  <c r="L4770" i="73"/>
  <c r="M4770" i="73" s="1"/>
  <c r="L4863" i="73"/>
  <c r="M4863" i="73" s="1"/>
  <c r="L1923" i="73"/>
  <c r="M1923" i="73" s="1"/>
  <c r="L3211" i="73"/>
  <c r="M3211" i="73" s="1"/>
  <c r="L2557" i="73"/>
  <c r="M2557" i="73" s="1"/>
  <c r="L2569" i="73"/>
  <c r="M2569" i="73" s="1"/>
  <c r="L4266" i="73"/>
  <c r="M4266" i="73" s="1"/>
  <c r="L1935" i="73"/>
  <c r="M1935" i="73" s="1"/>
  <c r="L229" i="73"/>
  <c r="M229" i="73" s="1"/>
  <c r="M228" i="73" s="1"/>
  <c r="L207" i="73"/>
  <c r="M207" i="73" s="1"/>
  <c r="M206" i="73" s="1"/>
  <c r="L2856" i="73"/>
  <c r="M2856" i="73" s="1"/>
  <c r="M2855" i="73" s="1"/>
  <c r="L2196" i="73"/>
  <c r="M2196" i="73" s="1"/>
  <c r="M2195" i="73" s="1"/>
  <c r="L1449" i="73"/>
  <c r="M1449" i="73" s="1"/>
  <c r="M1448" i="73" s="1"/>
  <c r="L4229" i="73"/>
  <c r="M4229" i="73" s="1"/>
  <c r="M4228" i="73" s="1"/>
  <c r="L4209" i="73"/>
  <c r="M4209" i="73" s="1"/>
  <c r="M4208" i="73" s="1"/>
  <c r="L4255" i="73"/>
  <c r="M4255" i="73" s="1"/>
  <c r="M4254" i="73" s="1"/>
  <c r="L4227" i="73"/>
  <c r="M4227" i="73" s="1"/>
  <c r="M4226" i="73" s="1"/>
  <c r="L4253" i="73"/>
  <c r="M4253" i="73" s="1"/>
  <c r="M4252" i="73" s="1"/>
  <c r="L4211" i="73"/>
  <c r="M4211" i="73" s="1"/>
  <c r="M4210" i="73" s="1"/>
  <c r="Q342" i="73"/>
  <c r="L342" i="73"/>
  <c r="Q713" i="73"/>
  <c r="L713" i="73"/>
  <c r="L3977" i="73"/>
  <c r="Q3977" i="73"/>
  <c r="L4782" i="73"/>
  <c r="L138" i="73"/>
  <c r="M138" i="73" s="1"/>
  <c r="L417" i="73"/>
  <c r="M417" i="73" s="1"/>
  <c r="L218" i="73"/>
  <c r="M218" i="73" s="1"/>
  <c r="L283" i="73"/>
  <c r="M283" i="73" s="1"/>
  <c r="L389" i="73"/>
  <c r="M389" i="73" s="1"/>
  <c r="L604" i="73"/>
  <c r="M604" i="73" s="1"/>
  <c r="L950" i="73"/>
  <c r="M950" i="73" s="1"/>
  <c r="L3374" i="73"/>
  <c r="M3374" i="73" s="1"/>
  <c r="L3552" i="73"/>
  <c r="M3552" i="73" s="1"/>
  <c r="L3295" i="73"/>
  <c r="M3295" i="73" s="1"/>
  <c r="L4151" i="73"/>
  <c r="M4151" i="73" s="1"/>
  <c r="L4179" i="73"/>
  <c r="M4179" i="73" s="1"/>
  <c r="L621" i="73"/>
  <c r="M621" i="73" s="1"/>
  <c r="L458" i="73"/>
  <c r="M458" i="73" s="1"/>
  <c r="L3326" i="73"/>
  <c r="M3326" i="73" s="1"/>
  <c r="L3426" i="73"/>
  <c r="M3426" i="73" s="1"/>
  <c r="L4127" i="73"/>
  <c r="M4127" i="73" s="1"/>
  <c r="L2168" i="73"/>
  <c r="M2168" i="73" s="1"/>
  <c r="L2870" i="73"/>
  <c r="M2870" i="73" s="1"/>
  <c r="L4280" i="73"/>
  <c r="M4280" i="73" s="1"/>
  <c r="L745" i="73"/>
  <c r="M745" i="73" s="1"/>
  <c r="L704" i="73"/>
  <c r="M704" i="73" s="1"/>
  <c r="M4507" i="73"/>
  <c r="L161" i="73"/>
  <c r="M161" i="73" s="1"/>
  <c r="L451" i="73"/>
  <c r="M451" i="73" s="1"/>
  <c r="L145" i="73"/>
  <c r="M145" i="73" s="1"/>
  <c r="L71" i="73"/>
  <c r="M71" i="73" s="1"/>
  <c r="L442" i="73"/>
  <c r="M442" i="73" s="1"/>
  <c r="L311" i="73"/>
  <c r="M311" i="73" s="1"/>
  <c r="L396" i="73"/>
  <c r="M396" i="73" s="1"/>
  <c r="L859" i="73"/>
  <c r="M859" i="73" s="1"/>
  <c r="L1975" i="73"/>
  <c r="M1975" i="73" s="1"/>
  <c r="L3483" i="73"/>
  <c r="M3483" i="73" s="1"/>
  <c r="L3566" i="73"/>
  <c r="M3566" i="73" s="1"/>
  <c r="L3597" i="73"/>
  <c r="M3597" i="73" s="1"/>
  <c r="L4415" i="73"/>
  <c r="M4415" i="73" s="1"/>
  <c r="L4386" i="73"/>
  <c r="M4386" i="73" s="1"/>
  <c r="L1114" i="73"/>
  <c r="M1114" i="73" s="1"/>
  <c r="L828" i="73"/>
  <c r="M828" i="73" s="1"/>
  <c r="L959" i="73"/>
  <c r="M959" i="73" s="1"/>
  <c r="L2521" i="73"/>
  <c r="M2521" i="73" s="1"/>
  <c r="L3587" i="73"/>
  <c r="M3587" i="73" s="1"/>
  <c r="L4204" i="73"/>
  <c r="M4204" i="73" s="1"/>
  <c r="L4402" i="73"/>
  <c r="M4402" i="73" s="1"/>
  <c r="L2209" i="73"/>
  <c r="M2209" i="73" s="1"/>
  <c r="L4942" i="73"/>
  <c r="M4942" i="73" s="1"/>
  <c r="L2260" i="73"/>
  <c r="M2260" i="73" s="1"/>
  <c r="L4945" i="73"/>
  <c r="M4945" i="73" s="1"/>
  <c r="L705" i="73"/>
  <c r="M705" i="73" s="1"/>
  <c r="L961" i="73"/>
  <c r="M961" i="73" s="1"/>
  <c r="L1491" i="73"/>
  <c r="L1018" i="73"/>
  <c r="L460" i="73"/>
  <c r="M460" i="73" s="1"/>
  <c r="L194" i="73"/>
  <c r="M194" i="73" s="1"/>
  <c r="L183" i="73"/>
  <c r="M183" i="73" s="1"/>
  <c r="L38" i="73"/>
  <c r="M38" i="73" s="1"/>
  <c r="L123" i="73"/>
  <c r="M123" i="73" s="1"/>
  <c r="L304" i="73"/>
  <c r="M304" i="73" s="1"/>
  <c r="L408" i="73"/>
  <c r="M408" i="73" s="1"/>
  <c r="L740" i="73"/>
  <c r="M740" i="73" s="1"/>
  <c r="L1981" i="73"/>
  <c r="M1981" i="73" s="1"/>
  <c r="L2641" i="73"/>
  <c r="M2641" i="73" s="1"/>
  <c r="L3289" i="73"/>
  <c r="M3289" i="73" s="1"/>
  <c r="L3475" i="73"/>
  <c r="M3475" i="73" s="1"/>
  <c r="L4165" i="73"/>
  <c r="M4165" i="73" s="1"/>
  <c r="L1091" i="73"/>
  <c r="M1091" i="73" s="1"/>
  <c r="L759" i="73"/>
  <c r="M759" i="73" s="1"/>
  <c r="L1270" i="73"/>
  <c r="M1270" i="73" s="1"/>
  <c r="L1861" i="73"/>
  <c r="M1861" i="73" s="1"/>
  <c r="L3175" i="73"/>
  <c r="M3175" i="73" s="1"/>
  <c r="L3992" i="73"/>
  <c r="M3992" i="73" s="1"/>
  <c r="L1419" i="73"/>
  <c r="M1419" i="73" s="1"/>
  <c r="L632" i="73"/>
  <c r="M632" i="73" s="1"/>
  <c r="L1286" i="73"/>
  <c r="M1286" i="73" s="1"/>
  <c r="L4725" i="73"/>
  <c r="M4725" i="73" s="1"/>
  <c r="L518" i="73"/>
  <c r="M518" i="73" s="1"/>
  <c r="L248" i="73"/>
  <c r="M248" i="73" s="1"/>
  <c r="L1965" i="73"/>
  <c r="M1965" i="73" s="1"/>
  <c r="L544" i="73"/>
  <c r="M544" i="73" s="1"/>
  <c r="L537" i="73"/>
  <c r="M537" i="73" s="1"/>
  <c r="L557" i="73"/>
  <c r="M557" i="73" s="1"/>
  <c r="L1195" i="73"/>
  <c r="M1195" i="73" s="1"/>
  <c r="L1231" i="73"/>
  <c r="M1231" i="73" s="1"/>
  <c r="L1105" i="73"/>
  <c r="M1105" i="73" s="1"/>
  <c r="L1395" i="73"/>
  <c r="M1395" i="73" s="1"/>
  <c r="L1457" i="73"/>
  <c r="M1457" i="73" s="1"/>
  <c r="L1613" i="73"/>
  <c r="M1613" i="73" s="1"/>
  <c r="L1736" i="73"/>
  <c r="M1736" i="73" s="1"/>
  <c r="L1797" i="73"/>
  <c r="M1797" i="73" s="1"/>
  <c r="L1823" i="73"/>
  <c r="M1823" i="73" s="1"/>
  <c r="L1968" i="73"/>
  <c r="M1968" i="73" s="1"/>
  <c r="L2090" i="73"/>
  <c r="M2090" i="73" s="1"/>
  <c r="L2130" i="73"/>
  <c r="M2130" i="73" s="1"/>
  <c r="L2157" i="73"/>
  <c r="M2157" i="73" s="1"/>
  <c r="L2204" i="73"/>
  <c r="M2204" i="73" s="1"/>
  <c r="L2281" i="73"/>
  <c r="M2281" i="73" s="1"/>
  <c r="L2444" i="73"/>
  <c r="M2444" i="73" s="1"/>
  <c r="L2476" i="73"/>
  <c r="M2476" i="73" s="1"/>
  <c r="L2953" i="73"/>
  <c r="M2953" i="73" s="1"/>
  <c r="L2750" i="73"/>
  <c r="M2750" i="73" s="1"/>
  <c r="L2824" i="73"/>
  <c r="M2824" i="73" s="1"/>
  <c r="L2864" i="73"/>
  <c r="M2864" i="73" s="1"/>
  <c r="L3468" i="73"/>
  <c r="M3468" i="73" s="1"/>
  <c r="L3106" i="73"/>
  <c r="M3106" i="73" s="1"/>
  <c r="L3130" i="73"/>
  <c r="M3130" i="73" s="1"/>
  <c r="L3153" i="73"/>
  <c r="M3153" i="73" s="1"/>
  <c r="L3768" i="73"/>
  <c r="M3768" i="73" s="1"/>
  <c r="L3805" i="73"/>
  <c r="M3805" i="73" s="1"/>
  <c r="L3830" i="73"/>
  <c r="M3830" i="73" s="1"/>
  <c r="L3984" i="73"/>
  <c r="M3984" i="73" s="1"/>
  <c r="L4023" i="73"/>
  <c r="M4023" i="73" s="1"/>
  <c r="L4081" i="73"/>
  <c r="M4081" i="73" s="1"/>
  <c r="L4103" i="73"/>
  <c r="M4103" i="73" s="1"/>
  <c r="L4300" i="73"/>
  <c r="M4300" i="73" s="1"/>
  <c r="L4344" i="73"/>
  <c r="M4344" i="73" s="1"/>
  <c r="L550" i="73"/>
  <c r="M550" i="73" s="1"/>
  <c r="L536" i="73"/>
  <c r="M536" i="73" s="1"/>
  <c r="L1214" i="73"/>
  <c r="M1214" i="73" s="1"/>
  <c r="L2526" i="73"/>
  <c r="M2526" i="73" s="1"/>
  <c r="L4281" i="73"/>
  <c r="M4281" i="73" s="1"/>
  <c r="L732" i="73"/>
  <c r="M732" i="73" s="1"/>
  <c r="L1376" i="73"/>
  <c r="M1376" i="73" s="1"/>
  <c r="L2785" i="73"/>
  <c r="M2785" i="73" s="1"/>
  <c r="L1165" i="73"/>
  <c r="M1165" i="73" s="1"/>
  <c r="L4946" i="73"/>
  <c r="M4946" i="73" s="1"/>
  <c r="L4688" i="73"/>
  <c r="M4688" i="73" s="1"/>
  <c r="L4996" i="73"/>
  <c r="M4996" i="73" s="1"/>
  <c r="L3429" i="73"/>
  <c r="M3429" i="73" s="1"/>
  <c r="L4133" i="73"/>
  <c r="M4133" i="73" s="1"/>
  <c r="L589" i="73"/>
  <c r="M589" i="73" s="1"/>
  <c r="L578" i="73"/>
  <c r="M578" i="73" s="1"/>
  <c r="L1151" i="73"/>
  <c r="M1151" i="73" s="1"/>
  <c r="L1208" i="73"/>
  <c r="M1208" i="73" s="1"/>
  <c r="L1082" i="73"/>
  <c r="M1082" i="73" s="1"/>
  <c r="L1261" i="73"/>
  <c r="M1261" i="73" s="1"/>
  <c r="L1415" i="73"/>
  <c r="M1415" i="73" s="1"/>
  <c r="L1623" i="73"/>
  <c r="M1623" i="73" s="1"/>
  <c r="L1700" i="73"/>
  <c r="M1700" i="73" s="1"/>
  <c r="L1815" i="73"/>
  <c r="M1815" i="73" s="1"/>
  <c r="L1832" i="73"/>
  <c r="M1832" i="73" s="1"/>
  <c r="L1991" i="73"/>
  <c r="M1991" i="73" s="1"/>
  <c r="L2103" i="73"/>
  <c r="M2103" i="73" s="1"/>
  <c r="L2144" i="73"/>
  <c r="M2144" i="73" s="1"/>
  <c r="L2317" i="73"/>
  <c r="M2317" i="73" s="1"/>
  <c r="L2263" i="73"/>
  <c r="M2263" i="73" s="1"/>
  <c r="L2428" i="73"/>
  <c r="M2428" i="73" s="1"/>
  <c r="L2450" i="73"/>
  <c r="M2450" i="73" s="1"/>
  <c r="L2933" i="73"/>
  <c r="M2933" i="73" s="1"/>
  <c r="L2763" i="73"/>
  <c r="M2763" i="73" s="1"/>
  <c r="L2817" i="73"/>
  <c r="M2817" i="73" s="1"/>
  <c r="L2839" i="73"/>
  <c r="M2839" i="73" s="1"/>
  <c r="L3358" i="73"/>
  <c r="M3358" i="73" s="1"/>
  <c r="L3090" i="73"/>
  <c r="M3090" i="73" s="1"/>
  <c r="L3112" i="73"/>
  <c r="M3112" i="73" s="1"/>
  <c r="L3159" i="73"/>
  <c r="M3159" i="73" s="1"/>
  <c r="L3793" i="73"/>
  <c r="M3793" i="73" s="1"/>
  <c r="L3818" i="73"/>
  <c r="M3818" i="73" s="1"/>
  <c r="L3780" i="73"/>
  <c r="M3780" i="73" s="1"/>
  <c r="L3971" i="73"/>
  <c r="M3971" i="73" s="1"/>
  <c r="L4010" i="73"/>
  <c r="M4010" i="73" s="1"/>
  <c r="L4035" i="73"/>
  <c r="M4035" i="73" s="1"/>
  <c r="L4087" i="73"/>
  <c r="M4087" i="73" s="1"/>
  <c r="L4109" i="73"/>
  <c r="M4109" i="73" s="1"/>
  <c r="L4307" i="73"/>
  <c r="M4307" i="73" s="1"/>
  <c r="L372" i="73"/>
  <c r="M372" i="73" s="1"/>
  <c r="L1164" i="73"/>
  <c r="M1164" i="73" s="1"/>
  <c r="L1865" i="73"/>
  <c r="M1865" i="73" s="1"/>
  <c r="L646" i="73"/>
  <c r="M646" i="73" s="1"/>
  <c r="L330" i="73"/>
  <c r="M330" i="73" s="1"/>
  <c r="L4538" i="73"/>
  <c r="M4538" i="73" s="1"/>
  <c r="L4663" i="73"/>
  <c r="M4663" i="73" s="1"/>
  <c r="L1948" i="73"/>
  <c r="M1948" i="73" s="1"/>
  <c r="L3236" i="73"/>
  <c r="M3236" i="73" s="1"/>
  <c r="L1997" i="73"/>
  <c r="M1997" i="73" s="1"/>
  <c r="M1996" i="73" s="1"/>
  <c r="L4911" i="73"/>
  <c r="M4911" i="73" s="1"/>
  <c r="L5013" i="73"/>
  <c r="M5013" i="73" s="1"/>
  <c r="L4900" i="73"/>
  <c r="M4900" i="73" s="1"/>
  <c r="L4913" i="73"/>
  <c r="M4913" i="73" s="1"/>
  <c r="L4835" i="73"/>
  <c r="M4835" i="73" s="1"/>
  <c r="L602" i="73"/>
  <c r="M602" i="73" s="1"/>
  <c r="M601" i="73" s="1"/>
  <c r="L4839" i="73"/>
  <c r="M4839" i="73" s="1"/>
  <c r="L4963" i="73"/>
  <c r="M4963" i="73" s="1"/>
  <c r="L4746" i="73"/>
  <c r="M4746" i="73" s="1"/>
  <c r="L4587" i="73"/>
  <c r="M4587" i="73" s="1"/>
  <c r="L4601" i="73"/>
  <c r="M4601" i="73" s="1"/>
  <c r="L2413" i="73"/>
  <c r="M2413" i="73" s="1"/>
  <c r="M2412" i="73" s="1"/>
  <c r="L1760" i="73"/>
  <c r="M1760" i="73" s="1"/>
  <c r="M1759" i="73" s="1"/>
  <c r="L3075" i="73"/>
  <c r="M3075" i="73" s="1"/>
  <c r="M3074" i="73" s="1"/>
  <c r="L1056" i="73"/>
  <c r="M1056" i="73" s="1"/>
  <c r="M1055" i="73" s="1"/>
  <c r="L203" i="73"/>
  <c r="M203" i="73" s="1"/>
  <c r="M202" i="73" s="1"/>
  <c r="L586" i="73"/>
  <c r="M586" i="73" s="1"/>
  <c r="M585" i="73" s="1"/>
  <c r="L588" i="73"/>
  <c r="M588" i="73" s="1"/>
  <c r="M587" i="73" s="1"/>
  <c r="L779" i="73"/>
  <c r="M779" i="73" s="1"/>
  <c r="M778" i="73" s="1"/>
  <c r="L668" i="73"/>
  <c r="M668" i="73" s="1"/>
  <c r="M667" i="73" s="1"/>
  <c r="L900" i="73"/>
  <c r="M900" i="73" s="1"/>
  <c r="M899" i="73" s="1"/>
  <c r="L573" i="73"/>
  <c r="M573" i="73" s="1"/>
  <c r="M572" i="73" s="1"/>
  <c r="L571" i="73"/>
  <c r="M571" i="73" s="1"/>
  <c r="M570" i="73" s="1"/>
  <c r="L2562" i="73"/>
  <c r="M2562" i="73" s="1"/>
  <c r="M2561" i="73" s="1"/>
  <c r="L3216" i="73"/>
  <c r="M3216" i="73" s="1"/>
  <c r="M3215" i="73" s="1"/>
  <c r="L4231" i="73"/>
  <c r="M4231" i="73" s="1"/>
  <c r="L4214" i="73"/>
  <c r="M4214" i="73" s="1"/>
  <c r="L4263" i="73"/>
  <c r="M4263" i="73" s="1"/>
  <c r="L3222" i="73"/>
  <c r="M3222" i="73" s="1"/>
  <c r="L1934" i="73"/>
  <c r="M1934" i="73" s="1"/>
  <c r="L4264" i="73"/>
  <c r="M4264" i="73" s="1"/>
  <c r="L2568" i="73"/>
  <c r="M2568" i="73" s="1"/>
  <c r="L1875" i="73"/>
  <c r="M1875" i="73" s="1"/>
  <c r="L3191" i="73"/>
  <c r="M3191" i="73" s="1"/>
  <c r="L334" i="73"/>
  <c r="M334" i="73" s="1"/>
  <c r="L2537" i="73"/>
  <c r="M2537" i="73" s="1"/>
  <c r="L4844" i="73"/>
  <c r="M4844" i="73" s="1"/>
  <c r="L4757" i="73"/>
  <c r="M4757" i="73" s="1"/>
  <c r="L4977" i="73"/>
  <c r="M4977" i="73" s="1"/>
  <c r="L5027" i="73"/>
  <c r="M5027" i="73" s="1"/>
  <c r="L3250" i="73"/>
  <c r="M3250" i="73" s="1"/>
  <c r="L1962" i="73"/>
  <c r="M1962" i="73" s="1"/>
  <c r="L1999" i="73"/>
  <c r="M1999" i="73" s="1"/>
  <c r="L2659" i="73"/>
  <c r="M2659" i="73" s="1"/>
  <c r="L4925" i="73"/>
  <c r="M4925" i="73" s="1"/>
  <c r="L4866" i="73"/>
  <c r="M4866" i="73" s="1"/>
  <c r="L120" i="73"/>
  <c r="M120" i="73" s="1"/>
  <c r="L308" i="73"/>
  <c r="M308" i="73" s="1"/>
  <c r="L4349" i="73"/>
  <c r="M4349" i="73" s="1"/>
  <c r="L4311" i="73"/>
  <c r="M4311" i="73" s="1"/>
  <c r="L4184" i="73"/>
  <c r="M4184" i="73" s="1"/>
  <c r="L4039" i="73"/>
  <c r="M4039" i="73" s="1"/>
  <c r="L3616" i="73"/>
  <c r="M3616" i="73" s="1"/>
  <c r="L3170" i="73"/>
  <c r="M3170" i="73" s="1"/>
  <c r="L3142" i="73"/>
  <c r="M3142" i="73" s="1"/>
  <c r="L3571" i="73"/>
  <c r="M3571" i="73" s="1"/>
  <c r="L3371" i="73"/>
  <c r="M3371" i="73" s="1"/>
  <c r="L2868" i="73"/>
  <c r="M2868" i="73" s="1"/>
  <c r="L2794" i="73"/>
  <c r="M2794" i="73" s="1"/>
  <c r="L2509" i="73"/>
  <c r="M2509" i="73" s="1"/>
  <c r="L2983" i="73"/>
  <c r="M2983" i="73" s="1"/>
  <c r="L2321" i="73"/>
  <c r="M2321" i="73" s="1"/>
  <c r="L2134" i="73"/>
  <c r="M2134" i="73" s="1"/>
  <c r="L1850" i="73"/>
  <c r="M1850" i="73" s="1"/>
  <c r="L142" i="73"/>
  <c r="M142" i="73" s="1"/>
  <c r="L322" i="73"/>
  <c r="M322" i="73" s="1"/>
  <c r="L93" i="73"/>
  <c r="M93" i="73" s="1"/>
  <c r="L45" i="73"/>
  <c r="M45" i="73" s="1"/>
  <c r="L4395" i="73"/>
  <c r="M4395" i="73" s="1"/>
  <c r="L4317" i="73"/>
  <c r="M4317" i="73" s="1"/>
  <c r="L4304" i="73"/>
  <c r="M4304" i="73" s="1"/>
  <c r="L4170" i="73"/>
  <c r="M4170" i="73" s="1"/>
  <c r="L4156" i="73"/>
  <c r="M4156" i="73" s="1"/>
  <c r="L3602" i="73"/>
  <c r="M3602" i="73" s="1"/>
  <c r="L3156" i="73"/>
  <c r="M3156" i="73" s="1"/>
  <c r="L3055" i="73"/>
  <c r="M3055" i="73" s="1"/>
  <c r="L3543" i="73"/>
  <c r="M3543" i="73" s="1"/>
  <c r="L3362" i="73"/>
  <c r="M3362" i="73" s="1"/>
  <c r="L2821" i="73"/>
  <c r="M2821" i="73" s="1"/>
  <c r="L2654" i="73"/>
  <c r="M2654" i="73" s="1"/>
  <c r="L2480" i="73"/>
  <c r="M2480" i="73" s="1"/>
  <c r="L2393" i="73"/>
  <c r="M2393" i="73" s="1"/>
  <c r="L2161" i="73"/>
  <c r="M2161" i="73" s="1"/>
  <c r="L2094" i="73"/>
  <c r="M2094" i="73" s="1"/>
  <c r="L157" i="73"/>
  <c r="M157" i="73" s="1"/>
  <c r="L448" i="73"/>
  <c r="M448" i="73" s="1"/>
  <c r="L301" i="73"/>
  <c r="M301" i="73" s="1"/>
  <c r="L3019" i="73"/>
  <c r="M3019" i="73" s="1"/>
  <c r="L3463" i="73"/>
  <c r="M3463" i="73" s="1"/>
  <c r="L2926" i="73"/>
  <c r="M2926" i="73" s="1"/>
  <c r="L2808" i="73"/>
  <c r="M2808" i="73" s="1"/>
  <c r="L2516" i="73"/>
  <c r="M2516" i="73" s="1"/>
  <c r="L2947" i="73"/>
  <c r="M2947" i="73" s="1"/>
  <c r="L2357" i="73"/>
  <c r="M2357" i="73" s="1"/>
  <c r="L2148" i="73"/>
  <c r="M2148" i="73" s="1"/>
  <c r="L1994" i="73"/>
  <c r="M1994" i="73" s="1"/>
  <c r="L1827" i="73"/>
  <c r="M1827" i="73" s="1"/>
  <c r="L2265" i="73"/>
  <c r="M2265" i="73" s="1"/>
  <c r="L1704" i="73"/>
  <c r="M1704" i="73" s="1"/>
  <c r="L1642" i="73"/>
  <c r="M1642" i="73" s="1"/>
  <c r="L1461" i="73"/>
  <c r="M1461" i="73" s="1"/>
  <c r="L1399" i="73"/>
  <c r="M1399" i="73" s="1"/>
  <c r="L1412" i="73"/>
  <c r="M1412" i="73" s="1"/>
  <c r="L1341" i="73"/>
  <c r="M1341" i="73" s="1"/>
  <c r="L392" i="73"/>
  <c r="M392" i="73" s="1"/>
  <c r="L594" i="73"/>
  <c r="M594" i="73" s="1"/>
  <c r="L129" i="73"/>
  <c r="M129" i="73" s="1"/>
  <c r="L414" i="73"/>
  <c r="M414" i="73" s="1"/>
  <c r="L3867" i="73"/>
  <c r="M3867" i="73" s="1"/>
  <c r="L3998" i="73"/>
  <c r="M3998" i="73" s="1"/>
  <c r="L629" i="73"/>
  <c r="M629" i="73" s="1"/>
  <c r="L888" i="73"/>
  <c r="M888" i="73" s="1"/>
  <c r="L711" i="73"/>
  <c r="L4141" i="73"/>
  <c r="M4138" i="73"/>
  <c r="Q836" i="73"/>
  <c r="L836" i="73"/>
  <c r="Q967" i="73"/>
  <c r="L967" i="73"/>
  <c r="L1016" i="73"/>
  <c r="M1015" i="73"/>
  <c r="Q1016" i="73"/>
  <c r="L4881" i="73"/>
  <c r="Q4881" i="73"/>
  <c r="L852" i="73"/>
  <c r="M852" i="73" s="1"/>
  <c r="L2548" i="73"/>
  <c r="M2548" i="73" s="1"/>
  <c r="L4233" i="73"/>
  <c r="M4233" i="73" s="1"/>
  <c r="L2876" i="73"/>
  <c r="L2406" i="73"/>
  <c r="L1811" i="73"/>
  <c r="M1811" i="73" s="1"/>
  <c r="L4216" i="73"/>
  <c r="M4216" i="73" s="1"/>
  <c r="L1171" i="73"/>
  <c r="L252" i="73"/>
  <c r="M252" i="73" s="1"/>
  <c r="L1622" i="73"/>
  <c r="M1622" i="73" s="1"/>
  <c r="L2952" i="73"/>
  <c r="M2952" i="73" s="1"/>
  <c r="L622" i="73"/>
  <c r="M622" i="73" s="1"/>
  <c r="L880" i="73"/>
  <c r="M880" i="73" s="1"/>
  <c r="L475" i="73"/>
  <c r="M475" i="73" s="1"/>
  <c r="L3528" i="73"/>
  <c r="M3528" i="73" s="1"/>
  <c r="L474" i="73"/>
  <c r="M474" i="73" s="1"/>
  <c r="L1104" i="73"/>
  <c r="M1104" i="73" s="1"/>
  <c r="L2290" i="73"/>
  <c r="M2290" i="73" s="1"/>
  <c r="L2788" i="73"/>
  <c r="M2788" i="73" s="1"/>
  <c r="L1379" i="73"/>
  <c r="M1379" i="73" s="1"/>
  <c r="L3184" i="73"/>
  <c r="M3184" i="73" s="1"/>
  <c r="L292" i="73"/>
  <c r="M292" i="73" s="1"/>
  <c r="L965" i="73"/>
  <c r="M965" i="73" s="1"/>
  <c r="L834" i="73"/>
  <c r="M834" i="73" s="1"/>
  <c r="L709" i="73"/>
  <c r="M709" i="73" s="1"/>
  <c r="L886" i="73"/>
  <c r="M886" i="73" s="1"/>
  <c r="L765" i="73"/>
  <c r="M765" i="73" s="1"/>
  <c r="L627" i="73"/>
  <c r="M627" i="73" s="1"/>
  <c r="L1871" i="73"/>
  <c r="M1871" i="73" s="1"/>
  <c r="L1314" i="73"/>
  <c r="M1314" i="73" s="1"/>
  <c r="L2930" i="73"/>
  <c r="M2930" i="73" s="1"/>
  <c r="M2929" i="73" s="1"/>
  <c r="L1521" i="73"/>
  <c r="M1521" i="73" s="1"/>
  <c r="M1520" i="73" s="1"/>
  <c r="L2271" i="73"/>
  <c r="M2271" i="73" s="1"/>
  <c r="M2270" i="73" s="1"/>
  <c r="L4350" i="73"/>
  <c r="M4350" i="73" s="1"/>
  <c r="L4305" i="73"/>
  <c r="M4305" i="73" s="1"/>
  <c r="L4451" i="73"/>
  <c r="M4451" i="73" s="1"/>
  <c r="L4091" i="73"/>
  <c r="M4091" i="73" s="1"/>
  <c r="L4040" i="73"/>
  <c r="M4040" i="73" s="1"/>
  <c r="L3988" i="73"/>
  <c r="M3988" i="73" s="1"/>
  <c r="L4376" i="73"/>
  <c r="M4376" i="73" s="1"/>
  <c r="L4318" i="73"/>
  <c r="M4318" i="73" s="1"/>
  <c r="L4222" i="73"/>
  <c r="M4222" i="73" s="1"/>
  <c r="L4113" i="73"/>
  <c r="M4113" i="73" s="1"/>
  <c r="L4054" i="73"/>
  <c r="M4054" i="73" s="1"/>
  <c r="L4028" i="73"/>
  <c r="M4028" i="73" s="1"/>
  <c r="L3784" i="73"/>
  <c r="M3784" i="73" s="1"/>
  <c r="L3834" i="73"/>
  <c r="M3834" i="73" s="1"/>
  <c r="L3809" i="73"/>
  <c r="M3809" i="73" s="1"/>
  <c r="L3773" i="73"/>
  <c r="M3773" i="73" s="1"/>
  <c r="L3748" i="73"/>
  <c r="M3748" i="73" s="1"/>
  <c r="L3285" i="73"/>
  <c r="M3285" i="73" s="1"/>
  <c r="L3163" i="73"/>
  <c r="M3163" i="73" s="1"/>
  <c r="L3151" i="73"/>
  <c r="M3151" i="73" s="1"/>
  <c r="L3134" i="73"/>
  <c r="M3134" i="73" s="1"/>
  <c r="L3110" i="73"/>
  <c r="M3110" i="73" s="1"/>
  <c r="L3082" i="73"/>
  <c r="M3082" i="73" s="1"/>
  <c r="L3020" i="73"/>
  <c r="M3020" i="73" s="1"/>
  <c r="L3372" i="73"/>
  <c r="M3372" i="73" s="1"/>
  <c r="L3363" i="73"/>
  <c r="M3363" i="73" s="1"/>
  <c r="L2844" i="73"/>
  <c r="M2844" i="73" s="1"/>
  <c r="L2822" i="73"/>
  <c r="M2822" i="73" s="1"/>
  <c r="L2795" i="73"/>
  <c r="M2795" i="73" s="1"/>
  <c r="L2755" i="73"/>
  <c r="M2755" i="73" s="1"/>
  <c r="L2631" i="73"/>
  <c r="M2631" i="73" s="1"/>
  <c r="L2510" i="73"/>
  <c r="M2510" i="73" s="1"/>
  <c r="L2495" i="73"/>
  <c r="M2495" i="73" s="1"/>
  <c r="L2927" i="73"/>
  <c r="M2927" i="73" s="1"/>
  <c r="L2958" i="73"/>
  <c r="M2958" i="73" s="1"/>
  <c r="L2938" i="73"/>
  <c r="M2938" i="73" s="1"/>
  <c r="L2454" i="73"/>
  <c r="M2454" i="73" s="1"/>
  <c r="L2432" i="73"/>
  <c r="M2432" i="73" s="1"/>
  <c r="L2472" i="73"/>
  <c r="M2472" i="73" s="1"/>
  <c r="L2208" i="73"/>
  <c r="M2208" i="73" s="1"/>
  <c r="L2167" i="73"/>
  <c r="M2167" i="73" s="1"/>
  <c r="L2149" i="73"/>
  <c r="M2149" i="73" s="1"/>
  <c r="L2108" i="73"/>
  <c r="M2108" i="73" s="1"/>
  <c r="L1995" i="73"/>
  <c r="M1995" i="73" s="1"/>
  <c r="L1857" i="73"/>
  <c r="M1857" i="73" s="1"/>
  <c r="L1845" i="73"/>
  <c r="M1845" i="73" s="1"/>
  <c r="L1828" i="73"/>
  <c r="M1828" i="73" s="1"/>
  <c r="L1801" i="73"/>
  <c r="M1801" i="73" s="1"/>
  <c r="L1779" i="73"/>
  <c r="M1779" i="73" s="1"/>
  <c r="L2296" i="73"/>
  <c r="M2296" i="73" s="1"/>
  <c r="L2266" i="73"/>
  <c r="M2266" i="73" s="1"/>
  <c r="L2358" i="73"/>
  <c r="M2358" i="73" s="1"/>
  <c r="L1741" i="73"/>
  <c r="M1741" i="73" s="1"/>
  <c r="L1669" i="73"/>
  <c r="M1669" i="73" s="1"/>
  <c r="L1628" i="73"/>
  <c r="M1628" i="73" s="1"/>
  <c r="L1527" i="73"/>
  <c r="M1527" i="73" s="1"/>
  <c r="L1413" i="73"/>
  <c r="M1413" i="73" s="1"/>
  <c r="L1162" i="73"/>
  <c r="M1162" i="73" s="1"/>
  <c r="L1435" i="73"/>
  <c r="M1435" i="73" s="1"/>
  <c r="L1183" i="73"/>
  <c r="M1183" i="73" s="1"/>
  <c r="L1128" i="73"/>
  <c r="M1128" i="73" s="1"/>
  <c r="L1086" i="73"/>
  <c r="M1086" i="73" s="1"/>
  <c r="L1074" i="73"/>
  <c r="M1074" i="73" s="1"/>
  <c r="L1040" i="73"/>
  <c r="M1040" i="73" s="1"/>
  <c r="L1418" i="73"/>
  <c r="M1418" i="73" s="1"/>
  <c r="L1386" i="73"/>
  <c r="M1386" i="73" s="1"/>
  <c r="L1255" i="73"/>
  <c r="M1255" i="73" s="1"/>
  <c r="L1212" i="73"/>
  <c r="M1212" i="73" s="1"/>
  <c r="L1156" i="73"/>
  <c r="M1156" i="73" s="1"/>
  <c r="L542" i="73"/>
  <c r="M542" i="73" s="1"/>
  <c r="L583" i="73"/>
  <c r="M583" i="73" s="1"/>
  <c r="L4366" i="73"/>
  <c r="M4366" i="73" s="1"/>
  <c r="L4276" i="73"/>
  <c r="M4276" i="73" s="1"/>
  <c r="L4445" i="73"/>
  <c r="M4445" i="73" s="1"/>
  <c r="L4085" i="73"/>
  <c r="M4085" i="73" s="1"/>
  <c r="L4048" i="73"/>
  <c r="M4048" i="73" s="1"/>
  <c r="L3976" i="73"/>
  <c r="M3976" i="73" s="1"/>
  <c r="L595" i="73"/>
  <c r="M595" i="73" s="1"/>
  <c r="L4312" i="73"/>
  <c r="M4312" i="73" s="1"/>
  <c r="L4079" i="73"/>
  <c r="M4079" i="73" s="1"/>
  <c r="L3873" i="73"/>
  <c r="M3873" i="73" s="1"/>
  <c r="L3734" i="73"/>
  <c r="M3734" i="73" s="1"/>
  <c r="L3116" i="73"/>
  <c r="M3116" i="73" s="1"/>
  <c r="L3473" i="73"/>
  <c r="M3473" i="73" s="1"/>
  <c r="L2768" i="73"/>
  <c r="M2768" i="73" s="1"/>
  <c r="L2489" i="73"/>
  <c r="M2489" i="73" s="1"/>
  <c r="L2448" i="73"/>
  <c r="M2448" i="73" s="1"/>
  <c r="L2162" i="73"/>
  <c r="M2162" i="73" s="1"/>
  <c r="L1851" i="73"/>
  <c r="M1851" i="73" s="1"/>
  <c r="L1767" i="73"/>
  <c r="M1767" i="73" s="1"/>
  <c r="L1705" i="73"/>
  <c r="M1705" i="73" s="1"/>
  <c r="L1359" i="73"/>
  <c r="M1359" i="73" s="1"/>
  <c r="L1111" i="73"/>
  <c r="M1111" i="73" s="1"/>
  <c r="L1400" i="73"/>
  <c r="M1400" i="73" s="1"/>
  <c r="L548" i="73"/>
  <c r="M548" i="73" s="1"/>
  <c r="L562" i="73"/>
  <c r="M562" i="73" s="1"/>
  <c r="L4239" i="73"/>
  <c r="M4239" i="73" s="1"/>
  <c r="L3823" i="73"/>
  <c r="M3823" i="73" s="1"/>
  <c r="L3171" i="73"/>
  <c r="M3171" i="73" s="1"/>
  <c r="L3094" i="73"/>
  <c r="M3094" i="73" s="1"/>
  <c r="L2869" i="73"/>
  <c r="M2869" i="73" s="1"/>
  <c r="L2655" i="73"/>
  <c r="M2655" i="73" s="1"/>
  <c r="L2984" i="73"/>
  <c r="M2984" i="73" s="1"/>
  <c r="L2420" i="73"/>
  <c r="M2420" i="73" s="1"/>
  <c r="L2135" i="73"/>
  <c r="M2135" i="73" s="1"/>
  <c r="L1837" i="73"/>
  <c r="M1837" i="73" s="1"/>
  <c r="L2276" i="73"/>
  <c r="M2276" i="73" s="1"/>
  <c r="L1643" i="73"/>
  <c r="M1643" i="73" s="1"/>
  <c r="L1462" i="73"/>
  <c r="M1462" i="73" s="1"/>
  <c r="L1080" i="73"/>
  <c r="M1080" i="73" s="1"/>
  <c r="L1342" i="73"/>
  <c r="M1342" i="73" s="1"/>
  <c r="L4396" i="73"/>
  <c r="M4396" i="73" s="1"/>
  <c r="L4015" i="73"/>
  <c r="M4015" i="73" s="1"/>
  <c r="L3798" i="73"/>
  <c r="M3798" i="73" s="1"/>
  <c r="L3157" i="73"/>
  <c r="M3157" i="73" s="1"/>
  <c r="L3056" i="73"/>
  <c r="M3056" i="73" s="1"/>
  <c r="L2827" i="73"/>
  <c r="M2827" i="73" s="1"/>
  <c r="L2517" i="73"/>
  <c r="M2517" i="73" s="1"/>
  <c r="L2948" i="73"/>
  <c r="M2948" i="73" s="1"/>
  <c r="L2286" i="73"/>
  <c r="M2286" i="73" s="1"/>
  <c r="L2095" i="73"/>
  <c r="M2095" i="73" s="1"/>
  <c r="L1819" i="73"/>
  <c r="M1819" i="73" s="1"/>
  <c r="L2394" i="73"/>
  <c r="M2394" i="73" s="1"/>
  <c r="L1618" i="73"/>
  <c r="M1618" i="73" s="1"/>
  <c r="L1265" i="73"/>
  <c r="M1265" i="73" s="1"/>
  <c r="L1068" i="73"/>
  <c r="M1068" i="73" s="1"/>
  <c r="L1235" i="73"/>
  <c r="M1235" i="73" s="1"/>
  <c r="L3863" i="73"/>
  <c r="M3863" i="73" s="1"/>
  <c r="L2809" i="73"/>
  <c r="M2809" i="73" s="1"/>
  <c r="L1971" i="73"/>
  <c r="M1971" i="73" s="1"/>
  <c r="L1134" i="73"/>
  <c r="M1134" i="73" s="1"/>
  <c r="L3759" i="73"/>
  <c r="M3759" i="73" s="1"/>
  <c r="L2501" i="73"/>
  <c r="M2501" i="73" s="1"/>
  <c r="L1795" i="73"/>
  <c r="M1795" i="73" s="1"/>
  <c r="L1029" i="73"/>
  <c r="M1029" i="73" s="1"/>
  <c r="L3143" i="73"/>
  <c r="M3143" i="73" s="1"/>
  <c r="L2481" i="73"/>
  <c r="M2481" i="73" s="1"/>
  <c r="L2322" i="73"/>
  <c r="M2322" i="73" s="1"/>
  <c r="L1200" i="73"/>
  <c r="M1200" i="73" s="1"/>
  <c r="L4107" i="73"/>
  <c r="M4107" i="73" s="1"/>
  <c r="L3464" i="73"/>
  <c r="M3464" i="73" s="1"/>
  <c r="L2184" i="73"/>
  <c r="M2184" i="73" s="1"/>
  <c r="L1516" i="73"/>
  <c r="M1516" i="73" s="1"/>
  <c r="L81" i="73"/>
  <c r="M81" i="73" s="1"/>
  <c r="M80" i="73" s="1"/>
  <c r="L83" i="73"/>
  <c r="M83" i="73" s="1"/>
  <c r="M82" i="73" s="1"/>
  <c r="L4323" i="73"/>
  <c r="M4323" i="73" s="1"/>
  <c r="M4322" i="73" s="1"/>
  <c r="L2932" i="73"/>
  <c r="M2932" i="73" s="1"/>
  <c r="M2931" i="73" s="1"/>
  <c r="L339" i="73"/>
  <c r="M339" i="73" s="1"/>
  <c r="M338" i="73" s="1"/>
  <c r="L4373" i="73"/>
  <c r="M4373" i="73" s="1"/>
  <c r="L3944" i="73"/>
  <c r="M3944" i="73" s="1"/>
  <c r="M3943" i="73" s="1"/>
  <c r="L4178" i="73"/>
  <c r="M4178" i="73" s="1"/>
  <c r="M4177" i="73" s="1"/>
  <c r="L4148" i="73"/>
  <c r="M4148" i="73" s="1"/>
  <c r="M4147" i="73" s="1"/>
  <c r="L3610" i="73"/>
  <c r="M3610" i="73" s="1"/>
  <c r="M3609" i="73" s="1"/>
  <c r="L3565" i="73"/>
  <c r="M3565" i="73" s="1"/>
  <c r="M3564" i="73" s="1"/>
  <c r="L3139" i="73"/>
  <c r="M3139" i="73" s="1"/>
  <c r="L3549" i="73"/>
  <c r="M3549" i="73" s="1"/>
  <c r="M3548" i="73" s="1"/>
  <c r="L2888" i="73"/>
  <c r="M2888" i="73" s="1"/>
  <c r="M2887" i="73" s="1"/>
  <c r="L2759" i="73"/>
  <c r="M2759" i="73" s="1"/>
  <c r="M2758" i="73" s="1"/>
  <c r="L2743" i="73"/>
  <c r="M2743" i="73" s="1"/>
  <c r="M2742" i="73" s="1"/>
  <c r="L2117" i="73"/>
  <c r="M2117" i="73" s="1"/>
  <c r="L2089" i="73"/>
  <c r="M2089" i="73" s="1"/>
  <c r="M2088" i="73" s="1"/>
  <c r="L1992" i="73"/>
  <c r="M1992" i="73" s="1"/>
  <c r="L1833" i="73"/>
  <c r="M1833" i="73" s="1"/>
  <c r="L1729" i="73"/>
  <c r="M1729" i="73" s="1"/>
  <c r="M1728" i="73" s="1"/>
  <c r="L1631" i="73"/>
  <c r="M1631" i="73" s="1"/>
  <c r="M1630" i="73" s="1"/>
  <c r="L1350" i="73"/>
  <c r="M1350" i="73" s="1"/>
  <c r="M1349" i="73" s="1"/>
  <c r="L4162" i="73"/>
  <c r="M4162" i="73" s="1"/>
  <c r="M4161" i="73" s="1"/>
  <c r="L4008" i="73"/>
  <c r="M4008" i="73" s="1"/>
  <c r="L3592" i="73"/>
  <c r="M3592" i="73" s="1"/>
  <c r="M3591" i="73" s="1"/>
  <c r="L3563" i="73"/>
  <c r="M3563" i="73" s="1"/>
  <c r="M3562" i="73" s="1"/>
  <c r="L2901" i="73"/>
  <c r="M2901" i="73" s="1"/>
  <c r="M2900" i="73" s="1"/>
  <c r="L2761" i="73"/>
  <c r="M2761" i="73" s="1"/>
  <c r="M2760" i="73" s="1"/>
  <c r="L2498" i="73"/>
  <c r="M2498" i="73" s="1"/>
  <c r="L2963" i="73"/>
  <c r="M2963" i="73" s="1"/>
  <c r="L2301" i="73"/>
  <c r="M2301" i="73" s="1"/>
  <c r="L2227" i="73"/>
  <c r="M2227" i="73" s="1"/>
  <c r="M2226" i="73" s="1"/>
  <c r="L2099" i="73"/>
  <c r="M2099" i="73" s="1"/>
  <c r="M2098" i="73" s="1"/>
  <c r="L2083" i="73"/>
  <c r="M2083" i="73" s="1"/>
  <c r="M2082" i="73" s="1"/>
  <c r="L2346" i="73"/>
  <c r="M2346" i="73" s="1"/>
  <c r="M2345" i="73" s="1"/>
  <c r="L1648" i="73"/>
  <c r="M1648" i="73" s="1"/>
  <c r="L1339" i="73"/>
  <c r="M1339" i="73" s="1"/>
  <c r="L4393" i="73"/>
  <c r="M4393" i="73" s="1"/>
  <c r="L4164" i="73"/>
  <c r="M4164" i="73" s="1"/>
  <c r="M4163" i="73" s="1"/>
  <c r="L3985" i="73"/>
  <c r="M3985" i="73" s="1"/>
  <c r="L3594" i="73"/>
  <c r="M3594" i="73" s="1"/>
  <c r="M3593" i="73" s="1"/>
  <c r="L3160" i="73"/>
  <c r="M3160" i="73" s="1"/>
  <c r="L3044" i="73"/>
  <c r="M3044" i="73" s="1"/>
  <c r="M3043" i="73" s="1"/>
  <c r="L3533" i="73"/>
  <c r="M3533" i="73" s="1"/>
  <c r="M3532" i="73" s="1"/>
  <c r="L2746" i="73"/>
  <c r="M2746" i="73" s="1"/>
  <c r="L2966" i="73"/>
  <c r="M2966" i="73" s="1"/>
  <c r="M2965" i="73" s="1"/>
  <c r="L2240" i="73"/>
  <c r="M2240" i="73" s="1"/>
  <c r="M2239" i="73" s="1"/>
  <c r="L2101" i="73"/>
  <c r="M2101" i="73" s="1"/>
  <c r="M2100" i="73" s="1"/>
  <c r="L1854" i="73"/>
  <c r="M1854" i="73" s="1"/>
  <c r="L2382" i="73"/>
  <c r="M2382" i="73" s="1"/>
  <c r="M2381" i="73" s="1"/>
  <c r="L1651" i="73"/>
  <c r="M1651" i="73" s="1"/>
  <c r="M1650" i="73" s="1"/>
  <c r="L1634" i="73"/>
  <c r="M1634" i="73" s="1"/>
  <c r="L1372" i="73"/>
  <c r="M1372" i="73" s="1"/>
  <c r="L1352" i="73"/>
  <c r="M1352" i="73" s="1"/>
  <c r="M1351" i="73" s="1"/>
  <c r="L4021" i="73"/>
  <c r="M4021" i="73" s="1"/>
  <c r="L2477" i="73"/>
  <c r="M2477" i="73" s="1"/>
  <c r="L4176" i="73"/>
  <c r="M4176" i="73" s="1"/>
  <c r="M4175" i="73" s="1"/>
  <c r="L4146" i="73"/>
  <c r="M4146" i="73" s="1"/>
  <c r="M4145" i="73" s="1"/>
  <c r="L2777" i="73"/>
  <c r="M2777" i="73" s="1"/>
  <c r="L2652" i="73"/>
  <c r="M2652" i="73" s="1"/>
  <c r="L2304" i="73"/>
  <c r="M2304" i="73" s="1"/>
  <c r="M2303" i="73" s="1"/>
  <c r="L1637" i="73"/>
  <c r="M1637" i="73" s="1"/>
  <c r="M1636" i="73" s="1"/>
  <c r="L1476" i="73"/>
  <c r="M1476" i="73" s="1"/>
  <c r="M1475" i="73" s="1"/>
  <c r="L3551" i="73"/>
  <c r="M3551" i="73" s="1"/>
  <c r="M3550" i="73" s="1"/>
  <c r="L3535" i="73"/>
  <c r="M3535" i="73" s="1"/>
  <c r="M3534" i="73" s="1"/>
  <c r="L3008" i="73"/>
  <c r="M3008" i="73" s="1"/>
  <c r="M3007" i="73" s="1"/>
  <c r="L2086" i="73"/>
  <c r="M2086" i="73" s="1"/>
  <c r="L4321" i="73"/>
  <c r="M4321" i="73" s="1"/>
  <c r="M4320" i="73" s="1"/>
  <c r="L4332" i="73"/>
  <c r="M4332" i="73" s="1"/>
  <c r="M4331" i="73" s="1"/>
  <c r="L3857" i="73"/>
  <c r="M3857" i="73" s="1"/>
  <c r="M3856" i="73" s="1"/>
  <c r="L2825" i="73"/>
  <c r="M2825" i="73" s="1"/>
  <c r="L2165" i="73"/>
  <c r="M2165" i="73" s="1"/>
  <c r="L2884" i="73"/>
  <c r="M2884" i="73" s="1"/>
  <c r="M2883" i="73" s="1"/>
  <c r="L2223" i="73"/>
  <c r="M2223" i="73" s="1"/>
  <c r="M2222" i="73" s="1"/>
  <c r="L1416" i="73"/>
  <c r="M1416" i="73" s="1"/>
  <c r="L2897" i="73"/>
  <c r="M2897" i="73" s="1"/>
  <c r="M2896" i="73" s="1"/>
  <c r="L2236" i="73"/>
  <c r="M2236" i="73" s="1"/>
  <c r="M2235" i="73" s="1"/>
  <c r="L1481" i="73"/>
  <c r="M1481" i="73" s="1"/>
  <c r="M1480" i="73" s="1"/>
  <c r="L1470" i="73"/>
  <c r="M1470" i="73" s="1"/>
  <c r="M1469" i="73" s="1"/>
  <c r="L3855" i="73"/>
  <c r="M3855" i="73" s="1"/>
  <c r="M3854" i="73" s="1"/>
  <c r="L3104" i="73"/>
  <c r="M3104" i="73" s="1"/>
  <c r="M3103" i="73" s="1"/>
  <c r="L2440" i="73"/>
  <c r="M2440" i="73" s="1"/>
  <c r="M2439" i="73" s="1"/>
  <c r="L1789" i="73"/>
  <c r="M1789" i="73" s="1"/>
  <c r="M1788" i="73" s="1"/>
  <c r="L996" i="73"/>
  <c r="M996" i="73" s="1"/>
  <c r="M995" i="73" s="1"/>
  <c r="L3128" i="73"/>
  <c r="M3128" i="73" s="1"/>
  <c r="M3127" i="73" s="1"/>
  <c r="L2442" i="73"/>
  <c r="M2442" i="73" s="1"/>
  <c r="M2441" i="73" s="1"/>
  <c r="L1813" i="73"/>
  <c r="M1813" i="73" s="1"/>
  <c r="M1812" i="73" s="1"/>
  <c r="L1004" i="73"/>
  <c r="M1004" i="73" s="1"/>
  <c r="M1003" i="73" s="1"/>
  <c r="L4460" i="73"/>
  <c r="M4460" i="73" s="1"/>
  <c r="M4459" i="73" s="1"/>
  <c r="L3100" i="73"/>
  <c r="M3100" i="73" s="1"/>
  <c r="M3099" i="73" s="1"/>
  <c r="L2466" i="73"/>
  <c r="M2466" i="73" s="1"/>
  <c r="M2465" i="73" s="1"/>
  <c r="L1785" i="73"/>
  <c r="M1785" i="73" s="1"/>
  <c r="M1784" i="73" s="1"/>
  <c r="L1787" i="73"/>
  <c r="M1787" i="73" s="1"/>
  <c r="M1786" i="73" s="1"/>
  <c r="L2438" i="73"/>
  <c r="M2438" i="73" s="1"/>
  <c r="M2437" i="73" s="1"/>
  <c r="L4472" i="73"/>
  <c r="M4472" i="73" s="1"/>
  <c r="M4471" i="73" s="1"/>
  <c r="L4295" i="73"/>
  <c r="M4295" i="73" s="1"/>
  <c r="M4294" i="73" s="1"/>
  <c r="L4199" i="73"/>
  <c r="M4199" i="73" s="1"/>
  <c r="M4198" i="73" s="1"/>
  <c r="L4191" i="73"/>
  <c r="M4191" i="73" s="1"/>
  <c r="M4190" i="73" s="1"/>
  <c r="L4123" i="73"/>
  <c r="M4123" i="73" s="1"/>
  <c r="M4122" i="73" s="1"/>
  <c r="L4439" i="73"/>
  <c r="M4439" i="73" s="1"/>
  <c r="M4438" i="73" s="1"/>
  <c r="L3716" i="73"/>
  <c r="M3716" i="73" s="1"/>
  <c r="M3715" i="73" s="1"/>
  <c r="L3697" i="73"/>
  <c r="M3697" i="73" s="1"/>
  <c r="M3696" i="73" s="1"/>
  <c r="L3689" i="73"/>
  <c r="M3689" i="73" s="1"/>
  <c r="M3688" i="73" s="1"/>
  <c r="L3681" i="73"/>
  <c r="M3681" i="73" s="1"/>
  <c r="M3680" i="73" s="1"/>
  <c r="L3673" i="73"/>
  <c r="M3673" i="73" s="1"/>
  <c r="M3672" i="73" s="1"/>
  <c r="L3665" i="73"/>
  <c r="M3665" i="73" s="1"/>
  <c r="M3664" i="73" s="1"/>
  <c r="L3649" i="73"/>
  <c r="M3649" i="73" s="1"/>
  <c r="M3648" i="73" s="1"/>
  <c r="L3639" i="73"/>
  <c r="M3639" i="73" s="1"/>
  <c r="M3638" i="73" s="1"/>
  <c r="L3619" i="73"/>
  <c r="M3619" i="73" s="1"/>
  <c r="M3618" i="73" s="1"/>
  <c r="L3580" i="73"/>
  <c r="M3580" i="73" s="1"/>
  <c r="M3579" i="73" s="1"/>
  <c r="L3499" i="73"/>
  <c r="M3499" i="73" s="1"/>
  <c r="M3498" i="73" s="1"/>
  <c r="L3410" i="73"/>
  <c r="M3410" i="73" s="1"/>
  <c r="M3409" i="73" s="1"/>
  <c r="L4352" i="73"/>
  <c r="M4352" i="73" s="1"/>
  <c r="M4351" i="73" s="1"/>
  <c r="L4201" i="73"/>
  <c r="M4201" i="73" s="1"/>
  <c r="M4200" i="73" s="1"/>
  <c r="L4193" i="73"/>
  <c r="M4193" i="73" s="1"/>
  <c r="M4192" i="73" s="1"/>
  <c r="L4125" i="73"/>
  <c r="M4125" i="73" s="1"/>
  <c r="M4124" i="73" s="1"/>
  <c r="L4435" i="73"/>
  <c r="M4435" i="73" s="1"/>
  <c r="M4434" i="73" s="1"/>
  <c r="L4354" i="73"/>
  <c r="M4354" i="73" s="1"/>
  <c r="M4353" i="73" s="1"/>
  <c r="L4203" i="73"/>
  <c r="M4203" i="73" s="1"/>
  <c r="M4202" i="73" s="1"/>
  <c r="L4195" i="73"/>
  <c r="M4195" i="73" s="1"/>
  <c r="M4194" i="73" s="1"/>
  <c r="L4187" i="73"/>
  <c r="M4187" i="73" s="1"/>
  <c r="M4186" i="73" s="1"/>
  <c r="L4437" i="73"/>
  <c r="M4437" i="73" s="1"/>
  <c r="M4436" i="73" s="1"/>
  <c r="L3982" i="73"/>
  <c r="M3982" i="73" s="1"/>
  <c r="M3981" i="73" s="1"/>
  <c r="L3701" i="73"/>
  <c r="M3701" i="73" s="1"/>
  <c r="M3700" i="73" s="1"/>
  <c r="L3693" i="73"/>
  <c r="M3693" i="73" s="1"/>
  <c r="M3692" i="73" s="1"/>
  <c r="L3685" i="73"/>
  <c r="M3685" i="73" s="1"/>
  <c r="M3684" i="73" s="1"/>
  <c r="L3677" i="73"/>
  <c r="M3677" i="73" s="1"/>
  <c r="M3676" i="73" s="1"/>
  <c r="L3669" i="73"/>
  <c r="M3669" i="73" s="1"/>
  <c r="M3668" i="73" s="1"/>
  <c r="L3653" i="73"/>
  <c r="M3653" i="73" s="1"/>
  <c r="M3652" i="73" s="1"/>
  <c r="L3645" i="73"/>
  <c r="M3645" i="73" s="1"/>
  <c r="M3644" i="73" s="1"/>
  <c r="L3623" i="73"/>
  <c r="M3623" i="73" s="1"/>
  <c r="M3622" i="73" s="1"/>
  <c r="L3584" i="73"/>
  <c r="M3584" i="73" s="1"/>
  <c r="M3583" i="73" s="1"/>
  <c r="L3523" i="73"/>
  <c r="M3523" i="73" s="1"/>
  <c r="M3522" i="73" s="1"/>
  <c r="L3457" i="73"/>
  <c r="M3457" i="73" s="1"/>
  <c r="M3456" i="73" s="1"/>
  <c r="L3394" i="73"/>
  <c r="M3394" i="73" s="1"/>
  <c r="M3393" i="73" s="1"/>
  <c r="L3315" i="73"/>
  <c r="M3315" i="73" s="1"/>
  <c r="M3314" i="73" s="1"/>
  <c r="L3096" i="73"/>
  <c r="M3096" i="73" s="1"/>
  <c r="M3095" i="73" s="1"/>
  <c r="L3451" i="73"/>
  <c r="M3451" i="73" s="1"/>
  <c r="M3450" i="73" s="1"/>
  <c r="L3354" i="73"/>
  <c r="M3354" i="73" s="1"/>
  <c r="M3353" i="73" s="1"/>
  <c r="L3576" i="73"/>
  <c r="M3576" i="73" s="1"/>
  <c r="M3575" i="73" s="1"/>
  <c r="L3489" i="73"/>
  <c r="M3489" i="73" s="1"/>
  <c r="M3488" i="73" s="1"/>
  <c r="L3400" i="73"/>
  <c r="M3400" i="73" s="1"/>
  <c r="M3399" i="73" s="1"/>
  <c r="L3321" i="73"/>
  <c r="M3321" i="73" s="1"/>
  <c r="M3320" i="73" s="1"/>
  <c r="L3406" i="73"/>
  <c r="M3406" i="73" s="1"/>
  <c r="M3405" i="73" s="1"/>
  <c r="L3414" i="73"/>
  <c r="M3414" i="73" s="1"/>
  <c r="M3413" i="73" s="1"/>
  <c r="L4293" i="73"/>
  <c r="M4293" i="73" s="1"/>
  <c r="M4292" i="73" s="1"/>
  <c r="L4097" i="73"/>
  <c r="M4097" i="73" s="1"/>
  <c r="M4096" i="73" s="1"/>
  <c r="L3699" i="73"/>
  <c r="M3699" i="73" s="1"/>
  <c r="M3698" i="73" s="1"/>
  <c r="L3683" i="73"/>
  <c r="M3683" i="73" s="1"/>
  <c r="M3682" i="73" s="1"/>
  <c r="L3667" i="73"/>
  <c r="M3667" i="73" s="1"/>
  <c r="M3666" i="73" s="1"/>
  <c r="L3643" i="73"/>
  <c r="M3643" i="73" s="1"/>
  <c r="M3642" i="73" s="1"/>
  <c r="L3582" i="73"/>
  <c r="M3582" i="73" s="1"/>
  <c r="M3581" i="73" s="1"/>
  <c r="L3449" i="73"/>
  <c r="M3449" i="73" s="1"/>
  <c r="M3448" i="73" s="1"/>
  <c r="L3365" i="73"/>
  <c r="M3365" i="73" s="1"/>
  <c r="M3364" i="73" s="1"/>
  <c r="L3344" i="73"/>
  <c r="M3344" i="73" s="1"/>
  <c r="M3343" i="73" s="1"/>
  <c r="L3493" i="73"/>
  <c r="M3493" i="73" s="1"/>
  <c r="M3492" i="73" s="1"/>
  <c r="L3346" i="73"/>
  <c r="M3346" i="73" s="1"/>
  <c r="M3345" i="73" s="1"/>
  <c r="L3309" i="73"/>
  <c r="M3309" i="73" s="1"/>
  <c r="M3308" i="73" s="1"/>
  <c r="L3447" i="73"/>
  <c r="M3447" i="73" s="1"/>
  <c r="M3446" i="73" s="1"/>
  <c r="L3313" i="73"/>
  <c r="M3313" i="73" s="1"/>
  <c r="M3312" i="73" s="1"/>
  <c r="L3519" i="73"/>
  <c r="M3519" i="73" s="1"/>
  <c r="M3518" i="73" s="1"/>
  <c r="L3311" i="73"/>
  <c r="M3311" i="73" s="1"/>
  <c r="M3310" i="73" s="1"/>
  <c r="L3398" i="73"/>
  <c r="M3398" i="73" s="1"/>
  <c r="M3397" i="73" s="1"/>
  <c r="L2483" i="73"/>
  <c r="M2483" i="73" s="1"/>
  <c r="M2482" i="73" s="1"/>
  <c r="L3574" i="73"/>
  <c r="M3574" i="73" s="1"/>
  <c r="M3573" i="73" s="1"/>
  <c r="L1783" i="73"/>
  <c r="M1783" i="73" s="1"/>
  <c r="M1782" i="73" s="1"/>
  <c r="L934" i="73"/>
  <c r="M934" i="73" s="1"/>
  <c r="M933" i="73" s="1"/>
  <c r="L908" i="73"/>
  <c r="M908" i="73" s="1"/>
  <c r="M907" i="73" s="1"/>
  <c r="L875" i="73"/>
  <c r="M875" i="73" s="1"/>
  <c r="M874" i="73" s="1"/>
  <c r="L815" i="73"/>
  <c r="M815" i="73" s="1"/>
  <c r="M814" i="73" s="1"/>
  <c r="L787" i="73"/>
  <c r="M787" i="73" s="1"/>
  <c r="M786" i="73" s="1"/>
  <c r="L754" i="73"/>
  <c r="M754" i="73" s="1"/>
  <c r="M753" i="73" s="1"/>
  <c r="L1088" i="73"/>
  <c r="M1088" i="73" s="1"/>
  <c r="M1087" i="73" s="1"/>
  <c r="L986" i="73"/>
  <c r="M986" i="73" s="1"/>
  <c r="M985" i="73" s="1"/>
  <c r="L978" i="73"/>
  <c r="M978" i="73" s="1"/>
  <c r="M977" i="73" s="1"/>
  <c r="L680" i="73"/>
  <c r="M680" i="73" s="1"/>
  <c r="M679" i="73" s="1"/>
  <c r="L664" i="73"/>
  <c r="M664" i="73" s="1"/>
  <c r="M663" i="73" s="1"/>
  <c r="L654" i="73"/>
  <c r="M654" i="73" s="1"/>
  <c r="M653" i="73" s="1"/>
  <c r="L565" i="73"/>
  <c r="M565" i="73" s="1"/>
  <c r="M564" i="73" s="1"/>
  <c r="L4356" i="73"/>
  <c r="M4356" i="73" s="1"/>
  <c r="M4355" i="73" s="1"/>
  <c r="L4121" i="73"/>
  <c r="M4121" i="73" s="1"/>
  <c r="M4120" i="73" s="1"/>
  <c r="L3703" i="73"/>
  <c r="M3703" i="73" s="1"/>
  <c r="M3702" i="73" s="1"/>
  <c r="L3687" i="73"/>
  <c r="M3687" i="73" s="1"/>
  <c r="M3686" i="73" s="1"/>
  <c r="L3671" i="73"/>
  <c r="M3671" i="73" s="1"/>
  <c r="M3670" i="73" s="1"/>
  <c r="L3647" i="73"/>
  <c r="M3647" i="73" s="1"/>
  <c r="M3646" i="73" s="1"/>
  <c r="L3586" i="73"/>
  <c r="M3586" i="73" s="1"/>
  <c r="M3585" i="73" s="1"/>
  <c r="L3491" i="73"/>
  <c r="M3491" i="73" s="1"/>
  <c r="M3490" i="73" s="1"/>
  <c r="L3307" i="73"/>
  <c r="M3307" i="73" s="1"/>
  <c r="M3306" i="73" s="1"/>
  <c r="L3098" i="73"/>
  <c r="M3098" i="73" s="1"/>
  <c r="M3097" i="73" s="1"/>
  <c r="L3396" i="73"/>
  <c r="M3396" i="73" s="1"/>
  <c r="M3395" i="73" s="1"/>
  <c r="L3521" i="73"/>
  <c r="M3521" i="73" s="1"/>
  <c r="M3520" i="73" s="1"/>
  <c r="L3497" i="73"/>
  <c r="M3497" i="73" s="1"/>
  <c r="M3496" i="73" s="1"/>
  <c r="L3380" i="73"/>
  <c r="M3380" i="73" s="1"/>
  <c r="M3379" i="73" s="1"/>
  <c r="L3348" i="73"/>
  <c r="M3348" i="73" s="1"/>
  <c r="M3347" i="73" s="1"/>
  <c r="L3495" i="73"/>
  <c r="M3495" i="73" s="1"/>
  <c r="M3494" i="73" s="1"/>
  <c r="L3453" i="73"/>
  <c r="M3453" i="73" s="1"/>
  <c r="M3452" i="73" s="1"/>
  <c r="L3319" i="73"/>
  <c r="M3319" i="73" s="1"/>
  <c r="M3318" i="73" s="1"/>
  <c r="L2434" i="73"/>
  <c r="M2434" i="73" s="1"/>
  <c r="M2433" i="73" s="1"/>
  <c r="L1839" i="73"/>
  <c r="M1839" i="73" s="1"/>
  <c r="M1838" i="73" s="1"/>
  <c r="L936" i="73"/>
  <c r="M936" i="73" s="1"/>
  <c r="M935" i="73" s="1"/>
  <c r="L922" i="73"/>
  <c r="M922" i="73" s="1"/>
  <c r="M921" i="73" s="1"/>
  <c r="L894" i="73"/>
  <c r="M894" i="73" s="1"/>
  <c r="M893" i="73" s="1"/>
  <c r="L817" i="73"/>
  <c r="M817" i="73" s="1"/>
  <c r="M816" i="73" s="1"/>
  <c r="L793" i="73"/>
  <c r="M793" i="73" s="1"/>
  <c r="M792" i="73" s="1"/>
  <c r="L773" i="73"/>
  <c r="M773" i="73" s="1"/>
  <c r="M772" i="73" s="1"/>
  <c r="L1090" i="73"/>
  <c r="M1090" i="73" s="1"/>
  <c r="M1089" i="73" s="1"/>
  <c r="L992" i="73"/>
  <c r="M992" i="73" s="1"/>
  <c r="M991" i="73" s="1"/>
  <c r="L980" i="73"/>
  <c r="M980" i="73" s="1"/>
  <c r="M979" i="73" s="1"/>
  <c r="L700" i="73"/>
  <c r="M700" i="73" s="1"/>
  <c r="M699" i="73" s="1"/>
  <c r="L674" i="73"/>
  <c r="M674" i="73" s="1"/>
  <c r="M673" i="73" s="1"/>
  <c r="L658" i="73"/>
  <c r="M658" i="73" s="1"/>
  <c r="M657" i="73" s="1"/>
  <c r="L618" i="73"/>
  <c r="M618" i="73" s="1"/>
  <c r="M617" i="73" s="1"/>
  <c r="L4189" i="73"/>
  <c r="M4189" i="73" s="1"/>
  <c r="M4188" i="73" s="1"/>
  <c r="L3980" i="73"/>
  <c r="M3980" i="73" s="1"/>
  <c r="M3979" i="73" s="1"/>
  <c r="L3691" i="73"/>
  <c r="M3691" i="73" s="1"/>
  <c r="M3690" i="73" s="1"/>
  <c r="L3675" i="73"/>
  <c r="M3675" i="73" s="1"/>
  <c r="M3674" i="73" s="1"/>
  <c r="L3651" i="73"/>
  <c r="M3651" i="73" s="1"/>
  <c r="M3650" i="73" s="1"/>
  <c r="L3621" i="73"/>
  <c r="M3621" i="73" s="1"/>
  <c r="M3620" i="73" s="1"/>
  <c r="L3507" i="73"/>
  <c r="M3507" i="73" s="1"/>
  <c r="M3506" i="73" s="1"/>
  <c r="L3352" i="73"/>
  <c r="M3352" i="73" s="1"/>
  <c r="M3351" i="73" s="1"/>
  <c r="L3501" i="73"/>
  <c r="M3501" i="73" s="1"/>
  <c r="M3500" i="73" s="1"/>
  <c r="L3481" i="73"/>
  <c r="M3481" i="73" s="1"/>
  <c r="M3480" i="73" s="1"/>
  <c r="L3317" i="73"/>
  <c r="M3317" i="73" s="1"/>
  <c r="M3316" i="73" s="1"/>
  <c r="L3455" i="73"/>
  <c r="M3455" i="73" s="1"/>
  <c r="M3454" i="73" s="1"/>
  <c r="L3424" i="73"/>
  <c r="M3424" i="73" s="1"/>
  <c r="M3423" i="73" s="1"/>
  <c r="L3305" i="73"/>
  <c r="M3305" i="73" s="1"/>
  <c r="M3304" i="73" s="1"/>
  <c r="L3356" i="73"/>
  <c r="M3356" i="73" s="1"/>
  <c r="M3355" i="73" s="1"/>
  <c r="L3511" i="73"/>
  <c r="M3511" i="73" s="1"/>
  <c r="M3510" i="73" s="1"/>
  <c r="L3390" i="73"/>
  <c r="M3390" i="73" s="1"/>
  <c r="M3389" i="73" s="1"/>
  <c r="L2436" i="73"/>
  <c r="M2436" i="73" s="1"/>
  <c r="M2435" i="73" s="1"/>
  <c r="L3503" i="73"/>
  <c r="M3503" i="73" s="1"/>
  <c r="M3502" i="73" s="1"/>
  <c r="L1257" i="73"/>
  <c r="M1257" i="73" s="1"/>
  <c r="M1256" i="73" s="1"/>
  <c r="L924" i="73"/>
  <c r="M924" i="73" s="1"/>
  <c r="M923" i="73" s="1"/>
  <c r="L898" i="73"/>
  <c r="M898" i="73" s="1"/>
  <c r="M897" i="73" s="1"/>
  <c r="L1259" i="73"/>
  <c r="M1259" i="73" s="1"/>
  <c r="M1258" i="73" s="1"/>
  <c r="L801" i="73"/>
  <c r="M801" i="73" s="1"/>
  <c r="M800" i="73" s="1"/>
  <c r="L777" i="73"/>
  <c r="M777" i="73" s="1"/>
  <c r="M776" i="73" s="1"/>
  <c r="L1249" i="73"/>
  <c r="M1249" i="73" s="1"/>
  <c r="M1248" i="73" s="1"/>
  <c r="L1010" i="73"/>
  <c r="M1010" i="73" s="1"/>
  <c r="M1009" i="73" s="1"/>
  <c r="L982" i="73"/>
  <c r="M982" i="73" s="1"/>
  <c r="M981" i="73" s="1"/>
  <c r="L974" i="73"/>
  <c r="M974" i="73" s="1"/>
  <c r="M973" i="73" s="1"/>
  <c r="L676" i="73"/>
  <c r="M676" i="73" s="1"/>
  <c r="M675" i="73" s="1"/>
  <c r="L660" i="73"/>
  <c r="M660" i="73" s="1"/>
  <c r="M659" i="73" s="1"/>
  <c r="L325" i="73"/>
  <c r="M325" i="73" s="1"/>
  <c r="M324" i="73" s="1"/>
  <c r="L239" i="73"/>
  <c r="M239" i="73" s="1"/>
  <c r="M238" i="73" s="1"/>
  <c r="L1973" i="73"/>
  <c r="M1973" i="73" s="1"/>
  <c r="M1972" i="73" s="1"/>
  <c r="L2633" i="73"/>
  <c r="M2633" i="73" s="1"/>
  <c r="M2632" i="73" s="1"/>
  <c r="L3287" i="73"/>
  <c r="M3287" i="73" s="1"/>
  <c r="M3286" i="73" s="1"/>
  <c r="L160" i="73"/>
  <c r="M160" i="73" s="1"/>
  <c r="M159" i="73" s="1"/>
  <c r="L2252" i="73"/>
  <c r="M2252" i="73" s="1"/>
  <c r="M2251" i="73" s="1"/>
  <c r="L1269" i="73"/>
  <c r="M1269" i="73" s="1"/>
  <c r="M1268" i="73" s="1"/>
  <c r="L2913" i="73"/>
  <c r="M2913" i="73" s="1"/>
  <c r="M2912" i="73" s="1"/>
  <c r="L457" i="73"/>
  <c r="M457" i="73" s="1"/>
  <c r="M456" i="73" s="1"/>
  <c r="L2259" i="73"/>
  <c r="M2259" i="73" s="1"/>
  <c r="M2258" i="73" s="1"/>
  <c r="L1502" i="73"/>
  <c r="M1502" i="73" s="1"/>
  <c r="M1501" i="73" s="1"/>
  <c r="L2920" i="73"/>
  <c r="M2920" i="73" s="1"/>
  <c r="M2919" i="73" s="1"/>
  <c r="L1509" i="73"/>
  <c r="M1509" i="73" s="1"/>
  <c r="M1508" i="73" s="1"/>
  <c r="L4150" i="73"/>
  <c r="M4150" i="73" s="1"/>
  <c r="M4149" i="73" s="1"/>
  <c r="L3537" i="73"/>
  <c r="M3537" i="73" s="1"/>
  <c r="M3536" i="73" s="1"/>
  <c r="L4174" i="73"/>
  <c r="M4174" i="73" s="1"/>
  <c r="M4173" i="73" s="1"/>
  <c r="L3596" i="73"/>
  <c r="M3596" i="73" s="1"/>
  <c r="M3595" i="73" s="1"/>
  <c r="L3606" i="73"/>
  <c r="M3606" i="73" s="1"/>
  <c r="M3605" i="73" s="1"/>
  <c r="L3547" i="73"/>
  <c r="M3547" i="73" s="1"/>
  <c r="M3546" i="73" s="1"/>
  <c r="L3561" i="73"/>
  <c r="M3561" i="73" s="1"/>
  <c r="M3560" i="73" s="1"/>
  <c r="L4160" i="73"/>
  <c r="M4160" i="73" s="1"/>
  <c r="M4159" i="73" s="1"/>
  <c r="L4225" i="73"/>
  <c r="M4225" i="73" s="1"/>
  <c r="M4224" i="73" s="1"/>
  <c r="L3263" i="73"/>
  <c r="M3263" i="73" s="1"/>
  <c r="M3262" i="73" s="1"/>
  <c r="L3234" i="73"/>
  <c r="M3234" i="73" s="1"/>
  <c r="M3233" i="73" s="1"/>
  <c r="L2611" i="73"/>
  <c r="M2611" i="73" s="1"/>
  <c r="M2610" i="73" s="1"/>
  <c r="L2601" i="73"/>
  <c r="M2601" i="73" s="1"/>
  <c r="M2600" i="73" s="1"/>
  <c r="L1946" i="73"/>
  <c r="M1946" i="73" s="1"/>
  <c r="M1945" i="73" s="1"/>
  <c r="L1896" i="73"/>
  <c r="M1896" i="73" s="1"/>
  <c r="M1895" i="73" s="1"/>
  <c r="L1886" i="73"/>
  <c r="M1886" i="73" s="1"/>
  <c r="M1885" i="73" s="1"/>
  <c r="L4249" i="73"/>
  <c r="M4249" i="73" s="1"/>
  <c r="M4248" i="73" s="1"/>
  <c r="L3265" i="73"/>
  <c r="M3265" i="73" s="1"/>
  <c r="M3264" i="73" s="1"/>
  <c r="L3255" i="73"/>
  <c r="M3255" i="73" s="1"/>
  <c r="M3254" i="73" s="1"/>
  <c r="L2613" i="73"/>
  <c r="M2613" i="73" s="1"/>
  <c r="M2612" i="73" s="1"/>
  <c r="L2605" i="73"/>
  <c r="M2605" i="73" s="1"/>
  <c r="M2604" i="73" s="1"/>
  <c r="L2576" i="73"/>
  <c r="M2576" i="73" s="1"/>
  <c r="M2575" i="73" s="1"/>
  <c r="L1898" i="73"/>
  <c r="M1898" i="73" s="1"/>
  <c r="M1897" i="73" s="1"/>
  <c r="L1888" i="73"/>
  <c r="M1888" i="73" s="1"/>
  <c r="M1887" i="73" s="1"/>
  <c r="L3267" i="73"/>
  <c r="M3267" i="73" s="1"/>
  <c r="M3266" i="73" s="1"/>
  <c r="L3259" i="73"/>
  <c r="M3259" i="73" s="1"/>
  <c r="M3258" i="73" s="1"/>
  <c r="L3230" i="73"/>
  <c r="M3230" i="73" s="1"/>
  <c r="M3229" i="73" s="1"/>
  <c r="L2607" i="73"/>
  <c r="M2607" i="73" s="1"/>
  <c r="M2606" i="73" s="1"/>
  <c r="L2578" i="73"/>
  <c r="M2578" i="73" s="1"/>
  <c r="M2577" i="73" s="1"/>
  <c r="L1942" i="73"/>
  <c r="M1942" i="73" s="1"/>
  <c r="M1941" i="73" s="1"/>
  <c r="L1892" i="73"/>
  <c r="M1892" i="73" s="1"/>
  <c r="M1891" i="73" s="1"/>
  <c r="L2609" i="73"/>
  <c r="M2609" i="73" s="1"/>
  <c r="M2608" i="73" s="1"/>
  <c r="L1884" i="73"/>
  <c r="M1884" i="73" s="1"/>
  <c r="M1883" i="73" s="1"/>
  <c r="L3232" i="73"/>
  <c r="M3232" i="73" s="1"/>
  <c r="M3231" i="73" s="1"/>
  <c r="L1894" i="73"/>
  <c r="M1894" i="73" s="1"/>
  <c r="M1893" i="73" s="1"/>
  <c r="L3261" i="73"/>
  <c r="M3261" i="73" s="1"/>
  <c r="M3260" i="73" s="1"/>
  <c r="L1944" i="73"/>
  <c r="M1944" i="73" s="1"/>
  <c r="M1943" i="73" s="1"/>
  <c r="L2580" i="73"/>
  <c r="M2580" i="73" s="1"/>
  <c r="M2579" i="73" s="1"/>
  <c r="L4213" i="73"/>
  <c r="M4213" i="73" s="1"/>
  <c r="M4212" i="73" s="1"/>
  <c r="L2384" i="73"/>
  <c r="M2384" i="73" s="1"/>
  <c r="M2383" i="73" s="1"/>
  <c r="L3010" i="73"/>
  <c r="M3010" i="73" s="1"/>
  <c r="M3009" i="73" s="1"/>
  <c r="L1695" i="73"/>
  <c r="M1695" i="73" s="1"/>
  <c r="M1694" i="73" s="1"/>
  <c r="L3046" i="73"/>
  <c r="M3046" i="73" s="1"/>
  <c r="M3045" i="73" s="1"/>
  <c r="L1731" i="73"/>
  <c r="M1731" i="73" s="1"/>
  <c r="M1730" i="73" s="1"/>
  <c r="L2348" i="73"/>
  <c r="M2348" i="73" s="1"/>
  <c r="M2347" i="73" s="1"/>
  <c r="L4686" i="73"/>
  <c r="M4686" i="73" s="1"/>
  <c r="L4659" i="73"/>
  <c r="M4659" i="73" s="1"/>
  <c r="L4673" i="73"/>
  <c r="M4673" i="73" s="1"/>
  <c r="L5001" i="73"/>
  <c r="M5001" i="73" s="1"/>
  <c r="L4808" i="73"/>
  <c r="M4808" i="73" s="1"/>
  <c r="L4838" i="73"/>
  <c r="M4838" i="73" s="1"/>
  <c r="L4910" i="73"/>
  <c r="M4910" i="73" s="1"/>
  <c r="L4964" i="73"/>
  <c r="M4964" i="73" s="1"/>
  <c r="L5014" i="73"/>
  <c r="M5014" i="73" s="1"/>
  <c r="L4753" i="73"/>
  <c r="M4753" i="73" s="1"/>
  <c r="L5016" i="73"/>
  <c r="M5016" i="73" s="1"/>
  <c r="L4966" i="73"/>
  <c r="M4966" i="73" s="1"/>
  <c r="L1921" i="73"/>
  <c r="L1378" i="73"/>
  <c r="M1378" i="73" s="1"/>
  <c r="L2787" i="73"/>
  <c r="M2787" i="73" s="1"/>
  <c r="L522" i="73"/>
  <c r="M522" i="73" s="1"/>
  <c r="L4747" i="73"/>
  <c r="M4747" i="73" s="1"/>
  <c r="L4833" i="73"/>
  <c r="M4833" i="73" s="1"/>
  <c r="L5019" i="73"/>
  <c r="M5019" i="73" s="1"/>
  <c r="L4759" i="73"/>
  <c r="M4759" i="73" s="1"/>
  <c r="L4969" i="73"/>
  <c r="M4969" i="73" s="1"/>
  <c r="L4702" i="73"/>
  <c r="M4702" i="73" s="1"/>
  <c r="L4666" i="73"/>
  <c r="M4666" i="73" s="1"/>
  <c r="L4636" i="73"/>
  <c r="M4636" i="73" s="1"/>
  <c r="L4542" i="73"/>
  <c r="M4542" i="73" s="1"/>
  <c r="L4821" i="73"/>
  <c r="M4821" i="73" s="1"/>
  <c r="L4691" i="73"/>
  <c r="M4691" i="73" s="1"/>
  <c r="L4648" i="73"/>
  <c r="M4648" i="73" s="1"/>
  <c r="L4627" i="73"/>
  <c r="M4627" i="73" s="1"/>
  <c r="L4555" i="73"/>
  <c r="M4555" i="73" s="1"/>
  <c r="L5009" i="73"/>
  <c r="M5009" i="73" s="1"/>
  <c r="L4668" i="73"/>
  <c r="M4668" i="73" s="1"/>
  <c r="L4544" i="73"/>
  <c r="M4544" i="73" s="1"/>
  <c r="L4681" i="73"/>
  <c r="M4681" i="73" s="1"/>
  <c r="L4652" i="73"/>
  <c r="M4652" i="73" s="1"/>
  <c r="L4670" i="73"/>
  <c r="M4670" i="73" s="1"/>
  <c r="L2657" i="73"/>
  <c r="M2657" i="73" s="1"/>
  <c r="M2656" i="73" s="1"/>
  <c r="L738" i="73"/>
  <c r="M738" i="73" s="1"/>
  <c r="M737" i="73" s="1"/>
  <c r="L1344" i="73"/>
  <c r="M1344" i="73" s="1"/>
  <c r="M1343" i="73" s="1"/>
  <c r="L4580" i="73"/>
  <c r="M4580" i="73" s="1"/>
  <c r="L4572" i="73"/>
  <c r="M4572" i="73" s="1"/>
  <c r="L4565" i="73"/>
  <c r="M4565" i="73" s="1"/>
  <c r="L4906" i="73"/>
  <c r="M4906" i="73" s="1"/>
  <c r="L4831" i="73"/>
  <c r="M4831" i="73" s="1"/>
  <c r="L764" i="73"/>
  <c r="M764" i="73" s="1"/>
  <c r="L885" i="73"/>
  <c r="M885" i="73" s="1"/>
  <c r="L626" i="73"/>
  <c r="M626" i="73" s="1"/>
  <c r="L4694" i="73"/>
  <c r="M4694" i="73" s="1"/>
  <c r="L4682" i="73"/>
  <c r="M4682" i="73" s="1"/>
  <c r="L5010" i="73"/>
  <c r="M5010" i="73" s="1"/>
  <c r="L4960" i="73"/>
  <c r="M4960" i="73" s="1"/>
  <c r="L4905" i="73"/>
  <c r="M4905" i="73" s="1"/>
  <c r="L4829" i="73"/>
  <c r="M4829" i="73" s="1"/>
  <c r="L4388" i="73"/>
  <c r="M4388" i="73" s="1"/>
  <c r="L4326" i="73"/>
  <c r="M4326" i="73" s="1"/>
  <c r="L4167" i="73"/>
  <c r="M4167" i="73" s="1"/>
  <c r="L4153" i="73"/>
  <c r="M4153" i="73" s="1"/>
  <c r="L3777" i="73"/>
  <c r="M3777" i="73" s="1"/>
  <c r="L3802" i="73"/>
  <c r="M3802" i="73" s="1"/>
  <c r="L3752" i="73"/>
  <c r="M3752" i="73" s="1"/>
  <c r="L3613" i="73"/>
  <c r="M3613" i="73" s="1"/>
  <c r="L3477" i="73"/>
  <c r="M3477" i="73" s="1"/>
  <c r="L3297" i="73"/>
  <c r="M3297" i="73" s="1"/>
  <c r="L3568" i="73"/>
  <c r="M3568" i="73" s="1"/>
  <c r="L3540" i="73"/>
  <c r="M3540" i="73" s="1"/>
  <c r="L2643" i="73"/>
  <c r="M2643" i="73" s="1"/>
  <c r="L3376" i="73"/>
  <c r="M3376" i="73" s="1"/>
  <c r="L2078" i="73"/>
  <c r="M2078" i="73" s="1"/>
  <c r="L1977" i="73"/>
  <c r="M1977" i="73" s="1"/>
  <c r="L952" i="73"/>
  <c r="M952" i="73" s="1"/>
  <c r="L861" i="73"/>
  <c r="M861" i="73" s="1"/>
  <c r="L1308" i="73"/>
  <c r="M1308" i="73" s="1"/>
  <c r="L438" i="73"/>
  <c r="M438" i="73" s="1"/>
  <c r="L185" i="73"/>
  <c r="M185" i="73" s="1"/>
  <c r="L453" i="73"/>
  <c r="M453" i="73" s="1"/>
  <c r="L390" i="73"/>
  <c r="M390" i="73" s="1"/>
  <c r="L73" i="73"/>
  <c r="M73" i="73" s="1"/>
  <c r="L606" i="73"/>
  <c r="M606" i="73" s="1"/>
  <c r="L320" i="73"/>
  <c r="M320" i="73" s="1"/>
  <c r="L306" i="73"/>
  <c r="M306" i="73" s="1"/>
  <c r="L285" i="73"/>
  <c r="M285" i="73" s="1"/>
  <c r="L90" i="73"/>
  <c r="M90" i="73" s="1"/>
  <c r="L139" i="73"/>
  <c r="M139" i="73" s="1"/>
  <c r="L147" i="73"/>
  <c r="M147" i="73" s="1"/>
  <c r="L4417" i="73"/>
  <c r="M4417" i="73" s="1"/>
  <c r="L4382" i="73"/>
  <c r="M4382" i="73" s="1"/>
  <c r="L4181" i="73"/>
  <c r="M4181" i="73" s="1"/>
  <c r="L4430" i="73"/>
  <c r="M4430" i="73" s="1"/>
  <c r="L3827" i="73"/>
  <c r="M3827" i="73" s="1"/>
  <c r="L3847" i="73"/>
  <c r="M3847" i="73" s="1"/>
  <c r="L3842" i="73"/>
  <c r="M3842" i="73" s="1"/>
  <c r="L3727" i="73"/>
  <c r="M3727" i="73" s="1"/>
  <c r="L3599" i="73"/>
  <c r="M3599" i="73" s="1"/>
  <c r="L3384" i="73"/>
  <c r="M3384" i="73" s="1"/>
  <c r="L3291" i="73"/>
  <c r="M3291" i="73" s="1"/>
  <c r="L3554" i="73"/>
  <c r="M3554" i="73" s="1"/>
  <c r="L2738" i="73"/>
  <c r="M2738" i="73" s="1"/>
  <c r="L2637" i="73"/>
  <c r="M2637" i="73" s="1"/>
  <c r="L3485" i="73"/>
  <c r="M3485" i="73" s="1"/>
  <c r="L1983" i="73"/>
  <c r="M1983" i="73" s="1"/>
  <c r="L1606" i="73"/>
  <c r="M1606" i="73" s="1"/>
  <c r="L940" i="73"/>
  <c r="M940" i="73" s="1"/>
  <c r="L742" i="73"/>
  <c r="M742" i="73" s="1"/>
  <c r="L445" i="73"/>
  <c r="M445" i="73" s="1"/>
  <c r="L221" i="73"/>
  <c r="M221" i="73" s="1"/>
  <c r="L154" i="73"/>
  <c r="M154" i="73" s="1"/>
  <c r="L420" i="73"/>
  <c r="M420" i="73" s="1"/>
  <c r="L117" i="73"/>
  <c r="M117" i="73" s="1"/>
  <c r="L41" i="73"/>
  <c r="M41" i="73" s="1"/>
  <c r="L398" i="73"/>
  <c r="M398" i="73" s="1"/>
  <c r="L313" i="73"/>
  <c r="M313" i="73" s="1"/>
  <c r="L299" i="73"/>
  <c r="M299" i="73" s="1"/>
  <c r="L196" i="73"/>
  <c r="M196" i="73" s="1"/>
  <c r="L411" i="73"/>
  <c r="M411" i="73" s="1"/>
  <c r="L126" i="73"/>
  <c r="M126" i="73" s="1"/>
  <c r="L4756" i="73"/>
  <c r="M4756" i="73" s="1"/>
  <c r="L4965" i="73"/>
  <c r="M4965" i="73" s="1"/>
  <c r="L1659" i="73"/>
  <c r="M1659" i="73" s="1"/>
  <c r="L1773" i="73"/>
  <c r="M1773" i="73" s="1"/>
  <c r="L4616" i="73"/>
  <c r="M4616" i="73" s="1"/>
  <c r="L4602" i="73"/>
  <c r="M4602" i="73" s="1"/>
  <c r="L4588" i="73"/>
  <c r="M4588" i="73" s="1"/>
  <c r="L4609" i="73"/>
  <c r="M4609" i="73" s="1"/>
  <c r="L4595" i="73"/>
  <c r="M4595" i="73" s="1"/>
  <c r="L3088" i="73"/>
  <c r="M3088" i="73" s="1"/>
  <c r="L2970" i="73"/>
  <c r="M2970" i="73" s="1"/>
  <c r="L4443" i="73"/>
  <c r="M4443" i="73" s="1"/>
  <c r="L4374" i="73"/>
  <c r="M4374" i="73" s="1"/>
  <c r="L4347" i="73"/>
  <c r="M4347" i="73" s="1"/>
  <c r="L4309" i="73"/>
  <c r="M4309" i="73" s="1"/>
  <c r="L4273" i="73"/>
  <c r="M4273" i="73" s="1"/>
  <c r="L4219" i="73"/>
  <c r="M4219" i="73" s="1"/>
  <c r="L4105" i="73"/>
  <c r="M4105" i="73" s="1"/>
  <c r="L4083" i="73"/>
  <c r="M4083" i="73" s="1"/>
  <c r="L4052" i="73"/>
  <c r="M4052" i="73" s="1"/>
  <c r="L4038" i="73"/>
  <c r="M4038" i="73" s="1"/>
  <c r="L4013" i="73"/>
  <c r="M4013" i="73" s="1"/>
  <c r="L3974" i="73"/>
  <c r="M3974" i="73" s="1"/>
  <c r="L3807" i="73"/>
  <c r="M3807" i="73" s="1"/>
  <c r="L3771" i="73"/>
  <c r="M3771" i="73" s="1"/>
  <c r="L3782" i="73"/>
  <c r="M3782" i="73" s="1"/>
  <c r="L3832" i="73"/>
  <c r="M3832" i="73" s="1"/>
  <c r="L3746" i="73"/>
  <c r="M3746" i="73" s="1"/>
  <c r="L3283" i="73"/>
  <c r="M3283" i="73" s="1"/>
  <c r="L3161" i="73"/>
  <c r="M3161" i="73" s="1"/>
  <c r="L3149" i="73"/>
  <c r="M3149" i="73" s="1"/>
  <c r="L3132" i="73"/>
  <c r="M3132" i="73" s="1"/>
  <c r="L3108" i="73"/>
  <c r="M3108" i="73" s="1"/>
  <c r="L3079" i="73"/>
  <c r="M3079" i="73" s="1"/>
  <c r="L3018" i="73"/>
  <c r="M3018" i="73" s="1"/>
  <c r="L3369" i="73"/>
  <c r="M3369" i="73" s="1"/>
  <c r="L3360" i="73"/>
  <c r="M3360" i="73" s="1"/>
  <c r="L2842" i="73"/>
  <c r="M2842" i="73" s="1"/>
  <c r="L2820" i="73"/>
  <c r="M2820" i="73" s="1"/>
  <c r="L2793" i="73"/>
  <c r="M2793" i="73" s="1"/>
  <c r="L2753" i="73"/>
  <c r="M2753" i="73" s="1"/>
  <c r="L2629" i="73"/>
  <c r="M2629" i="73" s="1"/>
  <c r="L2507" i="73"/>
  <c r="M2507" i="73" s="1"/>
  <c r="L2493" i="73"/>
  <c r="M2493" i="73" s="1"/>
  <c r="L2982" i="73"/>
  <c r="M2982" i="73" s="1"/>
  <c r="L2946" i="73"/>
  <c r="M2946" i="73" s="1"/>
  <c r="L2925" i="73"/>
  <c r="M2925" i="73" s="1"/>
  <c r="L2451" i="73"/>
  <c r="M2451" i="73" s="1"/>
  <c r="L2430" i="73"/>
  <c r="M2430" i="73" s="1"/>
  <c r="L2392" i="73"/>
  <c r="M2392" i="73" s="1"/>
  <c r="L2320" i="73"/>
  <c r="M2320" i="73" s="1"/>
  <c r="L2264" i="73"/>
  <c r="M2264" i="73" s="1"/>
  <c r="L2182" i="73"/>
  <c r="M2182" i="73" s="1"/>
  <c r="L2160" i="73"/>
  <c r="M2160" i="73" s="1"/>
  <c r="L2133" i="73"/>
  <c r="M2133" i="73" s="1"/>
  <c r="L2093" i="73"/>
  <c r="M2093" i="73" s="1"/>
  <c r="L1969" i="73"/>
  <c r="M1969" i="73" s="1"/>
  <c r="L1849" i="73"/>
  <c r="M1849" i="73" s="1"/>
  <c r="L1834" i="73"/>
  <c r="M1834" i="73" s="1"/>
  <c r="L1817" i="73"/>
  <c r="M1817" i="73" s="1"/>
  <c r="L1793" i="73"/>
  <c r="M1793" i="73" s="1"/>
  <c r="L2478" i="73"/>
  <c r="M2478" i="73" s="1"/>
  <c r="L2275" i="73"/>
  <c r="M2275" i="73" s="1"/>
  <c r="L1739" i="73"/>
  <c r="M1739" i="73" s="1"/>
  <c r="L1667" i="73"/>
  <c r="M1667" i="73" s="1"/>
  <c r="L1626" i="73"/>
  <c r="M1626" i="73" s="1"/>
  <c r="L1525" i="73"/>
  <c r="M1525" i="73" s="1"/>
  <c r="L1433" i="73"/>
  <c r="M1433" i="73" s="1"/>
  <c r="L1160" i="73"/>
  <c r="M1160" i="73" s="1"/>
  <c r="L1417" i="73"/>
  <c r="M1417" i="73" s="1"/>
  <c r="L1263" i="73"/>
  <c r="M1263" i="73" s="1"/>
  <c r="L1132" i="73"/>
  <c r="M1132" i="73" s="1"/>
  <c r="L1108" i="73"/>
  <c r="M1108" i="73" s="1"/>
  <c r="L1078" i="73"/>
  <c r="M1078" i="73" s="1"/>
  <c r="L1066" i="73"/>
  <c r="M1066" i="73" s="1"/>
  <c r="L1027" i="73"/>
  <c r="M1027" i="73" s="1"/>
  <c r="L1384" i="73"/>
  <c r="M1384" i="73" s="1"/>
  <c r="L1253" i="73"/>
  <c r="M1253" i="73" s="1"/>
  <c r="L1210" i="73"/>
  <c r="M1210" i="73" s="1"/>
  <c r="L1154" i="73"/>
  <c r="M1154" i="73" s="1"/>
  <c r="L546" i="73"/>
  <c r="M546" i="73" s="1"/>
  <c r="L592" i="73"/>
  <c r="M592" i="73" s="1"/>
  <c r="L4449" i="73"/>
  <c r="M4449" i="73" s="1"/>
  <c r="L4394" i="73"/>
  <c r="M4394" i="73" s="1"/>
  <c r="L4364" i="73"/>
  <c r="M4364" i="73" s="1"/>
  <c r="L4316" i="73"/>
  <c r="M4316" i="73" s="1"/>
  <c r="L4302" i="73"/>
  <c r="M4302" i="73" s="1"/>
  <c r="L4236" i="73"/>
  <c r="M4236" i="73" s="1"/>
  <c r="L4111" i="73"/>
  <c r="M4111" i="73" s="1"/>
  <c r="L4089" i="73"/>
  <c r="M4089" i="73" s="1"/>
  <c r="L4077" i="73"/>
  <c r="M4077" i="73" s="1"/>
  <c r="L4046" i="73"/>
  <c r="M4046" i="73" s="1"/>
  <c r="L4026" i="73"/>
  <c r="M4026" i="73" s="1"/>
  <c r="L3986" i="73"/>
  <c r="M3986" i="73" s="1"/>
  <c r="L3821" i="73"/>
  <c r="M3821" i="73" s="1"/>
  <c r="L3796" i="73"/>
  <c r="M3796" i="73" s="1"/>
  <c r="L3861" i="73"/>
  <c r="M3861" i="73" s="1"/>
  <c r="L3871" i="73"/>
  <c r="M3871" i="73" s="1"/>
  <c r="L3757" i="73"/>
  <c r="M3757" i="73" s="1"/>
  <c r="L3732" i="73"/>
  <c r="M3732" i="73" s="1"/>
  <c r="L3169" i="73"/>
  <c r="M3169" i="73" s="1"/>
  <c r="L3155" i="73"/>
  <c r="M3155" i="73" s="1"/>
  <c r="L3140" i="73"/>
  <c r="M3140" i="73" s="1"/>
  <c r="L3113" i="73"/>
  <c r="M3113" i="73" s="1"/>
  <c r="L3092" i="73"/>
  <c r="M3092" i="73" s="1"/>
  <c r="L3054" i="73"/>
  <c r="M3054" i="73" s="1"/>
  <c r="L3461" i="73"/>
  <c r="M3461" i="73" s="1"/>
  <c r="L3470" i="73"/>
  <c r="M3470" i="73" s="1"/>
  <c r="L2867" i="73"/>
  <c r="M2867" i="73" s="1"/>
  <c r="L2826" i="73"/>
  <c r="M2826" i="73" s="1"/>
  <c r="L2807" i="73"/>
  <c r="M2807" i="73" s="1"/>
  <c r="L2766" i="73"/>
  <c r="M2766" i="73" s="1"/>
  <c r="L2653" i="73"/>
  <c r="M2653" i="73" s="1"/>
  <c r="L2514" i="73"/>
  <c r="M2514" i="73" s="1"/>
  <c r="L2499" i="73"/>
  <c r="M2499" i="73" s="1"/>
  <c r="L2487" i="73"/>
  <c r="M2487" i="73" s="1"/>
  <c r="L2956" i="73"/>
  <c r="M2956" i="73" s="1"/>
  <c r="L2936" i="73"/>
  <c r="M2936" i="73" s="1"/>
  <c r="L2470" i="73"/>
  <c r="M2470" i="73" s="1"/>
  <c r="L2446" i="73"/>
  <c r="M2446" i="73" s="1"/>
  <c r="L2417" i="73"/>
  <c r="M2417" i="73" s="1"/>
  <c r="L2356" i="73"/>
  <c r="M2356" i="73" s="1"/>
  <c r="L2294" i="73"/>
  <c r="M2294" i="73" s="1"/>
  <c r="L2207" i="73"/>
  <c r="M2207" i="73" s="1"/>
  <c r="L2166" i="73"/>
  <c r="M2166" i="73" s="1"/>
  <c r="L2147" i="73"/>
  <c r="M2147" i="73" s="1"/>
  <c r="L2106" i="73"/>
  <c r="M2106" i="73" s="1"/>
  <c r="L1993" i="73"/>
  <c r="M1993" i="73" s="1"/>
  <c r="L1855" i="73"/>
  <c r="M1855" i="73" s="1"/>
  <c r="L1843" i="73"/>
  <c r="M1843" i="73" s="1"/>
  <c r="L1825" i="73"/>
  <c r="M1825" i="73" s="1"/>
  <c r="L1798" i="73"/>
  <c r="M1798" i="73" s="1"/>
  <c r="L1777" i="73"/>
  <c r="M1777" i="73" s="1"/>
  <c r="L2284" i="73"/>
  <c r="M2284" i="73" s="1"/>
  <c r="L1764" i="73"/>
  <c r="M1764" i="73" s="1"/>
  <c r="L1703" i="73"/>
  <c r="M1703" i="73" s="1"/>
  <c r="L1641" i="73"/>
  <c r="M1641" i="73" s="1"/>
  <c r="L1616" i="73"/>
  <c r="M1616" i="73" s="1"/>
  <c r="L1514" i="73"/>
  <c r="M1514" i="73" s="1"/>
  <c r="L1357" i="73"/>
  <c r="M1357" i="73" s="1"/>
  <c r="L1398" i="73"/>
  <c r="M1398" i="73" s="1"/>
  <c r="L1411" i="73"/>
  <c r="M1411" i="73" s="1"/>
  <c r="L1181" i="73"/>
  <c r="M1181" i="73" s="1"/>
  <c r="L1126" i="73"/>
  <c r="M1126" i="73" s="1"/>
  <c r="L1084" i="73"/>
  <c r="M1084" i="73" s="1"/>
  <c r="L1072" i="73"/>
  <c r="M1072" i="73" s="1"/>
  <c r="L1038" i="73"/>
  <c r="M1038" i="73" s="1"/>
  <c r="L1460" i="73"/>
  <c r="M1460" i="73" s="1"/>
  <c r="L1340" i="73"/>
  <c r="M1340" i="73" s="1"/>
  <c r="L1233" i="73"/>
  <c r="M1233" i="73" s="1"/>
  <c r="L1198" i="73"/>
  <c r="M1198" i="73" s="1"/>
  <c r="L581" i="73"/>
  <c r="M581" i="73" s="1"/>
  <c r="L540" i="73"/>
  <c r="M540" i="73" s="1"/>
  <c r="L560" i="73"/>
  <c r="M560" i="73" s="1"/>
  <c r="L2308" i="73"/>
  <c r="M2308" i="73" s="1"/>
  <c r="L2426" i="73"/>
  <c r="M2426" i="73" s="1"/>
  <c r="L4856" i="73"/>
  <c r="M4856" i="73" s="1"/>
  <c r="L4699" i="73"/>
  <c r="M4699" i="73" s="1"/>
  <c r="L4583" i="73"/>
  <c r="M4583" i="73" s="1"/>
  <c r="L4568" i="73"/>
  <c r="M4568" i="73" s="1"/>
  <c r="L4520" i="73"/>
  <c r="M4520" i="73" s="1"/>
  <c r="L4981" i="73"/>
  <c r="M4981" i="73" s="1"/>
  <c r="L5031" i="73"/>
  <c r="M5031" i="73" s="1"/>
  <c r="N493" i="73" l="1"/>
  <c r="O493" i="73" s="1"/>
  <c r="P493" i="73" s="1"/>
  <c r="N1046" i="73"/>
  <c r="O1046" i="73" s="1"/>
  <c r="N2395" i="73"/>
  <c r="O2395" i="73" s="1"/>
  <c r="P2395" i="73" s="1"/>
  <c r="N733" i="73"/>
  <c r="O733" i="73" s="1"/>
  <c r="N2096" i="73"/>
  <c r="O2096" i="73" s="1"/>
  <c r="P2096" i="73" s="1"/>
  <c r="N3898" i="73"/>
  <c r="O3898" i="73" s="1"/>
  <c r="Q3741" i="73"/>
  <c r="Q2553" i="73"/>
  <c r="N2136" i="73"/>
  <c r="O2136" i="73" s="1"/>
  <c r="P2136" i="73" s="1"/>
  <c r="N2845" i="73"/>
  <c r="O2845" i="73" s="1"/>
  <c r="P2845" i="73" s="1"/>
  <c r="N3057" i="73"/>
  <c r="O3057" i="73" s="1"/>
  <c r="P3057" i="73" s="1"/>
  <c r="P598" i="73"/>
  <c r="N3812" i="73"/>
  <c r="O3812" i="73" s="1"/>
  <c r="P3812" i="73" s="1"/>
  <c r="N4029" i="73"/>
  <c r="O4029" i="73" s="1"/>
  <c r="P4029" i="73" s="1"/>
  <c r="N1167" i="73"/>
  <c r="O1167" i="73" s="1"/>
  <c r="N1467" i="73"/>
  <c r="O1467" i="73" s="1"/>
  <c r="P1467" i="73" s="1"/>
  <c r="N3589" i="73"/>
  <c r="O3589" i="73" s="1"/>
  <c r="P3589" i="73" s="1"/>
  <c r="P79" i="73"/>
  <c r="N78" i="73"/>
  <c r="O78" i="73" s="1"/>
  <c r="P78" i="73" s="1"/>
  <c r="N971" i="73"/>
  <c r="O971" i="73" s="1"/>
  <c r="P971" i="73" s="1"/>
  <c r="P3788" i="73"/>
  <c r="N3787" i="73"/>
  <c r="O3787" i="73" s="1"/>
  <c r="P3787" i="73" s="1"/>
  <c r="P1301" i="73"/>
  <c r="N1300" i="73"/>
  <c r="O1300" i="73" s="1"/>
  <c r="N18" i="73"/>
  <c r="O18" i="73" s="1"/>
  <c r="P18" i="73" s="1"/>
  <c r="N596" i="73"/>
  <c r="O596" i="73" s="1"/>
  <c r="P596" i="73" s="1"/>
  <c r="N1436" i="73"/>
  <c r="O1436" i="73" s="1"/>
  <c r="P1437" i="73"/>
  <c r="N3021" i="73"/>
  <c r="O3021" i="73" s="1"/>
  <c r="P3021" i="73" s="1"/>
  <c r="P3022" i="73"/>
  <c r="M425" i="73"/>
  <c r="L425" i="73" s="1"/>
  <c r="Q4242" i="73"/>
  <c r="Q2215" i="73"/>
  <c r="N1706" i="73"/>
  <c r="O1706" i="73" s="1"/>
  <c r="P1706" i="73" s="1"/>
  <c r="P2097" i="73"/>
  <c r="P278" i="73"/>
  <c r="N277" i="73"/>
  <c r="O277" i="73" s="1"/>
  <c r="P277" i="73" s="1"/>
  <c r="P855" i="73"/>
  <c r="N854" i="73"/>
  <c r="O854" i="73" s="1"/>
  <c r="P854" i="73" s="1"/>
  <c r="N2185" i="73"/>
  <c r="O2185" i="73" s="1"/>
  <c r="P2186" i="73"/>
  <c r="N4240" i="73"/>
  <c r="O4240" i="73" s="1"/>
  <c r="P4241" i="73"/>
  <c r="P1116" i="73"/>
  <c r="N1115" i="73"/>
  <c r="O1115" i="73" s="1"/>
  <c r="P1115" i="73" s="1"/>
  <c r="N3837" i="73"/>
  <c r="O3837" i="73" s="1"/>
  <c r="P3837" i="73" s="1"/>
  <c r="P3838" i="73"/>
  <c r="N2831" i="73"/>
  <c r="O2831" i="73" s="1"/>
  <c r="P2831" i="73" s="1"/>
  <c r="P4298" i="73"/>
  <c r="N4288" i="73"/>
  <c r="O4288" i="73" s="1"/>
  <c r="P4288" i="73" s="1"/>
  <c r="N2756" i="73"/>
  <c r="O2756" i="73" s="1"/>
  <c r="P2756" i="73" s="1"/>
  <c r="P2757" i="73"/>
  <c r="P1046" i="73"/>
  <c r="N1045" i="73"/>
  <c r="O1045" i="73" s="1"/>
  <c r="P3763" i="73"/>
  <c r="N3762" i="73"/>
  <c r="O3762" i="73" s="1"/>
  <c r="P3762" i="73" s="1"/>
  <c r="P2324" i="73"/>
  <c r="N2323" i="73"/>
  <c r="O2323" i="73" s="1"/>
  <c r="P2323" i="73" s="1"/>
  <c r="N2796" i="73"/>
  <c r="O2796" i="73" s="1"/>
  <c r="P2796" i="73" s="1"/>
  <c r="N2874" i="73"/>
  <c r="O2874" i="73" s="1"/>
  <c r="N256" i="73"/>
  <c r="O256" i="73" s="1"/>
  <c r="P256" i="73" s="1"/>
  <c r="P3898" i="73"/>
  <c r="N3874" i="73"/>
  <c r="O3874" i="73" s="1"/>
  <c r="P3874" i="73" s="1"/>
  <c r="P3738" i="73"/>
  <c r="N3737" i="73"/>
  <c r="O3737" i="73" s="1"/>
  <c r="N177" i="73"/>
  <c r="O177" i="73" s="1"/>
  <c r="P177" i="73" s="1"/>
  <c r="P200" i="73"/>
  <c r="P4144" i="73"/>
  <c r="N4143" i="73"/>
  <c r="O4143" i="73" s="1"/>
  <c r="P4143" i="73" s="1"/>
  <c r="P2960" i="73"/>
  <c r="P1671" i="73"/>
  <c r="N1670" i="73"/>
  <c r="O1670" i="73" s="1"/>
  <c r="N2213" i="73"/>
  <c r="O2213" i="73" s="1"/>
  <c r="P2214" i="73"/>
  <c r="P1185" i="73"/>
  <c r="N1184" i="73"/>
  <c r="O1184" i="73" s="1"/>
  <c r="P1184" i="73" s="1"/>
  <c r="P2360" i="73"/>
  <c r="N2359" i="73"/>
  <c r="O2359" i="73" s="1"/>
  <c r="P2359" i="73" s="1"/>
  <c r="N4407" i="73"/>
  <c r="O4407" i="73" s="1"/>
  <c r="P4421" i="73"/>
  <c r="P2298" i="73"/>
  <c r="N47" i="73"/>
  <c r="O47" i="73" s="1"/>
  <c r="P47" i="73" s="1"/>
  <c r="N3530" i="73"/>
  <c r="O3530" i="73" s="1"/>
  <c r="P3530" i="73" s="1"/>
  <c r="P3531" i="73"/>
  <c r="P1388" i="73"/>
  <c r="N1387" i="73"/>
  <c r="O1387" i="73" s="1"/>
  <c r="N1917" i="73"/>
  <c r="O1917" i="73" s="1"/>
  <c r="P1918" i="73"/>
  <c r="P2000" i="73"/>
  <c r="P2649" i="73"/>
  <c r="P1743" i="73"/>
  <c r="N1742" i="73"/>
  <c r="O1742" i="73" s="1"/>
  <c r="P1742" i="73" s="1"/>
  <c r="P3432" i="73"/>
  <c r="N3431" i="73"/>
  <c r="O3431" i="73" s="1"/>
  <c r="P3431" i="73" s="1"/>
  <c r="P1167" i="73"/>
  <c r="N2543" i="73"/>
  <c r="O2543" i="73" s="1"/>
  <c r="P2543" i="73" s="1"/>
  <c r="P2551" i="73"/>
  <c r="N3197" i="73"/>
  <c r="O3197" i="73" s="1"/>
  <c r="P3197" i="73" s="1"/>
  <c r="P3205" i="73"/>
  <c r="P733" i="73"/>
  <c r="N719" i="73"/>
  <c r="O719" i="73" s="1"/>
  <c r="P719" i="73" s="1"/>
  <c r="Q109" i="73"/>
  <c r="Q190" i="73"/>
  <c r="M1918" i="73"/>
  <c r="M1917" i="73" s="1"/>
  <c r="M2003" i="73"/>
  <c r="L2003" i="73" s="1"/>
  <c r="M2073" i="73"/>
  <c r="Q2073" i="73" s="1"/>
  <c r="Q495" i="73"/>
  <c r="M264" i="73"/>
  <c r="L264" i="73" s="1"/>
  <c r="M376" i="73"/>
  <c r="L376" i="73" s="1"/>
  <c r="Q1059" i="73"/>
  <c r="L3031" i="73"/>
  <c r="Q2199" i="73"/>
  <c r="Q2247" i="73"/>
  <c r="M201" i="73"/>
  <c r="L201" i="73" s="1"/>
  <c r="M131" i="73"/>
  <c r="L131" i="73" s="1"/>
  <c r="Q4004" i="73"/>
  <c r="Q3789" i="73"/>
  <c r="M1688" i="73"/>
  <c r="Q1688" i="73" s="1"/>
  <c r="Q2217" i="73"/>
  <c r="L3810" i="73"/>
  <c r="M849" i="73"/>
  <c r="L849" i="73" s="1"/>
  <c r="L1753" i="73"/>
  <c r="M48" i="73"/>
  <c r="L48" i="73" s="1"/>
  <c r="M2961" i="73"/>
  <c r="L2961" i="73" s="1"/>
  <c r="M1696" i="73"/>
  <c r="L1696" i="73" s="1"/>
  <c r="M2115" i="73"/>
  <c r="L2115" i="73" s="1"/>
  <c r="M1537" i="73"/>
  <c r="L1537" i="73" s="1"/>
  <c r="L2140" i="73"/>
  <c r="Q2201" i="73"/>
  <c r="Q1438" i="73"/>
  <c r="M1558" i="73"/>
  <c r="L1558" i="73" s="1"/>
  <c r="L2815" i="73"/>
  <c r="M3206" i="73"/>
  <c r="M3205" i="73" s="1"/>
  <c r="M1069" i="73"/>
  <c r="L1069" i="73" s="1"/>
  <c r="M67" i="73"/>
  <c r="Q67" i="73" s="1"/>
  <c r="M4241" i="73"/>
  <c r="L4463" i="73"/>
  <c r="Q1102" i="73"/>
  <c r="M1168" i="73"/>
  <c r="M1167" i="73" s="1"/>
  <c r="Q84" i="73"/>
  <c r="M3083" i="73"/>
  <c r="Q3083" i="73" s="1"/>
  <c r="M1646" i="73"/>
  <c r="L1646" i="73" s="1"/>
  <c r="L3791" i="73"/>
  <c r="Q2835" i="73"/>
  <c r="Q340" i="73"/>
  <c r="M1573" i="73"/>
  <c r="L1573" i="73" s="1"/>
  <c r="M2675" i="73"/>
  <c r="Q2675" i="73" s="1"/>
  <c r="Q747" i="73"/>
  <c r="Q1471" i="73"/>
  <c r="M1720" i="73"/>
  <c r="Q1720" i="73" s="1"/>
  <c r="M2040" i="73"/>
  <c r="L2040" i="73" s="1"/>
  <c r="Q3256" i="73"/>
  <c r="M2186" i="73"/>
  <c r="L2186" i="73" s="1"/>
  <c r="Q1402" i="73"/>
  <c r="Q1440" i="73"/>
  <c r="Q634" i="73"/>
  <c r="Q1175" i="73"/>
  <c r="Q3199" i="73"/>
  <c r="Q4411" i="73"/>
  <c r="M1437" i="73"/>
  <c r="M543" i="73"/>
  <c r="Q543" i="73" s="1"/>
  <c r="M2775" i="73"/>
  <c r="L2775" i="73" s="1"/>
  <c r="M4019" i="73"/>
  <c r="L4019" i="73" s="1"/>
  <c r="L2215" i="73"/>
  <c r="M2035" i="73"/>
  <c r="L2035" i="73" s="1"/>
  <c r="M2672" i="73"/>
  <c r="Q2672" i="73" s="1"/>
  <c r="Q3958" i="73"/>
  <c r="Q2885" i="73"/>
  <c r="Q1620" i="73"/>
  <c r="Q1708" i="73"/>
  <c r="M2875" i="73"/>
  <c r="L2875" i="73" s="1"/>
  <c r="M1540" i="73"/>
  <c r="L1540" i="73" s="1"/>
  <c r="M1732" i="73"/>
  <c r="Q1732" i="73" s="1"/>
  <c r="M506" i="73"/>
  <c r="L506" i="73" s="1"/>
  <c r="M1129" i="73"/>
  <c r="Q1129" i="73" s="1"/>
  <c r="Q841" i="73"/>
  <c r="M2060" i="73"/>
  <c r="L2060" i="73" s="1"/>
  <c r="M3953" i="73"/>
  <c r="L3953" i="73" s="1"/>
  <c r="Q3514" i="73"/>
  <c r="Q212" i="73"/>
  <c r="M1568" i="73"/>
  <c r="L1568" i="73" s="1"/>
  <c r="Q30" i="73"/>
  <c r="L4256" i="73"/>
  <c r="Q2151" i="73"/>
  <c r="M1790" i="73"/>
  <c r="L1790" i="73" s="1"/>
  <c r="M3749" i="73"/>
  <c r="L3749" i="73" s="1"/>
  <c r="M2663" i="73"/>
  <c r="L2663" i="73" s="1"/>
  <c r="M2006" i="73"/>
  <c r="L2006" i="73" s="1"/>
  <c r="M1531" i="73"/>
  <c r="L1531" i="73" s="1"/>
  <c r="M61" i="73"/>
  <c r="L61" i="73" s="1"/>
  <c r="M2846" i="73"/>
  <c r="Q2846" i="73" s="1"/>
  <c r="Q32" i="73"/>
  <c r="Q2811" i="73"/>
  <c r="M3804" i="73"/>
  <c r="M858" i="73"/>
  <c r="M855" i="73" s="1"/>
  <c r="M3011" i="73"/>
  <c r="L3011" i="73" s="1"/>
  <c r="M3003" i="73"/>
  <c r="L3003" i="73" s="1"/>
  <c r="M1752" i="73"/>
  <c r="L1752" i="73" s="1"/>
  <c r="Q2138" i="73"/>
  <c r="Q4422" i="73"/>
  <c r="Q4424" i="73"/>
  <c r="L4481" i="73"/>
  <c r="L3207" i="73"/>
  <c r="Q3207" i="73"/>
  <c r="M1370" i="73"/>
  <c r="L1370" i="73" s="1"/>
  <c r="M2669" i="73"/>
  <c r="Q2669" i="73" s="1"/>
  <c r="M2012" i="73"/>
  <c r="L2012" i="73" s="1"/>
  <c r="M19" i="73"/>
  <c r="L19" i="73" s="1"/>
  <c r="M2337" i="73"/>
  <c r="Q2337" i="73" s="1"/>
  <c r="L281" i="73"/>
  <c r="Q281" i="73"/>
  <c r="Q279" i="73"/>
  <c r="L279" i="73"/>
  <c r="Q4409" i="73"/>
  <c r="L4409" i="73"/>
  <c r="Q576" i="73"/>
  <c r="L576" i="73"/>
  <c r="L4413" i="73"/>
  <c r="Q4413" i="73"/>
  <c r="L34" i="73"/>
  <c r="Q34" i="73"/>
  <c r="L272" i="73"/>
  <c r="Q272" i="73"/>
  <c r="L1145" i="73"/>
  <c r="Q1145" i="73"/>
  <c r="L1929" i="73"/>
  <c r="Q1929" i="73"/>
  <c r="L1100" i="73"/>
  <c r="Q1100" i="73"/>
  <c r="L2995" i="73"/>
  <c r="Q2995" i="73"/>
  <c r="L2847" i="73"/>
  <c r="Q2847" i="73"/>
  <c r="L1304" i="73"/>
  <c r="Q1304" i="73"/>
  <c r="L3084" i="73"/>
  <c r="Q3084" i="73"/>
  <c r="M1490" i="73"/>
  <c r="Q1490" i="73" s="1"/>
  <c r="M2377" i="73"/>
  <c r="L2377" i="73" s="1"/>
  <c r="M3876" i="73"/>
  <c r="Q3876" i="73" s="1"/>
  <c r="M2214" i="73"/>
  <c r="L2214" i="73" s="1"/>
  <c r="L20" i="73"/>
  <c r="Q20" i="73"/>
  <c r="L2798" i="73"/>
  <c r="Q2798" i="73"/>
  <c r="L534" i="73"/>
  <c r="Q534" i="73"/>
  <c r="L1389" i="73"/>
  <c r="Q1389" i="73"/>
  <c r="L2369" i="73"/>
  <c r="Q2369" i="73"/>
  <c r="M18" i="73"/>
  <c r="L2331" i="73"/>
  <c r="Q2331" i="73"/>
  <c r="L2177" i="73"/>
  <c r="Q2177" i="73"/>
  <c r="M2025" i="73"/>
  <c r="L2025" i="73" s="1"/>
  <c r="M1601" i="73"/>
  <c r="L1601" i="73" s="1"/>
  <c r="M494" i="73"/>
  <c r="L494" i="73" s="1"/>
  <c r="Q1426" i="73"/>
  <c r="M2360" i="73"/>
  <c r="M1671" i="73"/>
  <c r="Q1671" i="73" s="1"/>
  <c r="M1743" i="73"/>
  <c r="Q1743" i="73" s="1"/>
  <c r="Q379" i="73"/>
  <c r="M2020" i="73"/>
  <c r="Q2020" i="73" s="1"/>
  <c r="L1393" i="73"/>
  <c r="Q1393" i="73"/>
  <c r="L1452" i="73"/>
  <c r="Q1452" i="73"/>
  <c r="L2249" i="73"/>
  <c r="Q2249" i="73"/>
  <c r="M2449" i="73"/>
  <c r="L2449" i="73" s="1"/>
  <c r="M310" i="73"/>
  <c r="Q310" i="73" s="1"/>
  <c r="M3373" i="73"/>
  <c r="Q3373" i="73" s="1"/>
  <c r="M2405" i="73"/>
  <c r="L2405" i="73" s="1"/>
  <c r="M2700" i="73"/>
  <c r="L2700" i="73" s="1"/>
  <c r="M1543" i="73"/>
  <c r="Q1543" i="73" s="1"/>
  <c r="M2733" i="73"/>
  <c r="Q2733" i="73" s="1"/>
  <c r="M2373" i="73"/>
  <c r="L2373" i="73" s="1"/>
  <c r="Q258" i="73"/>
  <c r="Q1368" i="73"/>
  <c r="Q4357" i="73"/>
  <c r="Q671" i="73"/>
  <c r="M257" i="73"/>
  <c r="L257" i="73" s="1"/>
  <c r="M1652" i="73"/>
  <c r="L1428" i="73"/>
  <c r="Q1428" i="73"/>
  <c r="L4642" i="73"/>
  <c r="Q4642" i="73"/>
  <c r="L1678" i="73"/>
  <c r="Q1678" i="73"/>
  <c r="L1497" i="73"/>
  <c r="Q1497" i="73"/>
  <c r="L4465" i="73"/>
  <c r="Q4465" i="73"/>
  <c r="M1035" i="73"/>
  <c r="L1035" i="73" s="1"/>
  <c r="M3754" i="73"/>
  <c r="Q3754" i="73" s="1"/>
  <c r="M3774" i="73"/>
  <c r="L3774" i="73" s="1"/>
  <c r="L4242" i="73"/>
  <c r="Q2408" i="73"/>
  <c r="M2070" i="73"/>
  <c r="Q2070" i="73" s="1"/>
  <c r="M1563" i="73"/>
  <c r="Q1563" i="73" s="1"/>
  <c r="Q3908" i="73"/>
  <c r="Q1954" i="73"/>
  <c r="Q2327" i="73"/>
  <c r="Q1829" i="73"/>
  <c r="M55" i="73"/>
  <c r="Q55" i="73" s="1"/>
  <c r="M2324" i="73"/>
  <c r="M2309" i="73"/>
  <c r="Q2309" i="73" s="1"/>
  <c r="M3035" i="73"/>
  <c r="L3035" i="73" s="1"/>
  <c r="M1185" i="73"/>
  <c r="Q1185" i="73" s="1"/>
  <c r="L2800" i="73"/>
  <c r="Q2800" i="73"/>
  <c r="L1406" i="73"/>
  <c r="Q1406" i="73"/>
  <c r="M2385" i="73"/>
  <c r="L2385" i="73" s="1"/>
  <c r="M3930" i="73"/>
  <c r="L3930" i="73" s="1"/>
  <c r="L4369" i="73"/>
  <c r="Q4369" i="73"/>
  <c r="M2421" i="73"/>
  <c r="Q2421" i="73" s="1"/>
  <c r="M569" i="73"/>
  <c r="Q569" i="73" s="1"/>
  <c r="M1116" i="73"/>
  <c r="M1115" i="73" s="1"/>
  <c r="M1796" i="73"/>
  <c r="L1796" i="73" s="1"/>
  <c r="M2443" i="73"/>
  <c r="Q2443" i="73" s="1"/>
  <c r="M2484" i="73"/>
  <c r="L2484" i="73" s="1"/>
  <c r="M3467" i="73"/>
  <c r="Q3467" i="73" s="1"/>
  <c r="M3111" i="73"/>
  <c r="L3111" i="73" s="1"/>
  <c r="M3729" i="73"/>
  <c r="L3729" i="73" s="1"/>
  <c r="M3788" i="73"/>
  <c r="L3788" i="73" s="1"/>
  <c r="M4043" i="73"/>
  <c r="L4043" i="73" s="1"/>
  <c r="M1140" i="73"/>
  <c r="M1024" i="73"/>
  <c r="M1023" i="73" s="1"/>
  <c r="M1423" i="73"/>
  <c r="L1423" i="73" s="1"/>
  <c r="M1814" i="73"/>
  <c r="Q1814" i="73" s="1"/>
  <c r="M2490" i="73"/>
  <c r="Q2490" i="73" s="1"/>
  <c r="M3366" i="73"/>
  <c r="L3366" i="73" s="1"/>
  <c r="M3129" i="73"/>
  <c r="Q3129" i="73" s="1"/>
  <c r="M3738" i="73"/>
  <c r="L3738" i="73" s="1"/>
  <c r="M4049" i="73"/>
  <c r="L4049" i="73" s="1"/>
  <c r="M4440" i="73"/>
  <c r="Q4440" i="73" s="1"/>
  <c r="M4605" i="73"/>
  <c r="L4605" i="73" s="1"/>
  <c r="M1768" i="73"/>
  <c r="L1768" i="73" s="1"/>
  <c r="M122" i="73"/>
  <c r="Q122" i="73" s="1"/>
  <c r="M416" i="73"/>
  <c r="L416" i="73" s="1"/>
  <c r="M739" i="73"/>
  <c r="L739" i="73" s="1"/>
  <c r="M3482" i="73"/>
  <c r="L3482" i="73" s="1"/>
  <c r="M3288" i="73"/>
  <c r="L3288" i="73" s="1"/>
  <c r="M3839" i="73"/>
  <c r="L3839" i="73" s="1"/>
  <c r="M137" i="73"/>
  <c r="L137" i="73" s="1"/>
  <c r="M317" i="73"/>
  <c r="Q317" i="73" s="1"/>
  <c r="M450" i="73"/>
  <c r="Q450" i="73" s="1"/>
  <c r="M3294" i="73"/>
  <c r="Q3294" i="73" s="1"/>
  <c r="M3799" i="73"/>
  <c r="Q3799" i="73" s="1"/>
  <c r="M4632" i="73"/>
  <c r="Q4632" i="73" s="1"/>
  <c r="M2552" i="73"/>
  <c r="L2552" i="73" s="1"/>
  <c r="M2744" i="73"/>
  <c r="Q2744" i="73" s="1"/>
  <c r="M1593" i="73"/>
  <c r="L1593" i="73" s="1"/>
  <c r="M2710" i="73"/>
  <c r="L2710" i="73" s="1"/>
  <c r="M2715" i="73"/>
  <c r="L2715" i="73" s="1"/>
  <c r="M3039" i="73"/>
  <c r="Q3039" i="73" s="1"/>
  <c r="M2349" i="73"/>
  <c r="L2349" i="73" s="1"/>
  <c r="M3022" i="73"/>
  <c r="Q3022" i="73" s="1"/>
  <c r="Q2545" i="73"/>
  <c r="M2971" i="73"/>
  <c r="L2971" i="73" s="1"/>
  <c r="L401" i="73"/>
  <c r="Q401" i="73"/>
  <c r="M2504" i="73"/>
  <c r="L2504" i="73" s="1"/>
  <c r="M3146" i="73"/>
  <c r="L3146" i="73" s="1"/>
  <c r="M2967" i="73"/>
  <c r="L2967" i="73" s="1"/>
  <c r="M4584" i="73"/>
  <c r="Q4584" i="73" s="1"/>
  <c r="M1656" i="73"/>
  <c r="Q1656" i="73" s="1"/>
  <c r="M395" i="73"/>
  <c r="L395" i="73" s="1"/>
  <c r="M150" i="73"/>
  <c r="L150" i="73" s="1"/>
  <c r="M603" i="73"/>
  <c r="M598" i="73" s="1"/>
  <c r="M949" i="73"/>
  <c r="L949" i="73" s="1"/>
  <c r="M3474" i="73"/>
  <c r="Q3474" i="73" s="1"/>
  <c r="M4385" i="73"/>
  <c r="Q4385" i="73" s="1"/>
  <c r="L2553" i="73"/>
  <c r="M1632" i="73"/>
  <c r="L1632" i="73" s="1"/>
  <c r="M966" i="73"/>
  <c r="Q966" i="73" s="1"/>
  <c r="M1583" i="73"/>
  <c r="L1583" i="73" s="1"/>
  <c r="M2055" i="73"/>
  <c r="L2055" i="73" s="1"/>
  <c r="M2690" i="73"/>
  <c r="L2690" i="73" s="1"/>
  <c r="M1548" i="73"/>
  <c r="Q1548" i="73" s="1"/>
  <c r="L4100" i="73"/>
  <c r="Q4934" i="73"/>
  <c r="Q969" i="73"/>
  <c r="M3899" i="73"/>
  <c r="Q3899" i="73" s="1"/>
  <c r="M1684" i="73"/>
  <c r="Q1684" i="73" s="1"/>
  <c r="M3058" i="73"/>
  <c r="Q3058" i="73" s="1"/>
  <c r="M1578" i="73"/>
  <c r="L3904" i="73"/>
  <c r="Q3904" i="73"/>
  <c r="M1230" i="73"/>
  <c r="L1230" i="73" s="1"/>
  <c r="M4700" i="73"/>
  <c r="Q4700" i="73" s="1"/>
  <c r="L3741" i="73"/>
  <c r="M2544" i="73"/>
  <c r="L2544" i="73" s="1"/>
  <c r="M2680" i="73"/>
  <c r="L2680" i="73" s="1"/>
  <c r="M2109" i="73"/>
  <c r="Q2109" i="73" s="1"/>
  <c r="M2396" i="73"/>
  <c r="L2396" i="73" s="1"/>
  <c r="Q2590" i="73"/>
  <c r="Q2175" i="73"/>
  <c r="M1724" i="73"/>
  <c r="L1724" i="73" s="1"/>
  <c r="L1061" i="73"/>
  <c r="Q1061" i="73"/>
  <c r="L3785" i="73"/>
  <c r="Q3785" i="73"/>
  <c r="Q2802" i="73"/>
  <c r="L2802" i="73"/>
  <c r="M3152" i="73"/>
  <c r="L3152" i="73" s="1"/>
  <c r="M4598" i="73"/>
  <c r="L4598" i="73" s="1"/>
  <c r="M3824" i="73"/>
  <c r="L3824" i="73" s="1"/>
  <c r="M4408" i="73"/>
  <c r="L4408" i="73" s="1"/>
  <c r="M278" i="73"/>
  <c r="M277" i="73" s="1"/>
  <c r="M435" i="73"/>
  <c r="Q435" i="73" s="1"/>
  <c r="M4550" i="73"/>
  <c r="L4550" i="73" s="1"/>
  <c r="M2084" i="73"/>
  <c r="L2084" i="73" s="1"/>
  <c r="M3067" i="73"/>
  <c r="L3067" i="73" s="1"/>
  <c r="M3239" i="73"/>
  <c r="Q3239" i="73" s="1"/>
  <c r="M2045" i="73"/>
  <c r="Q2045" i="73" s="1"/>
  <c r="M2050" i="73"/>
  <c r="Q2050" i="73" s="1"/>
  <c r="M2769" i="73"/>
  <c r="L2769" i="73" s="1"/>
  <c r="M3923" i="73"/>
  <c r="Q3923" i="73" s="1"/>
  <c r="M3047" i="73"/>
  <c r="L3047" i="73" s="1"/>
  <c r="L1714" i="73"/>
  <c r="M3962" i="73"/>
  <c r="Q3962" i="73" s="1"/>
  <c r="Q1329" i="73"/>
  <c r="L1329" i="73"/>
  <c r="L2813" i="73"/>
  <c r="Q2813" i="73"/>
  <c r="L2993" i="73"/>
  <c r="Q2993" i="73"/>
  <c r="L2367" i="73"/>
  <c r="Q2367" i="73"/>
  <c r="L1493" i="73"/>
  <c r="Q1493" i="73"/>
  <c r="L774" i="73"/>
  <c r="Q774" i="73"/>
  <c r="L2666" i="73"/>
  <c r="Q2666" i="73"/>
  <c r="L1404" i="73"/>
  <c r="Q1404" i="73"/>
  <c r="L4479" i="73"/>
  <c r="Q4479" i="73"/>
  <c r="M4518" i="73"/>
  <c r="L4518" i="73" s="1"/>
  <c r="M3166" i="73"/>
  <c r="L3166" i="73" s="1"/>
  <c r="M1157" i="73"/>
  <c r="L1157" i="73" s="1"/>
  <c r="M3105" i="73"/>
  <c r="L3105" i="73" s="1"/>
  <c r="M4591" i="73"/>
  <c r="L4591" i="73" s="1"/>
  <c r="M4612" i="73"/>
  <c r="Q4612" i="73" s="1"/>
  <c r="M3724" i="73"/>
  <c r="L3724" i="73" s="1"/>
  <c r="M4421" i="73"/>
  <c r="Q4421" i="73" s="1"/>
  <c r="M1301" i="73"/>
  <c r="L1301" i="73" s="1"/>
  <c r="M4569" i="73"/>
  <c r="L4569" i="73" s="1"/>
  <c r="L3816" i="73"/>
  <c r="M728" i="73"/>
  <c r="L728" i="73" s="1"/>
  <c r="M2065" i="73"/>
  <c r="Q2065" i="73" s="1"/>
  <c r="M1588" i="73"/>
  <c r="Q1588" i="73" s="1"/>
  <c r="M1360" i="73"/>
  <c r="Q1360" i="73" s="1"/>
  <c r="M4704" i="73"/>
  <c r="L4704" i="73" s="1"/>
  <c r="M1910" i="73"/>
  <c r="Q1910" i="73" s="1"/>
  <c r="M346" i="73"/>
  <c r="L346" i="73" s="1"/>
  <c r="L3835" i="73"/>
  <c r="Q3835" i="73"/>
  <c r="L1323" i="73"/>
  <c r="Q1323" i="73"/>
  <c r="L2851" i="73"/>
  <c r="Q2851" i="73"/>
  <c r="L2191" i="73"/>
  <c r="Q2191" i="73"/>
  <c r="L4461" i="73"/>
  <c r="Q4461" i="73"/>
  <c r="M2341" i="73"/>
  <c r="L1327" i="73"/>
  <c r="Q1327" i="73"/>
  <c r="L1454" i="73"/>
  <c r="Q1454" i="73"/>
  <c r="L354" i="73"/>
  <c r="Q354" i="73"/>
  <c r="M2305" i="73"/>
  <c r="L2305" i="73" s="1"/>
  <c r="M1822" i="73"/>
  <c r="Q1822" i="73" s="1"/>
  <c r="M2467" i="73"/>
  <c r="L2467" i="73" s="1"/>
  <c r="M2797" i="73"/>
  <c r="L2797" i="73" s="1"/>
  <c r="M3458" i="73"/>
  <c r="L3458" i="73" s="1"/>
  <c r="M3137" i="73"/>
  <c r="L3137" i="73" s="1"/>
  <c r="M3813" i="73"/>
  <c r="L3813" i="73" s="1"/>
  <c r="M4066" i="73"/>
  <c r="L4066" i="73" s="1"/>
  <c r="M4299" i="73"/>
  <c r="Q4299" i="73" s="1"/>
  <c r="M4446" i="73"/>
  <c r="Q4446" i="73" s="1"/>
  <c r="M1207" i="73"/>
  <c r="L1207" i="73" s="1"/>
  <c r="M1260" i="73"/>
  <c r="L1260" i="73" s="1"/>
  <c r="M2810" i="73"/>
  <c r="L2810" i="73" s="1"/>
  <c r="M4080" i="73"/>
  <c r="L4080" i="73" s="1"/>
  <c r="M4306" i="73"/>
  <c r="Q4306" i="73" s="1"/>
  <c r="M407" i="73"/>
  <c r="L407" i="73" s="1"/>
  <c r="M937" i="73"/>
  <c r="L937" i="73" s="1"/>
  <c r="M2634" i="73"/>
  <c r="L2634" i="73" s="1"/>
  <c r="M3381" i="73"/>
  <c r="Q3381" i="73" s="1"/>
  <c r="M3844" i="73"/>
  <c r="L3844" i="73" s="1"/>
  <c r="M4379" i="73"/>
  <c r="L4379" i="73" s="1"/>
  <c r="M178" i="73"/>
  <c r="Q178" i="73" s="1"/>
  <c r="M2640" i="73"/>
  <c r="Q2640" i="73" s="1"/>
  <c r="M4006" i="73"/>
  <c r="L4006" i="73" s="1"/>
  <c r="M642" i="73"/>
  <c r="Q642" i="73" s="1"/>
  <c r="M1553" i="73"/>
  <c r="Q1553" i="73" s="1"/>
  <c r="M2685" i="73"/>
  <c r="Q2685" i="73" s="1"/>
  <c r="M2720" i="73"/>
  <c r="L2720" i="73" s="1"/>
  <c r="M2725" i="73"/>
  <c r="L2725" i="73" s="1"/>
  <c r="M1707" i="73"/>
  <c r="L1707" i="73" s="1"/>
  <c r="M3627" i="73"/>
  <c r="Q3627" i="73" s="1"/>
  <c r="M353" i="73"/>
  <c r="Q353" i="73" s="1"/>
  <c r="L1317" i="73"/>
  <c r="Q1317" i="73"/>
  <c r="L2153" i="73"/>
  <c r="Q2153" i="73"/>
  <c r="L2142" i="73"/>
  <c r="Q2142" i="73"/>
  <c r="L1391" i="73"/>
  <c r="Q1391" i="73"/>
  <c r="L3029" i="73"/>
  <c r="Q3029" i="73"/>
  <c r="L2878" i="73"/>
  <c r="Q2878" i="73"/>
  <c r="L895" i="73"/>
  <c r="Q895" i="73"/>
  <c r="M552" i="73"/>
  <c r="L552" i="73" s="1"/>
  <c r="M1401" i="73"/>
  <c r="Q1401" i="73" s="1"/>
  <c r="M1609" i="73"/>
  <c r="L1609" i="73" s="1"/>
  <c r="M2277" i="73"/>
  <c r="L2277" i="73" s="1"/>
  <c r="M4086" i="73"/>
  <c r="L4086" i="73" s="1"/>
  <c r="M1250" i="73"/>
  <c r="L1250" i="73" s="1"/>
  <c r="M1414" i="73"/>
  <c r="L1414" i="73" s="1"/>
  <c r="M1846" i="73"/>
  <c r="L1846" i="73" s="1"/>
  <c r="M2150" i="73"/>
  <c r="Q2150" i="73" s="1"/>
  <c r="M2939" i="73"/>
  <c r="L2939" i="73" s="1"/>
  <c r="M2832" i="73"/>
  <c r="Q2832" i="73" s="1"/>
  <c r="M3779" i="73"/>
  <c r="L3779" i="73" s="1"/>
  <c r="M4102" i="73"/>
  <c r="L4102" i="73" s="1"/>
  <c r="M4339" i="73"/>
  <c r="Q4339" i="73" s="1"/>
  <c r="M29" i="73"/>
  <c r="L29" i="73" s="1"/>
  <c r="M1974" i="73"/>
  <c r="Q1974" i="73" s="1"/>
  <c r="Q4094" i="73"/>
  <c r="Q3403" i="73"/>
  <c r="Q214" i="73"/>
  <c r="L1956" i="73"/>
  <c r="Q1956" i="73"/>
  <c r="L3504" i="73"/>
  <c r="Q3504" i="73"/>
  <c r="L3433" i="73"/>
  <c r="Q3433" i="73"/>
  <c r="L3516" i="73"/>
  <c r="Q3516" i="73"/>
  <c r="L735" i="73"/>
  <c r="Q735" i="73"/>
  <c r="L3435" i="73"/>
  <c r="Q3435" i="73"/>
  <c r="L3135" i="73"/>
  <c r="Q3135" i="73"/>
  <c r="L4290" i="73"/>
  <c r="Q4290" i="73"/>
  <c r="L989" i="73"/>
  <c r="Q989" i="73"/>
  <c r="L3508" i="73"/>
  <c r="Q3508" i="73"/>
  <c r="L999" i="73"/>
  <c r="Q999" i="73"/>
  <c r="L1911" i="73"/>
  <c r="Q1911" i="73"/>
  <c r="L3322" i="73"/>
  <c r="Q3322" i="73"/>
  <c r="L4359" i="73"/>
  <c r="Q4359" i="73"/>
  <c r="Q4033" i="73"/>
  <c r="L4033" i="73"/>
  <c r="L2268" i="73"/>
  <c r="Q2268" i="73"/>
  <c r="L210" i="73"/>
  <c r="Q210" i="73"/>
  <c r="L3947" i="73"/>
  <c r="Q3947" i="73"/>
  <c r="L363" i="73"/>
  <c r="Q363" i="73"/>
  <c r="L2950" i="73"/>
  <c r="Q2950" i="73"/>
  <c r="L1482" i="73"/>
  <c r="Q1482" i="73"/>
  <c r="L3967" i="73"/>
  <c r="Q3967" i="73"/>
  <c r="Q2898" i="73"/>
  <c r="L2898" i="73"/>
  <c r="L1484" i="73"/>
  <c r="Q1484" i="73"/>
  <c r="L2228" i="73"/>
  <c r="Q2228" i="73"/>
  <c r="L2902" i="73"/>
  <c r="Q2902" i="73"/>
  <c r="L3900" i="73"/>
  <c r="Q3900" i="73"/>
  <c r="L1098" i="73"/>
  <c r="Q1098" i="73"/>
  <c r="L2325" i="73"/>
  <c r="Q2325" i="73"/>
  <c r="L2313" i="73"/>
  <c r="Q2313" i="73"/>
  <c r="L3025" i="73"/>
  <c r="Q3025" i="73"/>
  <c r="Q179" i="73"/>
  <c r="L179" i="73"/>
  <c r="L2779" i="73"/>
  <c r="Q2779" i="73"/>
  <c r="L1820" i="73"/>
  <c r="Q1820" i="73"/>
  <c r="L2315" i="73"/>
  <c r="Q2315" i="73"/>
  <c r="L2502" i="73"/>
  <c r="Q2502" i="73"/>
  <c r="L1610" i="73"/>
  <c r="Q1610" i="73"/>
  <c r="L2278" i="73"/>
  <c r="Q2278" i="73"/>
  <c r="L1746" i="73"/>
  <c r="Q1746" i="73"/>
  <c r="L2399" i="73"/>
  <c r="Q2399" i="73"/>
  <c r="M525" i="73"/>
  <c r="L525" i="73" s="1"/>
  <c r="M1081" i="73"/>
  <c r="L1081" i="73" s="1"/>
  <c r="M1388" i="73"/>
  <c r="L1388" i="73" s="1"/>
  <c r="M1774" i="73"/>
  <c r="L1774" i="73" s="1"/>
  <c r="M3089" i="73"/>
  <c r="L3089" i="73" s="1"/>
  <c r="M3858" i="73"/>
  <c r="Q3858" i="73" s="1"/>
  <c r="M4108" i="73"/>
  <c r="L4108" i="73" s="1"/>
  <c r="M4361" i="73"/>
  <c r="L4361" i="73" s="1"/>
  <c r="M2172" i="73"/>
  <c r="Q2172" i="73" s="1"/>
  <c r="M2427" i="73"/>
  <c r="Q2427" i="73" s="1"/>
  <c r="M3357" i="73"/>
  <c r="L3357" i="73" s="1"/>
  <c r="M4030" i="73"/>
  <c r="L4030" i="73" s="1"/>
  <c r="M441" i="73"/>
  <c r="Q441" i="73" s="1"/>
  <c r="M1980" i="73"/>
  <c r="L1980" i="73" s="1"/>
  <c r="M144" i="73"/>
  <c r="L144" i="73" s="1"/>
  <c r="M303" i="73"/>
  <c r="L303" i="73" s="1"/>
  <c r="M388" i="73"/>
  <c r="Q388" i="73" s="1"/>
  <c r="M4624" i="73"/>
  <c r="L4624" i="73" s="1"/>
  <c r="L3068" i="73"/>
  <c r="M1951" i="73"/>
  <c r="L1951" i="73" s="1"/>
  <c r="M2030" i="73"/>
  <c r="Q2030" i="73" s="1"/>
  <c r="M2585" i="73"/>
  <c r="L2585" i="73" s="1"/>
  <c r="M3912" i="73"/>
  <c r="L3912" i="73" s="1"/>
  <c r="M2999" i="73"/>
  <c r="L2999" i="73" s="1"/>
  <c r="Q870" i="73"/>
  <c r="M2986" i="73"/>
  <c r="L2986" i="73" s="1"/>
  <c r="Q3407" i="73"/>
  <c r="Q1652" i="73"/>
  <c r="L4260" i="73"/>
  <c r="Q4260" i="73"/>
  <c r="L3632" i="73"/>
  <c r="Q3632" i="73"/>
  <c r="Q3658" i="73"/>
  <c r="L3658" i="73"/>
  <c r="L755" i="73"/>
  <c r="Q755" i="73"/>
  <c r="L3341" i="73"/>
  <c r="Q3341" i="73"/>
  <c r="L3417" i="73"/>
  <c r="Q3417" i="73"/>
  <c r="Q4455" i="73"/>
  <c r="L4455" i="73"/>
  <c r="L749" i="73"/>
  <c r="Q749" i="73"/>
  <c r="L3332" i="73"/>
  <c r="Q3332" i="73"/>
  <c r="L3630" i="73"/>
  <c r="Q3630" i="73"/>
  <c r="L4984" i="73"/>
  <c r="Q4984" i="73"/>
  <c r="L369" i="73"/>
  <c r="Q369" i="73"/>
  <c r="L1518" i="73"/>
  <c r="Q1518" i="73"/>
  <c r="L4031" i="73"/>
  <c r="Q4031" i="73"/>
  <c r="L1117" i="73"/>
  <c r="Q1117" i="73"/>
  <c r="L3939" i="73"/>
  <c r="Q3939" i="73"/>
  <c r="L230" i="73"/>
  <c r="Q230" i="73"/>
  <c r="L3892" i="73"/>
  <c r="Q3892" i="73"/>
  <c r="Q1147" i="73"/>
  <c r="L1147" i="73"/>
  <c r="L3933" i="73"/>
  <c r="Q3933" i="73"/>
  <c r="Q3739" i="73"/>
  <c r="L3739" i="73"/>
  <c r="Q2363" i="73"/>
  <c r="L2363" i="73"/>
  <c r="L1473" i="73"/>
  <c r="Q1473" i="73"/>
  <c r="L3852" i="73"/>
  <c r="Q3852" i="73"/>
  <c r="L1048" i="73"/>
  <c r="Q1048" i="73"/>
  <c r="L1674" i="73"/>
  <c r="Q1674" i="73"/>
  <c r="L2288" i="73"/>
  <c r="Q2288" i="73"/>
  <c r="L3023" i="73"/>
  <c r="Q3023" i="73"/>
  <c r="L3906" i="73"/>
  <c r="Q3906" i="73"/>
  <c r="L216" i="73"/>
  <c r="Q216" i="73"/>
  <c r="L1374" i="73"/>
  <c r="Q1374" i="73"/>
  <c r="L2365" i="73"/>
  <c r="Q2365" i="73"/>
  <c r="L3814" i="73"/>
  <c r="Q3814" i="73"/>
  <c r="L3963" i="73"/>
  <c r="Q3963" i="73"/>
  <c r="L1660" i="73"/>
  <c r="Q1660" i="73"/>
  <c r="L2123" i="73"/>
  <c r="Q2123" i="73"/>
  <c r="L2889" i="73"/>
  <c r="Q2889" i="73"/>
  <c r="L3937" i="73"/>
  <c r="Q3937" i="73"/>
  <c r="L2977" i="73"/>
  <c r="Q2977" i="73"/>
  <c r="L3164" i="73"/>
  <c r="Q3164" i="73"/>
  <c r="L2397" i="73"/>
  <c r="Q2397" i="73"/>
  <c r="L386" i="73"/>
  <c r="Q386" i="73"/>
  <c r="L3061" i="73"/>
  <c r="Q3061" i="73"/>
  <c r="L3894" i="73"/>
  <c r="Q3894" i="73"/>
  <c r="M360" i="73"/>
  <c r="Q1203" i="73"/>
  <c r="M2015" i="73"/>
  <c r="Q2015" i="73" s="1"/>
  <c r="M271" i="73"/>
  <c r="Q271" i="73" s="1"/>
  <c r="M4619" i="73"/>
  <c r="L4619" i="73" s="1"/>
  <c r="Q3926" i="73"/>
  <c r="Q530" i="73"/>
  <c r="Q2987" i="73"/>
  <c r="L4250" i="73"/>
  <c r="Q4250" i="73"/>
  <c r="L613" i="73"/>
  <c r="Q613" i="73"/>
  <c r="L987" i="73"/>
  <c r="Q987" i="73"/>
  <c r="L1242" i="73"/>
  <c r="Q1242" i="73"/>
  <c r="L240" i="73"/>
  <c r="Q240" i="73"/>
  <c r="L868" i="73"/>
  <c r="Q868" i="73"/>
  <c r="L3324" i="73"/>
  <c r="Q3324" i="73"/>
  <c r="L3640" i="73"/>
  <c r="Q3640" i="73"/>
  <c r="L405" i="73"/>
  <c r="Q405" i="73"/>
  <c r="L812" i="73"/>
  <c r="Q812" i="73"/>
  <c r="L611" i="73"/>
  <c r="Q611" i="73"/>
  <c r="L1238" i="73"/>
  <c r="Q1238" i="73"/>
  <c r="L3415" i="73"/>
  <c r="Q3415" i="73"/>
  <c r="L3656" i="73"/>
  <c r="Q3656" i="73"/>
  <c r="L717" i="73"/>
  <c r="Q717" i="73"/>
  <c r="L782" i="73"/>
  <c r="Q782" i="73"/>
  <c r="L3945" i="73"/>
  <c r="Q3945" i="73"/>
  <c r="L532" i="73"/>
  <c r="Q532" i="73"/>
  <c r="L3924" i="73"/>
  <c r="Q3924" i="73"/>
  <c r="L3890" i="73"/>
  <c r="Q3890" i="73"/>
  <c r="L3931" i="73"/>
  <c r="Q3931" i="73"/>
  <c r="L3949" i="73"/>
  <c r="Q3949" i="73"/>
  <c r="L3954" i="73"/>
  <c r="Q3954" i="73"/>
  <c r="L2781" i="73"/>
  <c r="Q2781" i="73"/>
  <c r="L1672" i="73"/>
  <c r="Q1672" i="73"/>
  <c r="L1712" i="73"/>
  <c r="Q1712" i="73"/>
  <c r="L2989" i="73"/>
  <c r="Q2989" i="73"/>
  <c r="L3764" i="73"/>
  <c r="Q3764" i="73"/>
  <c r="L1366" i="73"/>
  <c r="Q1366" i="73"/>
  <c r="L2121" i="73"/>
  <c r="Q2121" i="73"/>
  <c r="L3919" i="73"/>
  <c r="Q3919" i="73"/>
  <c r="L4069" i="73"/>
  <c r="Q4069" i="73"/>
  <c r="L2241" i="73"/>
  <c r="Q2241" i="73"/>
  <c r="L3027" i="73"/>
  <c r="Q3027" i="73"/>
  <c r="L3965" i="73"/>
  <c r="Q3965" i="73"/>
  <c r="L1744" i="73"/>
  <c r="Q1744" i="73"/>
  <c r="L2940" i="73"/>
  <c r="Q2940" i="73"/>
  <c r="L2001" i="73"/>
  <c r="Q2001" i="73"/>
  <c r="L1205" i="73"/>
  <c r="Q1205" i="73"/>
  <c r="M1047" i="73"/>
  <c r="L3244" i="73"/>
  <c r="Q3244" i="73"/>
  <c r="L864" i="73"/>
  <c r="Q864" i="73"/>
  <c r="L876" i="73"/>
  <c r="Q876" i="73"/>
  <c r="L2473" i="73"/>
  <c r="Q2473" i="73"/>
  <c r="L615" i="73"/>
  <c r="Q615" i="73"/>
  <c r="L1244" i="73"/>
  <c r="Q1244" i="73"/>
  <c r="L3442" i="73"/>
  <c r="Q3442" i="73"/>
  <c r="L3660" i="73"/>
  <c r="Q3660" i="73"/>
  <c r="L599" i="73"/>
  <c r="Q599" i="73"/>
  <c r="L3654" i="73"/>
  <c r="Q3654" i="73"/>
  <c r="L665" i="73"/>
  <c r="Q665" i="73"/>
  <c r="L872" i="73"/>
  <c r="Q872" i="73"/>
  <c r="L3411" i="73"/>
  <c r="Q3411" i="73"/>
  <c r="L903" i="73"/>
  <c r="Q903" i="73"/>
  <c r="L838" i="73"/>
  <c r="M835" i="73"/>
  <c r="Q838" i="73"/>
  <c r="L3888" i="73"/>
  <c r="Q3888" i="73"/>
  <c r="L3882" i="73"/>
  <c r="Q3882" i="73"/>
  <c r="L1119" i="73"/>
  <c r="Q1119" i="73"/>
  <c r="L3880" i="73"/>
  <c r="Q3880" i="73"/>
  <c r="Q2361" i="73"/>
  <c r="L2361" i="73"/>
  <c r="L3915" i="73"/>
  <c r="Q3915" i="73"/>
  <c r="L2224" i="73"/>
  <c r="Q2224" i="73"/>
  <c r="L208" i="73"/>
  <c r="Q208" i="73"/>
  <c r="L1149" i="73"/>
  <c r="Q1149" i="73"/>
  <c r="L2119" i="73"/>
  <c r="Q2119" i="73"/>
  <c r="L2783" i="73"/>
  <c r="Q2783" i="73"/>
  <c r="L3917" i="73"/>
  <c r="Q3917" i="73"/>
  <c r="L4067" i="73"/>
  <c r="Q4067" i="73"/>
  <c r="L1050" i="73"/>
  <c r="Q1050" i="73"/>
  <c r="L1676" i="73"/>
  <c r="Q1676" i="73"/>
  <c r="L2237" i="73"/>
  <c r="Q2237" i="73"/>
  <c r="L2975" i="73"/>
  <c r="Q2975" i="73"/>
  <c r="L3902" i="73"/>
  <c r="Q3902" i="73"/>
  <c r="L1141" i="73"/>
  <c r="Q1141" i="73"/>
  <c r="L2329" i="73"/>
  <c r="Q2329" i="73"/>
  <c r="L3913" i="73"/>
  <c r="Q3913" i="73"/>
  <c r="L4071" i="73"/>
  <c r="Q4071" i="73"/>
  <c r="L3059" i="73"/>
  <c r="Q3059" i="73"/>
  <c r="L3242" i="73"/>
  <c r="Q3242" i="73"/>
  <c r="M1840" i="73"/>
  <c r="L1840" i="73" s="1"/>
  <c r="M2137" i="73"/>
  <c r="L2137" i="73" s="1"/>
  <c r="M2511" i="73"/>
  <c r="L2511" i="73" s="1"/>
  <c r="M4313" i="73"/>
  <c r="L4313" i="73" s="1"/>
  <c r="M1075" i="73"/>
  <c r="L1075" i="73" s="1"/>
  <c r="M189" i="73"/>
  <c r="Q189" i="73" s="1"/>
  <c r="M2299" i="73"/>
  <c r="L2299" i="73" s="1"/>
  <c r="M2705" i="73"/>
  <c r="L2705" i="73" s="1"/>
  <c r="L1534" i="73"/>
  <c r="Q1534" i="73"/>
  <c r="L1041" i="73"/>
  <c r="Q1041" i="73"/>
  <c r="L655" i="73"/>
  <c r="Q655" i="73"/>
  <c r="L1221" i="73"/>
  <c r="Q1221" i="73"/>
  <c r="M2695" i="73"/>
  <c r="Q2695" i="73" s="1"/>
  <c r="M1216" i="73"/>
  <c r="L1216" i="73" s="1"/>
  <c r="L1688" i="73"/>
  <c r="L1030" i="73"/>
  <c r="Q1030" i="73"/>
  <c r="L4525" i="73"/>
  <c r="Q4525" i="73"/>
  <c r="L4499" i="73"/>
  <c r="Q4499" i="73"/>
  <c r="M3432" i="73"/>
  <c r="L3432" i="73" s="1"/>
  <c r="L3336" i="73"/>
  <c r="Q3336" i="73"/>
  <c r="L1226" i="73"/>
  <c r="Q1226" i="73"/>
  <c r="L3401" i="73"/>
  <c r="Q3401" i="73"/>
  <c r="L3465" i="73"/>
  <c r="Q3465" i="73"/>
  <c r="L1780" i="73"/>
  <c r="Q1780" i="73"/>
  <c r="L3694" i="73"/>
  <c r="Q3694" i="73"/>
  <c r="L3421" i="73"/>
  <c r="Q3421" i="73"/>
  <c r="Q4196" i="73"/>
  <c r="L4196" i="73"/>
  <c r="Q3444" i="73"/>
  <c r="L3444" i="73"/>
  <c r="Q2748" i="73"/>
  <c r="L2748" i="73"/>
  <c r="L4551" i="73"/>
  <c r="Q4551" i="73"/>
  <c r="L356" i="73"/>
  <c r="Q356" i="73"/>
  <c r="L1755" i="73"/>
  <c r="Q1755" i="73"/>
  <c r="L4988" i="73"/>
  <c r="Q4988" i="73"/>
  <c r="L1294" i="73"/>
  <c r="Q1294" i="73"/>
  <c r="L720" i="73"/>
  <c r="Q720" i="73"/>
  <c r="L3607" i="73"/>
  <c r="Q3607" i="73"/>
  <c r="M3198" i="73"/>
  <c r="L931" i="73"/>
  <c r="Q931" i="73"/>
  <c r="L504" i="73"/>
  <c r="Q504" i="73"/>
  <c r="L3302" i="73"/>
  <c r="Q3302" i="73"/>
  <c r="L661" i="73"/>
  <c r="Q661" i="73"/>
  <c r="L3349" i="73"/>
  <c r="Q3349" i="73"/>
  <c r="Q677" i="73"/>
  <c r="L677" i="73"/>
  <c r="L3391" i="73"/>
  <c r="Q3391" i="73"/>
  <c r="L367" i="73"/>
  <c r="Q367" i="73"/>
  <c r="Q349" i="73"/>
  <c r="L349" i="73"/>
  <c r="L2230" i="73"/>
  <c r="Q2230" i="73"/>
  <c r="L4938" i="73"/>
  <c r="Q4938" i="73"/>
  <c r="L3437" i="73"/>
  <c r="Q3437" i="73"/>
  <c r="L2243" i="73"/>
  <c r="Q2243" i="73"/>
  <c r="L3678" i="73"/>
  <c r="Q3678" i="73"/>
  <c r="Q983" i="73"/>
  <c r="L983" i="73"/>
  <c r="L3387" i="73"/>
  <c r="Q3387" i="73"/>
  <c r="L1297" i="73"/>
  <c r="Q1297" i="73"/>
  <c r="L3419" i="73"/>
  <c r="Q3419" i="73"/>
  <c r="Q729" i="73"/>
  <c r="L729" i="73"/>
  <c r="L3144" i="73"/>
  <c r="Q3144" i="73"/>
  <c r="L1486" i="73"/>
  <c r="Q1486" i="73"/>
  <c r="Q4475" i="73"/>
  <c r="L4475" i="73"/>
  <c r="L2891" i="73"/>
  <c r="Q2891" i="73"/>
  <c r="L2904" i="73"/>
  <c r="Q2904" i="73"/>
  <c r="L3628" i="73"/>
  <c r="Q3628" i="73"/>
  <c r="L975" i="73"/>
  <c r="Q975" i="73"/>
  <c r="L784" i="73"/>
  <c r="Q784" i="73"/>
  <c r="L643" i="73"/>
  <c r="Q643" i="73"/>
  <c r="L802" i="73"/>
  <c r="Q802" i="73"/>
  <c r="L3577" i="73"/>
  <c r="Q3577" i="73"/>
  <c r="L850" i="73"/>
  <c r="Q850" i="73"/>
  <c r="L3636" i="73"/>
  <c r="Q3636" i="73"/>
  <c r="Q905" i="73"/>
  <c r="L905" i="73"/>
  <c r="L3662" i="73"/>
  <c r="Q3662" i="73"/>
  <c r="L1692" i="73"/>
  <c r="Q1692" i="73"/>
  <c r="L3766" i="73"/>
  <c r="Q3766" i="73"/>
  <c r="L4467" i="73"/>
  <c r="Q4467" i="73"/>
  <c r="L3070" i="73"/>
  <c r="Q3070" i="73"/>
  <c r="L2070" i="73"/>
  <c r="L2009" i="73"/>
  <c r="Q2009" i="73"/>
  <c r="L2730" i="73"/>
  <c r="Q2730" i="73"/>
  <c r="L1598" i="73"/>
  <c r="Q1598" i="73"/>
  <c r="L4210" i="73"/>
  <c r="Q4210" i="73"/>
  <c r="L4208" i="73"/>
  <c r="Q4208" i="73"/>
  <c r="L2855" i="73"/>
  <c r="Q2855" i="73"/>
  <c r="L4252" i="73"/>
  <c r="Q4252" i="73"/>
  <c r="L4228" i="73"/>
  <c r="Q4228" i="73"/>
  <c r="L206" i="73"/>
  <c r="Q206" i="73"/>
  <c r="M3331" i="73"/>
  <c r="L4226" i="73"/>
  <c r="Q4226" i="73"/>
  <c r="L1448" i="73"/>
  <c r="Q1448" i="73"/>
  <c r="L228" i="73"/>
  <c r="Q228" i="73"/>
  <c r="L433" i="73"/>
  <c r="Q433" i="73"/>
  <c r="L4254" i="73"/>
  <c r="Q4254" i="73"/>
  <c r="L2195" i="73"/>
  <c r="Q2195" i="73"/>
  <c r="M227" i="73"/>
  <c r="M2475" i="73"/>
  <c r="Q2475" i="73" s="1"/>
  <c r="L570" i="73"/>
  <c r="Q570" i="73"/>
  <c r="L778" i="73"/>
  <c r="Q778" i="73"/>
  <c r="L1055" i="73"/>
  <c r="M1054" i="73"/>
  <c r="Q1055" i="73"/>
  <c r="M2163" i="73"/>
  <c r="L2163" i="73" s="1"/>
  <c r="M3763" i="73"/>
  <c r="L3763" i="73" s="1"/>
  <c r="M296" i="73"/>
  <c r="Q296" i="73" s="1"/>
  <c r="M113" i="73"/>
  <c r="L113" i="73" s="1"/>
  <c r="M4880" i="73"/>
  <c r="L4880" i="73" s="1"/>
  <c r="M4717" i="73"/>
  <c r="Q4717" i="73" s="1"/>
  <c r="M1831" i="73"/>
  <c r="Q1831" i="73" s="1"/>
  <c r="L572" i="73"/>
  <c r="Q572" i="73"/>
  <c r="L587" i="73"/>
  <c r="Q587" i="73"/>
  <c r="L3074" i="73"/>
  <c r="Q3074" i="73"/>
  <c r="L601" i="73"/>
  <c r="Q601" i="73"/>
  <c r="Q4507" i="73"/>
  <c r="L4507" i="73"/>
  <c r="M4562" i="73"/>
  <c r="L4562" i="73" s="1"/>
  <c r="M4933" i="73"/>
  <c r="Q4933" i="73" s="1"/>
  <c r="M4577" i="73"/>
  <c r="M4641" i="73"/>
  <c r="L4641" i="73" s="1"/>
  <c r="M4983" i="73"/>
  <c r="Q4983" i="73" s="1"/>
  <c r="M3158" i="73"/>
  <c r="L3158" i="73" s="1"/>
  <c r="M4391" i="73"/>
  <c r="L4391" i="73" s="1"/>
  <c r="L3215" i="73"/>
  <c r="Q3215" i="73"/>
  <c r="L899" i="73"/>
  <c r="Q899" i="73"/>
  <c r="L585" i="73"/>
  <c r="Q585" i="73"/>
  <c r="L1759" i="73"/>
  <c r="Q1759" i="73"/>
  <c r="M4687" i="73"/>
  <c r="L4687" i="73" s="1"/>
  <c r="M4660" i="73"/>
  <c r="Q4660" i="73" s="1"/>
  <c r="M4371" i="73"/>
  <c r="Q4371" i="73" s="1"/>
  <c r="L2561" i="73"/>
  <c r="Q2561" i="73"/>
  <c r="L667" i="73"/>
  <c r="Q667" i="73"/>
  <c r="L202" i="73"/>
  <c r="Q202" i="73"/>
  <c r="L2412" i="73"/>
  <c r="Q2412" i="73"/>
  <c r="L1996" i="73"/>
  <c r="Q1996" i="73"/>
  <c r="L4385" i="73"/>
  <c r="L3129" i="73"/>
  <c r="Q739" i="73"/>
  <c r="L3799" i="73"/>
  <c r="L2347" i="73"/>
  <c r="Q2347" i="73"/>
  <c r="L3009" i="73"/>
  <c r="Q3009" i="73"/>
  <c r="L1943" i="73"/>
  <c r="Q1943" i="73"/>
  <c r="L1883" i="73"/>
  <c r="M1882" i="73"/>
  <c r="Q1883" i="73"/>
  <c r="L2577" i="73"/>
  <c r="Q2577" i="73"/>
  <c r="L3266" i="73"/>
  <c r="Q3266" i="73"/>
  <c r="L2604" i="73"/>
  <c r="Q2604" i="73"/>
  <c r="L4248" i="73"/>
  <c r="Q4248" i="73"/>
  <c r="L2600" i="73"/>
  <c r="Q2600" i="73"/>
  <c r="M2599" i="73"/>
  <c r="L4224" i="73"/>
  <c r="Q4224" i="73"/>
  <c r="M4223" i="73"/>
  <c r="L3605" i="73"/>
  <c r="M3604" i="73"/>
  <c r="Q3605" i="73"/>
  <c r="L4149" i="73"/>
  <c r="Q4149" i="73"/>
  <c r="L2258" i="73"/>
  <c r="Q2258" i="73"/>
  <c r="L2251" i="73"/>
  <c r="Q2251" i="73"/>
  <c r="L1972" i="73"/>
  <c r="Q1972" i="73"/>
  <c r="L675" i="73"/>
  <c r="Q675" i="73"/>
  <c r="L1248" i="73"/>
  <c r="Q1248" i="73"/>
  <c r="L897" i="73"/>
  <c r="Q897" i="73"/>
  <c r="L2435" i="73"/>
  <c r="Q2435" i="73"/>
  <c r="L3304" i="73"/>
  <c r="Q3304" i="73"/>
  <c r="M3301" i="73"/>
  <c r="L3480" i="73"/>
  <c r="Q3480" i="73"/>
  <c r="L3620" i="73"/>
  <c r="Q3620" i="73"/>
  <c r="L3979" i="73"/>
  <c r="Q3979" i="73"/>
  <c r="L673" i="73"/>
  <c r="Q673" i="73"/>
  <c r="L1089" i="73"/>
  <c r="Q1089" i="73"/>
  <c r="L893" i="73"/>
  <c r="Q893" i="73"/>
  <c r="L2433" i="73"/>
  <c r="Q2433" i="73"/>
  <c r="L3347" i="73"/>
  <c r="Q3347" i="73"/>
  <c r="L3395" i="73"/>
  <c r="Q3395" i="73"/>
  <c r="L3585" i="73"/>
  <c r="Q3585" i="73"/>
  <c r="L3702" i="73"/>
  <c r="Q3702" i="73"/>
  <c r="L653" i="73"/>
  <c r="Q653" i="73"/>
  <c r="L985" i="73"/>
  <c r="Q985" i="73"/>
  <c r="L814" i="73"/>
  <c r="Q814" i="73"/>
  <c r="L1782" i="73"/>
  <c r="Q1782" i="73"/>
  <c r="L3310" i="73"/>
  <c r="Q3310" i="73"/>
  <c r="L3308" i="73"/>
  <c r="Q3308" i="73"/>
  <c r="L3364" i="73"/>
  <c r="Q3364" i="73"/>
  <c r="L3666" i="73"/>
  <c r="Q3666" i="73"/>
  <c r="L4292" i="73"/>
  <c r="M4289" i="73"/>
  <c r="Q4292" i="73"/>
  <c r="L3399" i="73"/>
  <c r="Q3399" i="73"/>
  <c r="L3450" i="73"/>
  <c r="Q3450" i="73"/>
  <c r="L3456" i="73"/>
  <c r="Q3456" i="73"/>
  <c r="L3644" i="73"/>
  <c r="Q3644" i="73"/>
  <c r="L3684" i="73"/>
  <c r="Q3684" i="73"/>
  <c r="L4436" i="73"/>
  <c r="Q4436" i="73"/>
  <c r="L4353" i="73"/>
  <c r="Q4353" i="73"/>
  <c r="L4200" i="73"/>
  <c r="Q4200" i="73"/>
  <c r="L3579" i="73"/>
  <c r="Q3579" i="73"/>
  <c r="L3664" i="73"/>
  <c r="Q3664" i="73"/>
  <c r="L3696" i="73"/>
  <c r="Q3696" i="73"/>
  <c r="L4190" i="73"/>
  <c r="Q4190" i="73"/>
  <c r="L2437" i="73"/>
  <c r="Q2437" i="73"/>
  <c r="L3099" i="73"/>
  <c r="Q3099" i="73"/>
  <c r="L2441" i="73"/>
  <c r="Q2441" i="73"/>
  <c r="L2439" i="73"/>
  <c r="Q2439" i="73"/>
  <c r="L1480" i="73"/>
  <c r="M1479" i="73"/>
  <c r="Q1480" i="73"/>
  <c r="L2222" i="73"/>
  <c r="M2221" i="73"/>
  <c r="Q2222" i="73"/>
  <c r="L3856" i="73"/>
  <c r="Q3856" i="73"/>
  <c r="L3007" i="73"/>
  <c r="Q3007" i="73"/>
  <c r="L1636" i="73"/>
  <c r="Q1636" i="73"/>
  <c r="L4145" i="73"/>
  <c r="M4144" i="73"/>
  <c r="Q4145" i="73"/>
  <c r="L1351" i="73"/>
  <c r="Q1351" i="73"/>
  <c r="L2381" i="73"/>
  <c r="Q2381" i="73"/>
  <c r="L2965" i="73"/>
  <c r="Q2965" i="73"/>
  <c r="L2082" i="73"/>
  <c r="Q2082" i="73"/>
  <c r="L3562" i="73"/>
  <c r="Q3562" i="73"/>
  <c r="M1348" i="73"/>
  <c r="L1349" i="73"/>
  <c r="Q1349" i="73"/>
  <c r="M1990" i="73"/>
  <c r="L2758" i="73"/>
  <c r="M2757" i="73"/>
  <c r="Q2758" i="73"/>
  <c r="L3564" i="73"/>
  <c r="Q3564" i="73"/>
  <c r="L3943" i="73"/>
  <c r="Q3943" i="73"/>
  <c r="L4322" i="73"/>
  <c r="Q4322" i="73"/>
  <c r="L2929" i="73"/>
  <c r="M2928" i="73"/>
  <c r="Q2929" i="73"/>
  <c r="Q710" i="73"/>
  <c r="L710" i="73"/>
  <c r="M3829" i="73"/>
  <c r="L1343" i="73"/>
  <c r="Q1343" i="73"/>
  <c r="L1730" i="73"/>
  <c r="Q1730" i="73"/>
  <c r="L2383" i="73"/>
  <c r="Q2383" i="73"/>
  <c r="L3260" i="73"/>
  <c r="Q3260" i="73"/>
  <c r="L2608" i="73"/>
  <c r="Q2608" i="73"/>
  <c r="L2606" i="73"/>
  <c r="Q2606" i="73"/>
  <c r="L1887" i="73"/>
  <c r="Q1887" i="73"/>
  <c r="L2612" i="73"/>
  <c r="Q2612" i="73"/>
  <c r="L1885" i="73"/>
  <c r="Q1885" i="73"/>
  <c r="L2610" i="73"/>
  <c r="Q2610" i="73"/>
  <c r="L4159" i="73"/>
  <c r="Q4159" i="73"/>
  <c r="M4158" i="73"/>
  <c r="L3595" i="73"/>
  <c r="Q3595" i="73"/>
  <c r="L1508" i="73"/>
  <c r="Q1508" i="73"/>
  <c r="L456" i="73"/>
  <c r="Q456" i="73"/>
  <c r="L159" i="73"/>
  <c r="Q159" i="73"/>
  <c r="L238" i="73"/>
  <c r="Q238" i="73"/>
  <c r="M972" i="73"/>
  <c r="L973" i="73"/>
  <c r="Q973" i="73"/>
  <c r="L776" i="73"/>
  <c r="Q776" i="73"/>
  <c r="L923" i="73"/>
  <c r="Q923" i="73"/>
  <c r="L3389" i="73"/>
  <c r="Q3389" i="73"/>
  <c r="L3423" i="73"/>
  <c r="Q3423" i="73"/>
  <c r="L3500" i="73"/>
  <c r="Q3500" i="73"/>
  <c r="L3650" i="73"/>
  <c r="Q3650" i="73"/>
  <c r="L4188" i="73"/>
  <c r="Q4188" i="73"/>
  <c r="L699" i="73"/>
  <c r="Q699" i="73"/>
  <c r="L772" i="73"/>
  <c r="Q772" i="73"/>
  <c r="L921" i="73"/>
  <c r="Q921" i="73"/>
  <c r="L3318" i="73"/>
  <c r="Q3318" i="73"/>
  <c r="L3379" i="73"/>
  <c r="Q3379" i="73"/>
  <c r="L3097" i="73"/>
  <c r="Q3097" i="73"/>
  <c r="L3646" i="73"/>
  <c r="Q3646" i="73"/>
  <c r="L4120" i="73"/>
  <c r="Q4120" i="73"/>
  <c r="L663" i="73"/>
  <c r="Q663" i="73"/>
  <c r="L1087" i="73"/>
  <c r="Q1087" i="73"/>
  <c r="L874" i="73"/>
  <c r="Q874" i="73"/>
  <c r="L3573" i="73"/>
  <c r="Q3573" i="73"/>
  <c r="L3518" i="73"/>
  <c r="Q3518" i="73"/>
  <c r="L3345" i="73"/>
  <c r="Q3345" i="73"/>
  <c r="L3448" i="73"/>
  <c r="Q3448" i="73"/>
  <c r="L3682" i="73"/>
  <c r="Q3682" i="73"/>
  <c r="L3413" i="73"/>
  <c r="Q3413" i="73"/>
  <c r="L3488" i="73"/>
  <c r="Q3488" i="73"/>
  <c r="L3095" i="73"/>
  <c r="Q3095" i="73"/>
  <c r="L3522" i="73"/>
  <c r="Q3522" i="73"/>
  <c r="L3652" i="73"/>
  <c r="Q3652" i="73"/>
  <c r="L3692" i="73"/>
  <c r="Q3692" i="73"/>
  <c r="L4186" i="73"/>
  <c r="Q4186" i="73"/>
  <c r="L4434" i="73"/>
  <c r="Q4434" i="73"/>
  <c r="L4351" i="73"/>
  <c r="Q4351" i="73"/>
  <c r="L3618" i="73"/>
  <c r="Q3618" i="73"/>
  <c r="L3672" i="73"/>
  <c r="Q3672" i="73"/>
  <c r="L3715" i="73"/>
  <c r="M3714" i="73"/>
  <c r="Q3715" i="73"/>
  <c r="L4198" i="73"/>
  <c r="Q4198" i="73"/>
  <c r="L1786" i="73"/>
  <c r="Q1786" i="73"/>
  <c r="L4459" i="73"/>
  <c r="Q4459" i="73"/>
  <c r="M4454" i="73"/>
  <c r="L3127" i="73"/>
  <c r="Q3127" i="73"/>
  <c r="L3103" i="73"/>
  <c r="Q3103" i="73"/>
  <c r="L2235" i="73"/>
  <c r="M2234" i="73"/>
  <c r="Q2235" i="73"/>
  <c r="L2883" i="73"/>
  <c r="M2882" i="73"/>
  <c r="Q2883" i="73"/>
  <c r="L4331" i="73"/>
  <c r="Q4331" i="73"/>
  <c r="M4330" i="73"/>
  <c r="L3534" i="73"/>
  <c r="Q3534" i="73"/>
  <c r="L2303" i="73"/>
  <c r="Q2303" i="73"/>
  <c r="L4175" i="73"/>
  <c r="Q4175" i="73"/>
  <c r="M1852" i="73"/>
  <c r="L3593" i="73"/>
  <c r="Q3593" i="73"/>
  <c r="M1337" i="73"/>
  <c r="M2097" i="73"/>
  <c r="L2098" i="73"/>
  <c r="Q2098" i="73"/>
  <c r="M2496" i="73"/>
  <c r="L3591" i="73"/>
  <c r="Q3591" i="73"/>
  <c r="M3590" i="73"/>
  <c r="L1630" i="73"/>
  <c r="Q1630" i="73"/>
  <c r="L2088" i="73"/>
  <c r="Q2088" i="73"/>
  <c r="L2887" i="73"/>
  <c r="Q2887" i="73"/>
  <c r="L3609" i="73"/>
  <c r="Q3609" i="73"/>
  <c r="L82" i="73"/>
  <c r="Q82" i="73"/>
  <c r="M2949" i="73"/>
  <c r="Q1752" i="73"/>
  <c r="L4138" i="73"/>
  <c r="Q4138" i="73"/>
  <c r="Q1069" i="73"/>
  <c r="M584" i="73"/>
  <c r="L737" i="73"/>
  <c r="Q737" i="73"/>
  <c r="M4674" i="73"/>
  <c r="L3045" i="73"/>
  <c r="Q3045" i="73"/>
  <c r="L4212" i="73"/>
  <c r="Q4212" i="73"/>
  <c r="M4207" i="73"/>
  <c r="L1893" i="73"/>
  <c r="Q1893" i="73"/>
  <c r="L1891" i="73"/>
  <c r="Q1891" i="73"/>
  <c r="L3229" i="73"/>
  <c r="M3228" i="73"/>
  <c r="Q3229" i="73"/>
  <c r="L1897" i="73"/>
  <c r="Q1897" i="73"/>
  <c r="L3254" i="73"/>
  <c r="Q3254" i="73"/>
  <c r="M3253" i="73"/>
  <c r="L1895" i="73"/>
  <c r="Q1895" i="73"/>
  <c r="L3233" i="73"/>
  <c r="Q3233" i="73"/>
  <c r="L3560" i="73"/>
  <c r="Q3560" i="73"/>
  <c r="M3559" i="73"/>
  <c r="L4173" i="73"/>
  <c r="M4172" i="73"/>
  <c r="Q4173" i="73"/>
  <c r="L2919" i="73"/>
  <c r="Q2919" i="73"/>
  <c r="L2912" i="73"/>
  <c r="Q2912" i="73"/>
  <c r="L3286" i="73"/>
  <c r="Q3286" i="73"/>
  <c r="L324" i="73"/>
  <c r="Q324" i="73"/>
  <c r="L981" i="73"/>
  <c r="Q981" i="73"/>
  <c r="L800" i="73"/>
  <c r="Q800" i="73"/>
  <c r="L1256" i="73"/>
  <c r="Q1256" i="73"/>
  <c r="L3510" i="73"/>
  <c r="Q3510" i="73"/>
  <c r="L3454" i="73"/>
  <c r="Q3454" i="73"/>
  <c r="L3351" i="73"/>
  <c r="Q3351" i="73"/>
  <c r="L3674" i="73"/>
  <c r="Q3674" i="73"/>
  <c r="L617" i="73"/>
  <c r="Q617" i="73"/>
  <c r="L979" i="73"/>
  <c r="Q979" i="73"/>
  <c r="L792" i="73"/>
  <c r="Q792" i="73"/>
  <c r="L935" i="73"/>
  <c r="Q935" i="73"/>
  <c r="L3452" i="73"/>
  <c r="Q3452" i="73"/>
  <c r="L3496" i="73"/>
  <c r="Q3496" i="73"/>
  <c r="L3306" i="73"/>
  <c r="Q3306" i="73"/>
  <c r="L3670" i="73"/>
  <c r="Q3670" i="73"/>
  <c r="L4355" i="73"/>
  <c r="Q4355" i="73"/>
  <c r="L679" i="73"/>
  <c r="Q679" i="73"/>
  <c r="L753" i="73"/>
  <c r="Q753" i="73"/>
  <c r="L907" i="73"/>
  <c r="Q907" i="73"/>
  <c r="L2482" i="73"/>
  <c r="Q2482" i="73"/>
  <c r="L3312" i="73"/>
  <c r="Q3312" i="73"/>
  <c r="L3492" i="73"/>
  <c r="Q3492" i="73"/>
  <c r="L3581" i="73"/>
  <c r="Q3581" i="73"/>
  <c r="L3698" i="73"/>
  <c r="Q3698" i="73"/>
  <c r="L3405" i="73"/>
  <c r="Q3405" i="73"/>
  <c r="L3575" i="73"/>
  <c r="Q3575" i="73"/>
  <c r="L3314" i="73"/>
  <c r="Q3314" i="73"/>
  <c r="L3583" i="73"/>
  <c r="Q3583" i="73"/>
  <c r="L3668" i="73"/>
  <c r="Q3668" i="73"/>
  <c r="L3700" i="73"/>
  <c r="Q3700" i="73"/>
  <c r="L4194" i="73"/>
  <c r="Q4194" i="73"/>
  <c r="L4124" i="73"/>
  <c r="Q4124" i="73"/>
  <c r="L3409" i="73"/>
  <c r="Q3409" i="73"/>
  <c r="L3638" i="73"/>
  <c r="Q3638" i="73"/>
  <c r="L3680" i="73"/>
  <c r="Q3680" i="73"/>
  <c r="L4438" i="73"/>
  <c r="Q4438" i="73"/>
  <c r="L4294" i="73"/>
  <c r="Q4294" i="73"/>
  <c r="L1784" i="73"/>
  <c r="Q1784" i="73"/>
  <c r="L1003" i="73"/>
  <c r="Q1003" i="73"/>
  <c r="L995" i="73"/>
  <c r="Q995" i="73"/>
  <c r="L3854" i="73"/>
  <c r="Q3854" i="73"/>
  <c r="L2896" i="73"/>
  <c r="M2895" i="73"/>
  <c r="Q2896" i="73"/>
  <c r="L4320" i="73"/>
  <c r="Q4320" i="73"/>
  <c r="M4319" i="73"/>
  <c r="L3550" i="73"/>
  <c r="Q3550" i="73"/>
  <c r="M2650" i="73"/>
  <c r="L2100" i="73"/>
  <c r="Q2100" i="73"/>
  <c r="L3532" i="73"/>
  <c r="M3531" i="73"/>
  <c r="Q3532" i="73"/>
  <c r="M3983" i="73"/>
  <c r="L2226" i="73"/>
  <c r="Q2226" i="73"/>
  <c r="L2760" i="73"/>
  <c r="Q2760" i="73"/>
  <c r="L1728" i="73"/>
  <c r="Q1728" i="73"/>
  <c r="L3548" i="73"/>
  <c r="Q3548" i="73"/>
  <c r="L4147" i="73"/>
  <c r="Q4147" i="73"/>
  <c r="L338" i="73"/>
  <c r="M337" i="73"/>
  <c r="Q338" i="73"/>
  <c r="L80" i="73"/>
  <c r="M79" i="73"/>
  <c r="Q80" i="73"/>
  <c r="L2270" i="73"/>
  <c r="M2267" i="73"/>
  <c r="Q2270" i="73"/>
  <c r="M2287" i="73"/>
  <c r="M1619" i="73"/>
  <c r="L1015" i="73"/>
  <c r="Q1015" i="73"/>
  <c r="L2656" i="73"/>
  <c r="Q2656" i="73"/>
  <c r="M4537" i="73"/>
  <c r="M4781" i="73"/>
  <c r="L1694" i="73"/>
  <c r="Q1694" i="73"/>
  <c r="L2579" i="73"/>
  <c r="Q2579" i="73"/>
  <c r="L3231" i="73"/>
  <c r="Q3231" i="73"/>
  <c r="L1941" i="73"/>
  <c r="M1940" i="73"/>
  <c r="Q1941" i="73"/>
  <c r="L3258" i="73"/>
  <c r="Q3258" i="73"/>
  <c r="L2575" i="73"/>
  <c r="M2574" i="73"/>
  <c r="Q2575" i="73"/>
  <c r="L3264" i="73"/>
  <c r="Q3264" i="73"/>
  <c r="L1945" i="73"/>
  <c r="Q1945" i="73"/>
  <c r="L3262" i="73"/>
  <c r="Q3262" i="73"/>
  <c r="L3546" i="73"/>
  <c r="M3545" i="73"/>
  <c r="Q3546" i="73"/>
  <c r="L3536" i="73"/>
  <c r="Q3536" i="73"/>
  <c r="L1501" i="73"/>
  <c r="Q1501" i="73"/>
  <c r="L1268" i="73"/>
  <c r="Q1268" i="73"/>
  <c r="L2632" i="73"/>
  <c r="Q2632" i="73"/>
  <c r="L659" i="73"/>
  <c r="Q659" i="73"/>
  <c r="L1009" i="73"/>
  <c r="Q1009" i="73"/>
  <c r="L1258" i="73"/>
  <c r="Q1258" i="73"/>
  <c r="L3502" i="73"/>
  <c r="Q3502" i="73"/>
  <c r="L3355" i="73"/>
  <c r="Q3355" i="73"/>
  <c r="L3316" i="73"/>
  <c r="Q3316" i="73"/>
  <c r="L3506" i="73"/>
  <c r="Q3506" i="73"/>
  <c r="L3690" i="73"/>
  <c r="Q3690" i="73"/>
  <c r="L657" i="73"/>
  <c r="Q657" i="73"/>
  <c r="L991" i="73"/>
  <c r="Q991" i="73"/>
  <c r="L816" i="73"/>
  <c r="Q816" i="73"/>
  <c r="L1838" i="73"/>
  <c r="Q1838" i="73"/>
  <c r="L3494" i="73"/>
  <c r="Q3494" i="73"/>
  <c r="L3520" i="73"/>
  <c r="Q3520" i="73"/>
  <c r="L3490" i="73"/>
  <c r="Q3490" i="73"/>
  <c r="L3686" i="73"/>
  <c r="Q3686" i="73"/>
  <c r="L564" i="73"/>
  <c r="M563" i="73"/>
  <c r="Q564" i="73"/>
  <c r="L977" i="73"/>
  <c r="Q977" i="73"/>
  <c r="L786" i="73"/>
  <c r="Q786" i="73"/>
  <c r="L933" i="73"/>
  <c r="Q933" i="73"/>
  <c r="L3397" i="73"/>
  <c r="Q3397" i="73"/>
  <c r="L3446" i="73"/>
  <c r="Q3446" i="73"/>
  <c r="L3343" i="73"/>
  <c r="Q3343" i="73"/>
  <c r="L3642" i="73"/>
  <c r="Q3642" i="73"/>
  <c r="L4096" i="73"/>
  <c r="Q4096" i="73"/>
  <c r="L3320" i="73"/>
  <c r="Q3320" i="73"/>
  <c r="L3353" i="73"/>
  <c r="Q3353" i="73"/>
  <c r="L3393" i="73"/>
  <c r="Q3393" i="73"/>
  <c r="L3622" i="73"/>
  <c r="Q3622" i="73"/>
  <c r="L3676" i="73"/>
  <c r="Q3676" i="73"/>
  <c r="L3981" i="73"/>
  <c r="Q3981" i="73"/>
  <c r="L4202" i="73"/>
  <c r="Q4202" i="73"/>
  <c r="L4192" i="73"/>
  <c r="Q4192" i="73"/>
  <c r="L3498" i="73"/>
  <c r="Q3498" i="73"/>
  <c r="L3648" i="73"/>
  <c r="Q3648" i="73"/>
  <c r="L3688" i="73"/>
  <c r="Q3688" i="73"/>
  <c r="L4122" i="73"/>
  <c r="Q4122" i="73"/>
  <c r="L4471" i="73"/>
  <c r="Q4471" i="73"/>
  <c r="L2465" i="73"/>
  <c r="Q2465" i="73"/>
  <c r="L1812" i="73"/>
  <c r="Q1812" i="73"/>
  <c r="L1788" i="73"/>
  <c r="Q1788" i="73"/>
  <c r="L1469" i="73"/>
  <c r="M1468" i="73"/>
  <c r="Q1469" i="73"/>
  <c r="M2823" i="73"/>
  <c r="L1475" i="73"/>
  <c r="Q1475" i="73"/>
  <c r="L1650" i="73"/>
  <c r="Q1650" i="73"/>
  <c r="L2239" i="73"/>
  <c r="Q2239" i="73"/>
  <c r="L3043" i="73"/>
  <c r="Q3043" i="73"/>
  <c r="L4163" i="73"/>
  <c r="Q4163" i="73"/>
  <c r="L2345" i="73"/>
  <c r="Q2345" i="73"/>
  <c r="L2900" i="73"/>
  <c r="Q2900" i="73"/>
  <c r="L4161" i="73"/>
  <c r="Q4161" i="73"/>
  <c r="L2742" i="73"/>
  <c r="Q2742" i="73"/>
  <c r="L4177" i="73"/>
  <c r="Q4177" i="73"/>
  <c r="L2931" i="73"/>
  <c r="Q2931" i="73"/>
  <c r="L1520" i="73"/>
  <c r="M1517" i="73"/>
  <c r="Q1520" i="73"/>
  <c r="M1097" i="73"/>
  <c r="M734" i="73" l="1"/>
  <c r="L3754" i="73"/>
  <c r="L2050" i="73"/>
  <c r="Q2484" i="73"/>
  <c r="Q137" i="73"/>
  <c r="Q4605" i="73"/>
  <c r="Q1423" i="73"/>
  <c r="Q2544" i="73"/>
  <c r="Q1593" i="73"/>
  <c r="Q2324" i="73"/>
  <c r="Q4408" i="73"/>
  <c r="L1543" i="73"/>
  <c r="L1732" i="73"/>
  <c r="Q201" i="73"/>
  <c r="L2073" i="73"/>
  <c r="N1466" i="73"/>
  <c r="O1466" i="73" s="1"/>
  <c r="P1466" i="73" s="1"/>
  <c r="Q3788" i="73"/>
  <c r="Q1573" i="73"/>
  <c r="Q1646" i="73"/>
  <c r="M200" i="73"/>
  <c r="L2669" i="73"/>
  <c r="Q1437" i="73"/>
  <c r="Q18" i="73"/>
  <c r="Q2360" i="73"/>
  <c r="N1166" i="73"/>
  <c r="O1166" i="73" s="1"/>
  <c r="P1166" i="73" s="1"/>
  <c r="N2959" i="73"/>
  <c r="O2959" i="73" s="1"/>
  <c r="P2959" i="73" s="1"/>
  <c r="P1300" i="73"/>
  <c r="N1293" i="73"/>
  <c r="O1293" i="73" s="1"/>
  <c r="P1436" i="73"/>
  <c r="N1422" i="73"/>
  <c r="O1422" i="73" s="1"/>
  <c r="P1422" i="73" s="1"/>
  <c r="Q425" i="73"/>
  <c r="Q4241" i="73"/>
  <c r="N840" i="73"/>
  <c r="O840" i="73" s="1"/>
  <c r="P840" i="73" s="1"/>
  <c r="N4206" i="73"/>
  <c r="O4206" i="73" s="1"/>
  <c r="P4206" i="73" s="1"/>
  <c r="P4240" i="73"/>
  <c r="N2297" i="73"/>
  <c r="O2297" i="73" s="1"/>
  <c r="P2297" i="73" s="1"/>
  <c r="M4576" i="73"/>
  <c r="L4576" i="73" s="1"/>
  <c r="P2185" i="73"/>
  <c r="N2171" i="73"/>
  <c r="O2171" i="73" s="1"/>
  <c r="P2171" i="73" s="1"/>
  <c r="L388" i="73"/>
  <c r="P4407" i="73"/>
  <c r="N4406" i="73"/>
  <c r="O4406" i="73" s="1"/>
  <c r="P4406" i="73" s="1"/>
  <c r="N2873" i="73"/>
  <c r="O2873" i="73" s="1"/>
  <c r="P2873" i="73" s="1"/>
  <c r="P2874" i="73"/>
  <c r="Q3105" i="73"/>
  <c r="L2685" i="73"/>
  <c r="P1917" i="73"/>
  <c r="Q1917" i="73" s="1"/>
  <c r="N1881" i="73"/>
  <c r="O1881" i="73" s="1"/>
  <c r="P1881" i="73" s="1"/>
  <c r="P2213" i="73"/>
  <c r="N2212" i="73"/>
  <c r="O2212" i="73" s="1"/>
  <c r="P1045" i="73"/>
  <c r="P1387" i="73"/>
  <c r="N17" i="73"/>
  <c r="O17" i="73" s="1"/>
  <c r="N1644" i="73"/>
  <c r="O1644" i="73" s="1"/>
  <c r="P1644" i="73" s="1"/>
  <c r="P1670" i="73"/>
  <c r="P3737" i="73"/>
  <c r="N3713" i="73"/>
  <c r="O3713" i="73" s="1"/>
  <c r="L1129" i="73"/>
  <c r="L4446" i="73"/>
  <c r="L3474" i="73"/>
  <c r="L4299" i="73"/>
  <c r="Q376" i="73"/>
  <c r="Q2003" i="73"/>
  <c r="Q2186" i="73"/>
  <c r="L3206" i="73"/>
  <c r="Q2305" i="73"/>
  <c r="Q2700" i="73"/>
  <c r="M2185" i="73"/>
  <c r="L2185" i="73" s="1"/>
  <c r="L1918" i="73"/>
  <c r="Q2504" i="73"/>
  <c r="Q1918" i="73"/>
  <c r="Q2961" i="73"/>
  <c r="Q3458" i="73"/>
  <c r="L4421" i="73"/>
  <c r="L2324" i="73"/>
  <c r="L2832" i="73"/>
  <c r="L1168" i="73"/>
  <c r="Q1768" i="73"/>
  <c r="Q1414" i="73"/>
  <c r="L1588" i="73"/>
  <c r="Q2663" i="73"/>
  <c r="L1814" i="73"/>
  <c r="L3022" i="73"/>
  <c r="Q3035" i="73"/>
  <c r="M2845" i="73"/>
  <c r="Q2845" i="73" s="1"/>
  <c r="Q4019" i="73"/>
  <c r="Q1168" i="73"/>
  <c r="Q4043" i="73"/>
  <c r="L4584" i="73"/>
  <c r="Q2012" i="73"/>
  <c r="L2675" i="73"/>
  <c r="Q131" i="73"/>
  <c r="Q1157" i="73"/>
  <c r="Q3724" i="73"/>
  <c r="L4306" i="73"/>
  <c r="L603" i="73"/>
  <c r="Q29" i="73"/>
  <c r="Q1609" i="73"/>
  <c r="Q2040" i="73"/>
  <c r="Q264" i="73"/>
  <c r="Q2055" i="73"/>
  <c r="Q1537" i="73"/>
  <c r="L1563" i="73"/>
  <c r="Q1558" i="73"/>
  <c r="L3373" i="73"/>
  <c r="Q3738" i="73"/>
  <c r="L4241" i="73"/>
  <c r="L1360" i="73"/>
  <c r="Q494" i="73"/>
  <c r="L2733" i="73"/>
  <c r="Q2999" i="73"/>
  <c r="Q4361" i="73"/>
  <c r="L271" i="73"/>
  <c r="Q4880" i="73"/>
  <c r="Q2163" i="73"/>
  <c r="Q3111" i="73"/>
  <c r="L450" i="73"/>
  <c r="L2490" i="73"/>
  <c r="Q949" i="73"/>
  <c r="L4700" i="73"/>
  <c r="Q3152" i="73"/>
  <c r="L178" i="73"/>
  <c r="M1742" i="73"/>
  <c r="Q1742" i="73" s="1"/>
  <c r="Q3067" i="73"/>
  <c r="M4240" i="73"/>
  <c r="L4240" i="73" s="1"/>
  <c r="L122" i="73"/>
  <c r="Q2634" i="73"/>
  <c r="L4612" i="73"/>
  <c r="L1656" i="73"/>
  <c r="L278" i="73"/>
  <c r="Q2939" i="73"/>
  <c r="Q4080" i="73"/>
  <c r="L1910" i="73"/>
  <c r="Q2006" i="73"/>
  <c r="L1553" i="73"/>
  <c r="Q3011" i="73"/>
  <c r="L1743" i="73"/>
  <c r="L1822" i="73"/>
  <c r="Q1796" i="73"/>
  <c r="Q3137" i="73"/>
  <c r="Q1707" i="73"/>
  <c r="L2475" i="73"/>
  <c r="L4933" i="73"/>
  <c r="M524" i="73"/>
  <c r="Q524" i="73" s="1"/>
  <c r="L543" i="73"/>
  <c r="L3083" i="73"/>
  <c r="Q1370" i="73"/>
  <c r="Q395" i="73"/>
  <c r="Q2810" i="73"/>
  <c r="Q1035" i="73"/>
  <c r="Q278" i="73"/>
  <c r="L642" i="73"/>
  <c r="Q2060" i="73"/>
  <c r="L3039" i="73"/>
  <c r="Q2971" i="73"/>
  <c r="Q2385" i="73"/>
  <c r="Q3206" i="73"/>
  <c r="Q552" i="73"/>
  <c r="Q849" i="73"/>
  <c r="Q2449" i="73"/>
  <c r="Q4379" i="73"/>
  <c r="Q3166" i="73"/>
  <c r="Q1081" i="73"/>
  <c r="M1034" i="73"/>
  <c r="Q1034" i="73" s="1"/>
  <c r="Q937" i="73"/>
  <c r="Q2035" i="73"/>
  <c r="L3899" i="73"/>
  <c r="Q1568" i="73"/>
  <c r="M2136" i="73"/>
  <c r="L2136" i="73" s="1"/>
  <c r="L441" i="73"/>
  <c r="Q3089" i="73"/>
  <c r="L2065" i="73"/>
  <c r="M177" i="73"/>
  <c r="L177" i="73" s="1"/>
  <c r="L2695" i="73"/>
  <c r="Q2769" i="73"/>
  <c r="L2846" i="73"/>
  <c r="L4577" i="73"/>
  <c r="L4717" i="73"/>
  <c r="L3962" i="73"/>
  <c r="Q1840" i="73"/>
  <c r="M2741" i="73"/>
  <c r="L2741" i="73" s="1"/>
  <c r="L2172" i="73"/>
  <c r="L1401" i="73"/>
  <c r="Q2115" i="73"/>
  <c r="Q2299" i="73"/>
  <c r="L4440" i="73"/>
  <c r="L2443" i="73"/>
  <c r="L2421" i="73"/>
  <c r="Q1951" i="73"/>
  <c r="Q2690" i="73"/>
  <c r="L55" i="73"/>
  <c r="Q2986" i="73"/>
  <c r="L1671" i="73"/>
  <c r="L18" i="73"/>
  <c r="Q3729" i="73"/>
  <c r="Q1632" i="73"/>
  <c r="L4339" i="73"/>
  <c r="Q2511" i="73"/>
  <c r="Q1531" i="73"/>
  <c r="Q2373" i="73"/>
  <c r="Q48" i="73"/>
  <c r="M3431" i="73"/>
  <c r="Q3431" i="73" s="1"/>
  <c r="Q3357" i="73"/>
  <c r="M1629" i="73"/>
  <c r="L1629" i="73" s="1"/>
  <c r="L2744" i="73"/>
  <c r="Q416" i="73"/>
  <c r="Q3366" i="73"/>
  <c r="L1831" i="73"/>
  <c r="L435" i="73"/>
  <c r="Q3779" i="73"/>
  <c r="Q1250" i="73"/>
  <c r="M1046" i="73"/>
  <c r="Q1046" i="73" s="1"/>
  <c r="L2672" i="73"/>
  <c r="L2020" i="73"/>
  <c r="Q2377" i="73"/>
  <c r="M1528" i="73"/>
  <c r="Q1528" i="73" s="1"/>
  <c r="Q2405" i="73"/>
  <c r="Q4030" i="73"/>
  <c r="Q525" i="73"/>
  <c r="Q4102" i="73"/>
  <c r="L966" i="73"/>
  <c r="Q3146" i="73"/>
  <c r="L4632" i="73"/>
  <c r="L858" i="73"/>
  <c r="L317" i="73"/>
  <c r="Q3482" i="73"/>
  <c r="L3467" i="73"/>
  <c r="L1116" i="73"/>
  <c r="Q303" i="73"/>
  <c r="L67" i="73"/>
  <c r="Q4598" i="73"/>
  <c r="Q1230" i="73"/>
  <c r="L1490" i="73"/>
  <c r="L1548" i="73"/>
  <c r="Q2680" i="73"/>
  <c r="Q2349" i="73"/>
  <c r="M2395" i="73"/>
  <c r="L2395" i="73" s="1"/>
  <c r="M1184" i="73"/>
  <c r="M1166" i="73" s="1"/>
  <c r="Q1696" i="73"/>
  <c r="Q4086" i="73"/>
  <c r="M2359" i="73"/>
  <c r="L2359" i="73" s="1"/>
  <c r="Q858" i="73"/>
  <c r="Q1116" i="73"/>
  <c r="L2150" i="73"/>
  <c r="M1670" i="73"/>
  <c r="L1670" i="73" s="1"/>
  <c r="Q1540" i="73"/>
  <c r="L1720" i="73"/>
  <c r="Q728" i="73"/>
  <c r="Q3432" i="73"/>
  <c r="L353" i="73"/>
  <c r="Q4687" i="73"/>
  <c r="M2298" i="73"/>
  <c r="Q2298" i="73" s="1"/>
  <c r="M1645" i="73"/>
  <c r="L1645" i="73" s="1"/>
  <c r="Q3158" i="73"/>
  <c r="M1139" i="73"/>
  <c r="L1139" i="73" s="1"/>
  <c r="M4029" i="73"/>
  <c r="Q4029" i="73" s="1"/>
  <c r="M4003" i="73"/>
  <c r="L4003" i="73" s="1"/>
  <c r="Q1846" i="73"/>
  <c r="Q2552" i="73"/>
  <c r="Q2775" i="73"/>
  <c r="Q1140" i="73"/>
  <c r="L310" i="73"/>
  <c r="Q4562" i="73"/>
  <c r="L2427" i="73"/>
  <c r="L1974" i="73"/>
  <c r="M493" i="73"/>
  <c r="L493" i="73" s="1"/>
  <c r="L2109" i="73"/>
  <c r="Q1583" i="73"/>
  <c r="Q2710" i="73"/>
  <c r="Q3953" i="73"/>
  <c r="Q4704" i="73"/>
  <c r="Q3930" i="73"/>
  <c r="L1652" i="73"/>
  <c r="L2309" i="73"/>
  <c r="L1437" i="73"/>
  <c r="Q2277" i="73"/>
  <c r="M2551" i="73"/>
  <c r="Q2551" i="73" s="1"/>
  <c r="Q2967" i="73"/>
  <c r="Q4066" i="73"/>
  <c r="Q4049" i="73"/>
  <c r="L1140" i="73"/>
  <c r="M2960" i="73"/>
  <c r="Q2960" i="73" s="1"/>
  <c r="Q3288" i="73"/>
  <c r="M3737" i="73"/>
  <c r="Q3737" i="73" s="1"/>
  <c r="Q1790" i="73"/>
  <c r="L3858" i="73"/>
  <c r="Q150" i="73"/>
  <c r="Q2720" i="73"/>
  <c r="Q2025" i="73"/>
  <c r="Q506" i="73"/>
  <c r="Q3003" i="73"/>
  <c r="L2015" i="73"/>
  <c r="M3875" i="73"/>
  <c r="M1436" i="73"/>
  <c r="Q1301" i="73"/>
  <c r="M1706" i="73"/>
  <c r="M3838" i="73"/>
  <c r="Q3838" i="73" s="1"/>
  <c r="M2323" i="73"/>
  <c r="Q2323" i="73" s="1"/>
  <c r="M3787" i="73"/>
  <c r="L3787" i="73" s="1"/>
  <c r="M3021" i="73"/>
  <c r="L3021" i="73" s="1"/>
  <c r="M4016" i="73"/>
  <c r="Q4016" i="73" s="1"/>
  <c r="M2796" i="73"/>
  <c r="Q2796" i="73" s="1"/>
  <c r="M3723" i="73"/>
  <c r="L3723" i="73" s="1"/>
  <c r="Q1774" i="73"/>
  <c r="M2985" i="73"/>
  <c r="L2985" i="73" s="1"/>
  <c r="Q1024" i="73"/>
  <c r="L569" i="73"/>
  <c r="L3294" i="73"/>
  <c r="Q3804" i="73"/>
  <c r="Q1260" i="73"/>
  <c r="Q144" i="73"/>
  <c r="Q3763" i="73"/>
  <c r="Q4108" i="73"/>
  <c r="Q603" i="73"/>
  <c r="M4407" i="73"/>
  <c r="L4407" i="73" s="1"/>
  <c r="L4660" i="73"/>
  <c r="Q2715" i="73"/>
  <c r="Q61" i="73"/>
  <c r="L2337" i="73"/>
  <c r="Q2396" i="73"/>
  <c r="L2360" i="73"/>
  <c r="M3057" i="73"/>
  <c r="Q3057" i="73" s="1"/>
  <c r="Q4006" i="73"/>
  <c r="Q2875" i="73"/>
  <c r="Q3774" i="73"/>
  <c r="Q2797" i="73"/>
  <c r="Q2214" i="73"/>
  <c r="L1024" i="73"/>
  <c r="Q4391" i="73"/>
  <c r="Q4577" i="73"/>
  <c r="Q3839" i="73"/>
  <c r="L3804" i="73"/>
  <c r="Q2084" i="73"/>
  <c r="Q4569" i="73"/>
  <c r="Q3749" i="73"/>
  <c r="M3762" i="73"/>
  <c r="L3762" i="73" s="1"/>
  <c r="M4298" i="73"/>
  <c r="Q4298" i="73" s="1"/>
  <c r="Q4313" i="73"/>
  <c r="Q3844" i="73"/>
  <c r="Q407" i="73"/>
  <c r="Q2585" i="73"/>
  <c r="Q2705" i="73"/>
  <c r="L2045" i="73"/>
  <c r="Q1601" i="73"/>
  <c r="Q3047" i="73"/>
  <c r="L3058" i="73"/>
  <c r="M2081" i="73"/>
  <c r="L2081" i="73" s="1"/>
  <c r="M2660" i="73"/>
  <c r="M2000" i="73"/>
  <c r="L2000" i="73" s="1"/>
  <c r="L3876" i="73"/>
  <c r="Q19" i="73"/>
  <c r="L1185" i="73"/>
  <c r="Q257" i="73"/>
  <c r="Q1075" i="73"/>
  <c r="Q4619" i="73"/>
  <c r="Q2725" i="73"/>
  <c r="Q3912" i="73"/>
  <c r="M1387" i="73"/>
  <c r="L1387" i="73" s="1"/>
  <c r="L1684" i="73"/>
  <c r="Q346" i="73"/>
  <c r="M3898" i="73"/>
  <c r="L3898" i="73" s="1"/>
  <c r="Q1724" i="73"/>
  <c r="L1578" i="73"/>
  <c r="Q1578" i="73"/>
  <c r="M295" i="73"/>
  <c r="L295" i="73" s="1"/>
  <c r="Q4641" i="73"/>
  <c r="Q4550" i="73"/>
  <c r="L4983" i="73"/>
  <c r="Q4624" i="73"/>
  <c r="M1300" i="73"/>
  <c r="M1293" i="73" s="1"/>
  <c r="L2640" i="73"/>
  <c r="Q2467" i="73"/>
  <c r="L189" i="73"/>
  <c r="L3239" i="73"/>
  <c r="L2030" i="73"/>
  <c r="L3923" i="73"/>
  <c r="Q1388" i="73"/>
  <c r="Q2137" i="73"/>
  <c r="Q1207" i="73"/>
  <c r="Q4518" i="73"/>
  <c r="Q3813" i="73"/>
  <c r="Q1980" i="73"/>
  <c r="Q113" i="73"/>
  <c r="Q4591" i="73"/>
  <c r="L3381" i="73"/>
  <c r="Q3824" i="73"/>
  <c r="L200" i="73"/>
  <c r="Q1216" i="73"/>
  <c r="L3627" i="73"/>
  <c r="L2341" i="73"/>
  <c r="Q2341" i="73"/>
  <c r="M3330" i="73"/>
  <c r="Q3330" i="73" s="1"/>
  <c r="M3626" i="73"/>
  <c r="Q3626" i="73" s="1"/>
  <c r="L296" i="73"/>
  <c r="L1047" i="73"/>
  <c r="Q1047" i="73"/>
  <c r="L835" i="73"/>
  <c r="Q835" i="73"/>
  <c r="Q5036" i="73" s="1"/>
  <c r="L360" i="73"/>
  <c r="Q360" i="73"/>
  <c r="L4371" i="73"/>
  <c r="L3198" i="73"/>
  <c r="Q3198" i="73"/>
  <c r="L3331" i="73"/>
  <c r="Q3331" i="73"/>
  <c r="Q227" i="73"/>
  <c r="L227" i="73"/>
  <c r="Q200" i="73"/>
  <c r="M4561" i="73"/>
  <c r="L1054" i="73"/>
  <c r="Q1054" i="73"/>
  <c r="L1097" i="73"/>
  <c r="Q1097" i="73"/>
  <c r="M1096" i="73"/>
  <c r="L1468" i="73"/>
  <c r="M1467" i="73"/>
  <c r="Q1468" i="73"/>
  <c r="L3545" i="73"/>
  <c r="Q3545" i="73"/>
  <c r="L2267" i="73"/>
  <c r="Q2267" i="73"/>
  <c r="L3983" i="73"/>
  <c r="Q3983" i="73"/>
  <c r="L3253" i="73"/>
  <c r="Q3253" i="73"/>
  <c r="L4207" i="73"/>
  <c r="Q4207" i="73"/>
  <c r="M2096" i="73"/>
  <c r="L2097" i="73"/>
  <c r="Q2097" i="73"/>
  <c r="L2234" i="73"/>
  <c r="Q2234" i="73"/>
  <c r="M1989" i="73"/>
  <c r="L1990" i="73"/>
  <c r="Q1990" i="73"/>
  <c r="L4144" i="73"/>
  <c r="Q4144" i="73"/>
  <c r="M4143" i="73"/>
  <c r="L1479" i="73"/>
  <c r="Q1479" i="73"/>
  <c r="L2599" i="73"/>
  <c r="Q2599" i="73"/>
  <c r="L855" i="73"/>
  <c r="Q855" i="73"/>
  <c r="M854" i="73"/>
  <c r="L277" i="73"/>
  <c r="Q277" i="73"/>
  <c r="L563" i="73"/>
  <c r="Q563" i="73"/>
  <c r="L2574" i="73"/>
  <c r="Q2574" i="73"/>
  <c r="Q1619" i="73"/>
  <c r="L1619" i="73"/>
  <c r="Q4319" i="73"/>
  <c r="L4319" i="73"/>
  <c r="L2895" i="73"/>
  <c r="Q2895" i="73"/>
  <c r="Q3559" i="73"/>
  <c r="L3559" i="73"/>
  <c r="L1167" i="73"/>
  <c r="Q1167" i="73"/>
  <c r="L2496" i="73"/>
  <c r="Q2496" i="73"/>
  <c r="M1336" i="73"/>
  <c r="L1337" i="73"/>
  <c r="Q1337" i="73"/>
  <c r="Q4330" i="73"/>
  <c r="L4330" i="73"/>
  <c r="L2882" i="73"/>
  <c r="Q2882" i="73"/>
  <c r="L4158" i="73"/>
  <c r="Q4158" i="73"/>
  <c r="L3829" i="73"/>
  <c r="Q3829" i="73"/>
  <c r="L2928" i="73"/>
  <c r="Q2928" i="73"/>
  <c r="L2221" i="73"/>
  <c r="Q2221" i="73"/>
  <c r="L4223" i="73"/>
  <c r="Q4223" i="73"/>
  <c r="L1882" i="73"/>
  <c r="M1881" i="73"/>
  <c r="Q1882" i="73"/>
  <c r="M3812" i="73"/>
  <c r="L598" i="73"/>
  <c r="Q598" i="73"/>
  <c r="M597" i="73"/>
  <c r="L1517" i="73"/>
  <c r="Q1517" i="73"/>
  <c r="L2823" i="73"/>
  <c r="Q2823" i="73"/>
  <c r="Q1940" i="73"/>
  <c r="L1940" i="73"/>
  <c r="Q4781" i="73"/>
  <c r="L4781" i="73"/>
  <c r="L2287" i="73"/>
  <c r="Q2287" i="73"/>
  <c r="L337" i="73"/>
  <c r="M336" i="73"/>
  <c r="Q337" i="73"/>
  <c r="L3531" i="73"/>
  <c r="M3530" i="73"/>
  <c r="Q3531" i="73"/>
  <c r="L2650" i="73"/>
  <c r="M2649" i="73"/>
  <c r="Q2650" i="73"/>
  <c r="Q3228" i="73"/>
  <c r="L3228" i="73"/>
  <c r="L1917" i="73"/>
  <c r="L4674" i="73"/>
  <c r="Q4674" i="73"/>
  <c r="L584" i="73"/>
  <c r="Q584" i="73"/>
  <c r="L2949" i="73"/>
  <c r="Q2949" i="73"/>
  <c r="L3590" i="73"/>
  <c r="Q3590" i="73"/>
  <c r="M3589" i="73"/>
  <c r="L1852" i="73"/>
  <c r="Q1852" i="73"/>
  <c r="Q4454" i="73"/>
  <c r="L4454" i="73"/>
  <c r="L3714" i="73"/>
  <c r="Q3714" i="73"/>
  <c r="L972" i="73"/>
  <c r="M971" i="73"/>
  <c r="Q972" i="73"/>
  <c r="M2213" i="73"/>
  <c r="M2756" i="73"/>
  <c r="L2757" i="73"/>
  <c r="Q2757" i="73"/>
  <c r="L1023" i="73"/>
  <c r="Q1023" i="73"/>
  <c r="Q4576" i="73"/>
  <c r="Q4537" i="73"/>
  <c r="L4537" i="73"/>
  <c r="L79" i="73"/>
  <c r="M78" i="73"/>
  <c r="Q79" i="73"/>
  <c r="L4172" i="73"/>
  <c r="Q4172" i="73"/>
  <c r="M733" i="73"/>
  <c r="L734" i="73"/>
  <c r="Q734" i="73"/>
  <c r="L3205" i="73"/>
  <c r="Q3205" i="73"/>
  <c r="M3197" i="73"/>
  <c r="M2874" i="73"/>
  <c r="M1347" i="73"/>
  <c r="L1348" i="73"/>
  <c r="Q1348" i="73"/>
  <c r="Q4289" i="73"/>
  <c r="L4289" i="73"/>
  <c r="Q3301" i="73"/>
  <c r="L3301" i="73"/>
  <c r="Q3604" i="73"/>
  <c r="L3604" i="73"/>
  <c r="Q1115" i="73"/>
  <c r="L1115" i="73"/>
  <c r="N1022" i="73" l="1"/>
  <c r="O1022" i="73" s="1"/>
  <c r="P1022" i="73" s="1"/>
  <c r="N1335" i="73"/>
  <c r="O1335" i="73" s="1"/>
  <c r="N1334" i="73" s="1"/>
  <c r="O1334" i="73" s="1"/>
  <c r="P1334" i="73" s="1"/>
  <c r="P1293" i="73"/>
  <c r="Q1293" i="73" s="1"/>
  <c r="N1292" i="73"/>
  <c r="O1292" i="73" s="1"/>
  <c r="P1292" i="73" s="1"/>
  <c r="M4498" i="73"/>
  <c r="L4498" i="73" s="1"/>
  <c r="N2648" i="73"/>
  <c r="O2648" i="73" s="1"/>
  <c r="P2648" i="73" s="1"/>
  <c r="P2212" i="73"/>
  <c r="N1988" i="73"/>
  <c r="O1988" i="73" s="1"/>
  <c r="N3712" i="73"/>
  <c r="O3712" i="73" s="1"/>
  <c r="P3712" i="73" s="1"/>
  <c r="P3713" i="73"/>
  <c r="P17" i="73"/>
  <c r="Q2185" i="73"/>
  <c r="M2171" i="73"/>
  <c r="Q177" i="73"/>
  <c r="L3737" i="73"/>
  <c r="Q3021" i="73"/>
  <c r="L2298" i="73"/>
  <c r="M1045" i="73"/>
  <c r="Q1045" i="73" s="1"/>
  <c r="L1528" i="73"/>
  <c r="L4298" i="73"/>
  <c r="L1742" i="73"/>
  <c r="Q2359" i="73"/>
  <c r="L524" i="73"/>
  <c r="L2551" i="73"/>
  <c r="Q1645" i="73"/>
  <c r="Q4003" i="73"/>
  <c r="M1644" i="73"/>
  <c r="Q1644" i="73" s="1"/>
  <c r="L3431" i="73"/>
  <c r="L2845" i="73"/>
  <c r="M2831" i="73"/>
  <c r="Q3762" i="73"/>
  <c r="Q2741" i="73"/>
  <c r="L3330" i="73"/>
  <c r="L1034" i="73"/>
  <c r="M4206" i="73"/>
  <c r="L4206" i="73" s="1"/>
  <c r="L2960" i="73"/>
  <c r="Q4240" i="73"/>
  <c r="Q4407" i="73"/>
  <c r="Q2136" i="73"/>
  <c r="Q1629" i="73"/>
  <c r="L3057" i="73"/>
  <c r="Q493" i="73"/>
  <c r="Q3787" i="73"/>
  <c r="Q3723" i="73"/>
  <c r="Q2081" i="73"/>
  <c r="M4406" i="73"/>
  <c r="L4406" i="73" s="1"/>
  <c r="L1046" i="73"/>
  <c r="M3837" i="73"/>
  <c r="Q3837" i="73" s="1"/>
  <c r="L3626" i="73"/>
  <c r="L4016" i="73"/>
  <c r="M2297" i="73"/>
  <c r="Q2297" i="73" s="1"/>
  <c r="Q1670" i="73"/>
  <c r="Q2395" i="73"/>
  <c r="L4029" i="73"/>
  <c r="L2796" i="73"/>
  <c r="L1184" i="73"/>
  <c r="Q1184" i="73"/>
  <c r="M2959" i="73"/>
  <c r="L2959" i="73" s="1"/>
  <c r="Q1300" i="73"/>
  <c r="L3838" i="73"/>
  <c r="Q1387" i="73"/>
  <c r="Q2985" i="73"/>
  <c r="M2543" i="73"/>
  <c r="Q2543" i="73" s="1"/>
  <c r="L1300" i="73"/>
  <c r="Q1139" i="73"/>
  <c r="M4288" i="73"/>
  <c r="Q4288" i="73" s="1"/>
  <c r="M3874" i="73"/>
  <c r="L2323" i="73"/>
  <c r="Q3875" i="73"/>
  <c r="L3875" i="73"/>
  <c r="Q1706" i="73"/>
  <c r="L1706" i="73"/>
  <c r="M1422" i="73"/>
  <c r="L1436" i="73"/>
  <c r="Q1436" i="73"/>
  <c r="Q2000" i="73"/>
  <c r="Q2660" i="73"/>
  <c r="L2660" i="73"/>
  <c r="Q295" i="73"/>
  <c r="Q3898" i="73"/>
  <c r="L4561" i="73"/>
  <c r="Q4561" i="73"/>
  <c r="L2874" i="73"/>
  <c r="M2873" i="73"/>
  <c r="Q2874" i="73"/>
  <c r="Q733" i="73"/>
  <c r="L733" i="73"/>
  <c r="M719" i="73"/>
  <c r="Q78" i="73"/>
  <c r="L78" i="73"/>
  <c r="M47" i="73"/>
  <c r="L971" i="73"/>
  <c r="Q971" i="73"/>
  <c r="L336" i="73"/>
  <c r="Q336" i="73"/>
  <c r="L854" i="73"/>
  <c r="Q854" i="73"/>
  <c r="M840" i="73"/>
  <c r="L1347" i="73"/>
  <c r="Q1347" i="73"/>
  <c r="L2756" i="73"/>
  <c r="Q2756" i="73"/>
  <c r="L3589" i="73"/>
  <c r="Q3589" i="73"/>
  <c r="L1336" i="73"/>
  <c r="Q1336" i="73"/>
  <c r="M256" i="73"/>
  <c r="Q4143" i="73"/>
  <c r="L4143" i="73"/>
  <c r="L1096" i="73"/>
  <c r="Q1096" i="73"/>
  <c r="L1293" i="73"/>
  <c r="M1292" i="73"/>
  <c r="L2213" i="73"/>
  <c r="M2212" i="73"/>
  <c r="Q2213" i="73"/>
  <c r="L3530" i="73"/>
  <c r="Q3530" i="73"/>
  <c r="L3812" i="73"/>
  <c r="Q3812" i="73"/>
  <c r="L1881" i="73"/>
  <c r="Q1881" i="73"/>
  <c r="L1166" i="73"/>
  <c r="Q1166" i="73"/>
  <c r="L1989" i="73"/>
  <c r="Q1989" i="73"/>
  <c r="L2096" i="73"/>
  <c r="Q2096" i="73"/>
  <c r="L3197" i="73"/>
  <c r="Q3197" i="73"/>
  <c r="L2649" i="73"/>
  <c r="Q2649" i="73"/>
  <c r="L597" i="73"/>
  <c r="M596" i="73"/>
  <c r="Q597" i="73"/>
  <c r="L1467" i="73"/>
  <c r="M1466" i="73"/>
  <c r="Q1467" i="73"/>
  <c r="Q4498" i="73" l="1"/>
  <c r="P1335" i="73"/>
  <c r="N2647" i="73"/>
  <c r="O2647" i="73" s="1"/>
  <c r="P2647" i="73" s="1"/>
  <c r="N1987" i="73"/>
  <c r="O1987" i="73" s="1"/>
  <c r="P1988" i="73"/>
  <c r="Q2171" i="73"/>
  <c r="L2171" i="73"/>
  <c r="M3713" i="73"/>
  <c r="L3713" i="73" s="1"/>
  <c r="M1022" i="73"/>
  <c r="Q1022" i="73" s="1"/>
  <c r="L1045" i="73"/>
  <c r="M2648" i="73"/>
  <c r="Q2648" i="73" s="1"/>
  <c r="Q4406" i="73"/>
  <c r="L1644" i="73"/>
  <c r="Q2831" i="73"/>
  <c r="L2831" i="73"/>
  <c r="Q4206" i="73"/>
  <c r="L4288" i="73"/>
  <c r="Q2959" i="73"/>
  <c r="L2297" i="73"/>
  <c r="M1988" i="73"/>
  <c r="L1988" i="73" s="1"/>
  <c r="L3837" i="73"/>
  <c r="M1335" i="73"/>
  <c r="M1334" i="73" s="1"/>
  <c r="L2543" i="73"/>
  <c r="Q3874" i="73"/>
  <c r="L3874" i="73"/>
  <c r="L1422" i="73"/>
  <c r="Q1422" i="73"/>
  <c r="Q840" i="73"/>
  <c r="L840" i="73"/>
  <c r="Q719" i="73"/>
  <c r="L719" i="73"/>
  <c r="L2873" i="73"/>
  <c r="Q2873" i="73"/>
  <c r="Q596" i="73"/>
  <c r="L596" i="73"/>
  <c r="L47" i="73"/>
  <c r="Q47" i="73"/>
  <c r="M17" i="73"/>
  <c r="L1466" i="73"/>
  <c r="Q1466" i="73"/>
  <c r="L256" i="73"/>
  <c r="Q256" i="73"/>
  <c r="L2212" i="73"/>
  <c r="Q2212" i="73"/>
  <c r="Q1292" i="73"/>
  <c r="L1292" i="73"/>
  <c r="P1987" i="73" l="1"/>
  <c r="N16" i="73"/>
  <c r="O16" i="73" s="1"/>
  <c r="P16" i="73" s="1"/>
  <c r="Q3713" i="73"/>
  <c r="M3712" i="73"/>
  <c r="L3712" i="73" s="1"/>
  <c r="L1022" i="73"/>
  <c r="M2647" i="73"/>
  <c r="Q2647" i="73" s="1"/>
  <c r="L2648" i="73"/>
  <c r="Q1988" i="73"/>
  <c r="M1987" i="73"/>
  <c r="Q1987" i="73" s="1"/>
  <c r="Q1335" i="73"/>
  <c r="L1335" i="73"/>
  <c r="L17" i="73"/>
  <c r="Q17" i="73"/>
  <c r="L1334" i="73"/>
  <c r="Q1334" i="73"/>
  <c r="Q3712" i="73" l="1"/>
  <c r="L2647" i="73"/>
  <c r="M16" i="73"/>
  <c r="L16" i="73" s="1"/>
  <c r="L1987" i="73"/>
  <c r="Q16" i="73" l="1"/>
  <c r="S16" i="73" s="1"/>
</calcChain>
</file>

<file path=xl/sharedStrings.xml><?xml version="1.0" encoding="utf-8"?>
<sst xmlns="http://schemas.openxmlformats.org/spreadsheetml/2006/main" count="23748" uniqueCount="1942">
  <si>
    <t>Изделие</t>
  </si>
  <si>
    <t>Масса изделия</t>
  </si>
  <si>
    <t>Куда входит</t>
  </si>
  <si>
    <t>1 1/4'' ВН/ВН, 2000LB Муфта соединительная</t>
  </si>
  <si>
    <t>2'' ВН/ВН, 2000LB Муфта соединительная</t>
  </si>
  <si>
    <t>5AMX132S6У1 1081 Электродвигатель</t>
  </si>
  <si>
    <t>5AMX132М4У1 1081 Электродвигатель</t>
  </si>
  <si>
    <t>5AMX160S4У1 1081 Электродвигатель</t>
  </si>
  <si>
    <t>7B901304 Стопорное кольцо втулки редуктора</t>
  </si>
  <si>
    <t>81X Конвейерная цепь</t>
  </si>
  <si>
    <t>ASCO PB11B/RE10A11 Реле давления с датчиком</t>
  </si>
  <si>
    <t>ASCO PB31BRD30A11 Реле давления газа</t>
  </si>
  <si>
    <t>Crown CA 141 Чувствительный элемент пламени I-6-6</t>
  </si>
  <si>
    <t>Fenwal 22-100000-673 Электрод зажигания</t>
  </si>
  <si>
    <t>GN 425-16-160-SW Ручка</t>
  </si>
  <si>
    <t>GN 851-160-Т Защелка</t>
  </si>
  <si>
    <t>GN 951.1-M4-21-103-ST (GN 851) Скоба</t>
  </si>
  <si>
    <t>Loctite 262</t>
  </si>
  <si>
    <t>MAXON 1-1/4-CV VLV Клапан</t>
  </si>
  <si>
    <t>PHF TB1610x24мм Втулка коническая</t>
  </si>
  <si>
    <t>PHF TB1610x25мм Втулка коническая</t>
  </si>
  <si>
    <t>PHF TB1610x38мм Втулка коническая</t>
  </si>
  <si>
    <t>PHF TB2517x38мм Втулка коническая</t>
  </si>
  <si>
    <t>PHF TB2517x48мм Втулка коническая</t>
  </si>
  <si>
    <t>PHF TB2517x55мм Втулка коническая</t>
  </si>
  <si>
    <t>PHP 1SPZ118TB Шкив клиновой</t>
  </si>
  <si>
    <t>PHP 1SPZ125TB Шкив клиновой</t>
  </si>
  <si>
    <t>PHP 2SPA125TB Шкив клиновой</t>
  </si>
  <si>
    <t>PHP 2SPA224TB Шкив клиновой</t>
  </si>
  <si>
    <t>PHP 2SPA250TB Шкив клиновой</t>
  </si>
  <si>
    <t>PHP 2SPA500TB Шкив клиновой</t>
  </si>
  <si>
    <t>POBCO Деревянный подшипник 1-15/16”</t>
  </si>
  <si>
    <t>SCE215B060 230/50 Клапан соленоидный</t>
  </si>
  <si>
    <t>SCE215C030 230/50 Клапан соленоидный</t>
  </si>
  <si>
    <t>SPA2000 Ремень клиновой</t>
  </si>
  <si>
    <t>SPZ1662 Ремень клиновой</t>
  </si>
  <si>
    <t>TA1107H25М Редуктор цилиндрический</t>
  </si>
  <si>
    <t>TSE-04UC-H3 Датчик подпора продукта</t>
  </si>
  <si>
    <t>UCF 209 Фланцевый подшипниковый узел</t>
  </si>
  <si>
    <t>UCF 211 Фланцевый подшипниковый узел</t>
  </si>
  <si>
    <t>UCP 211 Стационарный подшипниковый узел</t>
  </si>
  <si>
    <t>USFTE 207 Фланцевый подшипниковый узел</t>
  </si>
  <si>
    <t>XPA1357 Ремень клиновой</t>
  </si>
  <si>
    <t>АИР90L4У1 1081 Электродвигатель</t>
  </si>
  <si>
    <t>Алпол ТУ 2313-014-12288779-99</t>
  </si>
  <si>
    <t>Алюмоцинк DX51D+AZ185, S=1,2</t>
  </si>
  <si>
    <t>Аргон ГОСТ 10157-79</t>
  </si>
  <si>
    <t>Болт М8-6gx25.21.12Х18Н10Т ГОСТ 7798-70</t>
  </si>
  <si>
    <t>Болт М8-6gx70.21.12Х18Н10Т ГОСТ 7798-70</t>
  </si>
  <si>
    <t>Винт А.М4-6gx10.21.12Х18Н10Т ГОСТ 17473-80</t>
  </si>
  <si>
    <t>Винт М10x20 ГОСТ 28963-91</t>
  </si>
  <si>
    <t>Винт М12x40 ГОСТ 28963-91</t>
  </si>
  <si>
    <t>Винт М3x10 ГОСТ 28963-91</t>
  </si>
  <si>
    <t>Винт М4x12 ГОСТ 28963-91</t>
  </si>
  <si>
    <t>Винт М5x10 ГОСТ 28963-91</t>
  </si>
  <si>
    <t>Винт М6x16 ГОСТ 28963-91</t>
  </si>
  <si>
    <t>Винт М8x20 ГОСТ 28963-91</t>
  </si>
  <si>
    <t>Винт М8x25 ГОСТ 28963-91</t>
  </si>
  <si>
    <t>Винт М8x35 ГОСТ 28963-91</t>
  </si>
  <si>
    <t>Гайка заземляющая К483</t>
  </si>
  <si>
    <t>Гайка клетевая DIN 88109 М6</t>
  </si>
  <si>
    <t>Гайка соединительная 15 ГОСТ 8959-75</t>
  </si>
  <si>
    <t>Гель сантехмастер синий 60 г</t>
  </si>
  <si>
    <t>Герметик Пентэласт-1110 (310 мл)</t>
  </si>
  <si>
    <t>Грунт-эмаль КРЭС черная М</t>
  </si>
  <si>
    <t>Грунтовка Новакс серый 01179</t>
  </si>
  <si>
    <t>Грунтовка ХС-04</t>
  </si>
  <si>
    <t>Двуокись углерода ГОСТ 8050-85</t>
  </si>
  <si>
    <t>Заглушка круглая внутренняя 25 ПЧК</t>
  </si>
  <si>
    <t>Заклепка-гайка цилиндр борт с насечками М8-А2</t>
  </si>
  <si>
    <t>Звено-С-ПР-12,7-18,2 ГОСТ 13568-97</t>
  </si>
  <si>
    <t>Квадрат 16 ГОСТ 2591-2006/45 ГОСТ 1050-2013</t>
  </si>
  <si>
    <t>Квадрат 30 ГОСТ 2591-2006/20 ГОСТ 1050-2013</t>
  </si>
  <si>
    <t>Кран шаровый газовый ГШК 32</t>
  </si>
  <si>
    <t>Круг 10 ГОСТ 2590-2006/20 ГОСТ 1050-2013</t>
  </si>
  <si>
    <t>Круг 10 ГОСТ 2590-2006/Ст3пс ГОСТ 535-2005</t>
  </si>
  <si>
    <t>Круг 100 ГОСТ 2590-2006/35 ГОСТ 1050-2013</t>
  </si>
  <si>
    <t>Круг 115 ГОСТ 2590-2006/20 ГОСТ 1050-2013</t>
  </si>
  <si>
    <t>Круг 12 ГОСТ 2590-2006/Ст3пс ГОСТ 535-2005</t>
  </si>
  <si>
    <t>Круг 120 ГОСТ 2590-2006/20 ГОСТ 1050-2013</t>
  </si>
  <si>
    <t>Круг 120 ГОСТ 2590-2006/45 ГОСТ 1050-2013</t>
  </si>
  <si>
    <t>Круг 14 ГОСТ 2590-2006/08Х18Н10 ГОСТ 5949-75</t>
  </si>
  <si>
    <t>Круг 16 ГОСТ 2590-2006/20 ГОСТ 1050-2013</t>
  </si>
  <si>
    <t>Круг 16 ГОСТ 2590-2006/Ст3пс ГОСТ 535-2005</t>
  </si>
  <si>
    <t>Круг 160 ГОСТ 2590-2006/45 ГОСТ 1050-2013</t>
  </si>
  <si>
    <t>Круг 20 ГОСТ 2590-2006/Ст3пс ГОСТ 535-2005</t>
  </si>
  <si>
    <t>Круг 21 ГОСТ 2590-2006/45 ГОСТ 1050-2013</t>
  </si>
  <si>
    <t>Круг 210 ГОСТ 2590-2006/45 ГОСТ 1050-2013</t>
  </si>
  <si>
    <t>Круг 22 ГОСТ 2590-2006/20 ГОСТ 1050-2013</t>
  </si>
  <si>
    <t>Круг 22 ГОСТ 2590-2006/Ст3пс ГОСТ 535-2005</t>
  </si>
  <si>
    <t>Круг 30 ГОСТ 2590-2006/08Х18Н10 ГОСТ 5949-75</t>
  </si>
  <si>
    <t>Круг 30 ГОСТ 2590-2006/45 ГОСТ 1050-2013</t>
  </si>
  <si>
    <t>Круг 32 ГОСТ 2590-2006/08Х18Н10 ГОСТ 5949-75</t>
  </si>
  <si>
    <t>Круг 34 ГОСТ 2590-2006/08Х18Н10 ГОСТ 5949-75</t>
  </si>
  <si>
    <t>Круг 36 ГОСТ 2590-2006/40Х ГОСТ 4543-2016</t>
  </si>
  <si>
    <t>Круг 36 ГОСТ 2590-2006/Ст3пс ГОСТ 535-2005</t>
  </si>
  <si>
    <t>Круг 4 ГОСТ 7417-75/10 ГОСТ 1051-73</t>
  </si>
  <si>
    <t>Круг 40 ГОСТ 2590-2006/Ст3пс ГОСТ 535-2005</t>
  </si>
  <si>
    <t>Круг 48 ГОСТ 2590-2006/Ст3пс ГОСТ 535-2005</t>
  </si>
  <si>
    <t>Круг 6 ГОСТ 2590-2006/12Х18Н10Т ГОСТ 5949-75</t>
  </si>
  <si>
    <t>Круг 60 ГОСТ 2590-2006/40Х ГОСТ 4543-2016</t>
  </si>
  <si>
    <t>Круг 60 ГОСТ 2590-2006/45 ГОСТ 1050-2013</t>
  </si>
  <si>
    <t>Круг 65 ГОСТ 2590-2006/08Х18Н10 ГОСТ 5949-75</t>
  </si>
  <si>
    <t>Круг 75 ГОСТ 2590-2006/Ст3пс ГОСТ 535-2005</t>
  </si>
  <si>
    <t>Круг 8 ГОСТ 2590-2006/10 ГОСТ 1050-2013</t>
  </si>
  <si>
    <t>Круг 8 ГОСТ 2590-2006/20 ГОСТ 1050-2013</t>
  </si>
  <si>
    <t>Лента уплотнительная из этиленвинилацетата 20х5</t>
  </si>
  <si>
    <t>Лист 1,0 ГОСТ 19904-90/08пс ГОСТ 16523-97</t>
  </si>
  <si>
    <t>Лист 1,5 ГОСТ 19903-2015/12Х18Н10Т ГОСТ 5582-75</t>
  </si>
  <si>
    <t>Лист 1,5 ГОСТ 19904-90/08пс ГОСТ 16523-97</t>
  </si>
  <si>
    <t>Лист 10 ГОСТ 19903-2015/Ст3пс ГОСТ 14637-89</t>
  </si>
  <si>
    <t>Лист 12 ГОСТ 19903-2015/09Г2С ГОСТ 19281-2014</t>
  </si>
  <si>
    <t>Лист 2,0 ГОСТ 19903-2015/12Х18Н10Т ГОСТ 5582-75</t>
  </si>
  <si>
    <t>Лист 2,0 ГОСТ 19904-90/08пс ГОСТ 16523-97</t>
  </si>
  <si>
    <t>Лист 20 ГОСТ 19903-2015/Ст3пс ГОСТ 14637-89</t>
  </si>
  <si>
    <t>Лист 3,0 ГОСТ 19904-90/08пс ГОСТ 16523-97</t>
  </si>
  <si>
    <t>Лист 4,0 ГОСТ 19903-2015/Ст3пс ГОСТ 14637-89</t>
  </si>
  <si>
    <t>Лист 5,0 ГОСТ 19903-2015/09Г2С ГОСТ 19281-2014</t>
  </si>
  <si>
    <t>Лист 5,0 ГОСТ 19903-2015/Ст3пс ГОСТ 14637-89</t>
  </si>
  <si>
    <t>Лист 6,0 ГОСТ 19903-2015/20 ГОСТ 1577-93</t>
  </si>
  <si>
    <t>Лист 6,0 ГОСТ 19903-2015/Ст3пс ГОСТ 14637-89</t>
  </si>
  <si>
    <t>Лист 8,0 ГОСТ 19903-2015/09Г2С ГОСТ 19281-2014</t>
  </si>
  <si>
    <t>Лист 8,0 ГОСТ 19903-2015/Ст3пс ГОСТ 14637-89</t>
  </si>
  <si>
    <t>Лист ОЦ 1,0 ГОСТ 19904-90/08пс ГОСТ 14918-80</t>
  </si>
  <si>
    <t>Лист ОЦ 1,2 ГОСТ 19904-90/08пс ГОСТ 14918-80</t>
  </si>
  <si>
    <t>Лист ОЦ 1,2x1250x2285 ГОСТ 19904-90/08пс I класс ГОСТ 14918-80</t>
  </si>
  <si>
    <t>Лист ОЦ 1,2x1250x2440 ГОСТ 19904-90/08пс I класс ГОСТ 14918-80</t>
  </si>
  <si>
    <t>Лист ОЦ 1,2x1250x710 ГОСТ 19904-90/08пс I класс ГОСТ 14918-80</t>
  </si>
  <si>
    <t>Лист ОЦ 1,5 ГОСТ 19904-90/08пс ГОСТ 14918-80</t>
  </si>
  <si>
    <t>Лист ОЦ 1,5х1250х1850 ГОСТ 19904-90/08пс ГОСТ 1050-2013</t>
  </si>
  <si>
    <t>Лист ОЦ 2,0 ГОСТ 19904-90/08пс ГОСТ 14918-80</t>
  </si>
  <si>
    <t>Лист ОЦ 3,0 ГОСТ 19904-90/08пс ГОСТ 14918-80</t>
  </si>
  <si>
    <t>Лист ОЦ 3,0х1250х3010 ГОСТ 19904-90/08пс ГОСТ 1050-2013</t>
  </si>
  <si>
    <t>Литол-24 ГОСТ 21150-87</t>
  </si>
  <si>
    <t>М7284Q Honeywell Сервопривод</t>
  </si>
  <si>
    <t>МС.06.00.021 Пружина</t>
  </si>
  <si>
    <t>МС.07.01.202 Пружина</t>
  </si>
  <si>
    <t>МС.08.01.105 Знак ''Направление вращения вправо''</t>
  </si>
  <si>
    <t>МС.08.01.106 Знак ''Направление вращения влево''</t>
  </si>
  <si>
    <t>Ортоксилол нефтяной ТУ 38.101254-72</t>
  </si>
  <si>
    <t>Ось 6-5 a11x11.Ст3пс ГОСТ 9650-80</t>
  </si>
  <si>
    <t>Подшипник 4244903 ГОСТ 4657-82</t>
  </si>
  <si>
    <t>Поликарбонат монолитный листовой прозрачный бесцветный S=3 мм ТУ-6-19-113-87</t>
  </si>
  <si>
    <t>Полиэтилен PE 1000 s=6</t>
  </si>
  <si>
    <t>Полиэтилен PE 1000 s=8</t>
  </si>
  <si>
    <t>Пробка 15 ГОСТ 8963-75</t>
  </si>
  <si>
    <t>Проволока 1,2 Св-08Г2С-О ГОСТ 2246-70</t>
  </si>
  <si>
    <t>Проволока сварочная 1,2 Св-12Х18Н10Т</t>
  </si>
  <si>
    <t>Профиль 450/6107818</t>
  </si>
  <si>
    <t>Профиль соединительный H-образный серый</t>
  </si>
  <si>
    <t>Пруток 40 БрАЖМц10-3-1,5 ГОСТ 1628-78</t>
  </si>
  <si>
    <t>Пруток АМг2 10 ГОСТ 21488-97</t>
  </si>
  <si>
    <t>Пруток ГКРНТ 28 Л63 ГОСТ 2060-2006</t>
  </si>
  <si>
    <t>Пруток ДКРНП 10 ЛС59-1 ГОСТ Р 52597-2006</t>
  </si>
  <si>
    <t>Пруток ДШГНП 19 ЛС59-1 ГОСТ Р 52597-2006</t>
  </si>
  <si>
    <t>Разбавитель Новаксол 191</t>
  </si>
  <si>
    <t>Растворитель 646 ГОСТ 18188-72</t>
  </si>
  <si>
    <t>Растворитель Р-4 ГОСТ 7827-74</t>
  </si>
  <si>
    <t>РДД-03А Датчик обрыва цепи</t>
  </si>
  <si>
    <t>Резинометаллическая опора Soleco 3015VV23 60sh</t>
  </si>
  <si>
    <t>Ролик ф18х40 Н=90 (полиуретан)</t>
  </si>
  <si>
    <t>Смазка Molykote BR2 plus</t>
  </si>
  <si>
    <t>Смазка пушечная ПВК ГОСТ 19537-83</t>
  </si>
  <si>
    <t>Соединитель НР/НР прямой с накидной гайкой Ду 25 (ник)</t>
  </si>
  <si>
    <t>Спираль шнека 320x320x76x5/2,5 правая 09Г2С</t>
  </si>
  <si>
    <t>Сталь шпоночная 10x8 Ст45</t>
  </si>
  <si>
    <t>Сталь шпоночная 16x10 Ст45</t>
  </si>
  <si>
    <t>Сталь шпоночная 8x7 Ст45</t>
  </si>
  <si>
    <t>Стекло органическое листовое ТОСП 3 ГОСТ 17622-72</t>
  </si>
  <si>
    <t>Стеклодержатель пластик</t>
  </si>
  <si>
    <t>Тройник 15 ГОСТ 8948-75</t>
  </si>
  <si>
    <t>Тройник 32 ГОСТ 8948-75</t>
  </si>
  <si>
    <t>Тройник 32x15 ГОСТ 8949-75</t>
  </si>
  <si>
    <t>Труба 100х100х6 ГОСТ 8639-82/10 ГОСТ 13663-86</t>
  </si>
  <si>
    <t>Труба 20х2,5 ГОСТ 3262-75</t>
  </si>
  <si>
    <t>Труба 20х2,8 ГОСТ 3262-75</t>
  </si>
  <si>
    <t>Труба 22х4 ГОСТ 8734-75/20 ГОСТ 8733-74</t>
  </si>
  <si>
    <t>Труба 35x5 ГОСТ 8732-78/20 ГОСТ 8731-74</t>
  </si>
  <si>
    <t>Труба 36х3 ГОСТ 10704-91/Ст3пс ГОСТ 10705-80</t>
  </si>
  <si>
    <t>Труба 42,4x4 ГОСТ 8732-78/20 ГОСТ 8731-74</t>
  </si>
  <si>
    <t>Труба 45x4 ГОСТ 8732-78/20 ГОСТ 8731-74</t>
  </si>
  <si>
    <t>Труба 50х3,5 ГОСТ 3262-75</t>
  </si>
  <si>
    <t>Труба 60x5 ГОСТ 8732-78/10 ГОСТ 8731-74</t>
  </si>
  <si>
    <t>Труба 60x5 ГОСТ 8732-78/Ст3пс ГОСТ 8731-74</t>
  </si>
  <si>
    <t>Труба 76x6 ГОСТ 8732-78/20 ГОСТ 8731-74</t>
  </si>
  <si>
    <t>Труба АД31 6х1 ГОСТ 18475-82</t>
  </si>
  <si>
    <t>Уголок 32х32х3 ГОСТ 8509-93/Ст3пс ГОСТ 535-2005</t>
  </si>
  <si>
    <t>Уголок 32х32х4 ГОСТ 8509-93/Ст3пс ГОСТ 535-2005</t>
  </si>
  <si>
    <t>Уголок 40х40х3 ГОСТ 8509-93/Ст3пс ГОСТ 535-2005</t>
  </si>
  <si>
    <t>Уголок 40х40х5 ГОСТ 8509-93/Ст3пс ГОСТ 535-2005</t>
  </si>
  <si>
    <t>Уголок 45х45х4 ГОСТ 8509-93/Ст3пс ГОСТ 535-2005</t>
  </si>
  <si>
    <t>Уголок 50х50х5 ГОСТ 8509-93/Ст3пс ГОСТ 535-2005</t>
  </si>
  <si>
    <t>Уголок 75х75х6 ГОСТ 8509-93/Ст3пс ГОСТ 535-2005</t>
  </si>
  <si>
    <t>Угольник 90°-1-15 ГОСТ 8946-75</t>
  </si>
  <si>
    <t>Угольник 90°-1-25 ГОСТ 8946-75</t>
  </si>
  <si>
    <t>Угольник 90°-1-32 ГОСТ 8946-75</t>
  </si>
  <si>
    <t>Угольник 90°-1-50 ГОСТ 8946-75</t>
  </si>
  <si>
    <t>Фильтроэлемент Ф8х10</t>
  </si>
  <si>
    <t>Футорка 15x8 ГОСТ 8960-75</t>
  </si>
  <si>
    <t>Футорка 32x25 ГОСТ 8960-75</t>
  </si>
  <si>
    <t>Химсостав Gardobond A 4979</t>
  </si>
  <si>
    <t>Цепь ПР-12,7-18,2 ГОСТ 13568-97</t>
  </si>
  <si>
    <t>Цинконол</t>
  </si>
  <si>
    <t>Швеллер 10У ГОСТ 8240-97/Ст3пс ГОСТ 535-2005</t>
  </si>
  <si>
    <t>Швеллер 16У ГОСТ 8240-97/Ст3пс ГОСТ 535-2005</t>
  </si>
  <si>
    <t>Швеллер 6,5П ГОСТ 8240-97/Ст3пс ГОСТ 535-2005</t>
  </si>
  <si>
    <t>Швеллер 8У ГОСТ 8240-97/09Г2С ГОСТ 19281-2014</t>
  </si>
  <si>
    <t>Швеллер 8У ГОСТ 8240-97/Ст3пс ГОСТ 535-2005</t>
  </si>
  <si>
    <t>Шестигранник 27 ГОСТ 8560-78/20 ГОСТ 1050-2013</t>
  </si>
  <si>
    <t>Шестигранник 30 ГОСТ 2879-2006/20 ГОСТ 1050-2013</t>
  </si>
  <si>
    <t>Шина АД31.Т 5х35 ГОСТ 15179-89</t>
  </si>
  <si>
    <t>Шпилька М24х1000 DIN 975</t>
  </si>
  <si>
    <t>Шплинт 1,2x8.019 ГОСТ 397-79</t>
  </si>
  <si>
    <t>Шплинт 3,2x14.019 ГОСТ 397-79</t>
  </si>
  <si>
    <t>Шплинт 5x28.019 ГОСТ 397-79</t>
  </si>
  <si>
    <t>Эмаль Новакс вишневая 11518 RAL 3003</t>
  </si>
  <si>
    <t>Номенклатура</t>
  </si>
  <si>
    <t>Лист 25 ГОСТ 19903-2015/20 ГОСТ 1577- 93</t>
  </si>
  <si>
    <t>Болт М8-6gx20.88.019 ГОСТ 7798-70</t>
  </si>
  <si>
    <t>Гайка DIN 6923-М8-8-A2L</t>
  </si>
  <si>
    <t>Гайка М24-6H.8.019 ГОСТ 5915-70</t>
  </si>
  <si>
    <t>Шайба С.16.03.019 ГОСТ 11371-78</t>
  </si>
  <si>
    <t>Гайка DIN 985-М8-8-A2L</t>
  </si>
  <si>
    <t>Болт М8-6gx25.88.019 ГОСТ 7798-70</t>
  </si>
  <si>
    <t>Винт DIN 7991-М8x25-8.8-A2L</t>
  </si>
  <si>
    <t>Винт DIN 914-М6х8-8.8-A2L</t>
  </si>
  <si>
    <t>Винт DIN 914-М10х30-8.8-A3L</t>
  </si>
  <si>
    <t>Гайка М8-6H.6.019 ГОСТ 3032-76</t>
  </si>
  <si>
    <t>Шайба 8.65Г.019 ГОСТ 6402-70</t>
  </si>
  <si>
    <t>Шайба С.24.03.019 ГОСТ 11371-78</t>
  </si>
  <si>
    <t>Болт М14-6gx50.88.019 ГОСТ 7798-70</t>
  </si>
  <si>
    <t>Гайка М14-6H.8.019 ГОСТ 5915-70</t>
  </si>
  <si>
    <t>Шайба 14.65Г.019 ГОСТ 6402-70</t>
  </si>
  <si>
    <t>Шайба С.14.03.019 ГОСТ 11371-78</t>
  </si>
  <si>
    <t>Болт М8-6gx30.88.019 ГОСТ 7798-70</t>
  </si>
  <si>
    <t>Гайка М20-6H.8.019 ГОСТ 5915-70</t>
  </si>
  <si>
    <t>Болт DIN 933-М20x220-8.8-A3L</t>
  </si>
  <si>
    <t>Болт М16-6gx40.88.019 ГОСТ 7798-70</t>
  </si>
  <si>
    <t>Гайка DIN 6923-М16-8-A3L</t>
  </si>
  <si>
    <t>Шайба С.20.03.019 ГОСТ 11371-78</t>
  </si>
  <si>
    <t>Шайба С.8.03.019 ГОСТ 11371-78</t>
  </si>
  <si>
    <t>Шайба 20.65Г.019 ГОСТ 6402-70</t>
  </si>
  <si>
    <t>Болт М8-6gx40.88.019 ГОСТ 7798-70</t>
  </si>
  <si>
    <t>Болт М8x20.88.019 ГОСТ 7802-81</t>
  </si>
  <si>
    <t>Шайба C 8.03.019 ГОСТ 6958-78</t>
  </si>
  <si>
    <t>Гайка М8-6H.8.019 ГОСТ 5915-70</t>
  </si>
  <si>
    <t>Гайка М10-6H.8.019 ГОСТ 5915-70</t>
  </si>
  <si>
    <t>Винт DIN 914-М8х10-8.8-A2L</t>
  </si>
  <si>
    <t>Шайба С.10.03.019 ГОСТ 11371-78</t>
  </si>
  <si>
    <t>Шайба 10.65Г.019 ГОСТ 6402-70</t>
  </si>
  <si>
    <t>Гайка DIN 6923-М10-8-A3L</t>
  </si>
  <si>
    <t>Болт М8-6gx35.88.019 ГОСТ 7798-70</t>
  </si>
  <si>
    <t>Гайка М5-6H.8.019 ГОСТ 5915-70</t>
  </si>
  <si>
    <t>Гайка М3-6H.8.019 ГОСТ 5915-70</t>
  </si>
  <si>
    <t>Винт DIN 914-М10х25-8.8-A2L</t>
  </si>
  <si>
    <t>Болт М10-6gx40.88.019 ГОСТ 7798-70</t>
  </si>
  <si>
    <t>Болт DIN 6921-M8x20-8.8-A2L</t>
  </si>
  <si>
    <t>Лист 16 ГОСТ 19903-2015/Ст3пc ГОСТ 14637-89</t>
  </si>
  <si>
    <t>Болт М16-6gx35.88.019 ГОСТ 7798-70</t>
  </si>
  <si>
    <t>Гайка М16-6H.8.019 ГОСТ 5915-70</t>
  </si>
  <si>
    <t>Шайба 16.65Г.019 ГОСТ 6402-70</t>
  </si>
  <si>
    <t>Болт DIN 6921-M10x30-8.8-A3L</t>
  </si>
  <si>
    <t>Болт М8-6gx50.88.019 ГОСТ 7798-70</t>
  </si>
  <si>
    <t>Гайка М12-6H.8.019 ГОСТ 5915-70</t>
  </si>
  <si>
    <t>Шайба 12.65Г.019 ГОСТ 6402-70</t>
  </si>
  <si>
    <t>Шайба С.12.03.019 ГОСТ 11371-78</t>
  </si>
  <si>
    <t>Гайка DIN 6923-М6-8-A2L</t>
  </si>
  <si>
    <t>Болт М6-6gx14.88.019 ГОСТ 7798-70</t>
  </si>
  <si>
    <t>Винт М12-6gx70.88.019 ГОСТ 11738-84</t>
  </si>
  <si>
    <t>Винт DIN 914-М4х8-8.8-A2L</t>
  </si>
  <si>
    <t>Винт DIN 914-М6х6-8.8-A2L</t>
  </si>
  <si>
    <t>Гайка DIN 929-M8-8-A2L</t>
  </si>
  <si>
    <t>Шайба 4.65Г.019 ГОСТ 6402-70</t>
  </si>
  <si>
    <t>Гайка М4-6H.8.019 ГОСТ 5915-70</t>
  </si>
  <si>
    <t>Винт DIN 7985-М8х20-8.8-A2L</t>
  </si>
  <si>
    <t>Винт DIN 7985-М4х20-8.8-A2L</t>
  </si>
  <si>
    <t>Болт DIN 6921-M6x16-8.8-A2L</t>
  </si>
  <si>
    <t>Винт-саморез DIN 7504N-ST4,2х13-A2L</t>
  </si>
  <si>
    <t>Винт DIN 7985-М4х10-8.8-A2L</t>
  </si>
  <si>
    <t>Болт DIN 6921-M6x12-8.8-A2L</t>
  </si>
  <si>
    <t>Шайба С.5.03.019 ГОСТ 11371-78</t>
  </si>
  <si>
    <t>Гайка DIN 6923-М5-8-A2L</t>
  </si>
  <si>
    <t>Болт DIN 6921-M5x16-8.8-A2L</t>
  </si>
  <si>
    <t>Болт DIN 6921-M6x25-8.8-A2L</t>
  </si>
  <si>
    <t>Винт В.М8-6gx70.88.019 ГОСТ 17473-80</t>
  </si>
  <si>
    <t>Болт DIN 6921-M8x25-8.8-A2L</t>
  </si>
  <si>
    <t>Болт DIN 6921-M8x30-8.8-A2L</t>
  </si>
  <si>
    <t>Болт М16-6gx50.88.019 ГОСТ 7798-70</t>
  </si>
  <si>
    <t>Болт М8-6gx70.88.019 ГОСТ 7798-70</t>
  </si>
  <si>
    <t>Винт DIN 7985-М6х16-8.8-A2L</t>
  </si>
  <si>
    <t>Болт 1аМ16-6gx110.88.019 ГОСТ 7817-80</t>
  </si>
  <si>
    <t>Гайка М16-6H.8.019 ГОСТ 5916-70</t>
  </si>
  <si>
    <t>Болт М12x120.88.019 ГОСТ 7802-81</t>
  </si>
  <si>
    <t>Болт М16-6gx120.88.019 ГОСТ 7798-70</t>
  </si>
  <si>
    <t>Заклепка вытяжная DIN 7337-A6x10-Al-St-A1P</t>
  </si>
  <si>
    <t>Шайба C 10.03.019 ГОСТ 6958-78</t>
  </si>
  <si>
    <t>Круг 8 ГОСТ 2590-2006/Ст3сп ГОСТ 535-2005</t>
  </si>
  <si>
    <t>Шайба C 20.03.019 ГОСТ 6958-78</t>
  </si>
  <si>
    <t>Болт М16-6gx65.88.019 ГОСТ 7798-70</t>
  </si>
  <si>
    <t>Болт DIN 6921-M10x45-8.8-A3L</t>
  </si>
  <si>
    <t>Болт DIN 6921-M10x35-8.8-A3L</t>
  </si>
  <si>
    <t>Болт DIN 6921-M10x20-8.8-A3L</t>
  </si>
  <si>
    <t>Винт-саморез DIN 7504P-ST2,9х13-A2L</t>
  </si>
  <si>
    <t>Гайка DIN 929-M10-8-A3L</t>
  </si>
  <si>
    <t>Болт DIN 6921-M12x45-8.8-A3L</t>
  </si>
  <si>
    <t>Болт DIN 6921-M12x40-8.8-A3L</t>
  </si>
  <si>
    <t>Шпилька М20x1000 DIN 975</t>
  </si>
  <si>
    <t>Шайба C 12.03.019 ГОСТ 6958-78</t>
  </si>
  <si>
    <t>Болт DIN 6921-M12x50-8.8-A3L</t>
  </si>
  <si>
    <t>Шайба С.4.03.019 ГОСТ 11371-78</t>
  </si>
  <si>
    <t>Шайба C 4.03.019 ГОСТ 6958-78</t>
  </si>
  <si>
    <t>ТМ-321Р.00 (0-0,25MPa) G1/4.1,5 Манометр</t>
  </si>
  <si>
    <t>Шайба С.6.03.019 ГОСТ 11371-78</t>
  </si>
  <si>
    <t>Шайба 6.65Г.019 ГОСТ 6402-70</t>
  </si>
  <si>
    <t>Шайба 2.5.65Г.019 ГОСТ 10463-81</t>
  </si>
  <si>
    <t>Гайка М6-6H.8.019 ГОСТ 5915-70</t>
  </si>
  <si>
    <t>Винт DIN 7985-М5х10-8.8-A2L</t>
  </si>
  <si>
    <t>Болт М6-6gx30.88.019 ГОСТ 7798-70</t>
  </si>
  <si>
    <t>Гайка DIN 562-М5-8-A2L</t>
  </si>
  <si>
    <t>Винт В.М8-6gx25.88.019 ГОСТ 17473-80</t>
  </si>
  <si>
    <t>Винт DIN 914-М8х20-8.8-A2L</t>
  </si>
  <si>
    <t>Винт DIN 7985-М6х12-8.8-A2L</t>
  </si>
  <si>
    <t>Болт М10-6gx110.88.019 ГОСТ 7798-70</t>
  </si>
  <si>
    <t>Винт DIN 316-M8x16-8.8.A2L</t>
  </si>
  <si>
    <t>Винт-саморез DIN 7504N-ST3,9х13-A2L</t>
  </si>
  <si>
    <t>Болт М6-6gx16.88.019 ГОСТ 7798-70</t>
  </si>
  <si>
    <t>Гайка М16LH-6H.8.019 ГОСТ 5915-70</t>
  </si>
  <si>
    <t>Болт DIN 933-М8x45-8.8-A2L</t>
  </si>
  <si>
    <t>АМг6 нест. профиль ГОСТ 4784-97</t>
  </si>
  <si>
    <t>Ед</t>
  </si>
  <si>
    <t>Кол</t>
  </si>
  <si>
    <t>Кол.</t>
  </si>
  <si>
    <t>Курс евро-рубль</t>
  </si>
  <si>
    <t>Курс доллар-рубль</t>
  </si>
  <si>
    <t>Наценка на покупные изделия</t>
  </si>
  <si>
    <t>Запас на  неучтенные работы</t>
  </si>
  <si>
    <t>Цена одного часа работы</t>
  </si>
  <si>
    <t>Инструкция по расчету:</t>
  </si>
  <si>
    <t>Источник данных: PLM -&gt; ERP -&gt; Отчеты -&gt; Сводная ведомость покупных изделий и материалов -&gt; Вариант отчета "Сводная"</t>
  </si>
  <si>
    <t xml:space="preserve"> - ручная корректировка</t>
  </si>
  <si>
    <r>
      <t xml:space="preserve">Цены добавляются из файла "Все цены из УПП" и корректируются вручную. </t>
    </r>
    <r>
      <rPr>
        <b/>
        <sz val="12"/>
        <color rgb="FFFF0000"/>
        <rFont val="Calibri"/>
        <family val="2"/>
        <charset val="204"/>
        <scheme val="minor"/>
      </rPr>
      <t>Цена в валюте должны ссылаться на соотв. курс</t>
    </r>
  </si>
  <si>
    <t>Заклепка вытяжная DIN 7337-A4x8-Al-St-A1P</t>
  </si>
  <si>
    <t>Табличка 100x80 ГОСТ 12971-68</t>
  </si>
  <si>
    <t>Винт DIN 7985-М5х20-8.8-A2L</t>
  </si>
  <si>
    <t>Шайба C 6.03.019 ГОСТ 6958-78</t>
  </si>
  <si>
    <t>Болт М8-6gx60.88.019 ГОСТ 7798-70</t>
  </si>
  <si>
    <t>Болт М6-6gx40.88.019 ГОСТ 7798-70</t>
  </si>
  <si>
    <t>Последняя цена</t>
  </si>
  <si>
    <t>Последняя дата</t>
  </si>
  <si>
    <t>Последний поставщик</t>
  </si>
  <si>
    <t>Валюта</t>
  </si>
  <si>
    <t>Стоимость в валюте</t>
  </si>
  <si>
    <t>Курс юань-рубль</t>
  </si>
  <si>
    <r>
      <t xml:space="preserve"> - актуальность цены </t>
    </r>
    <r>
      <rPr>
        <sz val="11"/>
        <color rgb="FFFF0000"/>
        <rFont val="Calibri"/>
        <family val="2"/>
        <charset val="204"/>
        <scheme val="minor"/>
      </rPr>
      <t>(цены старше года берутся с коэффициентом 1.1)</t>
    </r>
  </si>
  <si>
    <t>Вид элемента</t>
  </si>
  <si>
    <t>Общ. кол.</t>
  </si>
  <si>
    <t>ANT20004 Прессостат Реле давления воздуха JD2</t>
  </si>
  <si>
    <t>CM Компакт распред. шкаф 1200х1000х400мм | 2811.000-0.00.00</t>
  </si>
  <si>
    <t>DIN-рейка 35х7,5 мм Omega 3F | 02140</t>
  </si>
  <si>
    <t>Fenwal 35-705701-103 плата поджига 120 VAC DSI Potted | 1256965</t>
  </si>
  <si>
    <t>Автоматический выключатель MS116-0,25 | 1SAM250000R1002</t>
  </si>
  <si>
    <t>Автоматический выключатель MS116-16 | 1SAM250000R1011</t>
  </si>
  <si>
    <t>Автоматический выключатель MS116-25 | 1SAM250000R1014</t>
  </si>
  <si>
    <t>Автоматический выключатель MS116-6,3 | 1SAM250000R1009</t>
  </si>
  <si>
    <t>Автоматический выключатель MS165-42 | 1SAM451000R1015</t>
  </si>
  <si>
    <t>Автоматический выключатель XT3N 250 TMD In=250A | 1SDA068059R1</t>
  </si>
  <si>
    <t>Антенна TP-Link TL-ANT2412D внешняя всенаправленная | 0135884</t>
  </si>
  <si>
    <t>Антенный кабель TRENDnet TEW-L208 LMR200 Reverse SMA to N-type Cable 8м | TEW-L208</t>
  </si>
  <si>
    <t>Блок питания Uвх=85-264В, Uвых=24В, Iвых=4A | 6EP1332-1SH52</t>
  </si>
  <si>
    <t>Вал для датчика уровня BMRX GRSS-1 | 299-0004</t>
  </si>
  <si>
    <t>Ввод кабельный М20х1,5 RAL7035 | 2411620</t>
  </si>
  <si>
    <t>Винтовая клемма проходная M10_10 | 1SNA115120R1700</t>
  </si>
  <si>
    <t>Влагомер Dryer Master | 2200-11-BTC-RB</t>
  </si>
  <si>
    <t>Вспомогательный контакт AUX 250 В | 1SDA066422R1</t>
  </si>
  <si>
    <t>Вспомогательный контакт боковой HK1-20 2NO | 1SAM201902R1002</t>
  </si>
  <si>
    <t>Вспомогательный контактный блок CA4-10 | 1SBN010110R1010</t>
  </si>
  <si>
    <t>Втычная клемма проходная с 3 соед заземляющая ZK2.5-PE-3P | 1SNK705151R0000</t>
  </si>
  <si>
    <t>Втычная клемма проходная с 3 соед серая ZK2.5-3P | 1SNK705011R0000</t>
  </si>
  <si>
    <t>Выводы для нескольких кабелей 3шт в уп | 1SDA066929R1</t>
  </si>
  <si>
    <t>Выключатель D4C-1203 | 134461</t>
  </si>
  <si>
    <t>Гайка М20 | 6006-20</t>
  </si>
  <si>
    <t>Гайка М25 | 6006-25</t>
  </si>
  <si>
    <t>Гайка М32A | 6006-32A</t>
  </si>
  <si>
    <t>Гайка М63 | 6006-63</t>
  </si>
  <si>
    <t>Датчик индуктивный BI4-M12-AP6X-H1141 | 46070</t>
  </si>
  <si>
    <t>Датчик температуры ДТС-105-Pt100.В2.100 МГ</t>
  </si>
  <si>
    <t>Датчик уровня роторный BMRX 230VAC | 730-0503</t>
  </si>
  <si>
    <t>Дверь внутренняя S3D 800х600 | 2813.000-0.10.00</t>
  </si>
  <si>
    <t>Изолирующая крышка | 1SDH001295R0419</t>
  </si>
  <si>
    <t>Изолирующий колпачок RJ-45 серый | CS4-11</t>
  </si>
  <si>
    <t>Изолятор SM35 (М8) силовой ИЭК | YIS11-35-10</t>
  </si>
  <si>
    <t>Интерфейсный модуль реле 1 контакт 6А 220АС 38.51 | 385102400060</t>
  </si>
  <si>
    <t>Интерфейсный модуль реле 1 контакт 6А 24DС 38.51 | 385100240060</t>
  </si>
  <si>
    <t>Кабель витая пара экранированная F/UTP 5e 4x2x24 AWG</t>
  </si>
  <si>
    <t>Кабель монтажный многожильный МКЭШ 2х0,75</t>
  </si>
  <si>
    <t>Кабель монтажный многожильный МКЭШ 3х0,75</t>
  </si>
  <si>
    <t>Кабель монтажный многожильный МКЭШ 5х0,75</t>
  </si>
  <si>
    <t>Кабель силовой термостойкий желто-зеленый 1х0,75 OLFLEX HEAT 205 SC | 0083000</t>
  </si>
  <si>
    <t>Кабель силовой термостойкий черный 1х0,75 OLFLEX HEAT 205 SC | 0083001</t>
  </si>
  <si>
    <t>Карта памяти 1 GB | MPCYN00CF100N</t>
  </si>
  <si>
    <t>Клеммное соединение M4/8.SFL для предохранителей 5x20 | 1SNA115661R2100</t>
  </si>
  <si>
    <t>Кнопка аварийной остановки 40 мм CE4T-10R-11 | 1SFA619550R1071</t>
  </si>
  <si>
    <t>Кнопка выступающая с подсветкой красная MP3-21R | 1SFA611102R1101</t>
  </si>
  <si>
    <t>Колпачок защитный для свечи зажигания BERU G3P7 | 0010100003</t>
  </si>
  <si>
    <t>Колпачок защитный для свечи зажигания BERU GWS7 | 0010020006</t>
  </si>
  <si>
    <t>Колпачок защитный для свечи зажигания BERU OE6/1 | 0300311002</t>
  </si>
  <si>
    <t>Компактный многофункциональный таймер | H3YN21BAC200230</t>
  </si>
  <si>
    <t>Контактный блок с 1 НЗ контактом MCB-01 | 1SFA611610R1010</t>
  </si>
  <si>
    <t>Контактный блок с 1 НО контактом MCB-10 | 1SFA611610R1001</t>
  </si>
  <si>
    <t>Контроллер температуры | А19ADB-22C</t>
  </si>
  <si>
    <t>Концевой выключатель в базовом пластмассовом корпусе | Z-15GQ-B OMI</t>
  </si>
  <si>
    <t>Коробка ответвительная алюминиевая 3 ввода IP55 М20 | 6330-20</t>
  </si>
  <si>
    <t>Коробка ответвительная алюминиевая 3 ввода IP55 М25 | 6330-25</t>
  </si>
  <si>
    <t>Коробка ответвительная алюминиевая 4 ввода IP55 М20 | 6430-20</t>
  </si>
  <si>
    <t>Корпус сигнальной лампы желтый ML1-100Y | 1SFA611400R1003</t>
  </si>
  <si>
    <t>Кронштейн 1 сторонний монтаж KA70-1031 | 1SFA616077R1031</t>
  </si>
  <si>
    <t>Крыльчатка для датчика уровня BMRX GRP-2 | 416-0152</t>
  </si>
  <si>
    <t>Лампа для сигнальных стоек K70 230 В 5 Вт KA4-1148 | 1SFA616923R1148</t>
  </si>
  <si>
    <t>Маркировка MC512PA 1-&gt;10</t>
  </si>
  <si>
    <t>Маркировка MC512PA 11-&gt;20</t>
  </si>
  <si>
    <t>Металлорукав в гладкой EVA-оболочке 15мм | 607E016</t>
  </si>
  <si>
    <t>Металлорукав в гладкой EVA-оболочке 20мм | 607E022</t>
  </si>
  <si>
    <t>Металлорукав в гладкой EVA-оболочке 40мм | 607E040</t>
  </si>
  <si>
    <t>Металлорукав в гладкой EVA-оболочке 50мм | 607E050</t>
  </si>
  <si>
    <t>Миниатюрное промышленное реле 2 контакта 8А 220АС 46.52 | 465282300020</t>
  </si>
  <si>
    <t>Миниатюрный цилиндрический предохранитель 5x20мм 2,5 А | 10225</t>
  </si>
  <si>
    <t>Миниатюрный цилиндрический предохранитель 5x20мм 5 А | 10250</t>
  </si>
  <si>
    <t>Модуль аналогового ввода-вывода S7-1200 SM 1234 | 6ES7234-4HE32-0XB0</t>
  </si>
  <si>
    <t>Модуль ввода аналоговых сигналов S7-1200 SM 1231 | 6ES7231-5PD32-0XB0</t>
  </si>
  <si>
    <t>Модуль светодиод 99.02 | 9902023059</t>
  </si>
  <si>
    <t>Модульный автоматический выключатель S201-C2 | 2CDS251001R0042</t>
  </si>
  <si>
    <t>Модульный автоматический выключатель S201-C4 | 2CDS251001R0044</t>
  </si>
  <si>
    <t>Модульный автоматический выключатель S201-C6 | 2CDS251001R0064</t>
  </si>
  <si>
    <t>Модульный автоматический выключатель S202-C32 | 2CDS252001R0324</t>
  </si>
  <si>
    <t>Модульный автоматический выключатель S202-C4 | 2CDS252001R0044</t>
  </si>
  <si>
    <t>Монтажная колодка для трёх блоков MCBH-00 | 1SFA611605R1100</t>
  </si>
  <si>
    <t>Монтажная колодка с безвинтовыми клеммами | PYF-08-PU-L</t>
  </si>
  <si>
    <t>Муфта вводная для металлорукава ВМ90 -15</t>
  </si>
  <si>
    <t>Муфта вводная для металлорукава ВМ90 -38</t>
  </si>
  <si>
    <t>Муфта металлорукав-коробка поворотная с нар резьбой М20-15 | 6014-20G</t>
  </si>
  <si>
    <t>Муфта металлорукав-коробка поворотная с нар резьбой М25-20 | 6014-25G</t>
  </si>
  <si>
    <t>Муфта металлорукав-коробка с наружной резьбой М20-15 | 6014-20A</t>
  </si>
  <si>
    <t>Муфта металлорукав-коробка с наружной резьбой М25-20 | 6014-25A</t>
  </si>
  <si>
    <t>Муфта металлорукав-коробка с наружной резьбой М63-50 | 6014-6350G</t>
  </si>
  <si>
    <t>Муфта соединительная труба-труба d20мм | 6110-20N</t>
  </si>
  <si>
    <t>Муфта труба-коробка IP66 М20-20 | 6111-A20N</t>
  </si>
  <si>
    <t>Муфта труба-коробка с внутренней резьбой IP66 20мм-М20 | 6112-A20</t>
  </si>
  <si>
    <t>Навес 300х160 | 2907.000-0.00.00</t>
  </si>
  <si>
    <t>Навес 600x250 | 2813.000-0.20.00</t>
  </si>
  <si>
    <t>Наконечник кабельный НШвИ  6-12 | 79449</t>
  </si>
  <si>
    <t>Наконечник кабельный НШвИ 0,75-8 | 79436</t>
  </si>
  <si>
    <t>Наконечник кабельный НШвИ 1,5-8 | 79440</t>
  </si>
  <si>
    <t>Наконечник кабельный НШвИ 2,5-8 | 2ART506NB</t>
  </si>
  <si>
    <t>Наконечник кабельный НШвИ 4-9 | 79446</t>
  </si>
  <si>
    <t>Наконечник кольцевой изолированный IEK НКИ 5,5-4 | UNL20-006-6-4</t>
  </si>
  <si>
    <t>Наконечник плоский полностью изолир. (розетка) 0,25-1,5 кв.мм 2,8х0,8 мм (РППИ-М) | 2A00TP</t>
  </si>
  <si>
    <t>Неуправляемый IE-коммутатор начального уровня | 6GK5005-0BA00-1CA3</t>
  </si>
  <si>
    <t>Основание для монтажа на кронштейне KT70-1002 | 1SFA616075R1002</t>
  </si>
  <si>
    <t>Панель основания размер 4 520х250мм | 2813.000-0.00.01</t>
  </si>
  <si>
    <t>Передние удлиненные расширенные выводы 3шт в уп | 1SDA066897R1</t>
  </si>
  <si>
    <t>Переключатель 2П  с подсветкой фикс зеленый M2SS5-21G | 1SFA611204R2102</t>
  </si>
  <si>
    <t>Переключатель 3П с подсветкой зеленый M3SS3-21G | 1SFA611212R2102</t>
  </si>
  <si>
    <t>Переключатель 3П с подсветкой фикс зеленый M3SS1-21G | 1SFA611210R2102</t>
  </si>
  <si>
    <t>Перемычка 2 полюса JB5-2 | 1SNK905302R0000</t>
  </si>
  <si>
    <t>Переходник тип А М25-М20 | 6016-2520</t>
  </si>
  <si>
    <t>Переходник тип А М32-М20 | 6016-3220</t>
  </si>
  <si>
    <t>Перфорированный короб RL6 25x60 | 01166RL</t>
  </si>
  <si>
    <t>Перфорированный короб RL6 40x60 | 01107RL</t>
  </si>
  <si>
    <t>Планшет Lenovo Tab 7" 16Gb RAM 2 ГБ 1024x600 IPS A7.0 | TAB-7304L</t>
  </si>
  <si>
    <t>Плата монтажная для шкафов 800x600мм</t>
  </si>
  <si>
    <t>Площадка самоклеящаяся 20х20 белая под хомуты</t>
  </si>
  <si>
    <t>Поворотный адаптер 45 IP68 М20 | 6028-20G</t>
  </si>
  <si>
    <t>Поворотный адаптер 45 IP68 М25 | 6028-25G</t>
  </si>
  <si>
    <t>Полимерный пневмошланг | PUN-H-6х1-NT</t>
  </si>
  <si>
    <t>Преобразователь частоты 0,55 кВт Altivar 312 | ATV312H055M2</t>
  </si>
  <si>
    <t>Провод ПВВ 1х1,5 | 060201004</t>
  </si>
  <si>
    <t>Провод ПуГВ 1х0,75 белый</t>
  </si>
  <si>
    <t>Провод ПуГВ 1х0,75 голубой</t>
  </si>
  <si>
    <t>Провод ПуГВ 1х0,75 желто-зеленый</t>
  </si>
  <si>
    <t>Провод ПуГВ 1х0,75 красный</t>
  </si>
  <si>
    <t>Провод ПуГВ 1х0,75 синий</t>
  </si>
  <si>
    <t>Провод ПуГВ 1х0,75 черный</t>
  </si>
  <si>
    <t>Провод ПуГВ 1х1,5 желто-зеленый</t>
  </si>
  <si>
    <t>Провод ПуГВ 1х1,5 черный</t>
  </si>
  <si>
    <t>Провод ПуГВ 1х2,5 черный</t>
  </si>
  <si>
    <t>Провод ПуГВ 1х4 желто-зеленый</t>
  </si>
  <si>
    <t>Провод ПуГВ 1х4 черный</t>
  </si>
  <si>
    <t>Провод ПуГВ 1х6 желто-зеленый</t>
  </si>
  <si>
    <t>Провод ПуГВ 1х6 черный</t>
  </si>
  <si>
    <t>Программируемый контроллер S7-1200 CPU 1214C | 6ES7214-1AG40-0XB0</t>
  </si>
  <si>
    <t>Прокладка уплотнительная IP67 М20 | 6060-1925</t>
  </si>
  <si>
    <t>Прокладка уплотнительная IP67 М25 | 6060-2532</t>
  </si>
  <si>
    <t>Прокладка уплотнительная IP67 М40 | 6060-4050</t>
  </si>
  <si>
    <t>Прокладка уплотнительная IP67 М63 | 6060-6472</t>
  </si>
  <si>
    <t>Разделительный трансформатор 630ВА 230-400/115-230 | 042515</t>
  </si>
  <si>
    <t>Разъем B8241-0 | 69048</t>
  </si>
  <si>
    <t>Разъём RJ-45 UTP | CS3-1C5EU-BC</t>
  </si>
  <si>
    <t>Розетка 92.03 для реле 62.33 с раздельными контактами | 9203SMA</t>
  </si>
  <si>
    <t>Розетка с винтовым зажимом 97.02 | 9702SPA</t>
  </si>
  <si>
    <t>Сальник PG 13,5 | YSA20-12-13-54-K41</t>
  </si>
  <si>
    <t>Сальник PG 48 | YSA20-44-48-54-K41</t>
  </si>
  <si>
    <t>Саморез DIN 7981-ST4,2x13</t>
  </si>
  <si>
    <t>Саморез DIN 7981-ST4,8x32</t>
  </si>
  <si>
    <t>Световой модуль постоянное свечение зеленый KL70-401G | 1SFA616070R4012</t>
  </si>
  <si>
    <t>Световой модуль постоянное свечение красный KL70-401R | 1SFA616070R4011</t>
  </si>
  <si>
    <t>Светодиодный блок желтый 220АС MLBL-07Y | 1SFA611621R1073</t>
  </si>
  <si>
    <t>Светодиодный блок зеленый 220АС MLBL-07G | 1SFA611621R1072</t>
  </si>
  <si>
    <t>Светодиодный блок красный 220АС MLBL-07R | 1SFA611621R1071</t>
  </si>
  <si>
    <t>Сенсорный цветной терминал Magelis GTO | HMIGTO2310</t>
  </si>
  <si>
    <t>Силовое реле 3 перекидных контакта 16А 230ВAC 62.33 | 623382300040</t>
  </si>
  <si>
    <t>СМ Карман для документации | 2813.000-0.00.02</t>
  </si>
  <si>
    <t>Стяжка нейлоновая 250х3,6мм</t>
  </si>
  <si>
    <t>Табличка "Панель ПУ"</t>
  </si>
  <si>
    <t>Табличка "Состояний ШГ"</t>
  </si>
  <si>
    <t>Таймер SPST-NO 15c-300c | 6A859</t>
  </si>
  <si>
    <t>Таймер регулировки 0 до 3 минут 220В TMV 8000 | 1246996</t>
  </si>
  <si>
    <t>Температурный контроллер | CAL9500P</t>
  </si>
  <si>
    <t>Термопара с кабельным выводом ДТПК094-00.160/8К |</t>
  </si>
  <si>
    <t>Термоусадочная трубка 6х30, желто-зеленая</t>
  </si>
  <si>
    <t>Термоусадочная трубка ТУТ 6/3 желтая |  tut-6-y</t>
  </si>
  <si>
    <t>Термоусадочная трубка ТУТ 6/3 зеленая |  tut-6-j</t>
  </si>
  <si>
    <t>Термоусадочная трубка ТУТ 6/3 красная |  tut-6-r</t>
  </si>
  <si>
    <t>Торцевой изолятор 2.8 мм FEM6 | 1SNA118368R1600</t>
  </si>
  <si>
    <t>Торцевой изолятор 2мм EK2.5-3P | 1SNK705911R0000</t>
  </si>
  <si>
    <t>Торцевой изолятор FEM8S | 1SNA116951R1500</t>
  </si>
  <si>
    <t>Торцевой фиксатор BAZ1 | 1SNK900002R0000</t>
  </si>
  <si>
    <t>Точка доступа TP-LINK TL-WA701ND 1х10/100Base Tx | 0120431</t>
  </si>
  <si>
    <t>Трехполюсный контактор AF16-30-10-13 | 1SBL177001R1310</t>
  </si>
  <si>
    <t>Трехполюсный контактор AF26-30-10-13 | 1SBL237001R1300</t>
  </si>
  <si>
    <t>Трехполюсный контактор AF40-30-00-13 | 1SBL347001R1300</t>
  </si>
  <si>
    <t>Трехполюсный контактор AF9-30-10-13 | 1SBL137001R1310</t>
  </si>
  <si>
    <t>Труба PP-R d20 | VTp.700.0020.20</t>
  </si>
  <si>
    <t>Труба стальная жесткая d20мм 3м | 6008-20L3</t>
  </si>
  <si>
    <t>Универсальный витой жгут SPIRALITE 10мм | 00963RL</t>
  </si>
  <si>
    <t>Уплотнительная вставка SKINTOP DIX 13250 | 53613250</t>
  </si>
  <si>
    <t>Фитинг цанговый QS | QS-1/8-6</t>
  </si>
  <si>
    <t>Фитинг цанговый проходной QS | QSSF-1/8-6-В</t>
  </si>
  <si>
    <t>Фитинг цанговый угловой QS | QSL-1/8-6</t>
  </si>
  <si>
    <t>Хомут стальной Dn20 | 58020</t>
  </si>
  <si>
    <t>Шильдик для маркировки кнопок аварийной остановки | 1SFA616915R1005</t>
  </si>
  <si>
    <t>Шина медная 3x25 | 04162</t>
  </si>
  <si>
    <t>Шкаф IP54 800х600х250 со стеклом | 2812.000-2.00.00</t>
  </si>
  <si>
    <t>Шкаф с монтажной панелью IP54 900х300х160 | 2662.000-0.00.00</t>
  </si>
  <si>
    <t>Штуцер соединительный М20-М20</t>
  </si>
  <si>
    <t>Щитовая розетка iPC DIN 2p+T 16A 250В | A9A15310</t>
  </si>
  <si>
    <t>Муфта вводная для металлорукава ВМ90 -50</t>
  </si>
  <si>
    <t>Трудозатраты на единицу</t>
  </si>
  <si>
    <t>Пробивная по ударам</t>
  </si>
  <si>
    <t>5AMX180S4У1 1081 Электродвигатель</t>
  </si>
  <si>
    <t>PHP 3SPA224TB Шкив клиновой</t>
  </si>
  <si>
    <t>PHP 3SPA250TB Шкив клиновой</t>
  </si>
  <si>
    <t>Болт DIN 6921-M10x25-8.8-A3L</t>
  </si>
  <si>
    <t>Болт DIN 6921-M12x25-8.8-A3L</t>
  </si>
  <si>
    <t>Болт DIN 6921-M14x55-8.8-A3L</t>
  </si>
  <si>
    <t>Винт DIN 7985-М8х16-8.8-A2L</t>
  </si>
  <si>
    <t>Винт В.М10-6gx30.88.019 ГОСТ 17473-80</t>
  </si>
  <si>
    <t>Винт В.М8-6gx20.88.019 ГОСТ 17473-80</t>
  </si>
  <si>
    <t>Гайка DIN 6923-М12-8-A3L</t>
  </si>
  <si>
    <t>Кран шаровый газовый ГШК 50</t>
  </si>
  <si>
    <t>Лист 4,0 S350GD+Z EN 10346:2015</t>
  </si>
  <si>
    <t>ПН3-130-Л ГОСТ 5088-2005</t>
  </si>
  <si>
    <t>Пробка 50 ГОСТ 8963-75</t>
  </si>
  <si>
    <t>Тройник 50x15 ГОСТ 8949-75</t>
  </si>
  <si>
    <t>Тройник 50x32 ГОСТ 8949-75</t>
  </si>
  <si>
    <t>Шайба C 14.03.019 ГОСТ 6958-78</t>
  </si>
  <si>
    <t>Источник данных: PLM -&gt; ERP -&gt; Отчеты -&gt; Сводная ведомость трудоемкости -&gt; Вариант отчета "Для файлов расчета стоимости"</t>
  </si>
  <si>
    <t>Металлорукав в гладкой EVA-оболочке 26мм | 607E032</t>
  </si>
  <si>
    <t xml:space="preserve">Муфта металлорукав-коробка с наружной резьбой М32-26 | 6014-2732G </t>
  </si>
  <si>
    <t>Провод ПуГВ 1х10 желто-зеленый</t>
  </si>
  <si>
    <t>Провод ПуГВ 1х10 черный</t>
  </si>
  <si>
    <t>Прокладка уплотнительная IP67 М32 | 6060-3238</t>
  </si>
  <si>
    <t>Гайка М50 | 6006-50</t>
  </si>
  <si>
    <t>Коробка ответвительная алюминиевая 3 ввода IP55 М40 | 6330-40</t>
  </si>
  <si>
    <t>Муфта металлорукав-коробка поворотная с нар резьбой М50-40 | 6014-5040G</t>
  </si>
  <si>
    <t>Муфта металлорукав-коробка с наружной резьбой М40-40 | 6014-40A</t>
  </si>
  <si>
    <t>Прокладка уплотнительная IP67 М50 | 6060-5060</t>
  </si>
  <si>
    <t>Автоматический выключатель MS165-54 | 1SAM451000R1016</t>
  </si>
  <si>
    <t>Изолирующая крышка | 1SDA066664R1</t>
  </si>
  <si>
    <t>Муфта металлорукав-коробка с наружной резьбой М25-26 | 6014-2527</t>
  </si>
  <si>
    <t>Трехполюсный контактор AF52-30-00-13 | 1SBL367001R1300</t>
  </si>
  <si>
    <r>
      <t xml:space="preserve">Источник данных: PLM -&gt; ERP -&gt; Отчеты -&gt; Статистика по материалам -&gt; Вариант отчета "Для файлов расчета стоимости </t>
    </r>
    <r>
      <rPr>
        <b/>
        <sz val="12"/>
        <color rgb="FFFF0000"/>
        <rFont val="Calibri"/>
        <family val="2"/>
        <charset val="204"/>
        <scheme val="minor"/>
      </rPr>
      <t>3</t>
    </r>
    <r>
      <rPr>
        <sz val="12"/>
        <rFont val="Calibri"/>
        <family val="2"/>
        <charset val="204"/>
        <scheme val="minor"/>
      </rPr>
      <t>"</t>
    </r>
  </si>
  <si>
    <r>
      <t>1. Заполнить данные таблицы на листе "Покупные_изделия".</t>
    </r>
    <r>
      <rPr>
        <sz val="11"/>
        <color theme="0" tint="-0.499984740745262"/>
        <rFont val="Calibri"/>
        <family val="2"/>
        <charset val="204"/>
        <scheme val="minor"/>
      </rPr>
      <t xml:space="preserve"> </t>
    </r>
    <r>
      <rPr>
        <i/>
        <sz val="11"/>
        <color theme="0" tint="-0.499984740745262"/>
        <rFont val="Calibri"/>
        <family val="2"/>
        <charset val="204"/>
        <scheme val="minor"/>
      </rPr>
      <t>Опционально: обновить сводную таблицу на листе "Своная покупных изделий"</t>
    </r>
  </si>
  <si>
    <t>2. Добавить таблицу со структурой изделия и массами на листе "Структура"</t>
  </si>
  <si>
    <t>3. Добавить таблицу трудозатрат на листе "Трудозатраты". Нажать кнопку "Корректировать трудозатраты"</t>
  </si>
  <si>
    <r>
      <t>4. Нажать кнопку "Рассчитать стоимость"</t>
    </r>
    <r>
      <rPr>
        <sz val="11"/>
        <color rgb="FFFF0000"/>
        <rFont val="Calibri"/>
        <family val="2"/>
        <charset val="204"/>
        <scheme val="minor"/>
      </rPr>
      <t xml:space="preserve"> (некоторые колонки этого листа будут удалены)</t>
    </r>
  </si>
  <si>
    <t>Сборочные единицы</t>
  </si>
  <si>
    <t>Комплекты</t>
  </si>
  <si>
    <t>МС2350.М.Э Комплект электрооборудования сушилки модульной</t>
  </si>
  <si>
    <t>Материалы</t>
  </si>
  <si>
    <t>12(9,53)х9,3х175 Шпонка</t>
  </si>
  <si>
    <t>ВЛН.23.51.45 Вал натяжной</t>
  </si>
  <si>
    <t>ВЛП.23.51.45.40.1107 Вал приводной</t>
  </si>
  <si>
    <t>Лист 25 ГОСТ 19903-2015/20 ГОСТ 1577-93</t>
  </si>
  <si>
    <t>ВН.13.81.100 Венец</t>
  </si>
  <si>
    <t>ВТ.100.51.25 Втулка</t>
  </si>
  <si>
    <t>Детали</t>
  </si>
  <si>
    <t>ЗВ.13.81.51 СБ Звездочка</t>
  </si>
  <si>
    <t>Прочие изделия</t>
  </si>
  <si>
    <t>КБУ.МС.М.00 СБ Комплект беспроводных устройств</t>
  </si>
  <si>
    <t>МС.00.00.900 СБ Кронштейн крепления Ш2</t>
  </si>
  <si>
    <t>Комплект монтажных деталей МС6.М</t>
  </si>
  <si>
    <t>МС.08.04.000 СБ Тумба</t>
  </si>
  <si>
    <t>МС.17.00.100 СБ Опора поддержки основная</t>
  </si>
  <si>
    <t>МС.17.00.200 СБ Опора поддержки</t>
  </si>
  <si>
    <t>МС.17.00.300 СБ Кронштейн монтажа модуля среднего</t>
  </si>
  <si>
    <t>МС.00.00.001 Уголок распорный</t>
  </si>
  <si>
    <t>МС.00.00.001-01 Уголок распорный</t>
  </si>
  <si>
    <t>МС.00.00.002 Ребро</t>
  </si>
  <si>
    <t>МС.00.00.015 Кронштейн трубки датчика средней т-ры зерна</t>
  </si>
  <si>
    <t>МС.00.00.082 Уголок</t>
  </si>
  <si>
    <t>МС.00.00.083 Шайба фундаментная</t>
  </si>
  <si>
    <t>МС.00.00.088 Кронштейн крепления трубок датчика температуры</t>
  </si>
  <si>
    <t>МС.00.00.089 Кронштейн</t>
  </si>
  <si>
    <t>МС.00.00.092 Планка межвентиляторная</t>
  </si>
  <si>
    <t>МС.00.00.093 Втулка</t>
  </si>
  <si>
    <t>МС.08.00.002 Кронштейн крепления коллектора</t>
  </si>
  <si>
    <t>МС.08.00.003 Хомут на газовый коллектор</t>
  </si>
  <si>
    <t>МС.08.00.094 Крышка вентилятора</t>
  </si>
  <si>
    <t>МС.08.00.095 Пластина межвентиляторная</t>
  </si>
  <si>
    <t>МС.08.00.096 Пластина межвентиляторная 11-15квт</t>
  </si>
  <si>
    <t>Стандартные изделия</t>
  </si>
  <si>
    <t>Hexagon bolt EN 1665 - М12 x 25</t>
  </si>
  <si>
    <t>Hexagon bolt EN 1665 - М8 x 20</t>
  </si>
  <si>
    <t>Hexagon bolt EN 1665 - М8 x 25</t>
  </si>
  <si>
    <t>Гайка шестигранная с фланцем ГОСТ Р ИСО 4161 - M12</t>
  </si>
  <si>
    <t>Гайка шестигранная с фланцем ГОСТ Р ИСО 4161 - M8</t>
  </si>
  <si>
    <t>МС.05.00.011AZ Полотно решетное гнутое</t>
  </si>
  <si>
    <t>Комплект сит 1,2х12 для Домика</t>
  </si>
  <si>
    <t>МС.05.00.012AZ Полотно решетное гнутое</t>
  </si>
  <si>
    <t>МС.05.00.013 Полотно решетное гнутое</t>
  </si>
  <si>
    <t>МС.02.00.008AZ Сито</t>
  </si>
  <si>
    <t>Комплект сит 1,2х12 для Модуля верхнего</t>
  </si>
  <si>
    <t>МС.03.00.009 Сито</t>
  </si>
  <si>
    <t>МС.02.00.007AZ Сито</t>
  </si>
  <si>
    <t>Комплект сит 1,2х12 для Модуля основания</t>
  </si>
  <si>
    <t>МС.02.00.018 Сито</t>
  </si>
  <si>
    <t>МС.02.00.023 Заслонка</t>
  </si>
  <si>
    <t>Комплект сит 1,2х12 для Модуля среднего</t>
  </si>
  <si>
    <t>МС.01.03.014 Сито</t>
  </si>
  <si>
    <t>Комплект сит 1,2х12 для Рамы</t>
  </si>
  <si>
    <t>МС.01.03.015AZ Сито</t>
  </si>
  <si>
    <t>КПУ.МС2350.М.00 СБ Комплект полевых устройств</t>
  </si>
  <si>
    <t>Влагомер Dryer Master</t>
  </si>
  <si>
    <t>Выключатель D4C-1203</t>
  </si>
  <si>
    <t>Датчик температуры ДТС-105-РТ100.В2.100 МГ</t>
  </si>
  <si>
    <t>КСЦ2324.1.50.10.001 Кожух</t>
  </si>
  <si>
    <t>КСЦ2324.1.50.10.000 СБ Кожух</t>
  </si>
  <si>
    <t>КСЦ2324.1.50.10.002 Крышка</t>
  </si>
  <si>
    <t>Болт М8-6gx20.019 ГОСТ 7798-70</t>
  </si>
  <si>
    <t>КСЦ2324.50.01.008 Швеллер</t>
  </si>
  <si>
    <t>КСЦ2324.50.01.012 Скоба</t>
  </si>
  <si>
    <t>КСЦ2324.50.01.013 Заглушка</t>
  </si>
  <si>
    <t>КСЦ2324.50.02.004 Крышка</t>
  </si>
  <si>
    <t>Гайка М24-6H ГОСТ 5915-70</t>
  </si>
  <si>
    <t>КСЦ2324.50.02.008 Гайка</t>
  </si>
  <si>
    <t>КСЦ2324.50.02.113 Планка</t>
  </si>
  <si>
    <t>КСЦ2324.50.02.114 Планка</t>
  </si>
  <si>
    <t>КСЦ2324.50.02.301 Шпилька</t>
  </si>
  <si>
    <t>КСЦ2324.50.02.300 СБ Шток</t>
  </si>
  <si>
    <t>КСЦ2324.50.03.005 Швеллер</t>
  </si>
  <si>
    <t>КСЦ2324.50.03.101 Ось</t>
  </si>
  <si>
    <t>КСЦ2324.50.03.100 СБ Ролик</t>
  </si>
  <si>
    <t>Шайба C.16.37 ГОСТ 11371-78</t>
  </si>
  <si>
    <t>КСЦ2324.50.09.001 Пластина</t>
  </si>
  <si>
    <t>КСЦ2324.50.09.002-01 Плита</t>
  </si>
  <si>
    <t>КСЦ2324.50.09.003-01 Ребро</t>
  </si>
  <si>
    <t>КСЦ2324.50.09.003п-01 Ребро</t>
  </si>
  <si>
    <t>КСЦ2324.50.09.004 Уголок</t>
  </si>
  <si>
    <t>КСЦ2324.50.11.100 L=20 м СБ Приварка кронштейнов на цепь 81Х</t>
  </si>
  <si>
    <t>КСЦ2324.50.11.000 L=20 м СБ Установка скребков</t>
  </si>
  <si>
    <t>КСЦ2324.50.11.001 Скребок</t>
  </si>
  <si>
    <t>Болт М8-6gx25.019 ГОСТ 7798-70</t>
  </si>
  <si>
    <t>Гайка М8-6H.LF ГОСТ Р 50273-92</t>
  </si>
  <si>
    <t>КСЦ2324.50.11.101 Кронштейн</t>
  </si>
  <si>
    <t>КСЦ2324C.50.07.004 Ось</t>
  </si>
  <si>
    <t>КСЦ2324С.04.002 Шибер</t>
  </si>
  <si>
    <t>КСЦ2324С.04.003 Заглушка</t>
  </si>
  <si>
    <t>КСЦ2324С.04.004 Планка</t>
  </si>
  <si>
    <t>КСЦ2324С.04.104 Втулка</t>
  </si>
  <si>
    <t>КСЦ2324С.04.105 Пластина</t>
  </si>
  <si>
    <t>КСЦ2324С.04.301 Заглушка</t>
  </si>
  <si>
    <t>КСЦ2324С.04.300 СБ Пробоотборник</t>
  </si>
  <si>
    <t>КСЦ2324С.04.302 Труба</t>
  </si>
  <si>
    <t>КСЦ2324С.04.401 Ручка</t>
  </si>
  <si>
    <t>КСЦ2324С.04.400 СБ Рычаг</t>
  </si>
  <si>
    <t>КСЦ2324С.04.402 Кольцо установочное</t>
  </si>
  <si>
    <t>КСЦ2324С.50.01.004 Крышка</t>
  </si>
  <si>
    <t>КСЦ2324С.50.01.015 Заглушка</t>
  </si>
  <si>
    <t>КСЦ2324С.50.07.000 СБ Переходник</t>
  </si>
  <si>
    <t>КСЦ2324С.50.07.001 Стенка</t>
  </si>
  <si>
    <t>КСЦ2324С.50.07.002 Стенка</t>
  </si>
  <si>
    <t>КСЦ2324С.50.07.003 Уголок</t>
  </si>
  <si>
    <t>КСЦ2335.1.100.01.001 Стенка</t>
  </si>
  <si>
    <t>КСЦ2335.1.100.01.001-01 Стенка</t>
  </si>
  <si>
    <t>КСЦ2335.1.100.01.002 Футеровка</t>
  </si>
  <si>
    <t>КСЦ2335.1.100.02.000-01 СБ Станция натяжная</t>
  </si>
  <si>
    <t>КСЦ2335.1.100.02.200 СБ Упор</t>
  </si>
  <si>
    <t>КСЦ2335.100.02.100-01 СБ Опора</t>
  </si>
  <si>
    <t>КСЦ2335.1.100.02.001 Стенка</t>
  </si>
  <si>
    <t>КСЦ2335.1.100.02.001-01 Стенка</t>
  </si>
  <si>
    <t>КСЦ2335.1.100.02.002 Футеровка</t>
  </si>
  <si>
    <t>КСЦ2335.100.02.003 Дно</t>
  </si>
  <si>
    <t>КСЦ2335.100.02.005 Уголок направляющий</t>
  </si>
  <si>
    <t>КСЦ2335.100.02.006 Пластина</t>
  </si>
  <si>
    <t>КСЦ2335.100.02.007 Стенка</t>
  </si>
  <si>
    <t>Шпонка 16x10x63</t>
  </si>
  <si>
    <t>Винт с потайной головкой и шестигранным углублением под ключ ГОСТ Р ИСО 10642 - М8 x 25</t>
  </si>
  <si>
    <t>Винт установочный с шестигранным углублением ГОСТ Р ИСО 4027 - М10 x 30</t>
  </si>
  <si>
    <t>Винт установочный с шестигранным углублением ГОСТ Р ИСО 4027 - М6 x 8</t>
  </si>
  <si>
    <t>Гайка М8-6H ГОСТ 3032-76</t>
  </si>
  <si>
    <t>Шайба 8 ГОСТ 6402-70</t>
  </si>
  <si>
    <t>Шайба C.24.37 ГОСТ 11371-78</t>
  </si>
  <si>
    <t>КСЦ2335.1.100.02.201 Швеллер</t>
  </si>
  <si>
    <t>КСЦ2335.1.100.03.006 Кронштейн</t>
  </si>
  <si>
    <t>КСЦ2335.100.01.003 Дно</t>
  </si>
  <si>
    <t>КСЦ2335.100.01.005-01 Плита</t>
  </si>
  <si>
    <t>КСЦ2335.100.01.006 Пластина</t>
  </si>
  <si>
    <t>КСЦ2335.100.01.007 Стенка</t>
  </si>
  <si>
    <t>КСЦ2335.100.01.110-01 СБ Кронштейн опорный</t>
  </si>
  <si>
    <t>КСЦ2335.100.01.100-01 СБ Опора</t>
  </si>
  <si>
    <t>Болт М14-6gx50.019 ГОСТ 7798-70</t>
  </si>
  <si>
    <t>Гайка М14-6H ГОСТ 5915-70</t>
  </si>
  <si>
    <t>Шайба 14 ГОСТ 6402-70</t>
  </si>
  <si>
    <t>Шайба C.14.37 ГОСТ 11371-78</t>
  </si>
  <si>
    <t>КСЦ2335.100.01.111-01 Щека</t>
  </si>
  <si>
    <t>КСЦ2335.100.01.112-01 Кронштейн</t>
  </si>
  <si>
    <t>КСЦ2335.100.02.110-01 СБ Кронштейн опорный</t>
  </si>
  <si>
    <t>КСЦ2335.100.02.101-01 Плита</t>
  </si>
  <si>
    <t>КСЦ2335.100.02.111-01 Щека</t>
  </si>
  <si>
    <t>КСЦ2335.100.09.000 СБ Кронштейн привода</t>
  </si>
  <si>
    <t>Болт М16-6gx40.019 ГОСТ 7798-70</t>
  </si>
  <si>
    <t>Болт М20x220 ГОСТ 15591-70</t>
  </si>
  <si>
    <t>Болт М8-6gx30.019 ГОСТ 7798-70</t>
  </si>
  <si>
    <t>Гайка М20-6H ГОСТ 5915-70</t>
  </si>
  <si>
    <t>Гайка шестигранная с фланцем ГОСТ Р ИСО 4161 - M16</t>
  </si>
  <si>
    <t>Шайба 20 ГОСТ 6402-70</t>
  </si>
  <si>
    <t>Шайба C.20.37 ГОСТ 11371-78</t>
  </si>
  <si>
    <t>Шайба C.8.37 ГОСТ 11371-78</t>
  </si>
  <si>
    <t>КСЦ2335С.04.000 СБ Воронка разгрузочная</t>
  </si>
  <si>
    <t>КСЦ2335С.04.100 СБ Воронка</t>
  </si>
  <si>
    <t>КСЦ2335С.04.200 СБ Заслонка</t>
  </si>
  <si>
    <t>КСЦ2335С.04.001 Ось</t>
  </si>
  <si>
    <t>Болт М8-6gx40.019 ГОСТ 7798-70</t>
  </si>
  <si>
    <t>Болт М8x20 ГОСТ 7802-81</t>
  </si>
  <si>
    <t>Винт установочный с шестигранным углублением ГОСТ Р ИСО 4027 - М8 x 10</t>
  </si>
  <si>
    <t>Гайка М10-6H ГОСТ 5915-70</t>
  </si>
  <si>
    <t>Гайка М8-6H ГОСТ 5915-70</t>
  </si>
  <si>
    <t>Шайба C 8.37 ГОСТ 6958-78</t>
  </si>
  <si>
    <t>С.Ф.К250.У СБ Фланец</t>
  </si>
  <si>
    <t>КСЦ2335С.04.101 Стенка</t>
  </si>
  <si>
    <t>КСЦ2335С.04.102 Стенка</t>
  </si>
  <si>
    <t>КСЦ2335С.04.103 Стенка</t>
  </si>
  <si>
    <t>КСЦ2335С.04.103-01 Стенка</t>
  </si>
  <si>
    <t>КСЦ2335С.04.201 Трубка</t>
  </si>
  <si>
    <t>КСЦ2335С.04.202 Планка</t>
  </si>
  <si>
    <t>КСЦ2335С.1.100.00.000 СБ Конвейер скребковый цепной под сушилку</t>
  </si>
  <si>
    <t>КСЦ2335С.1.100.01.000 СБ Станция приводная</t>
  </si>
  <si>
    <t>КСЦ2335С.1.100.03.000 СБ Секция промежуточная</t>
  </si>
  <si>
    <t>Т.1107 СБ Талреп</t>
  </si>
  <si>
    <t>ТА1107МТВх40 СБ Комплект разрезных втулок</t>
  </si>
  <si>
    <t>КСЦ2346.50.01.011 Швеллер</t>
  </si>
  <si>
    <t>Болт М10-6gx40.019 ГОСТ 7798-70</t>
  </si>
  <si>
    <t>Болт М8-6gx35.019 ГОСТ 7798-70</t>
  </si>
  <si>
    <t>Винт установочный с шестигранным углублением ГОСТ Р ИСО 4027 - М10 x 25</t>
  </si>
  <si>
    <t>Гайка М3-6H ГОСТ 5915-70</t>
  </si>
  <si>
    <t>Гайка М5-6H ГОСТ 5915-70</t>
  </si>
  <si>
    <t>Гайка шестигранная с фланцем ГОСТ Р ИСО 4161 - M10</t>
  </si>
  <si>
    <t>Шайба 10 ГОСТ 6402-70</t>
  </si>
  <si>
    <t>Шайба C.10.37 ГОСТ 11371-78</t>
  </si>
  <si>
    <t>КСЦ2335С.1.100.03.001 Стенка</t>
  </si>
  <si>
    <t>КСЦ2335С.1.100.03.002 Футеровка</t>
  </si>
  <si>
    <t>КСЦ2335С.100.03.003 Дно</t>
  </si>
  <si>
    <t>КТК1.МС2350.М.00 СБ Подключение шкафа ПУ</t>
  </si>
  <si>
    <t>КТК10.МС.М.00 СБ Подключение датчика пламени и электродов поджига</t>
  </si>
  <si>
    <t>КТК11.МС.М.00 СБ Подключение газовой автоматики горизонтального коллектора</t>
  </si>
  <si>
    <t>Кабель монтажный многожильный МКЭШ 3х0,5</t>
  </si>
  <si>
    <t>МС.00.00.008 Переходник ЗС-1</t>
  </si>
  <si>
    <t>КТК12.МС2350.М.00 СБ Подключение датчиков давления газа</t>
  </si>
  <si>
    <t>Прокладка уплотнительная IP67 М16 | 6060-1522</t>
  </si>
  <si>
    <t>КТК13.МС.М.00 участок 30.1 СБ Подключение вентилятора 11кВт</t>
  </si>
  <si>
    <t>КТК13.МС.М.00 СБ Подключение вентиляторов</t>
  </si>
  <si>
    <t>КТК13.МС.М.00 участок 30.2 СБ Подключение вентилятора 15кВт</t>
  </si>
  <si>
    <t>КТК14.МС2350.М.00 участок 30.7 СБ Подключение вентилятора 11кВт</t>
  </si>
  <si>
    <t>КТК14.МС2350.М.00 СБ Подключение вентиляторов</t>
  </si>
  <si>
    <t>КТК14.МС2350.М.00 участок 30.8 СБ Подключение вентилятора 22кВт</t>
  </si>
  <si>
    <t>Муфта металлорукав-коробка поворотная с нар резьбой М32-26 | 6014-2732G</t>
  </si>
  <si>
    <t>КТК15.МС.М.00 участок 30.3 СБ Подключение вентилятора 22 кВт</t>
  </si>
  <si>
    <t>КТК16.МС.М.00 участок 30.4 СБ Подключение вентилятора 22 кВт</t>
  </si>
  <si>
    <t>КТК17.МС1850.М.00 участок 30.5 СБ Подключение вентилятора 22кВт</t>
  </si>
  <si>
    <t>КТК18.МС2350.М.00 участок 30.6 СБ Подключение вентилятора 22кВт</t>
  </si>
  <si>
    <t>КТК19.МС2350.М.00 СБ Подключение шкафа Ш2</t>
  </si>
  <si>
    <t>КТК2.МС.М.00 СБ Подключение трансформатора</t>
  </si>
  <si>
    <t>КТК3.МС.М.00 СБ Подключение дозирующих роликов</t>
  </si>
  <si>
    <t>МС.00.00.006-02 Переходник ЗС-4</t>
  </si>
  <si>
    <t>КТК4.МС2350.М.00 СБ Подключение выгрузного конвейера и концевиков дверей</t>
  </si>
  <si>
    <t>КТК5-17.МС.М.00 СБ Подключение нижнего влагомера</t>
  </si>
  <si>
    <t>КТК5.МС1850.М.00 СБ Подключение датчиков температуры среднего звена</t>
  </si>
  <si>
    <t>КТК6.МС2350.М.00 СБ Подключение загрузочного шнека и датчика верхнего уровня</t>
  </si>
  <si>
    <t>КТК7.МС.М.00 СБ Подключение датчика давления газа в вертикальном коллекторе</t>
  </si>
  <si>
    <t>КТК9.МС2350.М.00 СБ Подключение шкафов ШГ</t>
  </si>
  <si>
    <t>МС.00.00.003 Кронштейн №2</t>
  </si>
  <si>
    <t>МС.00.00.004 Кронштейн №3</t>
  </si>
  <si>
    <t>МС.00.00.005 Кронштейн №4</t>
  </si>
  <si>
    <t>МС.00.00.006-01 Переходник ЗС-4</t>
  </si>
  <si>
    <t>МС.00.00.006-03 Переходник ЗС-4</t>
  </si>
  <si>
    <t>МС.00.00.016 Кронштейн крепления датчика средней т-ры зерна</t>
  </si>
  <si>
    <t>МС.00.00.042 Кронштейн левый</t>
  </si>
  <si>
    <t>МС.00.00.043 Кронштейн правый</t>
  </si>
  <si>
    <t>МС.00.00.047 Кронштейн крепления гофрорукавов</t>
  </si>
  <si>
    <t>МС.00.00.049 Планка большая</t>
  </si>
  <si>
    <t>МС.00.00.081 Планка меньшая</t>
  </si>
  <si>
    <t>Лист 16 ГОСТ 19903-2015/Ст3пс ГОСТ 14637-89</t>
  </si>
  <si>
    <t>МС.00.00.084 Гайка датчика температуры</t>
  </si>
  <si>
    <t>МС.00.00.085 Гайка датчика температуры среднего уровня</t>
  </si>
  <si>
    <t>МС.00.00.110 СБ Опора</t>
  </si>
  <si>
    <t>МС.00.00.100 СБ Опора</t>
  </si>
  <si>
    <t>МС.00.00.101 Стяжка</t>
  </si>
  <si>
    <t>Болт М16-6gx35.019 ГОСТ 7798-70</t>
  </si>
  <si>
    <t>Гайка М16-6H ГОСТ 5915-70</t>
  </si>
  <si>
    <t>Шайба 16 ГОСТ 6402-70</t>
  </si>
  <si>
    <t>МС.00.00.111 Основание</t>
  </si>
  <si>
    <t>МС.00.00.112 Стойка</t>
  </si>
  <si>
    <t>МС.00.00.113 Опора</t>
  </si>
  <si>
    <t>МС.00.00.114 Ребро</t>
  </si>
  <si>
    <t>МС.00.00.115 Косынка</t>
  </si>
  <si>
    <t>МС.00.00.200 СБ Опора</t>
  </si>
  <si>
    <t>МС.00.00.201 Стойка</t>
  </si>
  <si>
    <t>МС.00.00.310 СБ Кронштейн крепления  шкафа</t>
  </si>
  <si>
    <t>МС.00.00.300 СБ Крепление шкафа Ш1</t>
  </si>
  <si>
    <t>МС.00.00.310-01 СБ Кронштейн крепления шкафа</t>
  </si>
  <si>
    <t>МС.00.00.301 Уголок</t>
  </si>
  <si>
    <t>МС.00.00.311 Плита</t>
  </si>
  <si>
    <t>МС.00.00.312 Полка</t>
  </si>
  <si>
    <t>МС.00.00.313 Косынка</t>
  </si>
  <si>
    <t>МС.00.00.401 Пластина</t>
  </si>
  <si>
    <t>МС.00.00.400 СБ Датчик ротационный</t>
  </si>
  <si>
    <t>МС.00.00.402 Гайка</t>
  </si>
  <si>
    <t>МС.00.00.501 Швеллер</t>
  </si>
  <si>
    <t>МС.00.00.500 СБ Траверса</t>
  </si>
  <si>
    <t>МС.00.00.502 Швеллер</t>
  </si>
  <si>
    <t>МС.00.00.503 Уголок</t>
  </si>
  <si>
    <t>МС.00.00.504 Проушина</t>
  </si>
  <si>
    <t>МС.00.00.701 Основание</t>
  </si>
  <si>
    <t>МС.00.00.700 СБ Опора ПУ</t>
  </si>
  <si>
    <t>МС.00.00.702 Нога</t>
  </si>
  <si>
    <t>МС.00.00.901 Балка</t>
  </si>
  <si>
    <t>МС.00.00.902 Пластина</t>
  </si>
  <si>
    <t>МС.00.00.903 Кронштейн</t>
  </si>
  <si>
    <t>МС.01.00.100 СБ Крышка</t>
  </si>
  <si>
    <t>МС.01.00.000 СБ Рама универсальная</t>
  </si>
  <si>
    <t>МС.01.00.200 СБ Опора дозирующих роликов</t>
  </si>
  <si>
    <t>МС.01.00.200-01 СБ Опора дозирующих роликов</t>
  </si>
  <si>
    <t>МС.01.00.200-02 СБ Опора дозирующих роликов</t>
  </si>
  <si>
    <t>МС.01.00.200-03 СБ Опора дозирующих роликов</t>
  </si>
  <si>
    <t>МС.01.00.200-04 СБ Опора дозирующих роликов</t>
  </si>
  <si>
    <t>МС.01.00.300 СБ Опора подшипника</t>
  </si>
  <si>
    <t>МС.01.01.000 СБ Рама</t>
  </si>
  <si>
    <t>МС.01.00.006 Ролик дозирующий</t>
  </si>
  <si>
    <t>МС.01.00.009 Уголок</t>
  </si>
  <si>
    <t>МС.01.00.011 Кронштейн</t>
  </si>
  <si>
    <t>МС.01.00.013 Кожух</t>
  </si>
  <si>
    <t>МС.01.00.015 Табличка</t>
  </si>
  <si>
    <t>Blind rivet ISO 15977 - 4 x 8 - AIA/St - L</t>
  </si>
  <si>
    <t>Болт М8-6gx50.019 ГОСТ 7798-70</t>
  </si>
  <si>
    <t>Гайка М12-6H ГОСТ 5915-70</t>
  </si>
  <si>
    <t>Шайба 12 ГОСТ 6402-70</t>
  </si>
  <si>
    <t>Шайба C.12.37 ГОСТ 11371-78</t>
  </si>
  <si>
    <t>МС.01.00.101 Крышка</t>
  </si>
  <si>
    <t>МС.01.00.102 Направляющая</t>
  </si>
  <si>
    <t>МС.01.00.103 Заслонка</t>
  </si>
  <si>
    <t>Болт М6-6gx14.019 ГОСТ 7798-70</t>
  </si>
  <si>
    <t>Гайка шестигранная с фланцем ГОСТ Р ИСО 4161 - M6</t>
  </si>
  <si>
    <t>МС.01.00.201 Вал входной</t>
  </si>
  <si>
    <t>МС.01.00.204 Шайба</t>
  </si>
  <si>
    <t>Шпонка 10x8x25</t>
  </si>
  <si>
    <t>МС.01.00.210 СБ Опора</t>
  </si>
  <si>
    <t>МС.01.00.202 Вал промежуточный</t>
  </si>
  <si>
    <t>МС.01.00.207 Втулка</t>
  </si>
  <si>
    <t>МС.01.00.203 Вал концевой</t>
  </si>
  <si>
    <t>МС.01.00.211 Пластина</t>
  </si>
  <si>
    <t>МС.01.01.212 Втулка</t>
  </si>
  <si>
    <t>МС.01.00.310 СБ Звездочка натяжная</t>
  </si>
  <si>
    <t>МС.01.00.301 Кронштейн</t>
  </si>
  <si>
    <t>МС.01.00.302 Уголок</t>
  </si>
  <si>
    <t>МС.01.00.302-01 Уголок</t>
  </si>
  <si>
    <t>МС.01.00.303 Втулка</t>
  </si>
  <si>
    <t>Винт М12-6gx70.019 ГОСТ 11738-84</t>
  </si>
  <si>
    <t>МС.01.00.311 Звездочка натяжная</t>
  </si>
  <si>
    <t>МС.01.00.312 Втулка</t>
  </si>
  <si>
    <t>Винт установочный с шестигранным углублением ГОСТ Р ИСО 4027 - М4 x 8</t>
  </si>
  <si>
    <t>МС.01.01.100 СБ Рама передняя</t>
  </si>
  <si>
    <t>МС.01.01.200 СБ Рама опорная</t>
  </si>
  <si>
    <t>МС.01.01.400 СБ Опора дозирующих роликов</t>
  </si>
  <si>
    <t>МС.01.01.500 СБ Направляющая дозирующих роликов</t>
  </si>
  <si>
    <t>МС.01.01.101 Короб</t>
  </si>
  <si>
    <t>МС.01.01.102 Швеллер</t>
  </si>
  <si>
    <t>МС.01.01.102-01 Швеллер</t>
  </si>
  <si>
    <t>МС.01.01.103 Уголок</t>
  </si>
  <si>
    <t>МС.01.01.104 Уголок</t>
  </si>
  <si>
    <t>МС.01.01.104-01 Уголок</t>
  </si>
  <si>
    <t>МС.01.01.105 Пластина</t>
  </si>
  <si>
    <t>МС.01.01.106 Швеллер</t>
  </si>
  <si>
    <t>МС.01.01.108 Пруток</t>
  </si>
  <si>
    <t>МС.01.01.210 СБ Панель задняя</t>
  </si>
  <si>
    <t>МС.01.01.220 СБ Панель передняя</t>
  </si>
  <si>
    <t>МС.01.01.230 СБ Швеллер</t>
  </si>
  <si>
    <t>МС.01.01.230-01 СБ Швеллер</t>
  </si>
  <si>
    <t>МС.01.01.201 Перекладина</t>
  </si>
  <si>
    <t>МС.01.01.202 Швеллер</t>
  </si>
  <si>
    <t>МС.01.01.203 Швеллер</t>
  </si>
  <si>
    <t>МС.01.01.204 Планка</t>
  </si>
  <si>
    <t>МС.01.01.205 Планка</t>
  </si>
  <si>
    <t>МС.01.01.206 Фасонка</t>
  </si>
  <si>
    <t>МС.01.01.207 Лист</t>
  </si>
  <si>
    <t>МС.01.01.211 Панель задняя</t>
  </si>
  <si>
    <t>МС.01.01.214 Дуга</t>
  </si>
  <si>
    <t>МС.01.01.215 Уголок</t>
  </si>
  <si>
    <t>МС.01.01.216 Уголок</t>
  </si>
  <si>
    <t>МС.01.01.217 Упор</t>
  </si>
  <si>
    <t>МС.01.01.221 Панель передняя</t>
  </si>
  <si>
    <t>МС.01.01.222 Уголок</t>
  </si>
  <si>
    <t>МС.01.01.223 Упор</t>
  </si>
  <si>
    <t>МС.01.01.231 Планка</t>
  </si>
  <si>
    <t>МС.01.01.232 Швеллер</t>
  </si>
  <si>
    <t>МС.01.01.232-01 Швеллер</t>
  </si>
  <si>
    <t>МС.01.01.401 Опора</t>
  </si>
  <si>
    <t>МС.01.01.402 Упор</t>
  </si>
  <si>
    <t>МС.01.01.501 Панель</t>
  </si>
  <si>
    <t>МС.01.01.502 Уголок</t>
  </si>
  <si>
    <t>МС.01.01.503 Направляющая</t>
  </si>
  <si>
    <t>МС.01.02.001 Звездочка ведомая</t>
  </si>
  <si>
    <t>МС.01.02.001-01 Звездочка ведомая</t>
  </si>
  <si>
    <t>МС.01.02.101 Звездочка ведомая</t>
  </si>
  <si>
    <t>МС.01.02.100 СБ Звездочка ведомая коронная</t>
  </si>
  <si>
    <t>МС.01.02.102 Кронштейн</t>
  </si>
  <si>
    <t>МС.01.02.101-01 Звездочка ведомая</t>
  </si>
  <si>
    <t>МС.01.02.100-01 СБ Звездочка ведомая коронная</t>
  </si>
  <si>
    <t>МС.01.02.210 СБ Плита</t>
  </si>
  <si>
    <t>МС.01.02.200 СБ Привод  дозирующих роликов</t>
  </si>
  <si>
    <t>МС.01.02.201 Вал</t>
  </si>
  <si>
    <t>МС.01.02.202 Звездочка ведущая</t>
  </si>
  <si>
    <t>МС.01.02.203 Шайба стопорная</t>
  </si>
  <si>
    <t>Шпонка 8x7x40</t>
  </si>
  <si>
    <t>Шпонка 8х7х40</t>
  </si>
  <si>
    <t>Шпонка 8x7x90</t>
  </si>
  <si>
    <t>Винт установочный с шестигранным углублением ГОСТ Р ИСО 4027 - М6 x 6</t>
  </si>
  <si>
    <t>MRT 50А-15-А/В3-MS713-4 В14(3РТС, РО71) Мотор-редуктор червячный</t>
  </si>
  <si>
    <t>МС.01.02.211 Плита</t>
  </si>
  <si>
    <t>МС.01.02.212 Планка</t>
  </si>
  <si>
    <t>МС.01.03.001 Ребро</t>
  </si>
  <si>
    <t>МС.01.03.002 Панель пола</t>
  </si>
  <si>
    <t>МС.01.03.003 Уголок</t>
  </si>
  <si>
    <t>МС.01.03.004 Шпилька</t>
  </si>
  <si>
    <t>МС.01.03.005 Кронштейн</t>
  </si>
  <si>
    <t>МС.01.03.007 Кожух</t>
  </si>
  <si>
    <t>МС.01.03.008 Кожух</t>
  </si>
  <si>
    <t>МС.01.03.009 Направляющая</t>
  </si>
  <si>
    <t>МС.01.03.011 Заслонка</t>
  </si>
  <si>
    <t>МС.01.03.012 Кронштейн</t>
  </si>
  <si>
    <t>МС.01.03.017 Уголок</t>
  </si>
  <si>
    <t>МС.01.03.018 Швеллер</t>
  </si>
  <si>
    <t>МС.01.03.019 Короб</t>
  </si>
  <si>
    <t>МС.01.03.101 Уголок</t>
  </si>
  <si>
    <t>МС.01.03.100 СБ Опора внутренних сит</t>
  </si>
  <si>
    <t>МС.01.03.102 Фланец</t>
  </si>
  <si>
    <t>МС.01.03.103 Кронштейн</t>
  </si>
  <si>
    <t>Nut DIN 929 - M8</t>
  </si>
  <si>
    <t>МС.02.01.000 СБ Дверь задняя</t>
  </si>
  <si>
    <t>МС.02.00.000 СБ Модуль основания</t>
  </si>
  <si>
    <t>МС.02.02.000 СБ Панель</t>
  </si>
  <si>
    <t>МС.02.03.000 СБ Крепление ШГ</t>
  </si>
  <si>
    <t>МС.02.00.001 Стенка передняя левая</t>
  </si>
  <si>
    <t>МС.02.00.002 Панель</t>
  </si>
  <si>
    <t>МС.02.00.003 Стенка передняя правая</t>
  </si>
  <si>
    <t>МС.02.00.004 Уголок верхний</t>
  </si>
  <si>
    <t>МС.02.00.005 Ребро жесткости</t>
  </si>
  <si>
    <t>МС.02.00.006 Уголок левый</t>
  </si>
  <si>
    <t>МС.02.00.006-01 Уголок правый</t>
  </si>
  <si>
    <t>МС.02.00.009 Уголок</t>
  </si>
  <si>
    <t>МС.02.00.011 Поперечина</t>
  </si>
  <si>
    <t>МС.02.00.012 Рассекатель</t>
  </si>
  <si>
    <t>МС.02.00.013 Угол соединительный - верхний</t>
  </si>
  <si>
    <t>МС.02.00.014 Пластина</t>
  </si>
  <si>
    <t>МС.02.00.015 Полоса жесткости</t>
  </si>
  <si>
    <t>МС.02.00.016 Угол крепления сит</t>
  </si>
  <si>
    <t>МС.02.00.017 Уголок</t>
  </si>
  <si>
    <t>МС.02.00.019 Рассекатель</t>
  </si>
  <si>
    <t>МС.02.00.019-01 Рассекатель</t>
  </si>
  <si>
    <t>МС.02.00.021 Дефлектор</t>
  </si>
  <si>
    <t>МС.02.00.022 Направляющая</t>
  </si>
  <si>
    <t>МС.02.00.024 Планка</t>
  </si>
  <si>
    <t>МС.02.00.025 Стенка задняя левая</t>
  </si>
  <si>
    <t>МС.02.00.026 Стенка задняя правая</t>
  </si>
  <si>
    <t>МС.02.00.027 Стенка</t>
  </si>
  <si>
    <t>МС.02.00.028 Крышка</t>
  </si>
  <si>
    <t>МС.02.00.028-01 Крышка</t>
  </si>
  <si>
    <t>МС.02.00.029 Крышка</t>
  </si>
  <si>
    <t>МС.02.00.031 Уголок  низ</t>
  </si>
  <si>
    <t>Drilling screw  ISO 15481 - ST4,2 x 13 - H</t>
  </si>
  <si>
    <t>Hexagon bolt EN 1665 - М6 x 16</t>
  </si>
  <si>
    <t>Винт со скругленной головкой ГОСТ Р ИСО 7045 - М4 x 20 - H</t>
  </si>
  <si>
    <t>Винт со скругленной головкой ГОСТ Р ИСО 7045 - М8 x 20 - H</t>
  </si>
  <si>
    <t>Гайка М4-6H ГОСТ 5915-70</t>
  </si>
  <si>
    <t>Шайба 4 ГОСТ 6402-70</t>
  </si>
  <si>
    <t>МС.02.01.110 СБ Крышка</t>
  </si>
  <si>
    <t>МС.02.01.001 Панель задней двери</t>
  </si>
  <si>
    <t>МС.02.01.002 Скоба</t>
  </si>
  <si>
    <t>МС.02.01.004 Уголок</t>
  </si>
  <si>
    <t>МС.02.01.007 Кронштейн</t>
  </si>
  <si>
    <t>Hexagon bolt EN 1665 - М6 x 12</t>
  </si>
  <si>
    <t>Винт со скругленной головкой ГОСТ Р ИСО 7045 - М4 x 10 - H</t>
  </si>
  <si>
    <t>Шайба C.5.37 ГОСТ 11371-78</t>
  </si>
  <si>
    <t>МС.02.01.005 Уголок крепления датчика двери</t>
  </si>
  <si>
    <t>МС.02.01.111 Крышка</t>
  </si>
  <si>
    <t>МС.02.01.112 Окно</t>
  </si>
  <si>
    <t>МС.02.01.114 Фланец</t>
  </si>
  <si>
    <t>Hexagon bolt EN 1665 - М5 x 16</t>
  </si>
  <si>
    <t>Гайка шестигранная с фланцем ГОСТ Р ИСО 4161 - M5</t>
  </si>
  <si>
    <t>МС.02.02.001 Зажим</t>
  </si>
  <si>
    <t>МС.02.02.002 Панель</t>
  </si>
  <si>
    <t>МС.02.02.003 Скоба</t>
  </si>
  <si>
    <t>МС.02.03.001 Кронштейн</t>
  </si>
  <si>
    <t>Hexagon bolt EN 1665 - М6 x 25</t>
  </si>
  <si>
    <t>МС.03.00.000 СБ Модуль средний</t>
  </si>
  <si>
    <t>МС.03.01.000 СБ Дверь задняя</t>
  </si>
  <si>
    <t>МС.03.00.001 Стенка передняя левая</t>
  </si>
  <si>
    <t>МС.03.00.002 Панель</t>
  </si>
  <si>
    <t>МС.03.00.003 Стенка передняя правая</t>
  </si>
  <si>
    <t>МС.03.00.004 Уголок левый</t>
  </si>
  <si>
    <t>МС.03.00.004-01 Уголок правый</t>
  </si>
  <si>
    <t>МС.03.00.005 Панель</t>
  </si>
  <si>
    <t>МС.03.00.006 Панель нижняя</t>
  </si>
  <si>
    <t>МС.03.00.007 Стенка задняя левая</t>
  </si>
  <si>
    <t>МС.03.00.008 Стенка задняя правая</t>
  </si>
  <si>
    <t>МС.03.00.011 Рассекатель</t>
  </si>
  <si>
    <t>МС.03.00.012 Рассекатель</t>
  </si>
  <si>
    <t>МС.03.00.013 Рассекатель</t>
  </si>
  <si>
    <t>МС.03.00.016 Крышка</t>
  </si>
  <si>
    <t>МС.03.00.016-01 Крышка</t>
  </si>
  <si>
    <t>МС.03.00.017 Стенка</t>
  </si>
  <si>
    <t>МС.03.00.017-01 Стенка</t>
  </si>
  <si>
    <t>МС.03.01.001 Панель задней двери</t>
  </si>
  <si>
    <t>МС.04.00.000 СБ Модуль верхний</t>
  </si>
  <si>
    <t>МС.04.01.000 СБ Дверь задняя</t>
  </si>
  <si>
    <t>МС.04.00.001 Уголок низ</t>
  </si>
  <si>
    <t>МС.04.00.002 Ребро монтажное</t>
  </si>
  <si>
    <t>МС.04.00.003 Стенка</t>
  </si>
  <si>
    <t>МС.04.00.004 Рассекатель</t>
  </si>
  <si>
    <t>МС.04.00.005 Заглушка</t>
  </si>
  <si>
    <t>МС.04.00.006 Кронштейн</t>
  </si>
  <si>
    <t>МС.04.00.007 Панель</t>
  </si>
  <si>
    <t>МС.04.01.110 СБ Крышка</t>
  </si>
  <si>
    <t>МС.04.01.001 Панель задней двери</t>
  </si>
  <si>
    <t>Винт со скругленной головкой ГОСТ Р ИСО 7045 - М8 x 16 - H</t>
  </si>
  <si>
    <t>МС.04.01.111 Крышка задней двери</t>
  </si>
  <si>
    <t>МС.05.01.000 СБ Площадка обслуживания</t>
  </si>
  <si>
    <t>МС.05.00.000 СБ Домик</t>
  </si>
  <si>
    <t>МС.05.00.001 Панель торцевая</t>
  </si>
  <si>
    <t>МС.05.00.002 Уголок</t>
  </si>
  <si>
    <t>МС.05.00.003 Уголок</t>
  </si>
  <si>
    <t>МС.05.00.004 Уголок</t>
  </si>
  <si>
    <t>МС.05.00.005 Полоса</t>
  </si>
  <si>
    <t>МС.05.00.006 Уголок</t>
  </si>
  <si>
    <t>МС.05.00.007 Рассекатель</t>
  </si>
  <si>
    <t>МС.05.00.008 Рассекатель</t>
  </si>
  <si>
    <t>МС.05.00.009 Уголок поперечный</t>
  </si>
  <si>
    <t>Винт В.М8-6gx70 ГОСТ 17473-80</t>
  </si>
  <si>
    <t>МС.05.01.001 Кронштейн</t>
  </si>
  <si>
    <t>МС.05.01.002 Уголок поддерживающий</t>
  </si>
  <si>
    <t>МС.05.01.003 Уголок</t>
  </si>
  <si>
    <t>МС.05.01.004 Стойка</t>
  </si>
  <si>
    <t>МС.05.01.004-01 Стойка</t>
  </si>
  <si>
    <t>МС.05.01.005 Стойка</t>
  </si>
  <si>
    <t>МС.05.01.006 Уголок ограждения</t>
  </si>
  <si>
    <t>МС.05.01.007 Дорожка пешеходная</t>
  </si>
  <si>
    <t>МС.05.01.008 Зажим</t>
  </si>
  <si>
    <t>МС.05.01.009 Уголок ограждения</t>
  </si>
  <si>
    <t>МС.06.00.010 СБ Стенка торцевая</t>
  </si>
  <si>
    <t>МС.06.00.000 СБ Хоппер</t>
  </si>
  <si>
    <t>МС.06.00.010-01 СБ Стенка торцевая</t>
  </si>
  <si>
    <t>МС.06.01.000 СБ Воронка загрузочная</t>
  </si>
  <si>
    <t>МС.06.02.000Э СБ Опора шнека</t>
  </si>
  <si>
    <t>МС.06.03.000 СБ Опора промежуточная</t>
  </si>
  <si>
    <t>МС.06.04.000 СБ Рама опорная</t>
  </si>
  <si>
    <t>МС.06.05.000 СБ Шнек горизонтальный</t>
  </si>
  <si>
    <t>МС.06.07.000 СБ Кожух привода</t>
  </si>
  <si>
    <t>МС.06.08.000 СБ Стенка</t>
  </si>
  <si>
    <t>МС.06.00.002 Стенка торцевая</t>
  </si>
  <si>
    <t>МС.06.00.004 Панель</t>
  </si>
  <si>
    <t>МС.06.00.005 Крышка</t>
  </si>
  <si>
    <t>МС.06.00.006 Короб</t>
  </si>
  <si>
    <t>МС.06.00.008 Трапеция</t>
  </si>
  <si>
    <t>МС.06.00.012 Крышка</t>
  </si>
  <si>
    <t>МС.06.00.014 Короб</t>
  </si>
  <si>
    <t>МС.06.00.015 Прокладка</t>
  </si>
  <si>
    <t>МС.06.00.016 Уголок</t>
  </si>
  <si>
    <t>МС.06.00.017 Короб</t>
  </si>
  <si>
    <t>МС.06.00.018 Панель поперечная</t>
  </si>
  <si>
    <t>МС.06.00.019 Ребро монтажное</t>
  </si>
  <si>
    <t>МС.06.00.022 Крышка</t>
  </si>
  <si>
    <t>Hexagon bolt EN 1665 - М8 x 30</t>
  </si>
  <si>
    <t>Болт М16-6gx50.019 ГОСТ 7798-70</t>
  </si>
  <si>
    <t>Болт М8-6gx70.019 ГОСТ 7798-70</t>
  </si>
  <si>
    <t>Винт со скругленной головкой ГОСТ Р ИСО 7045 - М6 x 16 - H</t>
  </si>
  <si>
    <t>МС.06.00.011 Стенка торцевая</t>
  </si>
  <si>
    <t>МС.06.00.013 Окно</t>
  </si>
  <si>
    <t>МС.06.00.011-01 Стенка торцевая</t>
  </si>
  <si>
    <t>МС.06.01.100 СБ Основание воронки</t>
  </si>
  <si>
    <t>МС.06.01.001 Шибер</t>
  </si>
  <si>
    <t>МС.06.01.002 Направляющая</t>
  </si>
  <si>
    <t>МС.06.01.003 Шпилька</t>
  </si>
  <si>
    <t>МС.06.01.004 Заглушка</t>
  </si>
  <si>
    <t>МС.06.01.005 Заглушка</t>
  </si>
  <si>
    <t>МС.06.01.110 СБ Труба</t>
  </si>
  <si>
    <t>МС.06.01.120 СБ Фланец</t>
  </si>
  <si>
    <t>МС.06.01.101 Плита</t>
  </si>
  <si>
    <t>МС.06.01.102 Уголок</t>
  </si>
  <si>
    <t>МС.06.01.111 Обечайка</t>
  </si>
  <si>
    <t>МС.06.01.111-01 Обечайка</t>
  </si>
  <si>
    <t>МС.06.01.121 Уголок</t>
  </si>
  <si>
    <t>МС.06.02.100Э СБ Опора шнека</t>
  </si>
  <si>
    <t>МС.06.02.001Э Крышка</t>
  </si>
  <si>
    <t>МС.06.02.101Э Плита</t>
  </si>
  <si>
    <t>МС.06.02.102Э Крышка швелерная</t>
  </si>
  <si>
    <t>МС.06.02.103Э Стенка швелерная</t>
  </si>
  <si>
    <t>МС.06.03.100 СБ Кронштейн</t>
  </si>
  <si>
    <t>МС.06.03.001 Пластина</t>
  </si>
  <si>
    <t>Болт М12x120 ГОСТ 7802-81</t>
  </si>
  <si>
    <t>МС.06.03.101 Скоба</t>
  </si>
  <si>
    <t>МС.06.03.102 Пластина</t>
  </si>
  <si>
    <t>МС.06.03.103 Пруток</t>
  </si>
  <si>
    <t>МС.06.04.100 СБ Рама</t>
  </si>
  <si>
    <t>МС.06.04.001 Плита</t>
  </si>
  <si>
    <t>Болт М16-6gx120.019 ГОСТ 7798-70</t>
  </si>
  <si>
    <t>МС.06.04.101 Плита</t>
  </si>
  <si>
    <t>МС.06.04.102 Ребро</t>
  </si>
  <si>
    <t>МС.06.04.103 Планка</t>
  </si>
  <si>
    <t>МС.06.04.104 Кронштейн</t>
  </si>
  <si>
    <t>МС.06.04.105 Уголок</t>
  </si>
  <si>
    <t>МС.06.05.100 СБ Шнек</t>
  </si>
  <si>
    <t>МС.06.05.100-01 СБ Шнек</t>
  </si>
  <si>
    <t>МС.06.05.001 Вал входной</t>
  </si>
  <si>
    <t>МС.06.05.002 Вал промежуточный</t>
  </si>
  <si>
    <t>МС.06.05.003 Вал концевой</t>
  </si>
  <si>
    <t>МС.06.05.004 Шайба</t>
  </si>
  <si>
    <t>Болт 1аМ16-6gx110 ГОСТ 7817-80</t>
  </si>
  <si>
    <t>Гайка М16-6H ГОСТ 5916-70</t>
  </si>
  <si>
    <t>МС.06.05.110 СБ Вал</t>
  </si>
  <si>
    <t>МС.06.05.102 Стойка</t>
  </si>
  <si>
    <t>МС.06.05.111 Вал</t>
  </si>
  <si>
    <t>МС.06.05.112 Втулка</t>
  </si>
  <si>
    <t>МС.06.07.001 Основание кожуха</t>
  </si>
  <si>
    <t>МС.06.07.002 Панель верхняя</t>
  </si>
  <si>
    <t>МС.06.07.003 Окно</t>
  </si>
  <si>
    <t>МС.06.08.001 Панель</t>
  </si>
  <si>
    <t>МС.07.01.000 СБ Панель пола</t>
  </si>
  <si>
    <t>МС.07.00.000 СБ Комплект полов модульных</t>
  </si>
  <si>
    <t>МС.07.00.001 Панель пола 1</t>
  </si>
  <si>
    <t>МС.07.00.002 Панель пола 2</t>
  </si>
  <si>
    <t>МС.07.00.003 Панель пола 3</t>
  </si>
  <si>
    <t>МС.07.00.004 Панель пола 4</t>
  </si>
  <si>
    <t>МС.07.00.005 Панель пола 5</t>
  </si>
  <si>
    <t>МС.07.00.006 Панель пола 6</t>
  </si>
  <si>
    <t>МС.07.00.007 Панель пола типовая</t>
  </si>
  <si>
    <t>МС.07.01.100 СБ Панель пола</t>
  </si>
  <si>
    <t>МС.07.01.200 СБ Люк</t>
  </si>
  <si>
    <t>МС.07.01.101 Кронштейн</t>
  </si>
  <si>
    <t>МС.07.01.102 Уголок</t>
  </si>
  <si>
    <t>Blind rivet ISO 15977 - 6 x 10 - AIA/St - L</t>
  </si>
  <si>
    <t>МС.07.01.210 СБ Защелка</t>
  </si>
  <si>
    <t>МС.07.01.201 Панель люка</t>
  </si>
  <si>
    <t>Шайба C 10.37 ГОСТ 6958-78</t>
  </si>
  <si>
    <t>МС.07.01.211 Пруток</t>
  </si>
  <si>
    <t>МС.07.01.212 Шайба</t>
  </si>
  <si>
    <t>МС.08.00.001 Сопло</t>
  </si>
  <si>
    <t>Круг 8 ГОСТ 2590-2006/Ст3пс ГОСТ 535-2005</t>
  </si>
  <si>
    <t>МС.08.01.020А СБ Стенка смотровая</t>
  </si>
  <si>
    <t>МС.08.01.000 СБ Вентилятор 11кВт</t>
  </si>
  <si>
    <t>МС.08.01.100 СБ Корпус вентилятора</t>
  </si>
  <si>
    <t>МС.08.01.200 СБ Рама</t>
  </si>
  <si>
    <t>МС.08.01.300 СБ Рама</t>
  </si>
  <si>
    <t>МС.08.01.400 СБ Ротор</t>
  </si>
  <si>
    <t>МС.08.01.500 СБ Плита подмоторная</t>
  </si>
  <si>
    <t>МС.08.01.600 СБ Решетка защитная</t>
  </si>
  <si>
    <t>МС.08.01.700 СБ Стенка задняя</t>
  </si>
  <si>
    <t>МС.08.01.800 СБ Планка</t>
  </si>
  <si>
    <t>МС.08.01.900 СБ Диффузор</t>
  </si>
  <si>
    <t>МС.08.05.000-01 СБ Горелка</t>
  </si>
  <si>
    <t>МС.08.01.001 Пластина</t>
  </si>
  <si>
    <t>МС.08.01.002 Уголок</t>
  </si>
  <si>
    <t>МС.08.01.006 Отбойник пламени</t>
  </si>
  <si>
    <t>МС.08.01.007 Кожух</t>
  </si>
  <si>
    <t>МС.08.01.008 Кронштейн</t>
  </si>
  <si>
    <t>МС.08.01.009 Кожух</t>
  </si>
  <si>
    <t>МС.08.01.012 Кронштейн</t>
  </si>
  <si>
    <t>МС.08.01.013 Фиксатор</t>
  </si>
  <si>
    <t>МС.08.01.014 Стяжка</t>
  </si>
  <si>
    <t>МС.08.01.015 Крышка</t>
  </si>
  <si>
    <t>Hexagon bolt EN 1665 - М10 x 20</t>
  </si>
  <si>
    <t>Hexagon bolt EN 1665 - М10 x 35</t>
  </si>
  <si>
    <t>Hexagon bolt EN 1665 - М10 x 45</t>
  </si>
  <si>
    <t>Болт М16-6gx65.019 ГОСТ 7798-70</t>
  </si>
  <si>
    <t>Шайба C 20.37 ГОСТ 6958-78</t>
  </si>
  <si>
    <t>МС.08.01.000.М СБ Вентилятор метановый 11кВт</t>
  </si>
  <si>
    <t>МС.08.06.000 СБ Коллектор горизонтальный 11кВт</t>
  </si>
  <si>
    <t>МС.08.01.021А Стенка</t>
  </si>
  <si>
    <t>МС.08.01.022 Окно</t>
  </si>
  <si>
    <t>Drilling screw  ISO 15482 - ST2,9 x 13 - H</t>
  </si>
  <si>
    <t>МС.08.01.110 СБ Отвод</t>
  </si>
  <si>
    <t>МС.08.01.120 СБ Планка</t>
  </si>
  <si>
    <t>МС.08.01.101 Стенка</t>
  </si>
  <si>
    <t>МС.08.01.101-01 Стенка</t>
  </si>
  <si>
    <t>МС.08.01.103 Обечайка</t>
  </si>
  <si>
    <t>МС.08.01.104 Ребро</t>
  </si>
  <si>
    <t>Nut DIN 929 - M10</t>
  </si>
  <si>
    <t>МС.08.01.111 Отвод</t>
  </si>
  <si>
    <t>МС.08.01.112 Стяжка</t>
  </si>
  <si>
    <t>МС.08.01.121 Угольник</t>
  </si>
  <si>
    <t>МС.08.01.210 СБ Рамка</t>
  </si>
  <si>
    <t>МС.08.01.220 СБ Кронштейн</t>
  </si>
  <si>
    <t>МС.08.01.201 Скоба</t>
  </si>
  <si>
    <t>Hexagon bolt EN 1665 - М12 x 45</t>
  </si>
  <si>
    <t>МС.08.01.211 Стойка</t>
  </si>
  <si>
    <t>МС.08.01.212 Планка</t>
  </si>
  <si>
    <t>МС.08.01.213 Платик</t>
  </si>
  <si>
    <t>МС.08.01.221 Планка</t>
  </si>
  <si>
    <t>МС.08.01.222 Ребро</t>
  </si>
  <si>
    <t>МС.08.01.223 Планка</t>
  </si>
  <si>
    <t>МС.08.01.320 СБ Кронштейн</t>
  </si>
  <si>
    <t>МС.08.01.330 СБ Рама</t>
  </si>
  <si>
    <t>Hexagon bolt EN 1665 - М12 x 40</t>
  </si>
  <si>
    <t>МС.08.01.310 СБ Рамка</t>
  </si>
  <si>
    <t>МС.08.01.322 Ребро</t>
  </si>
  <si>
    <t>МС.08.01.323 Планка</t>
  </si>
  <si>
    <t>МС.08.01.334 Плита</t>
  </si>
  <si>
    <t>МС.08.01.335 Раскос</t>
  </si>
  <si>
    <t>МС.08.01.336 Стяжка</t>
  </si>
  <si>
    <t>МС.08.01.337 Планка</t>
  </si>
  <si>
    <t>МС.08.01.338 Ребро</t>
  </si>
  <si>
    <t>МС.08.01.430 СБ Ротор сварной</t>
  </si>
  <si>
    <t>Шпонка 16x10x45</t>
  </si>
  <si>
    <t>МС.08.01.411 Диск</t>
  </si>
  <si>
    <t>МС.08.01.410 СБ Колесо</t>
  </si>
  <si>
    <t>МС.08.01.412 Диск</t>
  </si>
  <si>
    <t>МС.08.01.413 Лопасть</t>
  </si>
  <si>
    <t>МС.08.01.414 Обечайка</t>
  </si>
  <si>
    <t>МС.08.01.410-01 СБ Колесо</t>
  </si>
  <si>
    <t>МС.08.01.421 Втулка</t>
  </si>
  <si>
    <t>МС.08.01.420 СБ Ступица</t>
  </si>
  <si>
    <t>МС.08.01.422 Диск</t>
  </si>
  <si>
    <t>МС.08.01.431 Вал</t>
  </si>
  <si>
    <t>МС.08.01.433 Муфта</t>
  </si>
  <si>
    <t>МС.08.01.501 Плита</t>
  </si>
  <si>
    <t>МС.08.01.502 Шпилька</t>
  </si>
  <si>
    <t>Шпилька M20x1000 DIN 975</t>
  </si>
  <si>
    <t>МС.08.01.601 Крышка</t>
  </si>
  <si>
    <t>МС.08.01.602 Скоба</t>
  </si>
  <si>
    <t>МС.08.01.603 Ребро</t>
  </si>
  <si>
    <t>МС.08.01.604 Скоба</t>
  </si>
  <si>
    <t>МС.08.01.606 Скоба</t>
  </si>
  <si>
    <t>МС.08.01.607 Кольцо</t>
  </si>
  <si>
    <t>МС.08.01.607-01 Кольцо</t>
  </si>
  <si>
    <t>МС.08.01.607-02 Кольцо</t>
  </si>
  <si>
    <t>МС.08.01.607-03 Кольцо</t>
  </si>
  <si>
    <t>МС.08.01.607-04 Кольцо</t>
  </si>
  <si>
    <t>МС.08.01.607-05 Кольцо</t>
  </si>
  <si>
    <t>МС.08.01.607-06 Кольцо</t>
  </si>
  <si>
    <t>МС.08.01.607-07 Кольцо</t>
  </si>
  <si>
    <t>МС.08.01.607-08 Кольцо</t>
  </si>
  <si>
    <t>МС.08.01.607-09 Кольцо</t>
  </si>
  <si>
    <t>МС.08.01.607-10 Кольцо</t>
  </si>
  <si>
    <t>МС.08.01.609 Скоба</t>
  </si>
  <si>
    <t>МС.08.01.609-01 Скоба</t>
  </si>
  <si>
    <t>МС.08.01.701 Стенка задняя</t>
  </si>
  <si>
    <t>МС.08.01.801 Уголок</t>
  </si>
  <si>
    <t>МС.08.01.901 Диск</t>
  </si>
  <si>
    <t>МС.08.01.902 Конус</t>
  </si>
  <si>
    <t>МС.08.01.903 Кольцо</t>
  </si>
  <si>
    <t>МС.08.02.000 СБ Вентилятор 15кВт</t>
  </si>
  <si>
    <t>МС.08.02.100 СБ Корпус вентилятора</t>
  </si>
  <si>
    <t>МС.08.02.200 СБ Рама</t>
  </si>
  <si>
    <t>МС.08.02.300 СБ Рама</t>
  </si>
  <si>
    <t>МС.08.02.400 СБ Ротор</t>
  </si>
  <si>
    <t>МС.08.02.500 СБ Плита подмоторная</t>
  </si>
  <si>
    <t>МС.08.02.700 СБ Стенка задняя</t>
  </si>
  <si>
    <t>МС.08.02.800 СБ Планка</t>
  </si>
  <si>
    <t>МС.08.05.000 СБ Горелка</t>
  </si>
  <si>
    <t>МС.08.02.006 Отбойник пламени</t>
  </si>
  <si>
    <t>МС.08.02.007 Кожух</t>
  </si>
  <si>
    <t>МС.08.02.016 Стенка</t>
  </si>
  <si>
    <t>Hexagon bolt EN 1665 - М10 x 30</t>
  </si>
  <si>
    <t>Hexagon bolt EN 1665 - М12 x 50</t>
  </si>
  <si>
    <t>Шайба C 12.37 ГОСТ 6958-78</t>
  </si>
  <si>
    <t>МС.08.02.000.М СБ Вентилятор метановый 15кВт</t>
  </si>
  <si>
    <t>МС.08.07.000 СБ Коллектор горизонтальный 15кВт</t>
  </si>
  <si>
    <t>МС.08.02.101 Стенка</t>
  </si>
  <si>
    <t>МС.08.02.101-01 Стенка</t>
  </si>
  <si>
    <t>МС.08.02.330 СБ Рама сварная</t>
  </si>
  <si>
    <t>МС.08.02.334 Плита</t>
  </si>
  <si>
    <t>МС.08.02.430 СБ Ротор сварной</t>
  </si>
  <si>
    <t>МС.08.02.410 СБ Колесо</t>
  </si>
  <si>
    <t>МС.08.02.413 Лопасть</t>
  </si>
  <si>
    <t>МС.08.02.415 Спица</t>
  </si>
  <si>
    <t>МС.08.02.410-01 СБ Колесо</t>
  </si>
  <si>
    <t>МС.08.02.431 Вал</t>
  </si>
  <si>
    <t>МС.08.02.501 Плита</t>
  </si>
  <si>
    <t>МС.08.02.502 Шпилька</t>
  </si>
  <si>
    <t>МС.08.02.701 Стенка задняя</t>
  </si>
  <si>
    <t>МС.08.02.801 Уголок</t>
  </si>
  <si>
    <t>МС.08.03.000 СБ Вентилятор 22кВт</t>
  </si>
  <si>
    <t>МС.08.03.300 СБ Рама</t>
  </si>
  <si>
    <t>МС.08.03.400 СБ Ротор</t>
  </si>
  <si>
    <t>МС.08.03.500 СБ Плита подмоторная</t>
  </si>
  <si>
    <t>МС.08.03.700 СБ Стенка задняя</t>
  </si>
  <si>
    <t>МС.08.03.800 СБ Планка</t>
  </si>
  <si>
    <t>МС.08.03.006 Отбойник пламени</t>
  </si>
  <si>
    <t>МС.08.03.007 Кожух</t>
  </si>
  <si>
    <t>Hexagon bolt EN 1665 - М14 x 55</t>
  </si>
  <si>
    <t>Шайба C 14.37 ГОСТ 6958-78</t>
  </si>
  <si>
    <t>МС.08.03.000.М СБ Вентилятор метановый 22кВт</t>
  </si>
  <si>
    <t>МС.08.08.000 СБ Коллектор горизонтальный 22кВт</t>
  </si>
  <si>
    <t>МС.08.03.330 СБ Рама сварная</t>
  </si>
  <si>
    <t>МС.08.03.334 Плита</t>
  </si>
  <si>
    <t>МС.08.03.430 СБ Ротор сварной</t>
  </si>
  <si>
    <t>МС.08.03.410 СБ Колесо</t>
  </si>
  <si>
    <t>МС.08.03.413 Лопасть</t>
  </si>
  <si>
    <t>МС.08.03.415 Спица</t>
  </si>
  <si>
    <t>МС.08.03.410-01 СБ Колесо</t>
  </si>
  <si>
    <t>МС.08.03.431 Вал</t>
  </si>
  <si>
    <t>МС.08.03.501 Плита</t>
  </si>
  <si>
    <t>МС.08.03.701 Стенка задняя</t>
  </si>
  <si>
    <t>МС.08.03.801 Уголок</t>
  </si>
  <si>
    <t>МС.08.04.001 Боковина</t>
  </si>
  <si>
    <t>МС.08.04.001-01 Боковина</t>
  </si>
  <si>
    <t>МС.08.04.002 Стенка задняя</t>
  </si>
  <si>
    <t>МС.08.05.100 СБ Корпус</t>
  </si>
  <si>
    <t>МС.08.05.200 СБ Сопло</t>
  </si>
  <si>
    <t>МС.08.05.200-01 СБ Сопло</t>
  </si>
  <si>
    <t>МС.08.05.300 СБ Заслонка</t>
  </si>
  <si>
    <t>МС.08.05.400 СБ Заземление</t>
  </si>
  <si>
    <t>МС.08.05.001 Щит</t>
  </si>
  <si>
    <t>МС.08.05.003 Опора</t>
  </si>
  <si>
    <t>МС.08.05.003-01 Опора</t>
  </si>
  <si>
    <t>МС.08.05.004 Кронштейн</t>
  </si>
  <si>
    <t>МС.08.05.005 Кронштейн</t>
  </si>
  <si>
    <t>МС.08.05.006 Кронштейн</t>
  </si>
  <si>
    <t>МС.08.05.008 Упор</t>
  </si>
  <si>
    <t>МС.08.05.009 Гайка</t>
  </si>
  <si>
    <t>Шайба C.4.37 ГОСТ 11371-78</t>
  </si>
  <si>
    <t>МС.08.05.100-01 СБ Корпус</t>
  </si>
  <si>
    <t>МС.08.05.101 Труба</t>
  </si>
  <si>
    <t>МС.08.05.102 Кольцо</t>
  </si>
  <si>
    <t>МС.08.05.103 Труба</t>
  </si>
  <si>
    <t>МС.08.05.103-01 Труба</t>
  </si>
  <si>
    <t>МС.08.05.104 Уголок</t>
  </si>
  <si>
    <t>МС.08.05.105 Трубка</t>
  </si>
  <si>
    <t>МС.08.05.103-02 Труба</t>
  </si>
  <si>
    <t>МС.08.05.210 СБ Заслонка</t>
  </si>
  <si>
    <t>МС.08.05.201 Сопло</t>
  </si>
  <si>
    <t>МС.08.05.202 Кольцо</t>
  </si>
  <si>
    <t>МС.08.05.203 Воронка</t>
  </si>
  <si>
    <t>МС.08.05.204 Труба</t>
  </si>
  <si>
    <t>МС.08.05.205 Кольцо</t>
  </si>
  <si>
    <t>МС.08.05.211 Диск</t>
  </si>
  <si>
    <t>МС.08.05.212 Диск</t>
  </si>
  <si>
    <t>МС.08.05.213 Планка</t>
  </si>
  <si>
    <t>МС.08.05.214 Планка</t>
  </si>
  <si>
    <t>МС.08.05.215 Шпилька</t>
  </si>
  <si>
    <t>МС.08.05.310 СБ Перегородка</t>
  </si>
  <si>
    <t>МС.08.05.320 СБ Гайка специальная</t>
  </si>
  <si>
    <t>МС.08.05.301 Труба</t>
  </si>
  <si>
    <t>МС.08.05.311 Диск</t>
  </si>
  <si>
    <t>МС.08.05.312 Втулка</t>
  </si>
  <si>
    <t>МС.08.05.313 Труба</t>
  </si>
  <si>
    <t>МС.08.05.321 Кронштейн</t>
  </si>
  <si>
    <t>МС.08.05.401 Штанга</t>
  </si>
  <si>
    <t>МС.08.06.100 СБ Блок автоматики</t>
  </si>
  <si>
    <t>МС.08.06.110 СБ Клапан Maxon с сервоприводом</t>
  </si>
  <si>
    <t>МС.08.06.200 СБ Блок датчика</t>
  </si>
  <si>
    <t>МС.08.06.300 СБ Рампа</t>
  </si>
  <si>
    <t>МС.08.06.400 СБ Рычаг сервопривода</t>
  </si>
  <si>
    <t>Шайба C 4.37 ГОСТ 6958-78</t>
  </si>
  <si>
    <t>МС.08.06.101 Патрубок</t>
  </si>
  <si>
    <t>МС.08.06.102 Патрубок</t>
  </si>
  <si>
    <t>МС.08.06.103 Патрубок</t>
  </si>
  <si>
    <t>МС.08.06.104 Патрубок</t>
  </si>
  <si>
    <t>МС.08.06.105 Патрубок</t>
  </si>
  <si>
    <t>МС.08.06.106 Патрубок</t>
  </si>
  <si>
    <t>МС.08.06.107 Патрубок</t>
  </si>
  <si>
    <t>МС.08.06.109 Патрубок</t>
  </si>
  <si>
    <t>ТМ-321Р.00 (0-0,25МРа) G1/4.1,5 Манометр</t>
  </si>
  <si>
    <t>МС.08.06.111 Кронштейн</t>
  </si>
  <si>
    <t>МС.08.06.210 СБ Демпфер газовый</t>
  </si>
  <si>
    <t>МС.08.06.201 Патрубок</t>
  </si>
  <si>
    <t>МС.08.06.202 Футорка 20х15</t>
  </si>
  <si>
    <t>МС.08.06.203 Патрубок</t>
  </si>
  <si>
    <t>МС.08.06.211 Корпус</t>
  </si>
  <si>
    <t>МС.08.06.212 Бонка</t>
  </si>
  <si>
    <t>МС.08.06.301 Патрубок</t>
  </si>
  <si>
    <t>МС.08.06.302 Патрубок</t>
  </si>
  <si>
    <t>МС.08.06.303 Патрубок</t>
  </si>
  <si>
    <t>Кран шаровый газовый ГШК 32М-25-Г.Р-У</t>
  </si>
  <si>
    <t>МС.08.06.403 Планка</t>
  </si>
  <si>
    <t>МС.08.06.404 Переходник</t>
  </si>
  <si>
    <t>МС.08.06.405 Пруток</t>
  </si>
  <si>
    <t>Nut DIN 562 - M5</t>
  </si>
  <si>
    <t>Болт М6-6gx30.019 ГОСТ 7798-70</t>
  </si>
  <si>
    <t>Винт со скругленной головкой ГОСТ Р ИСО 7045 - М5 x 10 - H</t>
  </si>
  <si>
    <t>Гайка М6-6H ГОСТ 5915-70</t>
  </si>
  <si>
    <t>Шайба 2.5 ГОСТ 10463-81</t>
  </si>
  <si>
    <t>Шайба 6 ГОСТ 6402-70</t>
  </si>
  <si>
    <t>Шайба C.6.37 ГОСТ 11371-78</t>
  </si>
  <si>
    <t>МС.08.07.100 СБ Блок автоматики</t>
  </si>
  <si>
    <t>МС.08.07.101 Патрубок</t>
  </si>
  <si>
    <t>МС.08.07.102 Патрубок</t>
  </si>
  <si>
    <t>МС.08.07.107 Патрубок</t>
  </si>
  <si>
    <t>МС.08.08.100 СБ Блок автоматики</t>
  </si>
  <si>
    <t>МС.10.00.001 Уголок опорный нижний</t>
  </si>
  <si>
    <t>МС.10.00.000 СБ Площадка обслуживания малая</t>
  </si>
  <si>
    <t>МС.10.00.002 Уголок фронтальный нижний</t>
  </si>
  <si>
    <t>МС.10.00.003 Уголок боковой нижний</t>
  </si>
  <si>
    <t>МС.10.00.004 Уголок боковой вертикальный</t>
  </si>
  <si>
    <t>МС.10.00.005 Z-профиль</t>
  </si>
  <si>
    <t>МС.10.00.006 Уголок ограждения фронтальный</t>
  </si>
  <si>
    <t>МС.10.00.007 Уголок ограждения боковой</t>
  </si>
  <si>
    <t>МС.10.00.008 Уголок крепления</t>
  </si>
  <si>
    <t>МС.10.00.009 Планка поддерживающая</t>
  </si>
  <si>
    <t>МС.10.00.009-01 Планка поддерживающая</t>
  </si>
  <si>
    <t>МС.10.00.011 Дорожка пешеходная</t>
  </si>
  <si>
    <t>МС.10.00.014 Зажим</t>
  </si>
  <si>
    <t>Винт В.М8-6gx25 ГОСТ 17473-80</t>
  </si>
  <si>
    <t>МС.11.00.001 Скоба фигурная</t>
  </si>
  <si>
    <t>МС.11.00.002 Скоба соединительная</t>
  </si>
  <si>
    <t>МС.11.00.003 Скоба</t>
  </si>
  <si>
    <t>МС.11.00.004 Планка</t>
  </si>
  <si>
    <t>МС.11.00.005 Скоба</t>
  </si>
  <si>
    <t>МС.11.00.006 Пластина</t>
  </si>
  <si>
    <t>МС.11.00.007 Обруч</t>
  </si>
  <si>
    <t>МС.11.00.008 Планка</t>
  </si>
  <si>
    <t>МС.11.00.009 Обруч большой</t>
  </si>
  <si>
    <t>МС.11.00.101 Стойка</t>
  </si>
  <si>
    <t>МС.11.00.100 СБ Секция лестницы</t>
  </si>
  <si>
    <t>МС.11.00.101-01 Стойка</t>
  </si>
  <si>
    <t>МС.11.00.102 Рукоятка</t>
  </si>
  <si>
    <t>МС.11.00.200 СБ Секция лестницы основная</t>
  </si>
  <si>
    <t>МС.11.00.201 Стойка</t>
  </si>
  <si>
    <t>МС.11.00.201-01 Стойка</t>
  </si>
  <si>
    <t>МС.11.00.300 СБ Секция лестницы концевая</t>
  </si>
  <si>
    <t>МС.11.00.301 Стойка</t>
  </si>
  <si>
    <t>МС.11.00.301-01 Стойка</t>
  </si>
  <si>
    <t>МС.12.00.101.К Патрубок</t>
  </si>
  <si>
    <t>МС.12.00.100.К СБ Сектор коллектора</t>
  </si>
  <si>
    <t>МС.12.00.102.К Патрубок</t>
  </si>
  <si>
    <t>МС.12.00.201.К Патрубок</t>
  </si>
  <si>
    <t>МС.12.00.200.К СБ Сектор коллектора верхний</t>
  </si>
  <si>
    <t>МС.12.00.202.К Патрубок</t>
  </si>
  <si>
    <t>МС.12.00.203.К Патрубок</t>
  </si>
  <si>
    <t>МС.12.00.300.К СБ Сектор коллектора 2 нижний</t>
  </si>
  <si>
    <t>МС.12.00.301.К Патрубок</t>
  </si>
  <si>
    <t>МС.12.00.302.К Патрубок</t>
  </si>
  <si>
    <t>МС.12.00.303.К Патрубок</t>
  </si>
  <si>
    <t>МС1.12.00.001.К Патрубок</t>
  </si>
  <si>
    <t>МС1.12.00.005.К Патрубок</t>
  </si>
  <si>
    <t>МС1.12.00.006.К Патрубок</t>
  </si>
  <si>
    <t>Кран шаровый газовый ГШК 50М-25-Г.Р-У</t>
  </si>
  <si>
    <t>МС.14.01.000 СБ Люк</t>
  </si>
  <si>
    <t>МС.14.00.000 СБ Площадка фронтальная</t>
  </si>
  <si>
    <t>МС.14.00.001 Уголок поддерживающий боковой</t>
  </si>
  <si>
    <t>МС.14.00.002 Уголок поддерживающий внутренний</t>
  </si>
  <si>
    <t>МС.14.00.003 Уголок поддерживающий боковой</t>
  </si>
  <si>
    <t>МС.14.00.004 Связь угловая</t>
  </si>
  <si>
    <t>МС.14.00.005 Фланец задний правый</t>
  </si>
  <si>
    <t>МС.14.00.006 Фланец задний левый</t>
  </si>
  <si>
    <t>МС.14.00.007 Стойка центральная</t>
  </si>
  <si>
    <t>МС.14.00.008 Уголок поддерживающий</t>
  </si>
  <si>
    <t>МС.14.00.009 Центральный уголок</t>
  </si>
  <si>
    <t>МС.14.00.011 Кронштейн</t>
  </si>
  <si>
    <t>МС.14.00.012 Опорная косынка левая</t>
  </si>
  <si>
    <t>МС.14.00.013 U-образный кронштейн</t>
  </si>
  <si>
    <t>МС.14.00.014 Опорная косынка левая</t>
  </si>
  <si>
    <t>МС.14.00.015 Поручень</t>
  </si>
  <si>
    <t>МС.14.00.015-01 Поручень</t>
  </si>
  <si>
    <t>МС.14.00.016 Поручень правый</t>
  </si>
  <si>
    <t>МС.14.00.017 Поручень левый</t>
  </si>
  <si>
    <t>МС.14.00.018 Поручень передний</t>
  </si>
  <si>
    <t>МС.14.00.019 Поручень передний</t>
  </si>
  <si>
    <t>МС.14.00.021 Уголок боковой</t>
  </si>
  <si>
    <t>МС.14.00.022 Уголок ограждения передний</t>
  </si>
  <si>
    <t>МС.14.00.023 Дорожка пешеходная</t>
  </si>
  <si>
    <t>МС.14.00.024 Уголок поддерживающий внутренний</t>
  </si>
  <si>
    <t>МС.14.00.025 Дорожка пешеходная</t>
  </si>
  <si>
    <t>МС.14.00.026 Клипса</t>
  </si>
  <si>
    <t>МС.14.00.027 Дорожка пешеходная</t>
  </si>
  <si>
    <t>МС.14.00.028 Уголок поддерживающий внутренний</t>
  </si>
  <si>
    <t>МС.14.00.029 Дорожка пешеходная</t>
  </si>
  <si>
    <t>МС.14.00.031 Дорожка пешеходная</t>
  </si>
  <si>
    <t>МС.14.00.032 Уголок</t>
  </si>
  <si>
    <t>МС.14.00.033 Уголок поддерживающий внутренний</t>
  </si>
  <si>
    <t>МС.14.00.039 Z профиль</t>
  </si>
  <si>
    <t>Винт В.М8-6gx20 ГОСТ 17473-80</t>
  </si>
  <si>
    <t>МС.14.00.000-01 СБ Площадка фронтальная</t>
  </si>
  <si>
    <t>МС.14.00.034 Дорожка пешеходная</t>
  </si>
  <si>
    <t>МС.14.00.035 Дорожка пешеходная</t>
  </si>
  <si>
    <t>МС.14.00.036 Уголок поддерживающий внутренний</t>
  </si>
  <si>
    <t>МС.14.00.037 Уголок поддерживающий внутренний</t>
  </si>
  <si>
    <t>МС.14.01.001 Уголок</t>
  </si>
  <si>
    <t>МС.14.01.002 Ляда</t>
  </si>
  <si>
    <t>МС.14.01.003 Петля</t>
  </si>
  <si>
    <t>МС.15.00.000 СБ Секция лестницы фронтальной</t>
  </si>
  <si>
    <t>МС.15.00.100 СБ Секция лестницы</t>
  </si>
  <si>
    <t>МС.15.00.001 Скоба</t>
  </si>
  <si>
    <t>МС.15.00.000-01 СБ Секция лестницы фронтальной</t>
  </si>
  <si>
    <t>МС.15.00.101 Стойка</t>
  </si>
  <si>
    <t>МС.15.00.101-01 Стойка</t>
  </si>
  <si>
    <t>МС.16.01.000 СБ Люк</t>
  </si>
  <si>
    <t>МС.16.00.000 СБ Площадка обслуживания</t>
  </si>
  <si>
    <t>МС.16.00.001 Уголок</t>
  </si>
  <si>
    <t>МС.16.00.001-01 Уголок</t>
  </si>
  <si>
    <t>МС.16.00.002 Уголок фронтальный</t>
  </si>
  <si>
    <t>МС.16.00.003 Уголок профильный</t>
  </si>
  <si>
    <t>МС.16.00.004 Уголок фронтальный</t>
  </si>
  <si>
    <t>МС.16.00.005 Пластина</t>
  </si>
  <si>
    <t>МС.16.00.006 Дорожка пешеходная</t>
  </si>
  <si>
    <t>МС.16.00.007 Дорожка пешеходная</t>
  </si>
  <si>
    <t>МС.16.00.008 Дорожка пешеходная</t>
  </si>
  <si>
    <t>МС.16.00.009 Дорожка пешеходная</t>
  </si>
  <si>
    <t>МС.16.00.011 Косынка опорная</t>
  </si>
  <si>
    <t>МС.16.00.012 Уголок крепления</t>
  </si>
  <si>
    <t>МС.16.00.013 Пластина</t>
  </si>
  <si>
    <t>МС.16.00.014 Стойка</t>
  </si>
  <si>
    <t>МС.16.00.015 Уголок ограждения</t>
  </si>
  <si>
    <t>МС.16.00.016 Уголок ограждения</t>
  </si>
  <si>
    <t>МС.16.00.018 Швеллер</t>
  </si>
  <si>
    <t>МС.16.00.019 Уголок крепления</t>
  </si>
  <si>
    <t>МС.16.00.021 Пластина</t>
  </si>
  <si>
    <t>МС.16.00.022 Z профиль</t>
  </si>
  <si>
    <t>МС.16.00.023 Кронштейн</t>
  </si>
  <si>
    <t>МС.16.00.024 Скоба</t>
  </si>
  <si>
    <t>МС.16.00.025 Кронштейн</t>
  </si>
  <si>
    <t>МС.16.00.026 Уголок ограждения фронтальный</t>
  </si>
  <si>
    <t>МС.16.00.027 Пластина</t>
  </si>
  <si>
    <t>МС.16.00.028 Пластина</t>
  </si>
  <si>
    <t>МС.16.00.029 Уголок поддерживающий</t>
  </si>
  <si>
    <t>МС.16.00.031 Основание</t>
  </si>
  <si>
    <t>МС.16.00.032 Распорка</t>
  </si>
  <si>
    <t>МС.16.00.033 Опора</t>
  </si>
  <si>
    <t>МС.16.00.034 Планка поддерживающая</t>
  </si>
  <si>
    <t>Hexagon bolt EN 1665 - М10 x 25</t>
  </si>
  <si>
    <t>Винт В.М10-6gx30 ГОСТ 17473-80</t>
  </si>
  <si>
    <t>МС.16.01.001 Ляда</t>
  </si>
  <si>
    <t>МС.16.01.02 Уголок</t>
  </si>
  <si>
    <t>МС.17.00.101 Стойка</t>
  </si>
  <si>
    <t>МС.17.00.102 Основание</t>
  </si>
  <si>
    <t>МС.17.00.201 Стойка</t>
  </si>
  <si>
    <t>МС.17.00.202 Накладка</t>
  </si>
  <si>
    <t>МС.17.00.301 Ребро</t>
  </si>
  <si>
    <t>МС.17.00.302 Плита</t>
  </si>
  <si>
    <t>МС5.01.00.000 СБ Рама</t>
  </si>
  <si>
    <t>МС6.11.00.000 СБ Лестница тыловая</t>
  </si>
  <si>
    <t>МС6.12.00.000.К СБ Коллектор вертикальный метановый</t>
  </si>
  <si>
    <t>Drilling screw  ISO 15481 - ST3,9 x 13 - H</t>
  </si>
  <si>
    <t>Болт М6-6gx16.019 ГОСТ 7798-70</t>
  </si>
  <si>
    <t>Установка вентилятора на МС</t>
  </si>
  <si>
    <t>Установка деталей на МС6 для электромонтажа</t>
  </si>
  <si>
    <t>ПУ.МС2350.М.00 СБ Шкаф</t>
  </si>
  <si>
    <t>Ш1.МС2350.М.00 СБ Шкаф</t>
  </si>
  <si>
    <t>Ш2.МС2350.М.00 СБ Шкаф</t>
  </si>
  <si>
    <t>ШГ01.МС.М.00 СБ Шкаф</t>
  </si>
  <si>
    <t>ШГ01.МС.М.00 СБ Шкаф ШГ01</t>
  </si>
  <si>
    <t>ШГ02.МС.М.00 СБ Шкаф</t>
  </si>
  <si>
    <t>Wing screw DIN 316 - M8 x 16</t>
  </si>
  <si>
    <t>Болт М10-6gx110.019 ГОСТ 7798-70</t>
  </si>
  <si>
    <t>Винт со скругленной головкой ГОСТ Р ИСО 7045 - М6 x 12 - H</t>
  </si>
  <si>
    <t>Винт установочный с шестигранным углублением ГОСТ Р ИСО 4027 - М8 x 20</t>
  </si>
  <si>
    <t>ПЕ01.001 Переходник</t>
  </si>
  <si>
    <t>ПЕ02.001 Переходник</t>
  </si>
  <si>
    <t>ПЕ03.001 Переходник</t>
  </si>
  <si>
    <t>ПУ.МС2350.М.02 Дверь внутренняя S3D 800x600</t>
  </si>
  <si>
    <t>ПУ.МС450.М.01 Шкаф IP54 800x600x250 со стеклом</t>
  </si>
  <si>
    <t>Кнопка выступающая с подсветкой красная MP3-21R | 1SFA611102R2101</t>
  </si>
  <si>
    <t>Миниатюрный цилиндрический предохранитель 5x20мм 2,5 А | 010225</t>
  </si>
  <si>
    <t>Миниатюрный цилиндрический предохранитель 5x20мм 5 А | 010250</t>
  </si>
  <si>
    <t>Переключатель 2П с подсветкой фикс зеленый M2SS1-21G | 1SFA611200R2102</t>
  </si>
  <si>
    <t>Табличка "Номер 1-8 в ПУ"</t>
  </si>
  <si>
    <t>С.Ф.К250.У.001 Уголок</t>
  </si>
  <si>
    <t>Т.0107.003 Палец</t>
  </si>
  <si>
    <t>Т.0107.101 Пластина</t>
  </si>
  <si>
    <t>Т.0107.100 СБ Муфта сварная</t>
  </si>
  <si>
    <t>Т.0107.102 Гайка</t>
  </si>
  <si>
    <t>Т.0107.102-01 Гайка</t>
  </si>
  <si>
    <t>Т.0107.201 Проушина</t>
  </si>
  <si>
    <t>Т.0107.200 СБ Винт</t>
  </si>
  <si>
    <t>Т.0107.202 Шпилька</t>
  </si>
  <si>
    <t>Т.0107.200-01 СБ Винт</t>
  </si>
  <si>
    <t>Т.0107.202-01 Шпилька</t>
  </si>
  <si>
    <t>Т.0107.301 Плита</t>
  </si>
  <si>
    <t>Т.0107.300 СБ Кронштейн</t>
  </si>
  <si>
    <t>Т.0107.302 Ухо</t>
  </si>
  <si>
    <t>Т.1107.001 Щека</t>
  </si>
  <si>
    <t>Гайка М16LH-6H ГОСТ 5915-70</t>
  </si>
  <si>
    <t>ТА1107МТВ Кольцо</t>
  </si>
  <si>
    <t>ТА1107МТВх40MM Втулка</t>
  </si>
  <si>
    <t>Болт М6-6gx40.019 ГОСТ 7798-70</t>
  </si>
  <si>
    <t>Болт М8-6gx60.019 ГОСТ 7798-70</t>
  </si>
  <si>
    <t>Болт М8x45 ГОСТ 15591-70</t>
  </si>
  <si>
    <t>Винт со скругленной головкой ГОСТ Р ИСО 7045 - М5 x 20 - H</t>
  </si>
  <si>
    <t>Шайба C 6.37 ГОСТ 6958-78</t>
  </si>
  <si>
    <t>Ш1.МС1850.М.01 CM Компакт распред. шкаф 1200x1000x400мм</t>
  </si>
  <si>
    <t>Маркировка MC512PA 1-&gt;10 | 1SNK140011R0000</t>
  </si>
  <si>
    <t>Маркировка MC512PA 11-&gt;20 | 1SNK140021R0000</t>
  </si>
  <si>
    <t>Преобразователь ethernet-RS232-RS485 | USR-TCP232-410s</t>
  </si>
  <si>
    <t>Ш2.МС2350.М.01 Шкаф IP54 800x600x250</t>
  </si>
  <si>
    <t>Автоматический выключатель XT1N 160 TMD In=100A | 1SDA067416R1</t>
  </si>
  <si>
    <t>Выводы для нескольких кабелей 3шт в уп | 1SDA066921R1</t>
  </si>
  <si>
    <t>Выводы силовые для стационарного выключателя ES XT1 3шт в уп | 1SDA066889R1</t>
  </si>
  <si>
    <t>Муфта металлорукав-коробка с наружной резьбой М32-26 | 6014-32A</t>
  </si>
  <si>
    <t>Поворотный адаптер 45 IP68 М32 | 6028-32G</t>
  </si>
  <si>
    <t>CM Компакт распред. шкаф 800х600х250мм | 2812.000-1.00.00</t>
  </si>
  <si>
    <t>ШГ01.МС.М.01 Шкаф с монтажной панелью IP54 900х300х160</t>
  </si>
  <si>
    <t>ANT20004 Прессостат Реле давления воздуха JD2 | 1279302</t>
  </si>
  <si>
    <t>ШГ02.МС.М.01 Шкаф с монтажной панелью IP54 900х300х160</t>
  </si>
  <si>
    <t>Итого</t>
  </si>
  <si>
    <t>Балансировка</t>
  </si>
  <si>
    <t>Вальцовка</t>
  </si>
  <si>
    <t>Гибочная</t>
  </si>
  <si>
    <t>Гибочная 1 человек 1 категория</t>
  </si>
  <si>
    <t>Гибочная 1 человек 2 категория</t>
  </si>
  <si>
    <t>Гибочная 1 человек 3 категория</t>
  </si>
  <si>
    <t>Гибочная 2 человека 1 категория</t>
  </si>
  <si>
    <t>Гибочная 2 человека 2 категория</t>
  </si>
  <si>
    <t>Гибочная 2 человека 3 категория</t>
  </si>
  <si>
    <t>Горизонтально-расточная</t>
  </si>
  <si>
    <t>Дробеструйная</t>
  </si>
  <si>
    <t>Заточная</t>
  </si>
  <si>
    <t>Калибровка</t>
  </si>
  <si>
    <t>Комплектование</t>
  </si>
  <si>
    <t>Комплектование и упаковка</t>
  </si>
  <si>
    <t>Контроль посадки</t>
  </si>
  <si>
    <t>Лазерная резка</t>
  </si>
  <si>
    <t>Ленточно-пильная</t>
  </si>
  <si>
    <t>Маркировка</t>
  </si>
  <si>
    <t>Мойка</t>
  </si>
  <si>
    <t>Окраска</t>
  </si>
  <si>
    <t>Оксидирование</t>
  </si>
  <si>
    <t>Опрессовка</t>
  </si>
  <si>
    <t>Отрезная</t>
  </si>
  <si>
    <t>Плазменная резка</t>
  </si>
  <si>
    <t>Плоскошлифовальная</t>
  </si>
  <si>
    <t>Прессовая</t>
  </si>
  <si>
    <t>Пробивная</t>
  </si>
  <si>
    <t>Протяжная</t>
  </si>
  <si>
    <t>Расконсервация</t>
  </si>
  <si>
    <t>Рихтовка</t>
  </si>
  <si>
    <t>Сборка</t>
  </si>
  <si>
    <t>Сборка 1 человек</t>
  </si>
  <si>
    <t>Сборка 2 человека</t>
  </si>
  <si>
    <t>Сборка и консервация</t>
  </si>
  <si>
    <t>Сборка-прихватка 1 чел</t>
  </si>
  <si>
    <t>Сборка-прихватка 2 чел</t>
  </si>
  <si>
    <t>Сборочно-монтажная</t>
  </si>
  <si>
    <t>Сварка</t>
  </si>
  <si>
    <t>Сверлильная</t>
  </si>
  <si>
    <t>Сверлильная по кондуктору 1 человек</t>
  </si>
  <si>
    <t>Сверлильная по разметке 1 человек</t>
  </si>
  <si>
    <t>Слесарная</t>
  </si>
  <si>
    <t>Слесарно-сборочная</t>
  </si>
  <si>
    <t>Токарная</t>
  </si>
  <si>
    <t>Токарная с ЧПУ</t>
  </si>
  <si>
    <t>Токарно-винторезная</t>
  </si>
  <si>
    <t>Упаковка</t>
  </si>
  <si>
    <t>Фрезерная</t>
  </si>
  <si>
    <t>Фрезерная с ЧПУ</t>
  </si>
  <si>
    <t>Фрезерно-раскроечная</t>
  </si>
  <si>
    <t>Центрование</t>
  </si>
  <si>
    <t>Цинкование</t>
  </si>
  <si>
    <t>Корректировка проведена</t>
  </si>
  <si>
    <t>шт</t>
  </si>
  <si>
    <t>м</t>
  </si>
  <si>
    <t>кг</t>
  </si>
  <si>
    <t>л</t>
  </si>
  <si>
    <t>пог.м</t>
  </si>
  <si>
    <t xml:space="preserve">ZHENJIANG AGS MACHINERY CO., LTD </t>
  </si>
  <si>
    <t>CNY</t>
  </si>
  <si>
    <t>Электроагрегат</t>
  </si>
  <si>
    <t>руб</t>
  </si>
  <si>
    <t>АДМ132S6У2 1081 Электродвигатель</t>
  </si>
  <si>
    <t>АДМ132M4У2 1081 Электродвигатель</t>
  </si>
  <si>
    <t>АИР160S4У2 1081 Электродвигатель</t>
  </si>
  <si>
    <t>A180S4У2 1081 Электродвигатель</t>
  </si>
  <si>
    <t>АББ</t>
  </si>
  <si>
    <t>EUR</t>
  </si>
  <si>
    <t>Hangzhou Transailing Power Transmission Co. Ltd</t>
  </si>
  <si>
    <t>CBM</t>
  </si>
  <si>
    <t>БАСТИОН</t>
  </si>
  <si>
    <t>Реле давления PB31B/RD30A11</t>
  </si>
  <si>
    <t>ТОРГОВЫЙ ДОМ ФАБЕР ООО</t>
  </si>
  <si>
    <t>CM Компакт распред. шкаф 1200х1000х400 мм</t>
  </si>
  <si>
    <t>Шкаф (IP-54) (800x600x250)</t>
  </si>
  <si>
    <t>Patriot Supply</t>
  </si>
  <si>
    <t>USD</t>
  </si>
  <si>
    <t>ТД ЭЛЕКТРОТЕХМОНТАЖ ООО</t>
  </si>
  <si>
    <t>КОМПАНИЯ ФАМ ООО</t>
  </si>
  <si>
    <t>ОМ ООО ПМТС</t>
  </si>
  <si>
    <t>МАШЗАВОД ООО</t>
  </si>
  <si>
    <t>RMI 50S 1/15 0.55/4p Мотор-редуктор</t>
  </si>
  <si>
    <t>ПОДШИПНИК-СЕРВИС АО</t>
  </si>
  <si>
    <t>POBCO Inc</t>
  </si>
  <si>
    <t>ТПК БЕЛТИМПЭКС ООО</t>
  </si>
  <si>
    <t>ТАУ 2 ООО</t>
  </si>
  <si>
    <t>КОРПОРАЦИЯ ЗЕРНОВЫЕ СИСТЕМЫ ООО</t>
  </si>
  <si>
    <t>ЛАДОГА АО</t>
  </si>
  <si>
    <t>ЗЕТМАСТЕР ООО</t>
  </si>
  <si>
    <t xml:space="preserve"> - НЕТ ДАННЫХ - </t>
  </si>
  <si>
    <t>Автоматич.выключ. MS116-16.0 16 кА с регулир. тепловой защитой 10A-16А Класс тепл. расцепит. 10</t>
  </si>
  <si>
    <t>Автоматич.выключ. MS116-25 15кА с регулир. тепловой защитой 20A-25А Класс тепл. расцепит. 10</t>
  </si>
  <si>
    <t>Автоматич.выключ. MS116-6.3 50 кА с регулир. тепловой защитой 4A-6,3А Класс тепл. расцепит. 10</t>
  </si>
  <si>
    <t>Автоматич.выключ. MS165-42 25кА с регулир. тепловой защитой 32A-42А Класс тепл. расцепит. 10</t>
  </si>
  <si>
    <t>Автоматич.выключ. MS165-54 25кА с регулир. тепловой защитой 40А-54А Класс тепл. расцепит. 10</t>
  </si>
  <si>
    <t>Выключатель автоматический XT1N 160 TMD 160-1600 3p F F</t>
  </si>
  <si>
    <t>Выключатель автоматический XT3N 250 TMD 250-2500 3p F F</t>
  </si>
  <si>
    <t>АДМ90L4У2 1081 Электродвигатель</t>
  </si>
  <si>
    <t>Высокодисперсные металлические порошки Воронеж</t>
  </si>
  <si>
    <t>ArcelorMittal  International  Luxemdourg  S. A.</t>
  </si>
  <si>
    <t>Ионов Михаил Владимирович</t>
  </si>
  <si>
    <t>Антенна TP-Link  TL-ANT2412D внешняя всенаправленная</t>
  </si>
  <si>
    <t>САЛОН 2116 ООО</t>
  </si>
  <si>
    <t>Антенна TRENDnet &lt;TEW-L208&gt; LMR200 (Антенный кабель) Reverse SMA to N-type Cable 8м.</t>
  </si>
  <si>
    <t>Росляков Николай Александрович</t>
  </si>
  <si>
    <t>ЭКС ООО</t>
  </si>
  <si>
    <t>UNO-PS/1AC/24DC/100W Источник питания</t>
  </si>
  <si>
    <t>ИНВЕСТИМПЕКС ООО</t>
  </si>
  <si>
    <t>Болт DIN 6921-М10х20-8.8-A3L</t>
  </si>
  <si>
    <t>Болт DIN 6921-М10х35-8.8-A3L</t>
  </si>
  <si>
    <t>Болт DIN 6921-М10х45-8.8-A3L</t>
  </si>
  <si>
    <t>Болт DIN 6921-М12х45-8.8-A3L</t>
  </si>
  <si>
    <t>Болт DIN 6921-М12х50-8.8-A3L</t>
  </si>
  <si>
    <t>Болт DIN 6921-М14х55-8.8-A3L</t>
  </si>
  <si>
    <t>Болт DIN 6921-М5х16-8.8-A2L</t>
  </si>
  <si>
    <t>Болт М16-6gх65.88.019 ГОСТ 7798-70</t>
  </si>
  <si>
    <t>МЕТРИКА ООО</t>
  </si>
  <si>
    <t>Покупное название</t>
  </si>
  <si>
    <t>Болт М8-6gх70.88.019 ГОСТ 7798-70</t>
  </si>
  <si>
    <t>Garner Industries Inc. DBA BinMaster</t>
  </si>
  <si>
    <t>вал датчика уровня GRSS-1</t>
  </si>
  <si>
    <t>Винт DIN 316-М8x16-8.8-A2L</t>
  </si>
  <si>
    <t>ТК Метизы ООО</t>
  </si>
  <si>
    <t>СТРОИТЕЛЬНЫЙ КРЕПЕЖ ООО</t>
  </si>
  <si>
    <t>Винт М10х20.88.019 ГОСТ 28963-91</t>
  </si>
  <si>
    <t>Винт М12x40.88.019 ГОСТ 28963-91</t>
  </si>
  <si>
    <t>Винт М4х12.88.019 ГОСТ 28963-91</t>
  </si>
  <si>
    <t>Клемма M10/10 винт 10мм.кв.</t>
  </si>
  <si>
    <t>Dryer Master  Inc Inc</t>
  </si>
  <si>
    <t>Контакты состояния выключателя без проводов AUX 1Q 250Vac/dc XT1...XT4</t>
  </si>
  <si>
    <t>ПКП ТЕХАЛЬЯНС ООО</t>
  </si>
  <si>
    <t>Клемма втычная ZK2,5-PE-3P - Земля - желто-зеленая - 2,5 мм², 3 зажима</t>
  </si>
  <si>
    <t>Клемма втычная ZK2,5-3P серая, 2,5 мм², 3 зажима</t>
  </si>
  <si>
    <t>Выводы силовые для стационарного выключателя MC CuAl 6x2.5...35mm2  XT1 (комплект из 3шт.)</t>
  </si>
  <si>
    <t>ОМРОН ЭЛЕКТРОНИКС ООО</t>
  </si>
  <si>
    <t>Гайка DIN 929-М8-8-A2L</t>
  </si>
  <si>
    <t>Гайка квадратная кузовная (клетевая) М6 DIN 88109</t>
  </si>
  <si>
    <t>Гайка М16-LH-6Н.8.019 ГОСТ 5915-70</t>
  </si>
  <si>
    <t>Гайка М3-6Н.8.019 ГОСТ 5915-70</t>
  </si>
  <si>
    <t>Гайка М32A | 6006-32</t>
  </si>
  <si>
    <t>ООО ДУНВЕН Сантехника</t>
  </si>
  <si>
    <t>ТВС ООО</t>
  </si>
  <si>
    <t>ПХК РУССТАЙЛ ООО</t>
  </si>
  <si>
    <t>МАЙТ-ЮГ ООО</t>
  </si>
  <si>
    <t>Грунт-эмаль КРЭС черная матовая</t>
  </si>
  <si>
    <t>ЛАКОКРАСПОКРЫТИЕ   ООО НПО ЛКП ООО НПО</t>
  </si>
  <si>
    <t>РЕГИОНХИМПРОМ ООО</t>
  </si>
  <si>
    <t>Грунтовка ХС-04 серая</t>
  </si>
  <si>
    <t>ТУРК РУС ООО</t>
  </si>
  <si>
    <t>Датчик индуктивный BI4-M12-AP6X-H1141</t>
  </si>
  <si>
    <t>Гомон Владимир Иванович</t>
  </si>
  <si>
    <t>СНАБСЕРВИС ООО</t>
  </si>
  <si>
    <t>АВС - ЭЛЕКТРО ООО</t>
  </si>
  <si>
    <t>МЕТАЛЛГАЛЬВАНИКА ООО ПП</t>
  </si>
  <si>
    <t>ТЗЦ ООО</t>
  </si>
  <si>
    <t>Звено С-ПР-12,7-18,2 ГОСТ 13568-97</t>
  </si>
  <si>
    <t>OLFLEX HEAT 205 SC 1X0,75 GNYE</t>
  </si>
  <si>
    <t>OLFLEX HEAT 205 SC 1X0,75 BK</t>
  </si>
  <si>
    <t>МЕТАЛЛ-СТАНДАРТ ООО</t>
  </si>
  <si>
    <t>Клемма M4/8.SFL винт 4мм.кв. держатель предохранителя 5х20, 5х25 мм, неон. индикатор сгор. предохран</t>
  </si>
  <si>
    <t>Кнопка MP3-21R красная выступающая (только корпус) с подсветкой без фиксации</t>
  </si>
  <si>
    <t>ТЕПЛОСЕРВИС ООО</t>
  </si>
  <si>
    <t>СИСТЕМАТИКА ООО</t>
  </si>
  <si>
    <t>Колпачок защитный для свечи зажигания BERU GWS7</t>
  </si>
  <si>
    <t>Коробка ответвительная алюминиевая, 3 ввода, М40х1,5 ,IP55,171х78х71мм</t>
  </si>
  <si>
    <t>ЭКС-ФОРМА ООО ПКФ</t>
  </si>
  <si>
    <t>Цоколь КА70-1031 для одностороннего монтажа сигнальных элементов</t>
  </si>
  <si>
    <t>МЕТАЛЛСЕРВИС-МОСКВА ООО</t>
  </si>
  <si>
    <t>Металлоторг</t>
  </si>
  <si>
    <t>Круг 20 ГОСТ 2590-88/Ст3пс ГОСТ 535-2005</t>
  </si>
  <si>
    <t>Круг 36 ГОСТ 2590-88/40Х ГОСТ 4543-71</t>
  </si>
  <si>
    <t>Круг 36 ГОСТ 2590-88/Ст3пс ГОСТ 535-2005</t>
  </si>
  <si>
    <t>МеталлМаркет</t>
  </si>
  <si>
    <t>Круг 6 ГОСТ 2590-88/12Х18Н10Т ГОСТ 5949-75</t>
  </si>
  <si>
    <t>АЛЬФА-СТАЛЬ ООО</t>
  </si>
  <si>
    <t>Круг 8 ГОСТ 2590-88/10 ГОСТ 1050-88</t>
  </si>
  <si>
    <t>Круг 8 ГОСТ 2590-88/Ст3пс ГОСТ 535-2005</t>
  </si>
  <si>
    <t>Крыльчатка к BMRX</t>
  </si>
  <si>
    <t>КОМПАНИЯ ВЕНТПОСТАВКА ООО</t>
  </si>
  <si>
    <t>Лист 12,00 ГОСТ 19903-74/09Г2С ГОСТ 19281-89</t>
  </si>
  <si>
    <t>Лист 4 S350GD+Z EN 10346:2015</t>
  </si>
  <si>
    <t>Лист 6 ГОСТ 19903-74/20 ГОСТ 1577-93</t>
  </si>
  <si>
    <t>Лист 8,00 ГОСТ 19903-74/09Г2С ГОСТ 19281-89</t>
  </si>
  <si>
    <t>Лист ОЦ 1,20x1250x2440 ГОСТ 19904-90/08пс-1класс ГОСТ 14918-80</t>
  </si>
  <si>
    <t>Матвеенко Вера Викторовна</t>
  </si>
  <si>
    <t>Pavel Trubetskoy, USA</t>
  </si>
  <si>
    <t>Маркировка MC512PA 1-&gt;10 (x10) гориз.</t>
  </si>
  <si>
    <t>Маркировка MC512PA 11-&gt;20 (x10) гориз.</t>
  </si>
  <si>
    <t>Металлорукав в гладкой EVA-оболочке Dвн 22 мм</t>
  </si>
  <si>
    <t>Металлорукав DN 40мм в гладкой EVA изоляции, Dвн 40,0 мм, Dнар 48,0, IP66, 25 м, цвет серый</t>
  </si>
  <si>
    <t>Металлорукав DN 50мм в гладкой EVA изоляции, Dвн 50,5 мм, Dнар 58,5, IP66, 25 м, цвет серый</t>
  </si>
  <si>
    <t xml:space="preserve">Реле втычное миниатюрные промышленные контакты AgNi 2CO 8A </t>
  </si>
  <si>
    <t>Вставка плавкая 5х20 5А</t>
  </si>
  <si>
    <t>ЭЛИПС ГАРАНТ ООО</t>
  </si>
  <si>
    <t>Модуль аналогового ввода-вывода SM 1234 4 AI / 2 AO +/-10В 14 БИТ/ 0-20 MA 13 бит</t>
  </si>
  <si>
    <t>МИГ ЭЛЕКТРО ООО</t>
  </si>
  <si>
    <t>Автомат.выкл-ль 1-полюсной S201 C4</t>
  </si>
  <si>
    <t>Автомат.выкл-ль 1-полюсной S201 C6</t>
  </si>
  <si>
    <t>Автомат.выкл-ль 2-полюсной S202 C4</t>
  </si>
  <si>
    <t>Муфта металлорукав-коробка DN 20,М25х1,5 наружная резьба</t>
  </si>
  <si>
    <t>Муфта поворотная металлорукав-коробка DN 26,М32х1,5,наружная резьба</t>
  </si>
  <si>
    <t>Муфта металлорукав-коробка DN 26,М32х1,5 наружная резьба</t>
  </si>
  <si>
    <t>Муфта металлорукав-коробка DN 40,М40х1,5 наружная резьба</t>
  </si>
  <si>
    <t>Муфта поворотная металлорукав-коробка DN 50,М63х1,5,наружная резьба</t>
  </si>
  <si>
    <t>НАВЕС 300Х160</t>
  </si>
  <si>
    <t>НАВЕС 600Х250</t>
  </si>
  <si>
    <t>Наконечник-гильза 8 мм с изолир.фланцем 0,75 кв.мм серый (НШВИ)</t>
  </si>
  <si>
    <t>Наконечник кабельный НШвИ 4-9 серый (100шт) | UGN10-004-04-09</t>
  </si>
  <si>
    <t xml:space="preserve">SIMATIC NET, SCALANCE X005, НЕУПРАВЛЯЕМЫЙ IE-КОММУТАТОР НАЧАЛЬНОГО УРОВНЯ, 5 X 10/100МБИТ/С RJ45 </t>
  </si>
  <si>
    <t>ООО ЕвроМастер</t>
  </si>
  <si>
    <t>Основание КТ70-1002 с клеммной колодкой для крепления на цоколе или поверхности (крышка включена)</t>
  </si>
  <si>
    <t>Ось 6-5 a11x11.Ст3 ГОСТ 9650-80</t>
  </si>
  <si>
    <t xml:space="preserve">Панель основания размер 4 520х250мм </t>
  </si>
  <si>
    <t>Выводы силовые для стационарного выключателя ES XT3 (комплект из 3шт.)</t>
  </si>
  <si>
    <t>Переключатель M3SS3-21G (короткая ручка) зеленый 3-х позиционный с подсветкой (только корпус) с возв</t>
  </si>
  <si>
    <t>Переключатель M3SS1-21G (короткая ручка) зеленый 3-х позиционный с подсветкой (только корпус) с фикс</t>
  </si>
  <si>
    <t>Переходник M25x1,5 ( наружн. резьба)/ M20x1,5 (внутр. резьба)</t>
  </si>
  <si>
    <t>Переходник M32x1,5 ( наружн. резьба)/ M20x1,5 (внутр. резьба)</t>
  </si>
  <si>
    <t>Короб перфорированный, серый RL6 25х60</t>
  </si>
  <si>
    <t>ДНС Ритейл ООО</t>
  </si>
  <si>
    <t xml:space="preserve">Планшетный компьютер Lenovo Tab 4 TB-7504X MT8735B (1.3) 4C/RAM1Gb/ROM16Gb 7" </t>
  </si>
  <si>
    <t>Плата монтажная для шкафов 800x600мм | NSYMM86</t>
  </si>
  <si>
    <t>ЧИП И ДИП ЗАО</t>
  </si>
  <si>
    <t xml:space="preserve">Площадка самоклеящаяся 20х20 черная под хомуты (100шт) </t>
  </si>
  <si>
    <t>СтройДом</t>
  </si>
  <si>
    <t>Адаптер поворотный 45° M25x1,5, IP68/IP67, никелироованная латунь</t>
  </si>
  <si>
    <t>РОСПОДШИПНИК ООО ТД</t>
  </si>
  <si>
    <t>ДУКАТ ООО</t>
  </si>
  <si>
    <t>Полимерный пневмошланг PUN-H-6x1-NT</t>
  </si>
  <si>
    <t>ТРАНС МАРКЕТ ООО</t>
  </si>
  <si>
    <t>МЭНС ООО</t>
  </si>
  <si>
    <t>USR-TCP232-410S</t>
  </si>
  <si>
    <t>ПРЕОБР ЧАСТОТЫ ATV312 0.55КВТ 240В 1Ф</t>
  </si>
  <si>
    <t>Чугунторг</t>
  </si>
  <si>
    <t>ПОЛИМЕТ ООО ТД</t>
  </si>
  <si>
    <t>ХКА ООО</t>
  </si>
  <si>
    <t>Провод ПВВ 1х1,5</t>
  </si>
  <si>
    <t>Техновелд</t>
  </si>
  <si>
    <t>Проволока сварочная СВ12Х18Н10Т  ф1,2</t>
  </si>
  <si>
    <t>SIMATIC S7-1200 Компактное CPU 1214C DC/DC/DC встроенные входы/выходы: 14 DI =24В 10DO =24В 2 AI =0-</t>
  </si>
  <si>
    <t>Прокладка уплотнительная IP67 для M25</t>
  </si>
  <si>
    <t>Прокладка уплотнительная IP67 для M32</t>
  </si>
  <si>
    <t>Прокладка уплотнительная IP67 для M50</t>
  </si>
  <si>
    <t>Прокладка уплотнительная IP67 для M63</t>
  </si>
  <si>
    <t>МОДУЛЬ ООО</t>
  </si>
  <si>
    <t>АЛЬМЕТ ООО</t>
  </si>
  <si>
    <t>Пруток ДШГНП 19 ЛС 59-1 ГОСТ Р 52597-2006</t>
  </si>
  <si>
    <t>Соединитель B8241-0</t>
  </si>
  <si>
    <t>ТК РЕГИОНПРОМ ООО</t>
  </si>
  <si>
    <t>ПРОМРАДАР ООО</t>
  </si>
  <si>
    <t>ТЕХНИЧЕСКИЕ РЕШЕНИЯ 2.0 ООО</t>
  </si>
  <si>
    <t>Сигнальная лампа KL70-401G зеленая постоянного свечения 12-240В AC/DC (лампочка отдельно)</t>
  </si>
  <si>
    <t>Сигнальная лампа KL70-401R красная постоянного свечения 12-240В(лампочка отдельно)</t>
  </si>
  <si>
    <t>ШНЕЙДЕР ЭЛЕКТРИК АО</t>
  </si>
  <si>
    <t>СЕНС ЦВ ТЕРМИНАЛ 5,7" 320?240 RJ45 RS232/485 SUB-D Eth TCP/IP 96Mб/512кБ СЛОТ SD</t>
  </si>
  <si>
    <t xml:space="preserve">СМ Карман для документации </t>
  </si>
  <si>
    <t>ПРОМТЕХНОБЕЗОПАСНОСТЬ ООО</t>
  </si>
  <si>
    <t>МАСЛОСБЫТ ООО</t>
  </si>
  <si>
    <t>САНТЕХКОМПЛЕКТ ООО</t>
  </si>
  <si>
    <t>ИКЗ ООО</t>
  </si>
  <si>
    <t>МИР КРЕПЕЖА ТД ООО</t>
  </si>
  <si>
    <t>БАЗА МЕБЕЛЬЩИКЪ  КУРСК ООО</t>
  </si>
  <si>
    <t>ЭЛЕКТРОПРОМСНАБ ООО</t>
  </si>
  <si>
    <t>Стяжка нейлоновая 250х3, 6мм(100 шт.)</t>
  </si>
  <si>
    <t>Чернов Станислав Вячеславович ИП</t>
  </si>
  <si>
    <t>Храмцова Ирина Сергеевна</t>
  </si>
  <si>
    <t>Таймер регулировки 0 до 3 минут 220V (TMV 8000)</t>
  </si>
  <si>
    <t>Трубка термоусадочная ТУТ 6/3 зеленая</t>
  </si>
  <si>
    <t>Трубка термоусадочная ТУТ 6/3 красна</t>
  </si>
  <si>
    <t>Изолятор FEM6 Торц. для MA2,5-M10 серый</t>
  </si>
  <si>
    <t>Точка доступа TP-LINK &lt;TL-WA801ND&gt; Wireless N Access Point(1UTP 100Mbps, 802.11b/g/n, 300Mbps</t>
  </si>
  <si>
    <t>Контактор AF16-30-10-13 с универсальной катушкой управления 100-250BAC/DC</t>
  </si>
  <si>
    <t>Контактор AF40-30-00-13 40А AC3, катушка 100-250В AC/DC</t>
  </si>
  <si>
    <t>ГПТ ПЛЮС ООО</t>
  </si>
  <si>
    <t>Труба 35х5 ГОСТ 8734-75/20 ГОСТ 8733-74</t>
  </si>
  <si>
    <t>Труба 45х4 ГОСТ 8732-78/20 ГОСТ 8731-74</t>
  </si>
  <si>
    <t>Труба 76х6 ГОСТ 8732-78/20 ГОСТ 8731-74</t>
  </si>
  <si>
    <t>БВБ-АЛЬЯНС-МОСКВА ООО</t>
  </si>
  <si>
    <t>Сталепромышленная компания АО</t>
  </si>
  <si>
    <t>Жгут витой SPIRALITE P3 (25м)</t>
  </si>
  <si>
    <t>ТД ЮГМОНТАЖЭЛЕКТРО ООО</t>
  </si>
  <si>
    <t>SKINTOP DIX 13250</t>
  </si>
  <si>
    <t>СИЛАТЕ ООО НТЦ</t>
  </si>
  <si>
    <t>Штекерное соединение QS-1/8-6</t>
  </si>
  <si>
    <t>Штекерное соединение QSSF-1/8-6-B</t>
  </si>
  <si>
    <t>Угловое соединение   QSL-1/8-6</t>
  </si>
  <si>
    <t>КРОКУС ГРУПП ООО</t>
  </si>
  <si>
    <t>ТЕХНОЛОГИЯ И МАТЕРИАЛЫ ООО</t>
  </si>
  <si>
    <t>Шайба С.12.03.019 ГОСТ 6958-78</t>
  </si>
  <si>
    <t>Шайба С.14.03.019 ГОСТ 6958-78</t>
  </si>
  <si>
    <t>Шайба С.20.03.019 ГОСТ 6958-78</t>
  </si>
  <si>
    <t>Шильдик круглый пластиковый желтый EMERGENCY STOP для кнопо к ГРИБОК</t>
  </si>
  <si>
    <t>АВА-ТРЕЙД ООО</t>
  </si>
  <si>
    <t>Шина АД31Т 5х35 ГОСТ 15179-89</t>
  </si>
  <si>
    <t>Шкаф (IP-54) (800x600x250) со стеклом</t>
  </si>
  <si>
    <t>Щит с монт.панелью (IP-54) (900x300x160)</t>
  </si>
  <si>
    <t>Штуцер соединительный под шланг</t>
  </si>
  <si>
    <t>Масса</t>
  </si>
  <si>
    <t>Закупка за ед.</t>
  </si>
  <si>
    <t>Закупка общая</t>
  </si>
  <si>
    <t>Время на ед., мин*</t>
  </si>
  <si>
    <t>Время общее, мин*</t>
  </si>
  <si>
    <t>Трудозатраты</t>
  </si>
  <si>
    <t>* время указано с учетом коэффициента пробивки (см. настройки на листе "Трудозатраты")</t>
  </si>
  <si>
    <t>Наименование работы</t>
  </si>
  <si>
    <t>Время, ч</t>
  </si>
  <si>
    <t>Ш1</t>
  </si>
  <si>
    <t>Ш2</t>
  </si>
  <si>
    <t>ПУ1</t>
  </si>
  <si>
    <t>ШГ</t>
  </si>
  <si>
    <t>КВО</t>
  </si>
  <si>
    <t>подключение,прошивка и проверка</t>
  </si>
  <si>
    <t>Коллектор</t>
  </si>
  <si>
    <t>обновить стоимость в "Оборудование ЭММ", файл по ситам и калькуляторе сушилок</t>
  </si>
  <si>
    <t>МС2350.М СБ Зерносушилка модульная (сита щелевые)</t>
  </si>
  <si>
    <t>стоимость до 06.07.2021</t>
  </si>
  <si>
    <t xml:space="preserve"> - дата расчета (для фиксации цены на определенную дату)</t>
  </si>
  <si>
    <t>Стоимость щелевых сит в этом расчете:</t>
  </si>
  <si>
    <t>С круглыми ситами (по прайсу), без влагомера, с шеф-монтажом: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</si>
</sst>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-* #,##0.00_р_._-;\-* #,##0.00_р_._-;_-* &quot;-&quot;??_р_._-;_-@_-"/>
    <numFmt numFmtId="164" formatCode="0.00000"/>
    <numFmt numFmtId="165" formatCode="0.0"/>
    <numFmt numFmtId="166" formatCode="0.0000"/>
    <numFmt numFmtId="167" formatCode="0.000"/>
    <numFmt numFmtId="168" formatCode="#,##0&quot;р.&quot;"/>
    <numFmt numFmtId="169" formatCode="#,##0.0"/>
    <numFmt numFmtId="170" formatCode="#,##0.0000"/>
    <numFmt numFmtId="171" formatCode="#,##0.00000"/>
    <numFmt numFmtId="172" formatCode="#,##0.000"/>
    <numFmt numFmtId="173" formatCode="#,##0&quot;р.&quot;;&quot;&quot;;&quot;&quot;"/>
    <numFmt numFmtId="174" formatCode="dd/mm/yyyy;&quot;&quot;;&quot;&quot;"/>
    <numFmt numFmtId="175" formatCode="0.0%"/>
  </numFmts>
  <fonts count="25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8"/>
      <name val="Calibri"/>
      <family val="2"/>
    </font>
    <font>
      <u/>
      <sz val="11"/>
      <color indexed="12"/>
      <name val="Calibri"/>
      <family val="2"/>
    </font>
    <font>
      <sz val="10"/>
      <name val="Arial Cyr"/>
      <charset val="204"/>
    </font>
    <font>
      <sz val="11"/>
      <color theme="0" tint="-0.499984740745262"/>
      <name val="Calibri"/>
      <family val="2"/>
      <charset val="204"/>
      <scheme val="minor"/>
    </font>
    <font>
      <i/>
      <sz val="11"/>
      <color theme="0" tint="-0.499984740745262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FF00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MS Shell Dlg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1"/>
      <color theme="10"/>
      <name val="Calibri"/>
      <family val="2"/>
      <charset val="204"/>
      <scheme val="minor"/>
    </font>
    <font>
      <sz val="11"/>
      <color theme="1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CCC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6600"/>
        <bgColor indexed="64"/>
      </patternFill>
    </fill>
  </fills>
  <borders count="21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</borders>
  <cellStyleXfs count="3609">
    <xf numFmtId="0" fontId="0" fillId="0" borderId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7" fillId="0" borderId="0"/>
    <xf numFmtId="0" fontId="8" fillId="0" borderId="0" applyNumberFormat="0" applyFill="0" applyBorder="0" applyAlignment="0" applyProtection="0"/>
    <xf numFmtId="0" fontId="9" fillId="0" borderId="0"/>
    <xf numFmtId="0" fontId="9" fillId="0" borderId="0"/>
    <xf numFmtId="0" fontId="7" fillId="0" borderId="0"/>
    <xf numFmtId="0" fontId="7" fillId="0" borderId="0"/>
    <xf numFmtId="0" fontId="2" fillId="0" borderId="0"/>
    <xf numFmtId="0" fontId="5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9" fillId="0" borderId="0"/>
    <xf numFmtId="0" fontId="19" fillId="0" borderId="0"/>
    <xf numFmtId="0" fontId="20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left"/>
    </xf>
    <xf numFmtId="0" fontId="0" fillId="2" borderId="2" xfId="0" applyFill="1" applyBorder="1" applyAlignment="1">
      <alignment horizontal="center" wrapText="1"/>
    </xf>
    <xf numFmtId="168" fontId="0" fillId="0" borderId="0" xfId="0" applyNumberFormat="1"/>
    <xf numFmtId="0" fontId="0" fillId="4" borderId="0" xfId="0" applyFill="1"/>
    <xf numFmtId="0" fontId="4" fillId="0" borderId="0" xfId="0" applyFont="1"/>
    <xf numFmtId="169" fontId="0" fillId="0" borderId="0" xfId="0" applyNumberFormat="1"/>
    <xf numFmtId="0" fontId="3" fillId="0" borderId="0" xfId="0" applyFont="1"/>
    <xf numFmtId="0" fontId="9" fillId="0" borderId="0" xfId="3593" applyFont="1" applyFill="1" applyBorder="1"/>
    <xf numFmtId="0" fontId="9" fillId="3" borderId="2" xfId="3593" applyFont="1" applyFill="1" applyBorder="1" applyAlignment="1">
      <alignment horizontal="center"/>
    </xf>
    <xf numFmtId="9" fontId="0" fillId="3" borderId="2" xfId="0" applyNumberFormat="1" applyFill="1" applyBorder="1" applyAlignment="1">
      <alignment horizontal="center"/>
    </xf>
    <xf numFmtId="168" fontId="0" fillId="3" borderId="2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0" fontId="14" fillId="24" borderId="3" xfId="0" applyFont="1" applyFill="1" applyBorder="1" applyAlignment="1">
      <alignment horizontal="center" wrapText="1"/>
    </xf>
    <xf numFmtId="3" fontId="0" fillId="0" borderId="0" xfId="0" applyNumberFormat="1"/>
    <xf numFmtId="168" fontId="0" fillId="25" borderId="0" xfId="0" applyNumberFormat="1" applyFill="1"/>
    <xf numFmtId="0" fontId="4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15" fillId="0" borderId="0" xfId="0" applyFont="1" applyAlignment="1">
      <alignment horizontal="center"/>
    </xf>
    <xf numFmtId="0" fontId="17" fillId="2" borderId="1" xfId="3602" applyNumberFormat="1" applyFont="1" applyFill="1" applyBorder="1" applyAlignment="1">
      <alignment horizontal="center" vertical="center" wrapText="1"/>
    </xf>
    <xf numFmtId="0" fontId="1" fillId="0" borderId="1" xfId="3602" applyNumberFormat="1" applyFont="1" applyBorder="1" applyAlignment="1">
      <alignment vertical="top" wrapText="1"/>
    </xf>
    <xf numFmtId="0" fontId="1" fillId="0" borderId="1" xfId="3602" applyNumberFormat="1" applyFont="1" applyBorder="1" applyAlignment="1">
      <alignment horizontal="right" vertical="top"/>
    </xf>
    <xf numFmtId="0" fontId="1" fillId="0" borderId="1" xfId="3602" applyNumberFormat="1" applyFont="1" applyBorder="1" applyAlignment="1">
      <alignment horizontal="right" vertical="top" wrapText="1"/>
    </xf>
    <xf numFmtId="171" fontId="1" fillId="0" borderId="1" xfId="3602" applyNumberFormat="1" applyFont="1" applyBorder="1" applyAlignment="1">
      <alignment horizontal="right" vertical="top" wrapText="1"/>
    </xf>
    <xf numFmtId="167" fontId="1" fillId="0" borderId="1" xfId="3602" applyNumberFormat="1" applyFont="1" applyBorder="1" applyAlignment="1">
      <alignment horizontal="right" vertical="top"/>
    </xf>
    <xf numFmtId="2" fontId="1" fillId="0" borderId="1" xfId="3602" applyNumberFormat="1" applyFont="1" applyBorder="1" applyAlignment="1">
      <alignment horizontal="right" vertical="top"/>
    </xf>
    <xf numFmtId="164" fontId="1" fillId="0" borderId="1" xfId="3602" applyNumberFormat="1" applyFont="1" applyBorder="1" applyAlignment="1">
      <alignment horizontal="right" vertical="top"/>
    </xf>
    <xf numFmtId="1" fontId="1" fillId="0" borderId="1" xfId="3602" applyNumberFormat="1" applyFont="1" applyBorder="1" applyAlignment="1">
      <alignment horizontal="right" vertical="top"/>
    </xf>
    <xf numFmtId="166" fontId="1" fillId="0" borderId="1" xfId="3602" applyNumberFormat="1" applyFont="1" applyBorder="1" applyAlignment="1">
      <alignment horizontal="right" vertical="top" wrapText="1"/>
    </xf>
    <xf numFmtId="164" fontId="1" fillId="0" borderId="1" xfId="3602" applyNumberFormat="1" applyFont="1" applyBorder="1" applyAlignment="1">
      <alignment horizontal="right" vertical="top" wrapText="1"/>
    </xf>
    <xf numFmtId="3" fontId="1" fillId="0" borderId="1" xfId="3602" applyNumberFormat="1" applyFont="1" applyBorder="1" applyAlignment="1">
      <alignment horizontal="right" vertical="top"/>
    </xf>
    <xf numFmtId="2" fontId="1" fillId="0" borderId="1" xfId="3602" applyNumberFormat="1" applyFont="1" applyBorder="1" applyAlignment="1">
      <alignment horizontal="right" vertical="top" wrapText="1"/>
    </xf>
    <xf numFmtId="166" fontId="1" fillId="0" borderId="1" xfId="3602" applyNumberFormat="1" applyFont="1" applyBorder="1" applyAlignment="1">
      <alignment horizontal="right" vertical="top"/>
    </xf>
    <xf numFmtId="165" fontId="1" fillId="0" borderId="1" xfId="3602" applyNumberFormat="1" applyFont="1" applyBorder="1" applyAlignment="1">
      <alignment horizontal="right" vertical="top"/>
    </xf>
    <xf numFmtId="165" fontId="1" fillId="0" borderId="1" xfId="3602" applyNumberFormat="1" applyFont="1" applyBorder="1" applyAlignment="1">
      <alignment horizontal="right" vertical="top" wrapText="1"/>
    </xf>
    <xf numFmtId="167" fontId="1" fillId="0" borderId="1" xfId="3602" applyNumberFormat="1" applyFont="1" applyBorder="1" applyAlignment="1">
      <alignment horizontal="right" vertical="top" wrapText="1"/>
    </xf>
    <xf numFmtId="170" fontId="1" fillId="0" borderId="1" xfId="3602" applyNumberFormat="1" applyFont="1" applyBorder="1" applyAlignment="1">
      <alignment horizontal="right" vertical="top" wrapText="1"/>
    </xf>
    <xf numFmtId="1" fontId="1" fillId="0" borderId="1" xfId="3602" applyNumberFormat="1" applyFont="1" applyBorder="1" applyAlignment="1">
      <alignment horizontal="right" vertical="top" wrapText="1"/>
    </xf>
    <xf numFmtId="170" fontId="1" fillId="0" borderId="1" xfId="3602" applyNumberFormat="1" applyFont="1" applyBorder="1" applyAlignment="1">
      <alignment horizontal="right" vertical="top"/>
    </xf>
    <xf numFmtId="169" fontId="1" fillId="0" borderId="1" xfId="3602" applyNumberFormat="1" applyFont="1" applyBorder="1" applyAlignment="1">
      <alignment horizontal="right" vertical="top"/>
    </xf>
    <xf numFmtId="172" fontId="1" fillId="0" borderId="1" xfId="3602" applyNumberFormat="1" applyFont="1" applyBorder="1" applyAlignment="1">
      <alignment horizontal="right" vertical="top"/>
    </xf>
    <xf numFmtId="0" fontId="2" fillId="2" borderId="1" xfId="3604" applyNumberFormat="1" applyFont="1" applyFill="1" applyBorder="1" applyAlignment="1">
      <alignment vertical="top"/>
    </xf>
    <xf numFmtId="0" fontId="2" fillId="2" borderId="1" xfId="3604" applyNumberFormat="1" applyFont="1" applyFill="1" applyBorder="1" applyAlignment="1">
      <alignment horizontal="center" textRotation="90" wrapText="1"/>
    </xf>
    <xf numFmtId="4" fontId="2" fillId="2" borderId="1" xfId="3604" applyNumberFormat="1" applyFont="1" applyFill="1" applyBorder="1" applyAlignment="1">
      <alignment horizontal="center" vertical="top"/>
    </xf>
    <xf numFmtId="2" fontId="2" fillId="2" borderId="1" xfId="3604" applyNumberFormat="1" applyFont="1" applyFill="1" applyBorder="1" applyAlignment="1">
      <alignment horizontal="center" vertical="top"/>
    </xf>
    <xf numFmtId="0" fontId="1" fillId="0" borderId="1" xfId="3604" applyNumberFormat="1" applyFont="1" applyBorder="1" applyAlignment="1">
      <alignment vertical="top" wrapText="1"/>
    </xf>
    <xf numFmtId="2" fontId="1" fillId="0" borderId="1" xfId="3604" applyNumberFormat="1" applyFont="1" applyBorder="1" applyAlignment="1">
      <alignment horizontal="center" vertical="top"/>
    </xf>
    <xf numFmtId="0" fontId="1" fillId="0" borderId="1" xfId="3604" applyNumberFormat="1" applyFont="1" applyBorder="1" applyAlignment="1">
      <alignment horizontal="center" vertical="top"/>
    </xf>
    <xf numFmtId="4" fontId="1" fillId="0" borderId="1" xfId="3604" applyNumberFormat="1" applyFont="1" applyBorder="1" applyAlignment="1">
      <alignment horizontal="center" vertical="top"/>
    </xf>
    <xf numFmtId="0" fontId="2" fillId="2" borderId="4" xfId="3604" applyNumberFormat="1" applyFont="1" applyFill="1" applyBorder="1" applyAlignment="1">
      <alignment vertical="top" wrapText="1"/>
    </xf>
    <xf numFmtId="0" fontId="18" fillId="0" borderId="1" xfId="3605" applyNumberFormat="1" applyFont="1" applyBorder="1" applyAlignment="1">
      <alignment wrapText="1"/>
    </xf>
    <xf numFmtId="0" fontId="18" fillId="26" borderId="1" xfId="3605" applyNumberFormat="1" applyFont="1" applyFill="1" applyBorder="1" applyAlignment="1">
      <alignment horizontal="center" wrapText="1"/>
    </xf>
    <xf numFmtId="1" fontId="18" fillId="26" borderId="1" xfId="3605" applyNumberFormat="1" applyFont="1" applyFill="1" applyBorder="1" applyAlignment="1">
      <alignment horizontal="center"/>
    </xf>
    <xf numFmtId="167" fontId="18" fillId="26" borderId="1" xfId="3605" applyNumberFormat="1" applyFont="1" applyFill="1" applyBorder="1" applyAlignment="1">
      <alignment horizontal="center"/>
    </xf>
    <xf numFmtId="171" fontId="18" fillId="26" borderId="1" xfId="3605" applyNumberFormat="1" applyFont="1" applyFill="1" applyBorder="1" applyAlignment="1">
      <alignment horizontal="center"/>
    </xf>
    <xf numFmtId="2" fontId="18" fillId="26" borderId="1" xfId="3605" applyNumberFormat="1" applyFont="1" applyFill="1" applyBorder="1" applyAlignment="1">
      <alignment horizontal="center"/>
    </xf>
    <xf numFmtId="3" fontId="18" fillId="26" borderId="1" xfId="3605" applyNumberFormat="1" applyFont="1" applyFill="1" applyBorder="1" applyAlignment="1">
      <alignment horizontal="center"/>
    </xf>
    <xf numFmtId="165" fontId="18" fillId="26" borderId="1" xfId="3605" applyNumberFormat="1" applyFont="1" applyFill="1" applyBorder="1" applyAlignment="1">
      <alignment horizontal="center"/>
    </xf>
    <xf numFmtId="164" fontId="18" fillId="26" borderId="1" xfId="3605" applyNumberFormat="1" applyFont="1" applyFill="1" applyBorder="1" applyAlignment="1">
      <alignment horizontal="center"/>
    </xf>
    <xf numFmtId="169" fontId="18" fillId="26" borderId="1" xfId="3605" applyNumberFormat="1" applyFont="1" applyFill="1" applyBorder="1" applyAlignment="1">
      <alignment horizontal="center"/>
    </xf>
    <xf numFmtId="166" fontId="18" fillId="26" borderId="1" xfId="3605" applyNumberFormat="1" applyFont="1" applyFill="1" applyBorder="1" applyAlignment="1">
      <alignment horizontal="center"/>
    </xf>
    <xf numFmtId="173" fontId="0" fillId="27" borderId="2" xfId="0" applyNumberFormat="1" applyFill="1" applyBorder="1" applyAlignment="1">
      <alignment vertical="top"/>
    </xf>
    <xf numFmtId="174" fontId="0" fillId="27" borderId="2" xfId="0" applyNumberFormat="1" applyFill="1" applyBorder="1" applyAlignment="1">
      <alignment vertical="top"/>
    </xf>
    <xf numFmtId="9" fontId="0" fillId="27" borderId="2" xfId="0" applyNumberFormat="1" applyFill="1" applyBorder="1" applyAlignment="1">
      <alignment vertical="top"/>
    </xf>
    <xf numFmtId="4" fontId="0" fillId="27" borderId="2" xfId="0" applyNumberFormat="1" applyFill="1" applyBorder="1" applyAlignment="1">
      <alignment vertical="top"/>
    </xf>
    <xf numFmtId="9" fontId="19" fillId="4" borderId="2" xfId="3606" applyNumberFormat="1" applyFill="1" applyBorder="1"/>
    <xf numFmtId="4" fontId="19" fillId="4" borderId="2" xfId="3606" applyNumberFormat="1" applyFill="1" applyBorder="1"/>
    <xf numFmtId="9" fontId="19" fillId="4" borderId="2" xfId="3607" applyNumberFormat="1" applyFill="1" applyBorder="1"/>
    <xf numFmtId="4" fontId="19" fillId="4" borderId="2" xfId="3607" applyNumberFormat="1" applyFill="1" applyBorder="1"/>
    <xf numFmtId="9" fontId="0" fillId="4" borderId="2" xfId="0" applyNumberFormat="1" applyFill="1" applyBorder="1"/>
    <xf numFmtId="4" fontId="0" fillId="4" borderId="2" xfId="0" applyNumberFormat="1" applyFill="1" applyBorder="1"/>
    <xf numFmtId="0" fontId="0" fillId="0" borderId="0" xfId="0" applyAlignment="1">
      <alignment horizontal="center"/>
    </xf>
    <xf numFmtId="9" fontId="0" fillId="4" borderId="2" xfId="0" applyNumberFormat="1" applyFill="1" applyBorder="1" applyAlignment="1">
      <alignment vertical="top"/>
    </xf>
    <xf numFmtId="4" fontId="0" fillId="4" borderId="2" xfId="0" applyNumberFormat="1" applyFill="1" applyBorder="1" applyAlignment="1">
      <alignment vertical="top"/>
    </xf>
    <xf numFmtId="0" fontId="21" fillId="0" borderId="0" xfId="0" applyFont="1"/>
    <xf numFmtId="169" fontId="21" fillId="0" borderId="0" xfId="0" applyNumberFormat="1" applyFont="1"/>
    <xf numFmtId="168" fontId="21" fillId="0" borderId="0" xfId="0" applyNumberFormat="1" applyFont="1"/>
    <xf numFmtId="3" fontId="21" fillId="0" borderId="0" xfId="0" applyNumberFormat="1" applyFont="1"/>
    <xf numFmtId="0" fontId="22" fillId="0" borderId="0" xfId="3608" applyFont="1"/>
    <xf numFmtId="0" fontId="0" fillId="28" borderId="5" xfId="0" applyFill="1" applyBorder="1"/>
    <xf numFmtId="169" fontId="0" fillId="28" borderId="5" xfId="0" applyNumberFormat="1" applyFill="1" applyBorder="1"/>
    <xf numFmtId="168" fontId="0" fillId="28" borderId="5" xfId="0" applyNumberFormat="1" applyFill="1" applyBorder="1"/>
    <xf numFmtId="3" fontId="0" fillId="28" borderId="5" xfId="0" applyNumberFormat="1" applyFill="1" applyBorder="1"/>
    <xf numFmtId="0" fontId="20" fillId="28" borderId="5" xfId="3608" applyFill="1" applyBorder="1"/>
    <xf numFmtId="0" fontId="0" fillId="28" borderId="6" xfId="0" applyFill="1" applyBorder="1"/>
    <xf numFmtId="0" fontId="0" fillId="28" borderId="8" xfId="0" applyFill="1" applyBorder="1"/>
    <xf numFmtId="0" fontId="0" fillId="28" borderId="9" xfId="0" applyFill="1" applyBorder="1"/>
    <xf numFmtId="169" fontId="0" fillId="28" borderId="9" xfId="0" applyNumberFormat="1" applyFill="1" applyBorder="1"/>
    <xf numFmtId="168" fontId="0" fillId="28" borderId="9" xfId="0" applyNumberFormat="1" applyFill="1" applyBorder="1"/>
    <xf numFmtId="3" fontId="0" fillId="28" borderId="9" xfId="0" applyNumberFormat="1" applyFill="1" applyBorder="1"/>
    <xf numFmtId="0" fontId="20" fillId="28" borderId="9" xfId="3608" applyFill="1" applyBorder="1"/>
    <xf numFmtId="0" fontId="0" fillId="28" borderId="7" xfId="0" applyFill="1" applyBorder="1"/>
    <xf numFmtId="169" fontId="0" fillId="28" borderId="7" xfId="0" applyNumberFormat="1" applyFill="1" applyBorder="1"/>
    <xf numFmtId="168" fontId="0" fillId="28" borderId="7" xfId="0" applyNumberFormat="1" applyFill="1" applyBorder="1"/>
    <xf numFmtId="3" fontId="0" fillId="28" borderId="7" xfId="0" applyNumberFormat="1" applyFill="1" applyBorder="1"/>
    <xf numFmtId="0" fontId="20" fillId="28" borderId="7" xfId="3608" applyFill="1" applyBorder="1"/>
    <xf numFmtId="0" fontId="0" fillId="28" borderId="11" xfId="0" applyFill="1" applyBorder="1"/>
    <xf numFmtId="0" fontId="0" fillId="28" borderId="13" xfId="0" applyFill="1" applyBorder="1"/>
    <xf numFmtId="0" fontId="0" fillId="28" borderId="14" xfId="0" applyFill="1" applyBorder="1"/>
    <xf numFmtId="169" fontId="0" fillId="28" borderId="14" xfId="0" applyNumberFormat="1" applyFill="1" applyBorder="1"/>
    <xf numFmtId="168" fontId="0" fillId="28" borderId="14" xfId="0" applyNumberFormat="1" applyFill="1" applyBorder="1"/>
    <xf numFmtId="3" fontId="0" fillId="28" borderId="14" xfId="0" applyNumberFormat="1" applyFill="1" applyBorder="1"/>
    <xf numFmtId="0" fontId="20" fillId="28" borderId="14" xfId="3608" applyFill="1" applyBorder="1"/>
    <xf numFmtId="169" fontId="0" fillId="28" borderId="6" xfId="0" applyNumberFormat="1" applyFill="1" applyBorder="1"/>
    <xf numFmtId="169" fontId="0" fillId="28" borderId="8" xfId="0" applyNumberFormat="1" applyFill="1" applyBorder="1"/>
    <xf numFmtId="0" fontId="0" fillId="29" borderId="16" xfId="0" applyFill="1" applyBorder="1" applyAlignment="1">
      <alignment vertical="center"/>
    </xf>
    <xf numFmtId="169" fontId="0" fillId="29" borderId="16" xfId="0" applyNumberFormat="1" applyFill="1" applyBorder="1" applyAlignment="1">
      <alignment vertical="center"/>
    </xf>
    <xf numFmtId="168" fontId="0" fillId="29" borderId="16" xfId="0" applyNumberFormat="1" applyFill="1" applyBorder="1" applyAlignment="1">
      <alignment vertical="center"/>
    </xf>
    <xf numFmtId="0" fontId="0" fillId="29" borderId="18" xfId="0" applyFill="1" applyBorder="1" applyAlignment="1">
      <alignment vertical="center"/>
    </xf>
    <xf numFmtId="0" fontId="0" fillId="29" borderId="17" xfId="0" applyFill="1" applyBorder="1" applyAlignment="1">
      <alignment horizontal="center" vertical="center" wrapText="1"/>
    </xf>
    <xf numFmtId="169" fontId="0" fillId="29" borderId="17" xfId="0" applyNumberFormat="1" applyFill="1" applyBorder="1" applyAlignment="1">
      <alignment horizontal="center" vertical="center" wrapText="1"/>
    </xf>
    <xf numFmtId="169" fontId="12" fillId="28" borderId="14" xfId="3608" applyNumberFormat="1" applyFont="1" applyFill="1" applyBorder="1"/>
    <xf numFmtId="169" fontId="20" fillId="28" borderId="14" xfId="3608" applyNumberFormat="1" applyFill="1" applyBorder="1"/>
    <xf numFmtId="169" fontId="20" fillId="28" borderId="9" xfId="3608" applyNumberFormat="1" applyFill="1" applyBorder="1"/>
    <xf numFmtId="169" fontId="22" fillId="0" borderId="0" xfId="3608" applyNumberFormat="1" applyFont="1"/>
    <xf numFmtId="169" fontId="20" fillId="28" borderId="5" xfId="3608" applyNumberFormat="1" applyFill="1" applyBorder="1"/>
    <xf numFmtId="169" fontId="20" fillId="28" borderId="7" xfId="3608" applyNumberFormat="1" applyFill="1" applyBorder="1"/>
    <xf numFmtId="169" fontId="12" fillId="28" borderId="7" xfId="3608" applyNumberFormat="1" applyFont="1" applyFill="1" applyBorder="1"/>
    <xf numFmtId="169" fontId="12" fillId="28" borderId="5" xfId="3608" applyNumberFormat="1" applyFont="1" applyFill="1" applyBorder="1"/>
    <xf numFmtId="168" fontId="0" fillId="29" borderId="17" xfId="0" applyNumberFormat="1" applyFill="1" applyBorder="1" applyAlignment="1">
      <alignment horizontal="center" vertical="center" wrapText="1"/>
    </xf>
    <xf numFmtId="168" fontId="22" fillId="0" borderId="0" xfId="3608" applyNumberFormat="1" applyFont="1"/>
    <xf numFmtId="3" fontId="0" fillId="29" borderId="17" xfId="0" applyNumberFormat="1" applyFill="1" applyBorder="1" applyAlignment="1">
      <alignment horizontal="center" vertical="center" wrapText="1"/>
    </xf>
    <xf numFmtId="3" fontId="20" fillId="28" borderId="14" xfId="3608" applyNumberFormat="1" applyFill="1" applyBorder="1"/>
    <xf numFmtId="3" fontId="20" fillId="28" borderId="9" xfId="3608" applyNumberFormat="1" applyFill="1" applyBorder="1"/>
    <xf numFmtId="3" fontId="20" fillId="28" borderId="5" xfId="3608" applyNumberFormat="1" applyFill="1" applyBorder="1"/>
    <xf numFmtId="3" fontId="20" fillId="28" borderId="7" xfId="3608" applyNumberFormat="1" applyFill="1" applyBorder="1"/>
    <xf numFmtId="168" fontId="0" fillId="29" borderId="19" xfId="0" applyNumberFormat="1" applyFill="1" applyBorder="1" applyAlignment="1">
      <alignment horizontal="center" vertical="center" wrapText="1"/>
    </xf>
    <xf numFmtId="168" fontId="0" fillId="28" borderId="15" xfId="0" applyNumberFormat="1" applyFill="1" applyBorder="1"/>
    <xf numFmtId="168" fontId="0" fillId="28" borderId="10" xfId="0" applyNumberFormat="1" applyFill="1" applyBorder="1"/>
    <xf numFmtId="168" fontId="0" fillId="28" borderId="3" xfId="0" applyNumberFormat="1" applyFill="1" applyBorder="1"/>
    <xf numFmtId="168" fontId="0" fillId="28" borderId="12" xfId="0" applyNumberFormat="1" applyFill="1" applyBorder="1"/>
    <xf numFmtId="169" fontId="0" fillId="29" borderId="20" xfId="0" applyNumberFormat="1" applyFill="1" applyBorder="1" applyAlignment="1">
      <alignment horizontal="center" vertical="center" wrapText="1"/>
    </xf>
    <xf numFmtId="168" fontId="0" fillId="29" borderId="20" xfId="0" applyNumberFormat="1" applyFill="1" applyBorder="1" applyAlignment="1">
      <alignment horizontal="center" vertical="center" wrapText="1"/>
    </xf>
    <xf numFmtId="0" fontId="14" fillId="30" borderId="2" xfId="0" applyFont="1" applyFill="1" applyBorder="1" applyAlignment="1">
      <alignment horizontal="center"/>
    </xf>
    <xf numFmtId="3" fontId="23" fillId="4" borderId="7" xfId="3608" applyNumberFormat="1" applyFont="1" applyFill="1" applyBorder="1"/>
    <xf numFmtId="168" fontId="11" fillId="0" borderId="0" xfId="0" applyNumberFormat="1" applyFont="1"/>
    <xf numFmtId="173" fontId="0" fillId="4" borderId="2" xfId="0" applyNumberFormat="1" applyFill="1" applyBorder="1" applyAlignment="1">
      <alignment vertical="top"/>
    </xf>
    <xf numFmtId="173" fontId="0" fillId="31" borderId="2" xfId="0" applyNumberFormat="1" applyFill="1" applyBorder="1" applyAlignment="1">
      <alignment vertical="top"/>
    </xf>
    <xf numFmtId="175" fontId="11" fillId="0" borderId="0" xfId="0" applyNumberFormat="1" applyFont="1"/>
    <xf numFmtId="0" fontId="11" fillId="0" borderId="0" xfId="0" applyFont="1"/>
    <xf numFmtId="0" fontId="24" fillId="0" borderId="0" xfId="0" applyFont="1" applyFill="1" applyAlignment="1">
      <alignment horizontal="right"/>
    </xf>
    <xf numFmtId="14" fontId="0" fillId="0" borderId="0" xfId="0" applyNumberFormat="1"/>
    <xf numFmtId="173" fontId="0" fillId="4" borderId="2" xfId="0" applyNumberFormat="1" applyFill="1" applyBorder="1"/>
    <xf numFmtId="168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16" fillId="3" borderId="2" xfId="0" applyFont="1" applyFill="1" applyBorder="1" applyAlignment="1">
      <alignment horizontal="center" vertical="center"/>
    </xf>
  </cellXfs>
  <cellStyles count="3609">
    <cellStyle name="20% - Акцент1" xfId="1"/>
    <cellStyle name="20% - Акцент1 10" xfId="2"/>
    <cellStyle name="20% — акцент1 10" xfId="3"/>
    <cellStyle name="20% - Акцент1 10_лента" xfId="4"/>
    <cellStyle name="20% — акцент1 10_лента" xfId="5"/>
    <cellStyle name="20% - Акцент1 10_НОРИИ_НК_цены +" xfId="6"/>
    <cellStyle name="20% — акцент1 10_НОРИИ_НК_цены +" xfId="7"/>
    <cellStyle name="20% - Акцент1 10_обрезинка_барабана" xfId="8"/>
    <cellStyle name="20% — акцент1 10_обрезинка_барабана" xfId="9"/>
    <cellStyle name="20% - Акцент1 11" xfId="10"/>
    <cellStyle name="20% — акцент1 11" xfId="11"/>
    <cellStyle name="20% - Акцент1 11_лента" xfId="12"/>
    <cellStyle name="20% — акцент1 11_лента" xfId="13"/>
    <cellStyle name="20% - Акцент1 11_НОРИИ_НК_цены +" xfId="14"/>
    <cellStyle name="20% — акцент1 11_НОРИИ_НК_цены +" xfId="15"/>
    <cellStyle name="20% - Акцент1 11_обрезинка_барабана" xfId="16"/>
    <cellStyle name="20% — акцент1 11_обрезинка_барабана" xfId="17"/>
    <cellStyle name="20% - Акцент1 12" xfId="18"/>
    <cellStyle name="20% — акцент1 12" xfId="19"/>
    <cellStyle name="20% - Акцент1 12_лента" xfId="20"/>
    <cellStyle name="20% — акцент1 12_лента" xfId="21"/>
    <cellStyle name="20% - Акцент1 12_НОРИИ_НК_цены +" xfId="22"/>
    <cellStyle name="20% — акцент1 12_НОРИИ_НК_цены +" xfId="23"/>
    <cellStyle name="20% - Акцент1 12_обрезинка_барабана" xfId="24"/>
    <cellStyle name="20% — акцент1 12_обрезинка_барабана" xfId="25"/>
    <cellStyle name="20% - Акцент1 13" xfId="26"/>
    <cellStyle name="20% — акцент1 13" xfId="27"/>
    <cellStyle name="20% - Акцент1 13_лента" xfId="28"/>
    <cellStyle name="20% — акцент1 13_лента" xfId="29"/>
    <cellStyle name="20% - Акцент1 13_НОРИИ_НК_цены +" xfId="30"/>
    <cellStyle name="20% — акцент1 13_НОРИИ_НК_цены +" xfId="31"/>
    <cellStyle name="20% - Акцент1 13_обрезинка_барабана" xfId="32"/>
    <cellStyle name="20% — акцент1 13_обрезинка_барабана" xfId="33"/>
    <cellStyle name="20% - Акцент1 14" xfId="34"/>
    <cellStyle name="20% — акцент1 14" xfId="35"/>
    <cellStyle name="20% - Акцент1 14_лента" xfId="36"/>
    <cellStyle name="20% — акцент1 14_лента" xfId="37"/>
    <cellStyle name="20% - Акцент1 14_НОРИИ_НК_цены +" xfId="38"/>
    <cellStyle name="20% — акцент1 14_НОРИИ_НК_цены +" xfId="39"/>
    <cellStyle name="20% - Акцент1 14_обрезинка_барабана" xfId="40"/>
    <cellStyle name="20% — акцент1 14_обрезинка_барабана" xfId="41"/>
    <cellStyle name="20% - Акцент1 15" xfId="42"/>
    <cellStyle name="20% — акцент1 15" xfId="43"/>
    <cellStyle name="20% - Акцент1 15_лента" xfId="44"/>
    <cellStyle name="20% — акцент1 15_лента" xfId="45"/>
    <cellStyle name="20% - Акцент1 15_НОРИИ_НК_цены +" xfId="46"/>
    <cellStyle name="20% — акцент1 15_НОРИИ_НК_цены +" xfId="47"/>
    <cellStyle name="20% - Акцент1 15_обрезинка_барабана" xfId="48"/>
    <cellStyle name="20% — акцент1 15_обрезинка_барабана" xfId="49"/>
    <cellStyle name="20% - Акцент1 16" xfId="50"/>
    <cellStyle name="20% — акцент1 16" xfId="51"/>
    <cellStyle name="20% - Акцент1 16_лента" xfId="52"/>
    <cellStyle name="20% — акцент1 16_лента" xfId="53"/>
    <cellStyle name="20% - Акцент1 16_НОРИИ_НК_цены +" xfId="54"/>
    <cellStyle name="20% — акцент1 16_НОРИИ_НК_цены +" xfId="55"/>
    <cellStyle name="20% - Акцент1 17" xfId="56"/>
    <cellStyle name="20% — акцент1 17" xfId="57"/>
    <cellStyle name="20% - Акцент1 17_лента" xfId="58"/>
    <cellStyle name="20% — акцент1 17_лента" xfId="59"/>
    <cellStyle name="20% - Акцент1 17_НОРИИ_НК_цены +" xfId="60"/>
    <cellStyle name="20% — акцент1 17_НОРИИ_НК_цены +" xfId="61"/>
    <cellStyle name="20% - Акцент1 18" xfId="62"/>
    <cellStyle name="20% — акцент1 18" xfId="63"/>
    <cellStyle name="20% - Акцент1 18_лента" xfId="64"/>
    <cellStyle name="20% — акцент1 18_лента" xfId="65"/>
    <cellStyle name="20% - Акцент1 18_НОРИИ_НК_цены +" xfId="66"/>
    <cellStyle name="20% — акцент1 18_НОРИИ_НК_цены +" xfId="67"/>
    <cellStyle name="20% - Акцент1 19" xfId="68"/>
    <cellStyle name="20% — акцент1 19" xfId="69"/>
    <cellStyle name="20% - Акцент1 19_лента" xfId="70"/>
    <cellStyle name="20% — акцент1 19_лента" xfId="71"/>
    <cellStyle name="20% - Акцент1 19_НОРИИ_НК_цены +" xfId="72"/>
    <cellStyle name="20% — акцент1 19_НОРИИ_НК_цены +" xfId="73"/>
    <cellStyle name="20% - Акцент1 2" xfId="74"/>
    <cellStyle name="20% — акцент1 2" xfId="75"/>
    <cellStyle name="20% - Акцент1 2_лента" xfId="76"/>
    <cellStyle name="20% — акцент1 2_лента" xfId="77"/>
    <cellStyle name="20% - Акцент1 2_НОРИИ_НК_цены +" xfId="78"/>
    <cellStyle name="20% — акцент1 2_НОРИИ_НК_цены +" xfId="79"/>
    <cellStyle name="20% - Акцент1 20" xfId="80"/>
    <cellStyle name="20% — акцент1 20" xfId="81"/>
    <cellStyle name="20% - Акцент1 20_лента" xfId="82"/>
    <cellStyle name="20% — акцент1 20_лента" xfId="83"/>
    <cellStyle name="20% - Акцент1 20_НОРИИ_НК_цены +" xfId="84"/>
    <cellStyle name="20% — акцент1 20_НОРИИ_НК_цены +" xfId="85"/>
    <cellStyle name="20% - Акцент1 21" xfId="86"/>
    <cellStyle name="20% — акцент1 21" xfId="87"/>
    <cellStyle name="20% - Акцент1 21_лента" xfId="88"/>
    <cellStyle name="20% — акцент1 21_лента" xfId="89"/>
    <cellStyle name="20% - Акцент1 21_НОРИИ_НК_цены +" xfId="90"/>
    <cellStyle name="20% — акцент1 21_НОРИИ_НК_цены +" xfId="91"/>
    <cellStyle name="20% - Акцент1 22" xfId="92"/>
    <cellStyle name="20% — акцент1 22" xfId="93"/>
    <cellStyle name="20% - Акцент1 22_лента" xfId="94"/>
    <cellStyle name="20% — акцент1 22_лента" xfId="95"/>
    <cellStyle name="20% - Акцент1 22_НОРИИ_НК_цены +" xfId="96"/>
    <cellStyle name="20% — акцент1 22_НОРИИ_НК_цены +" xfId="97"/>
    <cellStyle name="20% - Акцент1 23" xfId="98"/>
    <cellStyle name="20% — акцент1 23" xfId="99"/>
    <cellStyle name="20% - Акцент1 23_лента" xfId="100"/>
    <cellStyle name="20% — акцент1 23_лента" xfId="101"/>
    <cellStyle name="20% - Акцент1 23_НОРИИ_НК_цены +" xfId="102"/>
    <cellStyle name="20% — акцент1 23_НОРИИ_НК_цены +" xfId="103"/>
    <cellStyle name="20% - Акцент1 24" xfId="104"/>
    <cellStyle name="20% — акцент1 24" xfId="105"/>
    <cellStyle name="20% - Акцент1 24_лента" xfId="106"/>
    <cellStyle name="20% — акцент1 24_лента" xfId="107"/>
    <cellStyle name="20% - Акцент1 24_НОРИИ_НК_цены +" xfId="108"/>
    <cellStyle name="20% — акцент1 24_НОРИИ_НК_цены +" xfId="109"/>
    <cellStyle name="20% - Акцент1 25" xfId="110"/>
    <cellStyle name="20% — акцент1 25" xfId="111"/>
    <cellStyle name="20% - Акцент1 25_лента" xfId="112"/>
    <cellStyle name="20% — акцент1 25_лента" xfId="113"/>
    <cellStyle name="20% - Акцент1 25_НОРИИ_НК_цены +" xfId="114"/>
    <cellStyle name="20% — акцент1 25_НОРИИ_НК_цены +" xfId="115"/>
    <cellStyle name="20% - Акцент1 26" xfId="116"/>
    <cellStyle name="20% — акцент1 26" xfId="117"/>
    <cellStyle name="20% - Акцент1 26_лента" xfId="118"/>
    <cellStyle name="20% — акцент1 26_лента" xfId="119"/>
    <cellStyle name="20% - Акцент1 26_НОРИИ_НК_цены +" xfId="120"/>
    <cellStyle name="20% — акцент1 26_НОРИИ_НК_цены +" xfId="121"/>
    <cellStyle name="20% - Акцент1 27" xfId="122"/>
    <cellStyle name="20% — акцент1 27" xfId="123"/>
    <cellStyle name="20% - Акцент1 27_лента" xfId="124"/>
    <cellStyle name="20% — акцент1 27_лента" xfId="125"/>
    <cellStyle name="20% - Акцент1 27_НОРИИ_НК_цены +" xfId="126"/>
    <cellStyle name="20% — акцент1 27_НОРИИ_НК_цены +" xfId="127"/>
    <cellStyle name="20% - Акцент1 28" xfId="128"/>
    <cellStyle name="20% — акцент1 28" xfId="129"/>
    <cellStyle name="20% - Акцент1 28_лента" xfId="130"/>
    <cellStyle name="20% — акцент1 28_лента" xfId="131"/>
    <cellStyle name="20% - Акцент1 28_НОРИИ_НК_цены +" xfId="132"/>
    <cellStyle name="20% — акцент1 28_НОРИИ_НК_цены +" xfId="133"/>
    <cellStyle name="20% - Акцент1 29" xfId="134"/>
    <cellStyle name="20% — акцент1 29" xfId="135"/>
    <cellStyle name="20% - Акцент1 29_лента" xfId="136"/>
    <cellStyle name="20% — акцент1 29_лента" xfId="137"/>
    <cellStyle name="20% - Акцент1 29_НОРИИ_НК_цены +" xfId="138"/>
    <cellStyle name="20% — акцент1 29_НОРИИ_НК_цены +" xfId="139"/>
    <cellStyle name="20% - Акцент1 3" xfId="140"/>
    <cellStyle name="20% — акцент1 3" xfId="141"/>
    <cellStyle name="20% - Акцент1 3_лента" xfId="142"/>
    <cellStyle name="20% — акцент1 3_лента" xfId="143"/>
    <cellStyle name="20% - Акцент1 3_НОРИИ_НК_цены +" xfId="144"/>
    <cellStyle name="20% — акцент1 3_НОРИИ_НК_цены +" xfId="145"/>
    <cellStyle name="20% - Акцент1 30" xfId="146"/>
    <cellStyle name="20% — акцент1 30" xfId="147"/>
    <cellStyle name="20% - Акцент1 30_лента" xfId="148"/>
    <cellStyle name="20% — акцент1 30_лента" xfId="149"/>
    <cellStyle name="20% - Акцент1 30_НОРИИ_НК_цены +" xfId="150"/>
    <cellStyle name="20% — акцент1 30_НОРИИ_НК_цены +" xfId="151"/>
    <cellStyle name="20% - Акцент1 31" xfId="152"/>
    <cellStyle name="20% — акцент1 31" xfId="153"/>
    <cellStyle name="20% - Акцент1 31_лента" xfId="154"/>
    <cellStyle name="20% — акцент1 31_лента" xfId="155"/>
    <cellStyle name="20% - Акцент1 31_НОРИИ_НК_цены +" xfId="156"/>
    <cellStyle name="20% — акцент1 31_НОРИИ_НК_цены +" xfId="157"/>
    <cellStyle name="20% - Акцент1 32" xfId="158"/>
    <cellStyle name="20% — акцент1 32" xfId="159"/>
    <cellStyle name="20% - Акцент1 32_лента" xfId="160"/>
    <cellStyle name="20% — акцент1 32_лента" xfId="161"/>
    <cellStyle name="20% - Акцент1 32_НОРИИ_НК_цены +" xfId="162"/>
    <cellStyle name="20% — акцент1 32_НОРИИ_НК_цены +" xfId="163"/>
    <cellStyle name="20% - Акцент1 33" xfId="164"/>
    <cellStyle name="20% — акцент1 33" xfId="165"/>
    <cellStyle name="20% - Акцент1 33_лента" xfId="166"/>
    <cellStyle name="20% — акцент1 33_лента" xfId="167"/>
    <cellStyle name="20% - Акцент1 33_НОРИИ_НК_цены +" xfId="168"/>
    <cellStyle name="20% — акцент1 33_НОРИИ_НК_цены +" xfId="169"/>
    <cellStyle name="20% - Акцент1 34" xfId="170"/>
    <cellStyle name="20% — акцент1 34" xfId="171"/>
    <cellStyle name="20% - Акцент1 34_лента" xfId="172"/>
    <cellStyle name="20% — акцент1 34_лента" xfId="173"/>
    <cellStyle name="20% - Акцент1 34_НОРИИ_НК_цены +" xfId="174"/>
    <cellStyle name="20% — акцент1 34_НОРИИ_НК_цены +" xfId="175"/>
    <cellStyle name="20% - Акцент1 35" xfId="176"/>
    <cellStyle name="20% — акцент1 35" xfId="177"/>
    <cellStyle name="20% - Акцент1 35_лента" xfId="178"/>
    <cellStyle name="20% — акцент1 35_лента" xfId="179"/>
    <cellStyle name="20% - Акцент1 35_НОРИИ_НК_цены +" xfId="180"/>
    <cellStyle name="20% — акцент1 35_НОРИИ_НК_цены +" xfId="181"/>
    <cellStyle name="20% - Акцент1 36" xfId="182"/>
    <cellStyle name="20% — акцент1 36" xfId="183"/>
    <cellStyle name="20% - Акцент1 36_лента" xfId="184"/>
    <cellStyle name="20% — акцент1 36_лента" xfId="185"/>
    <cellStyle name="20% - Акцент1 36_НОРИИ_НК_цены +" xfId="186"/>
    <cellStyle name="20% — акцент1 36_НОРИИ_НК_цены +" xfId="187"/>
    <cellStyle name="20% - Акцент1 37" xfId="188"/>
    <cellStyle name="20% — акцент1 37" xfId="189"/>
    <cellStyle name="20% - Акцент1 37_лента" xfId="190"/>
    <cellStyle name="20% — акцент1 37_лента" xfId="191"/>
    <cellStyle name="20% - Акцент1 37_НОРИИ_НК_цены +" xfId="192"/>
    <cellStyle name="20% — акцент1 37_НОРИИ_НК_цены +" xfId="193"/>
    <cellStyle name="20% - Акцент1 38" xfId="194"/>
    <cellStyle name="20% — акцент1 38" xfId="195"/>
    <cellStyle name="20% - Акцент1 38_лента" xfId="196"/>
    <cellStyle name="20% — акцент1 38_лента" xfId="197"/>
    <cellStyle name="20% - Акцент1 38_НОРИИ_НК_цены +" xfId="198"/>
    <cellStyle name="20% — акцент1 38_НОРИИ_НК_цены +" xfId="199"/>
    <cellStyle name="20% - Акцент1 39" xfId="200"/>
    <cellStyle name="20% — акцент1 39" xfId="201"/>
    <cellStyle name="20% - Акцент1 39_лента" xfId="202"/>
    <cellStyle name="20% — акцент1 39_лента" xfId="203"/>
    <cellStyle name="20% - Акцент1 39_НОРИИ_НК_цены +" xfId="204"/>
    <cellStyle name="20% — акцент1 39_НОРИИ_НК_цены +" xfId="205"/>
    <cellStyle name="20% - Акцент1 4" xfId="206"/>
    <cellStyle name="20% — акцент1 4" xfId="207"/>
    <cellStyle name="20% - Акцент1 4_лента" xfId="208"/>
    <cellStyle name="20% — акцент1 4_лента" xfId="209"/>
    <cellStyle name="20% - Акцент1 4_НОРИИ_НК_цены +" xfId="210"/>
    <cellStyle name="20% — акцент1 4_НОРИИ_НК_цены +" xfId="211"/>
    <cellStyle name="20% - Акцент1 40" xfId="212"/>
    <cellStyle name="20% — акцент1 40" xfId="213"/>
    <cellStyle name="20% - Акцент1 40_лента" xfId="214"/>
    <cellStyle name="20% — акцент1 40_лента" xfId="215"/>
    <cellStyle name="20% - Акцент1 40_НОРИИ_НК_цены +" xfId="216"/>
    <cellStyle name="20% — акцент1 40_НОРИИ_НК_цены +" xfId="217"/>
    <cellStyle name="20% - Акцент1 41" xfId="218"/>
    <cellStyle name="20% — акцент1 41" xfId="219"/>
    <cellStyle name="20% - Акцент1 41_лента" xfId="220"/>
    <cellStyle name="20% — акцент1 41_лента" xfId="221"/>
    <cellStyle name="20% - Акцент1 41_НОРИИ_НК_цены +" xfId="222"/>
    <cellStyle name="20% — акцент1 41_НОРИИ_НК_цены +" xfId="223"/>
    <cellStyle name="20% - Акцент1 42" xfId="224"/>
    <cellStyle name="20% — акцент1 42" xfId="225"/>
    <cellStyle name="20% - Акцент1 42_лента" xfId="226"/>
    <cellStyle name="20% — акцент1 42_лента" xfId="227"/>
    <cellStyle name="20% - Акцент1 42_НОРИИ_НК_цены +" xfId="228"/>
    <cellStyle name="20% — акцент1 42_НОРИИ_НК_цены +" xfId="229"/>
    <cellStyle name="20% - Акцент1 43" xfId="230"/>
    <cellStyle name="20% — акцент1 43" xfId="231"/>
    <cellStyle name="20% - Акцент1 43_лента" xfId="232"/>
    <cellStyle name="20% — акцент1 43_лента" xfId="233"/>
    <cellStyle name="20% - Акцент1 43_НОРИИ_НК_цены +" xfId="234"/>
    <cellStyle name="20% — акцент1 43_НОРИИ_НК_цены +" xfId="235"/>
    <cellStyle name="20% - Акцент1 44" xfId="236"/>
    <cellStyle name="20% — акцент1 44" xfId="237"/>
    <cellStyle name="20% - Акцент1 44_лента" xfId="238"/>
    <cellStyle name="20% — акцент1 44_лента" xfId="239"/>
    <cellStyle name="20% - Акцент1 44_НОРИИ_НК_цены +" xfId="240"/>
    <cellStyle name="20% — акцент1 44_НОРИИ_НК_цены +" xfId="241"/>
    <cellStyle name="20% - Акцент1 45" xfId="242"/>
    <cellStyle name="20% — акцент1 45" xfId="243"/>
    <cellStyle name="20% - Акцент1 45_лента" xfId="244"/>
    <cellStyle name="20% — акцент1 45_лента" xfId="245"/>
    <cellStyle name="20% - Акцент1 45_НОРИИ_НК_цены +" xfId="246"/>
    <cellStyle name="20% — акцент1 45_НОРИИ_НК_цены +" xfId="247"/>
    <cellStyle name="20% - Акцент1 46" xfId="248"/>
    <cellStyle name="20% — акцент1 46" xfId="249"/>
    <cellStyle name="20% - Акцент1 46_лента" xfId="250"/>
    <cellStyle name="20% — акцент1 46_лента" xfId="251"/>
    <cellStyle name="20% - Акцент1 46_НОРИИ_НК_цены +" xfId="252"/>
    <cellStyle name="20% — акцент1 46_НОРИИ_НК_цены +" xfId="253"/>
    <cellStyle name="20% - Акцент1 47" xfId="254"/>
    <cellStyle name="20% — акцент1 47" xfId="255"/>
    <cellStyle name="20% - Акцент1 47_лента" xfId="256"/>
    <cellStyle name="20% — акцент1 47_лента" xfId="257"/>
    <cellStyle name="20% - Акцент1 48" xfId="258"/>
    <cellStyle name="20% — акцент1 48" xfId="259"/>
    <cellStyle name="20% - Акцент1 48_лента" xfId="260"/>
    <cellStyle name="20% — акцент1 48_лента" xfId="261"/>
    <cellStyle name="20% - Акцент1 49" xfId="262"/>
    <cellStyle name="20% — акцент1 49" xfId="263"/>
    <cellStyle name="20% - Акцент1 49_лента" xfId="264"/>
    <cellStyle name="20% — акцент1 49_лента" xfId="265"/>
    <cellStyle name="20% - Акцент1 5" xfId="266"/>
    <cellStyle name="20% — акцент1 5" xfId="267"/>
    <cellStyle name="20% - Акцент1 5_лента" xfId="268"/>
    <cellStyle name="20% — акцент1 5_лента" xfId="269"/>
    <cellStyle name="20% - Акцент1 50" xfId="270"/>
    <cellStyle name="20% — акцент1 50" xfId="271"/>
    <cellStyle name="20% - Акцент1 50_лента" xfId="272"/>
    <cellStyle name="20% — акцент1 50_лента" xfId="273"/>
    <cellStyle name="20% - Акцент1 51" xfId="274"/>
    <cellStyle name="20% — акцент1 51" xfId="275"/>
    <cellStyle name="20% - Акцент1 51_лента" xfId="276"/>
    <cellStyle name="20% — акцент1 51_лента" xfId="277"/>
    <cellStyle name="20% - Акцент1 52" xfId="278"/>
    <cellStyle name="20% — акцент1 52" xfId="279"/>
    <cellStyle name="20% - Акцент1 52_лента" xfId="280"/>
    <cellStyle name="20% — акцент1 52_лента" xfId="281"/>
    <cellStyle name="20% - Акцент1 53" xfId="282"/>
    <cellStyle name="20% — акцент1 53" xfId="283"/>
    <cellStyle name="20% - Акцент1 53_лента" xfId="284"/>
    <cellStyle name="20% — акцент1 53_лента" xfId="285"/>
    <cellStyle name="20% - Акцент1 54" xfId="286"/>
    <cellStyle name="20% — акцент1 54" xfId="287"/>
    <cellStyle name="20% - Акцент1 54_лента" xfId="288"/>
    <cellStyle name="20% — акцент1 54_лента" xfId="289"/>
    <cellStyle name="20% - Акцент1 55" xfId="290"/>
    <cellStyle name="20% — акцент1 55" xfId="291"/>
    <cellStyle name="20% - Акцент1 55_лента" xfId="292"/>
    <cellStyle name="20% — акцент1 55_лента" xfId="293"/>
    <cellStyle name="20% - Акцент1 56" xfId="294"/>
    <cellStyle name="20% — акцент1 56" xfId="295"/>
    <cellStyle name="20% - Акцент1 56_лента" xfId="296"/>
    <cellStyle name="20% — акцент1 56_лента" xfId="297"/>
    <cellStyle name="20% - Акцент1 57" xfId="298"/>
    <cellStyle name="20% — акцент1 57" xfId="299"/>
    <cellStyle name="20% - Акцент1 57_лента" xfId="300"/>
    <cellStyle name="20% - Акцент1 58" xfId="301"/>
    <cellStyle name="20% - Акцент1 59" xfId="302"/>
    <cellStyle name="20% - Акцент1 6" xfId="303"/>
    <cellStyle name="20% — акцент1 6" xfId="304"/>
    <cellStyle name="20% - Акцент1 6_лента" xfId="305"/>
    <cellStyle name="20% — акцент1 6_лента" xfId="306"/>
    <cellStyle name="20% - Акцент1 60" xfId="307"/>
    <cellStyle name="20% - Акцент1 61" xfId="308"/>
    <cellStyle name="20% - Акцент1 62" xfId="309"/>
    <cellStyle name="20% - Акцент1 63" xfId="310"/>
    <cellStyle name="20% - Акцент1 64" xfId="311"/>
    <cellStyle name="20% - Акцент1 65" xfId="312"/>
    <cellStyle name="20% - Акцент1 66" xfId="313"/>
    <cellStyle name="20% - Акцент1 67" xfId="314"/>
    <cellStyle name="20% - Акцент1 7" xfId="315"/>
    <cellStyle name="20% — акцент1 7" xfId="316"/>
    <cellStyle name="20% - Акцент1 7_лента" xfId="317"/>
    <cellStyle name="20% — акцент1 7_лента" xfId="318"/>
    <cellStyle name="20% - Акцент1 8" xfId="319"/>
    <cellStyle name="20% — акцент1 8" xfId="320"/>
    <cellStyle name="20% - Акцент1 8_лента" xfId="321"/>
    <cellStyle name="20% — акцент1 8_лента" xfId="322"/>
    <cellStyle name="20% - Акцент1 9" xfId="323"/>
    <cellStyle name="20% — акцент1 9" xfId="324"/>
    <cellStyle name="20% - Акцент1 9_лента" xfId="325"/>
    <cellStyle name="20% — акцент1 9_лента" xfId="326"/>
    <cellStyle name="20% - Акцент1_база" xfId="327"/>
    <cellStyle name="20% - Акцент2" xfId="328"/>
    <cellStyle name="20% - Акцент2 10" xfId="329"/>
    <cellStyle name="20% — акцент2 10" xfId="330"/>
    <cellStyle name="20% - Акцент2 10_лента" xfId="331"/>
    <cellStyle name="20% — акцент2 10_лента" xfId="332"/>
    <cellStyle name="20% - Акцент2 11" xfId="333"/>
    <cellStyle name="20% — акцент2 11" xfId="334"/>
    <cellStyle name="20% - Акцент2 11_лента" xfId="335"/>
    <cellStyle name="20% — акцент2 11_лента" xfId="336"/>
    <cellStyle name="20% - Акцент2 12" xfId="337"/>
    <cellStyle name="20% — акцент2 12" xfId="338"/>
    <cellStyle name="20% - Акцент2 12_лента" xfId="339"/>
    <cellStyle name="20% — акцент2 12_лента" xfId="340"/>
    <cellStyle name="20% - Акцент2 13" xfId="341"/>
    <cellStyle name="20% — акцент2 13" xfId="342"/>
    <cellStyle name="20% - Акцент2 13_лента" xfId="343"/>
    <cellStyle name="20% — акцент2 13_лента" xfId="344"/>
    <cellStyle name="20% - Акцент2 14" xfId="345"/>
    <cellStyle name="20% — акцент2 14" xfId="346"/>
    <cellStyle name="20% - Акцент2 14_лента" xfId="347"/>
    <cellStyle name="20% — акцент2 14_лента" xfId="348"/>
    <cellStyle name="20% - Акцент2 15" xfId="349"/>
    <cellStyle name="20% — акцент2 15" xfId="350"/>
    <cellStyle name="20% - Акцент2 15_лента" xfId="351"/>
    <cellStyle name="20% — акцент2 15_лента" xfId="352"/>
    <cellStyle name="20% - Акцент2 16" xfId="353"/>
    <cellStyle name="20% — акцент2 16" xfId="354"/>
    <cellStyle name="20% - Акцент2 16_лента" xfId="355"/>
    <cellStyle name="20% — акцент2 16_лента" xfId="356"/>
    <cellStyle name="20% - Акцент2 17" xfId="357"/>
    <cellStyle name="20% — акцент2 17" xfId="358"/>
    <cellStyle name="20% - Акцент2 17_лента" xfId="359"/>
    <cellStyle name="20% — акцент2 17_лента" xfId="360"/>
    <cellStyle name="20% - Акцент2 18" xfId="361"/>
    <cellStyle name="20% — акцент2 18" xfId="362"/>
    <cellStyle name="20% - Акцент2 18_лента" xfId="363"/>
    <cellStyle name="20% — акцент2 18_лента" xfId="364"/>
    <cellStyle name="20% - Акцент2 19" xfId="365"/>
    <cellStyle name="20% — акцент2 19" xfId="366"/>
    <cellStyle name="20% - Акцент2 19_лента" xfId="367"/>
    <cellStyle name="20% — акцент2 19_лента" xfId="368"/>
    <cellStyle name="20% - Акцент2 2" xfId="369"/>
    <cellStyle name="20% — акцент2 2" xfId="370"/>
    <cellStyle name="20% - Акцент2 2_лента" xfId="371"/>
    <cellStyle name="20% — акцент2 2_лента" xfId="372"/>
    <cellStyle name="20% - Акцент2 20" xfId="373"/>
    <cellStyle name="20% — акцент2 20" xfId="374"/>
    <cellStyle name="20% - Акцент2 20_лента" xfId="375"/>
    <cellStyle name="20% — акцент2 20_лента" xfId="376"/>
    <cellStyle name="20% - Акцент2 21" xfId="377"/>
    <cellStyle name="20% — акцент2 21" xfId="378"/>
    <cellStyle name="20% - Акцент2 21_лента" xfId="379"/>
    <cellStyle name="20% — акцент2 21_лента" xfId="380"/>
    <cellStyle name="20% - Акцент2 22" xfId="381"/>
    <cellStyle name="20% — акцент2 22" xfId="382"/>
    <cellStyle name="20% - Акцент2 22_лента" xfId="383"/>
    <cellStyle name="20% — акцент2 22_лента" xfId="384"/>
    <cellStyle name="20% - Акцент2 23" xfId="385"/>
    <cellStyle name="20% — акцент2 23" xfId="386"/>
    <cellStyle name="20% - Акцент2 23_лента" xfId="387"/>
    <cellStyle name="20% — акцент2 23_лента" xfId="388"/>
    <cellStyle name="20% - Акцент2 24" xfId="389"/>
    <cellStyle name="20% — акцент2 24" xfId="390"/>
    <cellStyle name="20% - Акцент2 24_лента" xfId="391"/>
    <cellStyle name="20% — акцент2 24_лента" xfId="392"/>
    <cellStyle name="20% - Акцент2 25" xfId="393"/>
    <cellStyle name="20% — акцент2 25" xfId="394"/>
    <cellStyle name="20% - Акцент2 25_лента" xfId="395"/>
    <cellStyle name="20% — акцент2 25_лента" xfId="396"/>
    <cellStyle name="20% - Акцент2 26" xfId="397"/>
    <cellStyle name="20% — акцент2 26" xfId="398"/>
    <cellStyle name="20% - Акцент2 26_лента" xfId="399"/>
    <cellStyle name="20% — акцент2 26_лента" xfId="400"/>
    <cellStyle name="20% - Акцент2 27" xfId="401"/>
    <cellStyle name="20% — акцент2 27" xfId="402"/>
    <cellStyle name="20% - Акцент2 27_лента" xfId="403"/>
    <cellStyle name="20% — акцент2 27_лента" xfId="404"/>
    <cellStyle name="20% - Акцент2 28" xfId="405"/>
    <cellStyle name="20% — акцент2 28" xfId="406"/>
    <cellStyle name="20% - Акцент2 28_лента" xfId="407"/>
    <cellStyle name="20% — акцент2 28_лента" xfId="408"/>
    <cellStyle name="20% - Акцент2 29" xfId="409"/>
    <cellStyle name="20% — акцент2 29" xfId="410"/>
    <cellStyle name="20% - Акцент2 29_лента" xfId="411"/>
    <cellStyle name="20% — акцент2 29_лента" xfId="412"/>
    <cellStyle name="20% - Акцент2 3" xfId="413"/>
    <cellStyle name="20% — акцент2 3" xfId="414"/>
    <cellStyle name="20% - Акцент2 3_лента" xfId="415"/>
    <cellStyle name="20% — акцент2 3_лента" xfId="416"/>
    <cellStyle name="20% - Акцент2 30" xfId="417"/>
    <cellStyle name="20% — акцент2 30" xfId="418"/>
    <cellStyle name="20% - Акцент2 30_лента" xfId="419"/>
    <cellStyle name="20% — акцент2 30_лента" xfId="420"/>
    <cellStyle name="20% - Акцент2 31" xfId="421"/>
    <cellStyle name="20% — акцент2 31" xfId="422"/>
    <cellStyle name="20% - Акцент2 31_лента" xfId="423"/>
    <cellStyle name="20% — акцент2 31_лента" xfId="424"/>
    <cellStyle name="20% - Акцент2 32" xfId="425"/>
    <cellStyle name="20% — акцент2 32" xfId="426"/>
    <cellStyle name="20% - Акцент2 32_лента" xfId="427"/>
    <cellStyle name="20% — акцент2 32_лента" xfId="428"/>
    <cellStyle name="20% - Акцент2 33" xfId="429"/>
    <cellStyle name="20% — акцент2 33" xfId="430"/>
    <cellStyle name="20% - Акцент2 33_лента" xfId="431"/>
    <cellStyle name="20% — акцент2 33_лента" xfId="432"/>
    <cellStyle name="20% - Акцент2 34" xfId="433"/>
    <cellStyle name="20% — акцент2 34" xfId="434"/>
    <cellStyle name="20% - Акцент2 34_лента" xfId="435"/>
    <cellStyle name="20% — акцент2 34_лента" xfId="436"/>
    <cellStyle name="20% - Акцент2 35" xfId="437"/>
    <cellStyle name="20% — акцент2 35" xfId="438"/>
    <cellStyle name="20% - Акцент2 35_лента" xfId="439"/>
    <cellStyle name="20% — акцент2 35_лента" xfId="440"/>
    <cellStyle name="20% - Акцент2 36" xfId="441"/>
    <cellStyle name="20% — акцент2 36" xfId="442"/>
    <cellStyle name="20% - Акцент2 36_лента" xfId="443"/>
    <cellStyle name="20% — акцент2 36_лента" xfId="444"/>
    <cellStyle name="20% - Акцент2 37" xfId="445"/>
    <cellStyle name="20% — акцент2 37" xfId="446"/>
    <cellStyle name="20% - Акцент2 37_лента" xfId="447"/>
    <cellStyle name="20% — акцент2 37_лента" xfId="448"/>
    <cellStyle name="20% - Акцент2 38" xfId="449"/>
    <cellStyle name="20% — акцент2 38" xfId="450"/>
    <cellStyle name="20% - Акцент2 38_лента" xfId="451"/>
    <cellStyle name="20% — акцент2 38_лента" xfId="452"/>
    <cellStyle name="20% - Акцент2 39" xfId="453"/>
    <cellStyle name="20% — акцент2 39" xfId="454"/>
    <cellStyle name="20% - Акцент2 39_лента" xfId="455"/>
    <cellStyle name="20% — акцент2 39_лента" xfId="456"/>
    <cellStyle name="20% - Акцент2 4" xfId="457"/>
    <cellStyle name="20% — акцент2 4" xfId="458"/>
    <cellStyle name="20% - Акцент2 4_лента" xfId="459"/>
    <cellStyle name="20% — акцент2 4_лента" xfId="460"/>
    <cellStyle name="20% - Акцент2 40" xfId="461"/>
    <cellStyle name="20% — акцент2 40" xfId="462"/>
    <cellStyle name="20% - Акцент2 40_лента" xfId="463"/>
    <cellStyle name="20% — акцент2 40_лента" xfId="464"/>
    <cellStyle name="20% - Акцент2 41" xfId="465"/>
    <cellStyle name="20% — акцент2 41" xfId="466"/>
    <cellStyle name="20% - Акцент2 41_лента" xfId="467"/>
    <cellStyle name="20% — акцент2 41_лента" xfId="468"/>
    <cellStyle name="20% - Акцент2 42" xfId="469"/>
    <cellStyle name="20% — акцент2 42" xfId="470"/>
    <cellStyle name="20% - Акцент2 42_лента" xfId="471"/>
    <cellStyle name="20% — акцент2 42_лента" xfId="472"/>
    <cellStyle name="20% - Акцент2 43" xfId="473"/>
    <cellStyle name="20% — акцент2 43" xfId="474"/>
    <cellStyle name="20% - Акцент2 43_лента" xfId="475"/>
    <cellStyle name="20% — акцент2 43_лента" xfId="476"/>
    <cellStyle name="20% - Акцент2 44" xfId="477"/>
    <cellStyle name="20% — акцент2 44" xfId="478"/>
    <cellStyle name="20% - Акцент2 44_лента" xfId="479"/>
    <cellStyle name="20% — акцент2 44_лента" xfId="480"/>
    <cellStyle name="20% - Акцент2 45" xfId="481"/>
    <cellStyle name="20% — акцент2 45" xfId="482"/>
    <cellStyle name="20% - Акцент2 45_лента" xfId="483"/>
    <cellStyle name="20% — акцент2 45_лента" xfId="484"/>
    <cellStyle name="20% - Акцент2 46" xfId="485"/>
    <cellStyle name="20% — акцент2 46" xfId="486"/>
    <cellStyle name="20% - Акцент2 46_лента" xfId="487"/>
    <cellStyle name="20% — акцент2 46_лента" xfId="488"/>
    <cellStyle name="20% - Акцент2 47" xfId="489"/>
    <cellStyle name="20% — акцент2 47" xfId="490"/>
    <cellStyle name="20% - Акцент2 47_лента" xfId="491"/>
    <cellStyle name="20% — акцент2 47_лента" xfId="492"/>
    <cellStyle name="20% - Акцент2 48" xfId="493"/>
    <cellStyle name="20% — акцент2 48" xfId="494"/>
    <cellStyle name="20% - Акцент2 48_лента" xfId="495"/>
    <cellStyle name="20% — акцент2 48_лента" xfId="496"/>
    <cellStyle name="20% - Акцент2 49" xfId="497"/>
    <cellStyle name="20% — акцент2 49" xfId="498"/>
    <cellStyle name="20% - Акцент2 49_лента" xfId="499"/>
    <cellStyle name="20% — акцент2 49_лента" xfId="500"/>
    <cellStyle name="20% - Акцент2 5" xfId="501"/>
    <cellStyle name="20% — акцент2 5" xfId="502"/>
    <cellStyle name="20% - Акцент2 5_лента" xfId="503"/>
    <cellStyle name="20% — акцент2 5_лента" xfId="504"/>
    <cellStyle name="20% - Акцент2 50" xfId="505"/>
    <cellStyle name="20% — акцент2 50" xfId="506"/>
    <cellStyle name="20% - Акцент2 50_лента" xfId="507"/>
    <cellStyle name="20% — акцент2 50_лента" xfId="508"/>
    <cellStyle name="20% - Акцент2 51" xfId="509"/>
    <cellStyle name="20% — акцент2 51" xfId="510"/>
    <cellStyle name="20% - Акцент2 51_лента" xfId="511"/>
    <cellStyle name="20% — акцент2 51_лента" xfId="512"/>
    <cellStyle name="20% - Акцент2 52" xfId="513"/>
    <cellStyle name="20% — акцент2 52" xfId="514"/>
    <cellStyle name="20% - Акцент2 52_лента" xfId="515"/>
    <cellStyle name="20% — акцент2 52_лента" xfId="516"/>
    <cellStyle name="20% - Акцент2 53" xfId="517"/>
    <cellStyle name="20% — акцент2 53" xfId="518"/>
    <cellStyle name="20% - Акцент2 53_лента" xfId="519"/>
    <cellStyle name="20% — акцент2 53_лента" xfId="520"/>
    <cellStyle name="20% - Акцент2 54" xfId="521"/>
    <cellStyle name="20% — акцент2 54" xfId="522"/>
    <cellStyle name="20% - Акцент2 54_лента" xfId="523"/>
    <cellStyle name="20% — акцент2 54_лента" xfId="524"/>
    <cellStyle name="20% - Акцент2 55" xfId="525"/>
    <cellStyle name="20% — акцент2 55" xfId="526"/>
    <cellStyle name="20% - Акцент2 55_лента" xfId="527"/>
    <cellStyle name="20% — акцент2 55_лента" xfId="528"/>
    <cellStyle name="20% - Акцент2 56" xfId="529"/>
    <cellStyle name="20% — акцент2 56" xfId="530"/>
    <cellStyle name="20% - Акцент2 56_лента" xfId="531"/>
    <cellStyle name="20% — акцент2 56_лента" xfId="532"/>
    <cellStyle name="20% - Акцент2 57" xfId="533"/>
    <cellStyle name="20% — акцент2 57" xfId="534"/>
    <cellStyle name="20% - Акцент2 57_лента" xfId="535"/>
    <cellStyle name="20% - Акцент2 58" xfId="536"/>
    <cellStyle name="20% - Акцент2 59" xfId="537"/>
    <cellStyle name="20% - Акцент2 6" xfId="538"/>
    <cellStyle name="20% — акцент2 6" xfId="539"/>
    <cellStyle name="20% - Акцент2 6_лента" xfId="540"/>
    <cellStyle name="20% — акцент2 6_лента" xfId="541"/>
    <cellStyle name="20% - Акцент2 60" xfId="542"/>
    <cellStyle name="20% - Акцент2 61" xfId="543"/>
    <cellStyle name="20% - Акцент2 62" xfId="544"/>
    <cellStyle name="20% - Акцент2 63" xfId="545"/>
    <cellStyle name="20% - Акцент2 64" xfId="546"/>
    <cellStyle name="20% - Акцент2 65" xfId="547"/>
    <cellStyle name="20% - Акцент2 66" xfId="548"/>
    <cellStyle name="20% - Акцент2 67" xfId="549"/>
    <cellStyle name="20% - Акцент2 7" xfId="550"/>
    <cellStyle name="20% — акцент2 7" xfId="551"/>
    <cellStyle name="20% - Акцент2 7_лента" xfId="552"/>
    <cellStyle name="20% — акцент2 7_лента" xfId="553"/>
    <cellStyle name="20% - Акцент2 8" xfId="554"/>
    <cellStyle name="20% — акцент2 8" xfId="555"/>
    <cellStyle name="20% - Акцент2 8_лента" xfId="556"/>
    <cellStyle name="20% — акцент2 8_лента" xfId="557"/>
    <cellStyle name="20% - Акцент2 9" xfId="558"/>
    <cellStyle name="20% — акцент2 9" xfId="559"/>
    <cellStyle name="20% - Акцент2 9_лента" xfId="560"/>
    <cellStyle name="20% — акцент2 9_лента" xfId="561"/>
    <cellStyle name="20% - Акцент2_база" xfId="562"/>
    <cellStyle name="20% - Акцент3" xfId="563"/>
    <cellStyle name="20% - Акцент3 10" xfId="564"/>
    <cellStyle name="20% — акцент3 10" xfId="565"/>
    <cellStyle name="20% - Акцент3 10_лента" xfId="566"/>
    <cellStyle name="20% — акцент3 10_лента" xfId="567"/>
    <cellStyle name="20% - Акцент3 11" xfId="568"/>
    <cellStyle name="20% — акцент3 11" xfId="569"/>
    <cellStyle name="20% - Акцент3 11_лента" xfId="570"/>
    <cellStyle name="20% — акцент3 11_лента" xfId="571"/>
    <cellStyle name="20% - Акцент3 12" xfId="572"/>
    <cellStyle name="20% — акцент3 12" xfId="573"/>
    <cellStyle name="20% - Акцент3 12_лента" xfId="574"/>
    <cellStyle name="20% — акцент3 12_лента" xfId="575"/>
    <cellStyle name="20% - Акцент3 13" xfId="576"/>
    <cellStyle name="20% — акцент3 13" xfId="577"/>
    <cellStyle name="20% - Акцент3 13_лента" xfId="578"/>
    <cellStyle name="20% — акцент3 13_лента" xfId="579"/>
    <cellStyle name="20% - Акцент3 14" xfId="580"/>
    <cellStyle name="20% — акцент3 14" xfId="581"/>
    <cellStyle name="20% - Акцент3 14_лента" xfId="582"/>
    <cellStyle name="20% — акцент3 14_лента" xfId="583"/>
    <cellStyle name="20% - Акцент3 15" xfId="584"/>
    <cellStyle name="20% — акцент3 15" xfId="585"/>
    <cellStyle name="20% - Акцент3 15_лента" xfId="586"/>
    <cellStyle name="20% — акцент3 15_лента" xfId="587"/>
    <cellStyle name="20% - Акцент3 16" xfId="588"/>
    <cellStyle name="20% — акцент3 16" xfId="589"/>
    <cellStyle name="20% - Акцент3 16_лента" xfId="590"/>
    <cellStyle name="20% — акцент3 16_лента" xfId="591"/>
    <cellStyle name="20% - Акцент3 17" xfId="592"/>
    <cellStyle name="20% — акцент3 17" xfId="593"/>
    <cellStyle name="20% - Акцент3 17_лента" xfId="594"/>
    <cellStyle name="20% — акцент3 17_лента" xfId="595"/>
    <cellStyle name="20% - Акцент3 18" xfId="596"/>
    <cellStyle name="20% — акцент3 18" xfId="597"/>
    <cellStyle name="20% - Акцент3 18_лента" xfId="598"/>
    <cellStyle name="20% — акцент3 18_лента" xfId="599"/>
    <cellStyle name="20% - Акцент3 19" xfId="600"/>
    <cellStyle name="20% — акцент3 19" xfId="601"/>
    <cellStyle name="20% - Акцент3 19_лента" xfId="602"/>
    <cellStyle name="20% — акцент3 19_лента" xfId="603"/>
    <cellStyle name="20% - Акцент3 2" xfId="604"/>
    <cellStyle name="20% — акцент3 2" xfId="605"/>
    <cellStyle name="20% - Акцент3 2_лента" xfId="606"/>
    <cellStyle name="20% — акцент3 2_лента" xfId="607"/>
    <cellStyle name="20% - Акцент3 20" xfId="608"/>
    <cellStyle name="20% — акцент3 20" xfId="609"/>
    <cellStyle name="20% - Акцент3 20_лента" xfId="610"/>
    <cellStyle name="20% — акцент3 20_лента" xfId="611"/>
    <cellStyle name="20% - Акцент3 21" xfId="612"/>
    <cellStyle name="20% — акцент3 21" xfId="613"/>
    <cellStyle name="20% - Акцент3 21_лента" xfId="614"/>
    <cellStyle name="20% — акцент3 21_лента" xfId="615"/>
    <cellStyle name="20% - Акцент3 22" xfId="616"/>
    <cellStyle name="20% — акцент3 22" xfId="617"/>
    <cellStyle name="20% - Акцент3 22_лента" xfId="618"/>
    <cellStyle name="20% — акцент3 22_лента" xfId="619"/>
    <cellStyle name="20% - Акцент3 23" xfId="620"/>
    <cellStyle name="20% — акцент3 23" xfId="621"/>
    <cellStyle name="20% - Акцент3 23_лента" xfId="622"/>
    <cellStyle name="20% — акцент3 23_лента" xfId="623"/>
    <cellStyle name="20% - Акцент3 24" xfId="624"/>
    <cellStyle name="20% — акцент3 24" xfId="625"/>
    <cellStyle name="20% - Акцент3 24_лента" xfId="626"/>
    <cellStyle name="20% — акцент3 24_лента" xfId="627"/>
    <cellStyle name="20% - Акцент3 25" xfId="628"/>
    <cellStyle name="20% — акцент3 25" xfId="629"/>
    <cellStyle name="20% - Акцент3 25_лента" xfId="630"/>
    <cellStyle name="20% — акцент3 25_лента" xfId="631"/>
    <cellStyle name="20% - Акцент3 26" xfId="632"/>
    <cellStyle name="20% — акцент3 26" xfId="633"/>
    <cellStyle name="20% - Акцент3 26_лента" xfId="634"/>
    <cellStyle name="20% — акцент3 26_лента" xfId="635"/>
    <cellStyle name="20% - Акцент3 27" xfId="636"/>
    <cellStyle name="20% — акцент3 27" xfId="637"/>
    <cellStyle name="20% - Акцент3 27_лента" xfId="638"/>
    <cellStyle name="20% — акцент3 27_лента" xfId="639"/>
    <cellStyle name="20% - Акцент3 28" xfId="640"/>
    <cellStyle name="20% — акцент3 28" xfId="641"/>
    <cellStyle name="20% - Акцент3 28_лента" xfId="642"/>
    <cellStyle name="20% — акцент3 28_лента" xfId="643"/>
    <cellStyle name="20% - Акцент3 29" xfId="644"/>
    <cellStyle name="20% — акцент3 29" xfId="645"/>
    <cellStyle name="20% - Акцент3 29_лента" xfId="646"/>
    <cellStyle name="20% — акцент3 29_лента" xfId="647"/>
    <cellStyle name="20% - Акцент3 3" xfId="648"/>
    <cellStyle name="20% — акцент3 3" xfId="649"/>
    <cellStyle name="20% - Акцент3 3_лента" xfId="650"/>
    <cellStyle name="20% — акцент3 3_лента" xfId="651"/>
    <cellStyle name="20% - Акцент3 30" xfId="652"/>
    <cellStyle name="20% — акцент3 30" xfId="653"/>
    <cellStyle name="20% - Акцент3 30_лента" xfId="654"/>
    <cellStyle name="20% — акцент3 30_лента" xfId="655"/>
    <cellStyle name="20% - Акцент3 31" xfId="656"/>
    <cellStyle name="20% — акцент3 31" xfId="657"/>
    <cellStyle name="20% - Акцент3 31_лента" xfId="658"/>
    <cellStyle name="20% — акцент3 31_лента" xfId="659"/>
    <cellStyle name="20% - Акцент3 32" xfId="660"/>
    <cellStyle name="20% — акцент3 32" xfId="661"/>
    <cellStyle name="20% - Акцент3 32_лента" xfId="662"/>
    <cellStyle name="20% — акцент3 32_лента" xfId="663"/>
    <cellStyle name="20% - Акцент3 33" xfId="664"/>
    <cellStyle name="20% — акцент3 33" xfId="665"/>
    <cellStyle name="20% - Акцент3 33_лента" xfId="666"/>
    <cellStyle name="20% — акцент3 33_лента" xfId="667"/>
    <cellStyle name="20% - Акцент3 34" xfId="668"/>
    <cellStyle name="20% — акцент3 34" xfId="669"/>
    <cellStyle name="20% - Акцент3 34_лента" xfId="670"/>
    <cellStyle name="20% — акцент3 34_лента" xfId="671"/>
    <cellStyle name="20% - Акцент3 35" xfId="672"/>
    <cellStyle name="20% — акцент3 35" xfId="673"/>
    <cellStyle name="20% - Акцент3 35_лента" xfId="674"/>
    <cellStyle name="20% — акцент3 35_лента" xfId="675"/>
    <cellStyle name="20% - Акцент3 36" xfId="676"/>
    <cellStyle name="20% — акцент3 36" xfId="677"/>
    <cellStyle name="20% - Акцент3 36_лента" xfId="678"/>
    <cellStyle name="20% — акцент3 36_лента" xfId="679"/>
    <cellStyle name="20% - Акцент3 37" xfId="680"/>
    <cellStyle name="20% — акцент3 37" xfId="681"/>
    <cellStyle name="20% - Акцент3 37_лента" xfId="682"/>
    <cellStyle name="20% — акцент3 37_лента" xfId="683"/>
    <cellStyle name="20% - Акцент3 38" xfId="684"/>
    <cellStyle name="20% — акцент3 38" xfId="685"/>
    <cellStyle name="20% - Акцент3 38_лента" xfId="686"/>
    <cellStyle name="20% — акцент3 38_лента" xfId="687"/>
    <cellStyle name="20% - Акцент3 39" xfId="688"/>
    <cellStyle name="20% — акцент3 39" xfId="689"/>
    <cellStyle name="20% - Акцент3 39_лента" xfId="690"/>
    <cellStyle name="20% — акцент3 39_лента" xfId="691"/>
    <cellStyle name="20% - Акцент3 4" xfId="692"/>
    <cellStyle name="20% — акцент3 4" xfId="693"/>
    <cellStyle name="20% - Акцент3 4_лента" xfId="694"/>
    <cellStyle name="20% — акцент3 4_лента" xfId="695"/>
    <cellStyle name="20% - Акцент3 40" xfId="696"/>
    <cellStyle name="20% — акцент3 40" xfId="697"/>
    <cellStyle name="20% - Акцент3 40_лента" xfId="698"/>
    <cellStyle name="20% — акцент3 40_лента" xfId="699"/>
    <cellStyle name="20% - Акцент3 41" xfId="700"/>
    <cellStyle name="20% — акцент3 41" xfId="701"/>
    <cellStyle name="20% - Акцент3 41_лента" xfId="702"/>
    <cellStyle name="20% — акцент3 41_лента" xfId="703"/>
    <cellStyle name="20% - Акцент3 42" xfId="704"/>
    <cellStyle name="20% — акцент3 42" xfId="705"/>
    <cellStyle name="20% - Акцент3 42_лента" xfId="706"/>
    <cellStyle name="20% — акцент3 42_лента" xfId="707"/>
    <cellStyle name="20% - Акцент3 43" xfId="708"/>
    <cellStyle name="20% — акцент3 43" xfId="709"/>
    <cellStyle name="20% - Акцент3 43_лента" xfId="710"/>
    <cellStyle name="20% — акцент3 43_лента" xfId="711"/>
    <cellStyle name="20% - Акцент3 44" xfId="712"/>
    <cellStyle name="20% — акцент3 44" xfId="713"/>
    <cellStyle name="20% - Акцент3 44_лента" xfId="714"/>
    <cellStyle name="20% — акцент3 44_лента" xfId="715"/>
    <cellStyle name="20% - Акцент3 45" xfId="716"/>
    <cellStyle name="20% — акцент3 45" xfId="717"/>
    <cellStyle name="20% - Акцент3 45_лента" xfId="718"/>
    <cellStyle name="20% — акцент3 45_лента" xfId="719"/>
    <cellStyle name="20% - Акцент3 46" xfId="720"/>
    <cellStyle name="20% — акцент3 46" xfId="721"/>
    <cellStyle name="20% - Акцент3 46_лента" xfId="722"/>
    <cellStyle name="20% — акцент3 46_лента" xfId="723"/>
    <cellStyle name="20% - Акцент3 47" xfId="724"/>
    <cellStyle name="20% — акцент3 47" xfId="725"/>
    <cellStyle name="20% - Акцент3 47_лента" xfId="726"/>
    <cellStyle name="20% — акцент3 47_лента" xfId="727"/>
    <cellStyle name="20% - Акцент3 48" xfId="728"/>
    <cellStyle name="20% — акцент3 48" xfId="729"/>
    <cellStyle name="20% - Акцент3 48_лента" xfId="730"/>
    <cellStyle name="20% — акцент3 48_лента" xfId="731"/>
    <cellStyle name="20% - Акцент3 49" xfId="732"/>
    <cellStyle name="20% — акцент3 49" xfId="733"/>
    <cellStyle name="20% - Акцент3 49_лента" xfId="734"/>
    <cellStyle name="20% — акцент3 49_лента" xfId="735"/>
    <cellStyle name="20% - Акцент3 5" xfId="736"/>
    <cellStyle name="20% — акцент3 5" xfId="737"/>
    <cellStyle name="20% - Акцент3 5_лента" xfId="738"/>
    <cellStyle name="20% — акцент3 5_лента" xfId="739"/>
    <cellStyle name="20% - Акцент3 50" xfId="740"/>
    <cellStyle name="20% — акцент3 50" xfId="741"/>
    <cellStyle name="20% - Акцент3 50_лента" xfId="742"/>
    <cellStyle name="20% — акцент3 50_лента" xfId="743"/>
    <cellStyle name="20% - Акцент3 51" xfId="744"/>
    <cellStyle name="20% — акцент3 51" xfId="745"/>
    <cellStyle name="20% - Акцент3 51_лента" xfId="746"/>
    <cellStyle name="20% — акцент3 51_лента" xfId="747"/>
    <cellStyle name="20% - Акцент3 52" xfId="748"/>
    <cellStyle name="20% — акцент3 52" xfId="749"/>
    <cellStyle name="20% - Акцент3 52_лента" xfId="750"/>
    <cellStyle name="20% — акцент3 52_лента" xfId="751"/>
    <cellStyle name="20% - Акцент3 53" xfId="752"/>
    <cellStyle name="20% — акцент3 53" xfId="753"/>
    <cellStyle name="20% - Акцент3 53_лента" xfId="754"/>
    <cellStyle name="20% — акцент3 53_лента" xfId="755"/>
    <cellStyle name="20% - Акцент3 54" xfId="756"/>
    <cellStyle name="20% — акцент3 54" xfId="757"/>
    <cellStyle name="20% - Акцент3 54_лента" xfId="758"/>
    <cellStyle name="20% — акцент3 54_лента" xfId="759"/>
    <cellStyle name="20% - Акцент3 55" xfId="760"/>
    <cellStyle name="20% — акцент3 55" xfId="761"/>
    <cellStyle name="20% - Акцент3 55_лента" xfId="762"/>
    <cellStyle name="20% — акцент3 55_лента" xfId="763"/>
    <cellStyle name="20% - Акцент3 56" xfId="764"/>
    <cellStyle name="20% — акцент3 56" xfId="765"/>
    <cellStyle name="20% - Акцент3 56_лента" xfId="766"/>
    <cellStyle name="20% — акцент3 56_лента" xfId="767"/>
    <cellStyle name="20% - Акцент3 57" xfId="768"/>
    <cellStyle name="20% — акцент3 57" xfId="769"/>
    <cellStyle name="20% - Акцент3 57_лента" xfId="770"/>
    <cellStyle name="20% - Акцент3 58" xfId="771"/>
    <cellStyle name="20% - Акцент3 59" xfId="772"/>
    <cellStyle name="20% - Акцент3 6" xfId="773"/>
    <cellStyle name="20% — акцент3 6" xfId="774"/>
    <cellStyle name="20% - Акцент3 6_лента" xfId="775"/>
    <cellStyle name="20% — акцент3 6_лента" xfId="776"/>
    <cellStyle name="20% - Акцент3 60" xfId="777"/>
    <cellStyle name="20% - Акцент3 61" xfId="778"/>
    <cellStyle name="20% - Акцент3 62" xfId="779"/>
    <cellStyle name="20% - Акцент3 63" xfId="780"/>
    <cellStyle name="20% - Акцент3 64" xfId="781"/>
    <cellStyle name="20% - Акцент3 65" xfId="782"/>
    <cellStyle name="20% - Акцент3 66" xfId="783"/>
    <cellStyle name="20% - Акцент3 67" xfId="784"/>
    <cellStyle name="20% - Акцент3 7" xfId="785"/>
    <cellStyle name="20% — акцент3 7" xfId="786"/>
    <cellStyle name="20% - Акцент3 7_лента" xfId="787"/>
    <cellStyle name="20% — акцент3 7_лента" xfId="788"/>
    <cellStyle name="20% - Акцент3 8" xfId="789"/>
    <cellStyle name="20% — акцент3 8" xfId="790"/>
    <cellStyle name="20% - Акцент3 8_лента" xfId="791"/>
    <cellStyle name="20% — акцент3 8_лента" xfId="792"/>
    <cellStyle name="20% - Акцент3 9" xfId="793"/>
    <cellStyle name="20% — акцент3 9" xfId="794"/>
    <cellStyle name="20% - Акцент3 9_лента" xfId="795"/>
    <cellStyle name="20% — акцент3 9_лента" xfId="796"/>
    <cellStyle name="20% - Акцент3_база" xfId="797"/>
    <cellStyle name="20% - Акцент4" xfId="798"/>
    <cellStyle name="20% - Акцент4 10" xfId="799"/>
    <cellStyle name="20% — акцент4 10" xfId="800"/>
    <cellStyle name="20% - Акцент4 10_лента" xfId="801"/>
    <cellStyle name="20% — акцент4 10_лента" xfId="802"/>
    <cellStyle name="20% - Акцент4 11" xfId="803"/>
    <cellStyle name="20% — акцент4 11" xfId="804"/>
    <cellStyle name="20% - Акцент4 11_лента" xfId="805"/>
    <cellStyle name="20% — акцент4 11_лента" xfId="806"/>
    <cellStyle name="20% - Акцент4 12" xfId="807"/>
    <cellStyle name="20% — акцент4 12" xfId="808"/>
    <cellStyle name="20% - Акцент4 12_лента" xfId="809"/>
    <cellStyle name="20% — акцент4 12_лента" xfId="810"/>
    <cellStyle name="20% - Акцент4 13" xfId="811"/>
    <cellStyle name="20% — акцент4 13" xfId="812"/>
    <cellStyle name="20% - Акцент4 13_лента" xfId="813"/>
    <cellStyle name="20% — акцент4 13_лента" xfId="814"/>
    <cellStyle name="20% - Акцент4 14" xfId="815"/>
    <cellStyle name="20% — акцент4 14" xfId="816"/>
    <cellStyle name="20% - Акцент4 14_лента" xfId="817"/>
    <cellStyle name="20% — акцент4 14_лента" xfId="818"/>
    <cellStyle name="20% - Акцент4 15" xfId="819"/>
    <cellStyle name="20% — акцент4 15" xfId="820"/>
    <cellStyle name="20% - Акцент4 15_лента" xfId="821"/>
    <cellStyle name="20% — акцент4 15_лента" xfId="822"/>
    <cellStyle name="20% - Акцент4 16" xfId="823"/>
    <cellStyle name="20% — акцент4 16" xfId="824"/>
    <cellStyle name="20% - Акцент4 16_лента" xfId="825"/>
    <cellStyle name="20% — акцент4 16_лента" xfId="826"/>
    <cellStyle name="20% - Акцент4 17" xfId="827"/>
    <cellStyle name="20% — акцент4 17" xfId="828"/>
    <cellStyle name="20% - Акцент4 17_лента" xfId="829"/>
    <cellStyle name="20% — акцент4 17_лента" xfId="830"/>
    <cellStyle name="20% - Акцент4 18" xfId="831"/>
    <cellStyle name="20% — акцент4 18" xfId="832"/>
    <cellStyle name="20% - Акцент4 18_лента" xfId="833"/>
    <cellStyle name="20% — акцент4 18_лента" xfId="834"/>
    <cellStyle name="20% - Акцент4 19" xfId="835"/>
    <cellStyle name="20% — акцент4 19" xfId="836"/>
    <cellStyle name="20% - Акцент4 19_лента" xfId="837"/>
    <cellStyle name="20% — акцент4 19_лента" xfId="838"/>
    <cellStyle name="20% - Акцент4 2" xfId="839"/>
    <cellStyle name="20% — акцент4 2" xfId="840"/>
    <cellStyle name="20% - Акцент4 2_лента" xfId="841"/>
    <cellStyle name="20% — акцент4 2_лента" xfId="842"/>
    <cellStyle name="20% - Акцент4 20" xfId="843"/>
    <cellStyle name="20% — акцент4 20" xfId="844"/>
    <cellStyle name="20% - Акцент4 20_лента" xfId="845"/>
    <cellStyle name="20% — акцент4 20_лента" xfId="846"/>
    <cellStyle name="20% - Акцент4 21" xfId="847"/>
    <cellStyle name="20% — акцент4 21" xfId="848"/>
    <cellStyle name="20% - Акцент4 21_лента" xfId="849"/>
    <cellStyle name="20% — акцент4 21_лента" xfId="850"/>
    <cellStyle name="20% - Акцент4 22" xfId="851"/>
    <cellStyle name="20% — акцент4 22" xfId="852"/>
    <cellStyle name="20% - Акцент4 22_лента" xfId="853"/>
    <cellStyle name="20% — акцент4 22_лента" xfId="854"/>
    <cellStyle name="20% - Акцент4 23" xfId="855"/>
    <cellStyle name="20% — акцент4 23" xfId="856"/>
    <cellStyle name="20% - Акцент4 23_лента" xfId="857"/>
    <cellStyle name="20% — акцент4 23_лента" xfId="858"/>
    <cellStyle name="20% - Акцент4 24" xfId="859"/>
    <cellStyle name="20% — акцент4 24" xfId="860"/>
    <cellStyle name="20% - Акцент4 24_лента" xfId="861"/>
    <cellStyle name="20% — акцент4 24_лента" xfId="862"/>
    <cellStyle name="20% - Акцент4 25" xfId="863"/>
    <cellStyle name="20% — акцент4 25" xfId="864"/>
    <cellStyle name="20% - Акцент4 25_лента" xfId="865"/>
    <cellStyle name="20% — акцент4 25_лента" xfId="866"/>
    <cellStyle name="20% - Акцент4 26" xfId="867"/>
    <cellStyle name="20% — акцент4 26" xfId="868"/>
    <cellStyle name="20% - Акцент4 26_лента" xfId="869"/>
    <cellStyle name="20% — акцент4 26_лента" xfId="870"/>
    <cellStyle name="20% - Акцент4 27" xfId="871"/>
    <cellStyle name="20% — акцент4 27" xfId="872"/>
    <cellStyle name="20% - Акцент4 27_лента" xfId="873"/>
    <cellStyle name="20% — акцент4 27_лента" xfId="874"/>
    <cellStyle name="20% - Акцент4 28" xfId="875"/>
    <cellStyle name="20% — акцент4 28" xfId="876"/>
    <cellStyle name="20% - Акцент4 28_лента" xfId="877"/>
    <cellStyle name="20% — акцент4 28_лента" xfId="878"/>
    <cellStyle name="20% - Акцент4 29" xfId="879"/>
    <cellStyle name="20% — акцент4 29" xfId="880"/>
    <cellStyle name="20% - Акцент4 29_лента" xfId="881"/>
    <cellStyle name="20% — акцент4 29_лента" xfId="882"/>
    <cellStyle name="20% - Акцент4 3" xfId="883"/>
    <cellStyle name="20% — акцент4 3" xfId="884"/>
    <cellStyle name="20% - Акцент4 3_лента" xfId="885"/>
    <cellStyle name="20% — акцент4 3_лента" xfId="886"/>
    <cellStyle name="20% - Акцент4 30" xfId="887"/>
    <cellStyle name="20% — акцент4 30" xfId="888"/>
    <cellStyle name="20% - Акцент4 30_лента" xfId="889"/>
    <cellStyle name="20% — акцент4 30_лента" xfId="890"/>
    <cellStyle name="20% - Акцент4 31" xfId="891"/>
    <cellStyle name="20% — акцент4 31" xfId="892"/>
    <cellStyle name="20% - Акцент4 31_лента" xfId="893"/>
    <cellStyle name="20% — акцент4 31_лента" xfId="894"/>
    <cellStyle name="20% - Акцент4 32" xfId="895"/>
    <cellStyle name="20% — акцент4 32" xfId="896"/>
    <cellStyle name="20% - Акцент4 32_лента" xfId="897"/>
    <cellStyle name="20% — акцент4 32_лента" xfId="898"/>
    <cellStyle name="20% - Акцент4 33" xfId="899"/>
    <cellStyle name="20% — акцент4 33" xfId="900"/>
    <cellStyle name="20% - Акцент4 33_лента" xfId="901"/>
    <cellStyle name="20% — акцент4 33_лента" xfId="902"/>
    <cellStyle name="20% - Акцент4 34" xfId="903"/>
    <cellStyle name="20% — акцент4 34" xfId="904"/>
    <cellStyle name="20% - Акцент4 34_лента" xfId="905"/>
    <cellStyle name="20% — акцент4 34_лента" xfId="906"/>
    <cellStyle name="20% - Акцент4 35" xfId="907"/>
    <cellStyle name="20% — акцент4 35" xfId="908"/>
    <cellStyle name="20% - Акцент4 35_лента" xfId="909"/>
    <cellStyle name="20% — акцент4 35_лента" xfId="910"/>
    <cellStyle name="20% - Акцент4 36" xfId="911"/>
    <cellStyle name="20% — акцент4 36" xfId="912"/>
    <cellStyle name="20% - Акцент4 36_лента" xfId="913"/>
    <cellStyle name="20% — акцент4 36_лента" xfId="914"/>
    <cellStyle name="20% - Акцент4 37" xfId="915"/>
    <cellStyle name="20% — акцент4 37" xfId="916"/>
    <cellStyle name="20% - Акцент4 37_лента" xfId="917"/>
    <cellStyle name="20% — акцент4 37_лента" xfId="918"/>
    <cellStyle name="20% - Акцент4 38" xfId="919"/>
    <cellStyle name="20% — акцент4 38" xfId="920"/>
    <cellStyle name="20% - Акцент4 38_лента" xfId="921"/>
    <cellStyle name="20% — акцент4 38_лента" xfId="922"/>
    <cellStyle name="20% - Акцент4 39" xfId="923"/>
    <cellStyle name="20% — акцент4 39" xfId="924"/>
    <cellStyle name="20% - Акцент4 39_лента" xfId="925"/>
    <cellStyle name="20% — акцент4 39_лента" xfId="926"/>
    <cellStyle name="20% - Акцент4 4" xfId="927"/>
    <cellStyle name="20% — акцент4 4" xfId="928"/>
    <cellStyle name="20% - Акцент4 4_лента" xfId="929"/>
    <cellStyle name="20% — акцент4 4_лента" xfId="930"/>
    <cellStyle name="20% - Акцент4 40" xfId="931"/>
    <cellStyle name="20% — акцент4 40" xfId="932"/>
    <cellStyle name="20% - Акцент4 40_лента" xfId="933"/>
    <cellStyle name="20% — акцент4 40_лента" xfId="934"/>
    <cellStyle name="20% - Акцент4 41" xfId="935"/>
    <cellStyle name="20% — акцент4 41" xfId="936"/>
    <cellStyle name="20% - Акцент4 41_лента" xfId="937"/>
    <cellStyle name="20% — акцент4 41_лента" xfId="938"/>
    <cellStyle name="20% - Акцент4 42" xfId="939"/>
    <cellStyle name="20% — акцент4 42" xfId="940"/>
    <cellStyle name="20% - Акцент4 42_лента" xfId="941"/>
    <cellStyle name="20% — акцент4 42_лента" xfId="942"/>
    <cellStyle name="20% - Акцент4 43" xfId="943"/>
    <cellStyle name="20% — акцент4 43" xfId="944"/>
    <cellStyle name="20% - Акцент4 43_лента" xfId="945"/>
    <cellStyle name="20% — акцент4 43_лента" xfId="946"/>
    <cellStyle name="20% - Акцент4 44" xfId="947"/>
    <cellStyle name="20% — акцент4 44" xfId="948"/>
    <cellStyle name="20% - Акцент4 44_лента" xfId="949"/>
    <cellStyle name="20% — акцент4 44_лента" xfId="950"/>
    <cellStyle name="20% - Акцент4 45" xfId="951"/>
    <cellStyle name="20% — акцент4 45" xfId="952"/>
    <cellStyle name="20% - Акцент4 45_лента" xfId="953"/>
    <cellStyle name="20% — акцент4 45_лента" xfId="954"/>
    <cellStyle name="20% - Акцент4 46" xfId="955"/>
    <cellStyle name="20% — акцент4 46" xfId="956"/>
    <cellStyle name="20% - Акцент4 46_лента" xfId="957"/>
    <cellStyle name="20% — акцент4 46_лента" xfId="958"/>
    <cellStyle name="20% - Акцент4 47" xfId="959"/>
    <cellStyle name="20% — акцент4 47" xfId="960"/>
    <cellStyle name="20% - Акцент4 47_лента" xfId="961"/>
    <cellStyle name="20% — акцент4 47_лента" xfId="962"/>
    <cellStyle name="20% - Акцент4 48" xfId="963"/>
    <cellStyle name="20% — акцент4 48" xfId="964"/>
    <cellStyle name="20% - Акцент4 48_лента" xfId="965"/>
    <cellStyle name="20% — акцент4 48_лента" xfId="966"/>
    <cellStyle name="20% - Акцент4 49" xfId="967"/>
    <cellStyle name="20% — акцент4 49" xfId="968"/>
    <cellStyle name="20% - Акцент4 49_лента" xfId="969"/>
    <cellStyle name="20% — акцент4 49_лента" xfId="970"/>
    <cellStyle name="20% - Акцент4 5" xfId="971"/>
    <cellStyle name="20% — акцент4 5" xfId="972"/>
    <cellStyle name="20% - Акцент4 5_лента" xfId="973"/>
    <cellStyle name="20% — акцент4 5_лента" xfId="974"/>
    <cellStyle name="20% - Акцент4 50" xfId="975"/>
    <cellStyle name="20% — акцент4 50" xfId="976"/>
    <cellStyle name="20% - Акцент4 50_лента" xfId="977"/>
    <cellStyle name="20% — акцент4 50_лента" xfId="978"/>
    <cellStyle name="20% - Акцент4 51" xfId="979"/>
    <cellStyle name="20% — акцент4 51" xfId="980"/>
    <cellStyle name="20% - Акцент4 51_лента" xfId="981"/>
    <cellStyle name="20% — акцент4 51_лента" xfId="982"/>
    <cellStyle name="20% - Акцент4 52" xfId="983"/>
    <cellStyle name="20% — акцент4 52" xfId="984"/>
    <cellStyle name="20% - Акцент4 52_лента" xfId="985"/>
    <cellStyle name="20% — акцент4 52_лента" xfId="986"/>
    <cellStyle name="20% - Акцент4 53" xfId="987"/>
    <cellStyle name="20% — акцент4 53" xfId="988"/>
    <cellStyle name="20% - Акцент4 53_лента" xfId="989"/>
    <cellStyle name="20% — акцент4 53_лента" xfId="990"/>
    <cellStyle name="20% - Акцент4 54" xfId="991"/>
    <cellStyle name="20% — акцент4 54" xfId="992"/>
    <cellStyle name="20% - Акцент4 54_лента" xfId="993"/>
    <cellStyle name="20% — акцент4 54_лента" xfId="994"/>
    <cellStyle name="20% - Акцент4 55" xfId="995"/>
    <cellStyle name="20% — акцент4 55" xfId="996"/>
    <cellStyle name="20% - Акцент4 55_лента" xfId="997"/>
    <cellStyle name="20% — акцент4 55_лента" xfId="998"/>
    <cellStyle name="20% - Акцент4 56" xfId="999"/>
    <cellStyle name="20% — акцент4 56" xfId="1000"/>
    <cellStyle name="20% - Акцент4 56_лента" xfId="1001"/>
    <cellStyle name="20% — акцент4 56_лента" xfId="1002"/>
    <cellStyle name="20% - Акцент4 57" xfId="1003"/>
    <cellStyle name="20% — акцент4 57" xfId="1004"/>
    <cellStyle name="20% - Акцент4 57_лента" xfId="1005"/>
    <cellStyle name="20% - Акцент4 58" xfId="1006"/>
    <cellStyle name="20% - Акцент4 59" xfId="1007"/>
    <cellStyle name="20% - Акцент4 6" xfId="1008"/>
    <cellStyle name="20% — акцент4 6" xfId="1009"/>
    <cellStyle name="20% - Акцент4 6_лента" xfId="1010"/>
    <cellStyle name="20% — акцент4 6_лента" xfId="1011"/>
    <cellStyle name="20% - Акцент4 60" xfId="1012"/>
    <cellStyle name="20% - Акцент4 61" xfId="1013"/>
    <cellStyle name="20% - Акцент4 62" xfId="1014"/>
    <cellStyle name="20% - Акцент4 63" xfId="1015"/>
    <cellStyle name="20% - Акцент4 64" xfId="1016"/>
    <cellStyle name="20% - Акцент4 65" xfId="1017"/>
    <cellStyle name="20% - Акцент4 66" xfId="1018"/>
    <cellStyle name="20% - Акцент4 67" xfId="1019"/>
    <cellStyle name="20% - Акцент4 7" xfId="1020"/>
    <cellStyle name="20% — акцент4 7" xfId="1021"/>
    <cellStyle name="20% - Акцент4 7_лента" xfId="1022"/>
    <cellStyle name="20% — акцент4 7_лента" xfId="1023"/>
    <cellStyle name="20% - Акцент4 8" xfId="1024"/>
    <cellStyle name="20% — акцент4 8" xfId="1025"/>
    <cellStyle name="20% - Акцент4 8_лента" xfId="1026"/>
    <cellStyle name="20% — акцент4 8_лента" xfId="1027"/>
    <cellStyle name="20% - Акцент4 9" xfId="1028"/>
    <cellStyle name="20% — акцент4 9" xfId="1029"/>
    <cellStyle name="20% - Акцент4 9_лента" xfId="1030"/>
    <cellStyle name="20% — акцент4 9_лента" xfId="1031"/>
    <cellStyle name="20% - Акцент4_база" xfId="1032"/>
    <cellStyle name="20% - Акцент5" xfId="1033"/>
    <cellStyle name="20% - Акцент5 10" xfId="1034"/>
    <cellStyle name="20% — акцент5 10" xfId="1035"/>
    <cellStyle name="20% - Акцент5 10_лента" xfId="1036"/>
    <cellStyle name="20% — акцент5 10_лента" xfId="1037"/>
    <cellStyle name="20% - Акцент5 11" xfId="1038"/>
    <cellStyle name="20% — акцент5 11" xfId="1039"/>
    <cellStyle name="20% - Акцент5 11_лента" xfId="1040"/>
    <cellStyle name="20% — акцент5 11_лента" xfId="1041"/>
    <cellStyle name="20% - Акцент5 12" xfId="1042"/>
    <cellStyle name="20% — акцент5 12" xfId="1043"/>
    <cellStyle name="20% - Акцент5 12_лента" xfId="1044"/>
    <cellStyle name="20% — акцент5 12_лента" xfId="1045"/>
    <cellStyle name="20% - Акцент5 13" xfId="1046"/>
    <cellStyle name="20% — акцент5 13" xfId="1047"/>
    <cellStyle name="20% - Акцент5 13_лента" xfId="1048"/>
    <cellStyle name="20% — акцент5 13_лента" xfId="1049"/>
    <cellStyle name="20% - Акцент5 14" xfId="1050"/>
    <cellStyle name="20% — акцент5 14" xfId="1051"/>
    <cellStyle name="20% - Акцент5 14_лента" xfId="1052"/>
    <cellStyle name="20% — акцент5 14_лента" xfId="1053"/>
    <cellStyle name="20% - Акцент5 15" xfId="1054"/>
    <cellStyle name="20% — акцент5 15" xfId="1055"/>
    <cellStyle name="20% - Акцент5 15_лента" xfId="1056"/>
    <cellStyle name="20% — акцент5 15_лента" xfId="1057"/>
    <cellStyle name="20% - Акцент5 16" xfId="1058"/>
    <cellStyle name="20% — акцент5 16" xfId="1059"/>
    <cellStyle name="20% - Акцент5 16_лента" xfId="1060"/>
    <cellStyle name="20% — акцент5 16_лента" xfId="1061"/>
    <cellStyle name="20% - Акцент5 17" xfId="1062"/>
    <cellStyle name="20% — акцент5 17" xfId="1063"/>
    <cellStyle name="20% - Акцент5 17_лента" xfId="1064"/>
    <cellStyle name="20% — акцент5 17_лента" xfId="1065"/>
    <cellStyle name="20% - Акцент5 18" xfId="1066"/>
    <cellStyle name="20% — акцент5 18" xfId="1067"/>
    <cellStyle name="20% - Акцент5 18_лента" xfId="1068"/>
    <cellStyle name="20% — акцент5 18_лента" xfId="1069"/>
    <cellStyle name="20% - Акцент5 19" xfId="1070"/>
    <cellStyle name="20% — акцент5 19" xfId="1071"/>
    <cellStyle name="20% - Акцент5 19_лента" xfId="1072"/>
    <cellStyle name="20% — акцент5 19_лента" xfId="1073"/>
    <cellStyle name="20% - Акцент5 2" xfId="1074"/>
    <cellStyle name="20% — акцент5 2" xfId="1075"/>
    <cellStyle name="20% - Акцент5 2_лента" xfId="1076"/>
    <cellStyle name="20% — акцент5 2_лента" xfId="1077"/>
    <cellStyle name="20% - Акцент5 20" xfId="1078"/>
    <cellStyle name="20% — акцент5 20" xfId="1079"/>
    <cellStyle name="20% - Акцент5 20_лента" xfId="1080"/>
    <cellStyle name="20% — акцент5 20_лента" xfId="1081"/>
    <cellStyle name="20% - Акцент5 21" xfId="1082"/>
    <cellStyle name="20% — акцент5 21" xfId="1083"/>
    <cellStyle name="20% - Акцент5 21_лента" xfId="1084"/>
    <cellStyle name="20% — акцент5 21_лента" xfId="1085"/>
    <cellStyle name="20% - Акцент5 22" xfId="1086"/>
    <cellStyle name="20% — акцент5 22" xfId="1087"/>
    <cellStyle name="20% - Акцент5 22_лента" xfId="1088"/>
    <cellStyle name="20% — акцент5 22_лента" xfId="1089"/>
    <cellStyle name="20% - Акцент5 23" xfId="1090"/>
    <cellStyle name="20% — акцент5 23" xfId="1091"/>
    <cellStyle name="20% - Акцент5 23_лента" xfId="1092"/>
    <cellStyle name="20% — акцент5 23_лента" xfId="1093"/>
    <cellStyle name="20% - Акцент5 24" xfId="1094"/>
    <cellStyle name="20% — акцент5 24" xfId="1095"/>
    <cellStyle name="20% - Акцент5 24_лента" xfId="1096"/>
    <cellStyle name="20% — акцент5 24_лента" xfId="1097"/>
    <cellStyle name="20% - Акцент5 25" xfId="1098"/>
    <cellStyle name="20% — акцент5 25" xfId="1099"/>
    <cellStyle name="20% - Акцент5 25_лента" xfId="1100"/>
    <cellStyle name="20% — акцент5 25_лента" xfId="1101"/>
    <cellStyle name="20% - Акцент5 26" xfId="1102"/>
    <cellStyle name="20% — акцент5 26" xfId="1103"/>
    <cellStyle name="20% - Акцент5 26_лента" xfId="1104"/>
    <cellStyle name="20% — акцент5 26_лента" xfId="1105"/>
    <cellStyle name="20% - Акцент5 27" xfId="1106"/>
    <cellStyle name="20% — акцент5 27" xfId="1107"/>
    <cellStyle name="20% - Акцент5 27_лента" xfId="1108"/>
    <cellStyle name="20% — акцент5 27_лента" xfId="1109"/>
    <cellStyle name="20% - Акцент5 28" xfId="1110"/>
    <cellStyle name="20% — акцент5 28" xfId="1111"/>
    <cellStyle name="20% - Акцент5 28_лента" xfId="1112"/>
    <cellStyle name="20% — акцент5 28_лента" xfId="1113"/>
    <cellStyle name="20% - Акцент5 29" xfId="1114"/>
    <cellStyle name="20% — акцент5 29" xfId="1115"/>
    <cellStyle name="20% - Акцент5 29_лента" xfId="1116"/>
    <cellStyle name="20% — акцент5 29_лента" xfId="1117"/>
    <cellStyle name="20% - Акцент5 3" xfId="1118"/>
    <cellStyle name="20% — акцент5 3" xfId="1119"/>
    <cellStyle name="20% - Акцент5 3_лента" xfId="1120"/>
    <cellStyle name="20% — акцент5 3_лента" xfId="1121"/>
    <cellStyle name="20% - Акцент5 30" xfId="1122"/>
    <cellStyle name="20% — акцент5 30" xfId="1123"/>
    <cellStyle name="20% - Акцент5 30_лента" xfId="1124"/>
    <cellStyle name="20% — акцент5 30_лента" xfId="1125"/>
    <cellStyle name="20% - Акцент5 31" xfId="1126"/>
    <cellStyle name="20% — акцент5 31" xfId="1127"/>
    <cellStyle name="20% - Акцент5 31_лента" xfId="1128"/>
    <cellStyle name="20% — акцент5 31_лента" xfId="1129"/>
    <cellStyle name="20% - Акцент5 32" xfId="1130"/>
    <cellStyle name="20% — акцент5 32" xfId="1131"/>
    <cellStyle name="20% - Акцент5 32_лента" xfId="1132"/>
    <cellStyle name="20% — акцент5 32_лента" xfId="1133"/>
    <cellStyle name="20% - Акцент5 33" xfId="1134"/>
    <cellStyle name="20% — акцент5 33" xfId="1135"/>
    <cellStyle name="20% - Акцент5 33_лента" xfId="1136"/>
    <cellStyle name="20% — акцент5 33_лента" xfId="1137"/>
    <cellStyle name="20% - Акцент5 34" xfId="1138"/>
    <cellStyle name="20% — акцент5 34" xfId="1139"/>
    <cellStyle name="20% - Акцент5 34_лента" xfId="1140"/>
    <cellStyle name="20% — акцент5 34_лента" xfId="1141"/>
    <cellStyle name="20% - Акцент5 35" xfId="1142"/>
    <cellStyle name="20% — акцент5 35" xfId="1143"/>
    <cellStyle name="20% - Акцент5 35_лента" xfId="1144"/>
    <cellStyle name="20% — акцент5 35_лента" xfId="1145"/>
    <cellStyle name="20% - Акцент5 36" xfId="1146"/>
    <cellStyle name="20% — акцент5 36" xfId="1147"/>
    <cellStyle name="20% - Акцент5 36_лента" xfId="1148"/>
    <cellStyle name="20% — акцент5 36_лента" xfId="1149"/>
    <cellStyle name="20% - Акцент5 37" xfId="1150"/>
    <cellStyle name="20% — акцент5 37" xfId="1151"/>
    <cellStyle name="20% - Акцент5 37_лента" xfId="1152"/>
    <cellStyle name="20% — акцент5 37_лента" xfId="1153"/>
    <cellStyle name="20% - Акцент5 38" xfId="1154"/>
    <cellStyle name="20% — акцент5 38" xfId="1155"/>
    <cellStyle name="20% - Акцент5 38_лента" xfId="1156"/>
    <cellStyle name="20% — акцент5 38_лента" xfId="1157"/>
    <cellStyle name="20% - Акцент5 39" xfId="1158"/>
    <cellStyle name="20% — акцент5 39" xfId="1159"/>
    <cellStyle name="20% - Акцент5 39_лента" xfId="1160"/>
    <cellStyle name="20% — акцент5 39_лента" xfId="1161"/>
    <cellStyle name="20% - Акцент5 4" xfId="1162"/>
    <cellStyle name="20% — акцент5 4" xfId="1163"/>
    <cellStyle name="20% - Акцент5 4_лента" xfId="1164"/>
    <cellStyle name="20% — акцент5 4_лента" xfId="1165"/>
    <cellStyle name="20% - Акцент5 40" xfId="1166"/>
    <cellStyle name="20% — акцент5 40" xfId="1167"/>
    <cellStyle name="20% - Акцент5 40_лента" xfId="1168"/>
    <cellStyle name="20% — акцент5 40_лента" xfId="1169"/>
    <cellStyle name="20% - Акцент5 41" xfId="1170"/>
    <cellStyle name="20% — акцент5 41" xfId="1171"/>
    <cellStyle name="20% - Акцент5 41_лента" xfId="1172"/>
    <cellStyle name="20% — акцент5 41_лента" xfId="1173"/>
    <cellStyle name="20% - Акцент5 42" xfId="1174"/>
    <cellStyle name="20% — акцент5 42" xfId="1175"/>
    <cellStyle name="20% - Акцент5 42_лента" xfId="1176"/>
    <cellStyle name="20% — акцент5 42_лента" xfId="1177"/>
    <cellStyle name="20% - Акцент5 43" xfId="1178"/>
    <cellStyle name="20% — акцент5 43" xfId="1179"/>
    <cellStyle name="20% - Акцент5 43_лента" xfId="1180"/>
    <cellStyle name="20% — акцент5 43_лента" xfId="1181"/>
    <cellStyle name="20% - Акцент5 44" xfId="1182"/>
    <cellStyle name="20% — акцент5 44" xfId="1183"/>
    <cellStyle name="20% - Акцент5 44_лента" xfId="1184"/>
    <cellStyle name="20% — акцент5 44_лента" xfId="1185"/>
    <cellStyle name="20% - Акцент5 45" xfId="1186"/>
    <cellStyle name="20% — акцент5 45" xfId="1187"/>
    <cellStyle name="20% - Акцент5 45_лента" xfId="1188"/>
    <cellStyle name="20% — акцент5 45_лента" xfId="1189"/>
    <cellStyle name="20% - Акцент5 46" xfId="1190"/>
    <cellStyle name="20% — акцент5 46" xfId="1191"/>
    <cellStyle name="20% - Акцент5 46_лента" xfId="1192"/>
    <cellStyle name="20% — акцент5 46_лента" xfId="1193"/>
    <cellStyle name="20% - Акцент5 47" xfId="1194"/>
    <cellStyle name="20% — акцент5 47" xfId="1195"/>
    <cellStyle name="20% - Акцент5 47_лента" xfId="1196"/>
    <cellStyle name="20% — акцент5 47_лента" xfId="1197"/>
    <cellStyle name="20% - Акцент5 48" xfId="1198"/>
    <cellStyle name="20% — акцент5 48" xfId="1199"/>
    <cellStyle name="20% - Акцент5 48_лента" xfId="1200"/>
    <cellStyle name="20% — акцент5 48_лента" xfId="1201"/>
    <cellStyle name="20% - Акцент5 49" xfId="1202"/>
    <cellStyle name="20% — акцент5 49" xfId="1203"/>
    <cellStyle name="20% - Акцент5 49_лента" xfId="1204"/>
    <cellStyle name="20% — акцент5 49_лента" xfId="1205"/>
    <cellStyle name="20% - Акцент5 5" xfId="1206"/>
    <cellStyle name="20% — акцент5 5" xfId="1207"/>
    <cellStyle name="20% - Акцент5 5_лента" xfId="1208"/>
    <cellStyle name="20% — акцент5 5_лента" xfId="1209"/>
    <cellStyle name="20% - Акцент5 50" xfId="1210"/>
    <cellStyle name="20% — акцент5 50" xfId="1211"/>
    <cellStyle name="20% - Акцент5 50_лента" xfId="1212"/>
    <cellStyle name="20% — акцент5 50_лента" xfId="1213"/>
    <cellStyle name="20% - Акцент5 51" xfId="1214"/>
    <cellStyle name="20% — акцент5 51" xfId="1215"/>
    <cellStyle name="20% - Акцент5 51_лента" xfId="1216"/>
    <cellStyle name="20% — акцент5 51_лента" xfId="1217"/>
    <cellStyle name="20% - Акцент5 52" xfId="1218"/>
    <cellStyle name="20% — акцент5 52" xfId="1219"/>
    <cellStyle name="20% - Акцент5 52_лента" xfId="1220"/>
    <cellStyle name="20% — акцент5 52_лента" xfId="1221"/>
    <cellStyle name="20% - Акцент5 53" xfId="1222"/>
    <cellStyle name="20% — акцент5 53" xfId="1223"/>
    <cellStyle name="20% - Акцент5 53_лента" xfId="1224"/>
    <cellStyle name="20% — акцент5 53_лента" xfId="1225"/>
    <cellStyle name="20% - Акцент5 54" xfId="1226"/>
    <cellStyle name="20% — акцент5 54" xfId="1227"/>
    <cellStyle name="20% - Акцент5 54_лента" xfId="1228"/>
    <cellStyle name="20% — акцент5 54_лента" xfId="1229"/>
    <cellStyle name="20% - Акцент5 55" xfId="1230"/>
    <cellStyle name="20% — акцент5 55" xfId="1231"/>
    <cellStyle name="20% - Акцент5 55_лента" xfId="1232"/>
    <cellStyle name="20% — акцент5 55_лента" xfId="1233"/>
    <cellStyle name="20% - Акцент5 56" xfId="1234"/>
    <cellStyle name="20% — акцент5 56" xfId="1235"/>
    <cellStyle name="20% - Акцент5 56_лента" xfId="1236"/>
    <cellStyle name="20% — акцент5 56_лента" xfId="1237"/>
    <cellStyle name="20% - Акцент5 57" xfId="1238"/>
    <cellStyle name="20% — акцент5 57" xfId="1239"/>
    <cellStyle name="20% - Акцент5 57_лента" xfId="1240"/>
    <cellStyle name="20% - Акцент5 58" xfId="1241"/>
    <cellStyle name="20% - Акцент5 59" xfId="1242"/>
    <cellStyle name="20% - Акцент5 6" xfId="1243"/>
    <cellStyle name="20% — акцент5 6" xfId="1244"/>
    <cellStyle name="20% - Акцент5 6_лента" xfId="1245"/>
    <cellStyle name="20% — акцент5 6_лента" xfId="1246"/>
    <cellStyle name="20% - Акцент5 60" xfId="1247"/>
    <cellStyle name="20% - Акцент5 61" xfId="1248"/>
    <cellStyle name="20% - Акцент5 62" xfId="1249"/>
    <cellStyle name="20% - Акцент5 63" xfId="1250"/>
    <cellStyle name="20% - Акцент5 64" xfId="1251"/>
    <cellStyle name="20% - Акцент5 65" xfId="1252"/>
    <cellStyle name="20% - Акцент5 66" xfId="1253"/>
    <cellStyle name="20% - Акцент5 67" xfId="1254"/>
    <cellStyle name="20% - Акцент5 7" xfId="1255"/>
    <cellStyle name="20% — акцент5 7" xfId="1256"/>
    <cellStyle name="20% - Акцент5 7_лента" xfId="1257"/>
    <cellStyle name="20% — акцент5 7_лента" xfId="1258"/>
    <cellStyle name="20% - Акцент5 8" xfId="1259"/>
    <cellStyle name="20% — акцент5 8" xfId="1260"/>
    <cellStyle name="20% - Акцент5 8_лента" xfId="1261"/>
    <cellStyle name="20% — акцент5 8_лента" xfId="1262"/>
    <cellStyle name="20% - Акцент5 9" xfId="1263"/>
    <cellStyle name="20% — акцент5 9" xfId="1264"/>
    <cellStyle name="20% - Акцент5 9_лента" xfId="1265"/>
    <cellStyle name="20% — акцент5 9_лента" xfId="1266"/>
    <cellStyle name="20% - Акцент5_база" xfId="1267"/>
    <cellStyle name="20% - Акцент6" xfId="1268"/>
    <cellStyle name="20% - Акцент6 10" xfId="1269"/>
    <cellStyle name="20% — акцент6 10" xfId="1270"/>
    <cellStyle name="20% - Акцент6 10_лента" xfId="1271"/>
    <cellStyle name="20% — акцент6 10_лента" xfId="1272"/>
    <cellStyle name="20% - Акцент6 11" xfId="1273"/>
    <cellStyle name="20% — акцент6 11" xfId="1274"/>
    <cellStyle name="20% - Акцент6 11_лента" xfId="1275"/>
    <cellStyle name="20% — акцент6 11_лента" xfId="1276"/>
    <cellStyle name="20% - Акцент6 12" xfId="1277"/>
    <cellStyle name="20% — акцент6 12" xfId="1278"/>
    <cellStyle name="20% - Акцент6 12_лента" xfId="1279"/>
    <cellStyle name="20% — акцент6 12_лента" xfId="1280"/>
    <cellStyle name="20% - Акцент6 13" xfId="1281"/>
    <cellStyle name="20% — акцент6 13" xfId="1282"/>
    <cellStyle name="20% - Акцент6 13_лента" xfId="1283"/>
    <cellStyle name="20% — акцент6 13_лента" xfId="1284"/>
    <cellStyle name="20% - Акцент6 14" xfId="1285"/>
    <cellStyle name="20% — акцент6 14" xfId="1286"/>
    <cellStyle name="20% - Акцент6 14_лента" xfId="1287"/>
    <cellStyle name="20% — акцент6 14_лента" xfId="1288"/>
    <cellStyle name="20% - Акцент6 15" xfId="1289"/>
    <cellStyle name="20% — акцент6 15" xfId="1290"/>
    <cellStyle name="20% - Акцент6 15_лента" xfId="1291"/>
    <cellStyle name="20% — акцент6 15_лента" xfId="1292"/>
    <cellStyle name="20% - Акцент6 16" xfId="1293"/>
    <cellStyle name="20% — акцент6 16" xfId="1294"/>
    <cellStyle name="20% - Акцент6 16_лента" xfId="1295"/>
    <cellStyle name="20% — акцент6 16_лента" xfId="1296"/>
    <cellStyle name="20% - Акцент6 17" xfId="1297"/>
    <cellStyle name="20% — акцент6 17" xfId="1298"/>
    <cellStyle name="20% - Акцент6 17_лента" xfId="1299"/>
    <cellStyle name="20% — акцент6 17_лента" xfId="1300"/>
    <cellStyle name="20% - Акцент6 18" xfId="1301"/>
    <cellStyle name="20% — акцент6 18" xfId="1302"/>
    <cellStyle name="20% - Акцент6 18_лента" xfId="1303"/>
    <cellStyle name="20% — акцент6 18_лента" xfId="1304"/>
    <cellStyle name="20% - Акцент6 19" xfId="1305"/>
    <cellStyle name="20% — акцент6 19" xfId="1306"/>
    <cellStyle name="20% - Акцент6 19_лента" xfId="1307"/>
    <cellStyle name="20% — акцент6 19_лента" xfId="1308"/>
    <cellStyle name="20% - Акцент6 2" xfId="1309"/>
    <cellStyle name="20% — акцент6 2" xfId="1310"/>
    <cellStyle name="20% - Акцент6 2_лента" xfId="1311"/>
    <cellStyle name="20% — акцент6 2_лента" xfId="1312"/>
    <cellStyle name="20% - Акцент6 20" xfId="1313"/>
    <cellStyle name="20% — акцент6 20" xfId="1314"/>
    <cellStyle name="20% - Акцент6 20_лента" xfId="1315"/>
    <cellStyle name="20% — акцент6 20_лента" xfId="1316"/>
    <cellStyle name="20% - Акцент6 21" xfId="1317"/>
    <cellStyle name="20% — акцент6 21" xfId="1318"/>
    <cellStyle name="20% - Акцент6 21_лента" xfId="1319"/>
    <cellStyle name="20% — акцент6 21_лента" xfId="1320"/>
    <cellStyle name="20% - Акцент6 22" xfId="1321"/>
    <cellStyle name="20% — акцент6 22" xfId="1322"/>
    <cellStyle name="20% - Акцент6 22_лента" xfId="1323"/>
    <cellStyle name="20% — акцент6 22_лента" xfId="1324"/>
    <cellStyle name="20% - Акцент6 23" xfId="1325"/>
    <cellStyle name="20% — акцент6 23" xfId="1326"/>
    <cellStyle name="20% - Акцент6 23_лента" xfId="1327"/>
    <cellStyle name="20% — акцент6 23_лента" xfId="1328"/>
    <cellStyle name="20% - Акцент6 24" xfId="1329"/>
    <cellStyle name="20% — акцент6 24" xfId="1330"/>
    <cellStyle name="20% - Акцент6 24_лента" xfId="1331"/>
    <cellStyle name="20% — акцент6 24_лента" xfId="1332"/>
    <cellStyle name="20% - Акцент6 25" xfId="1333"/>
    <cellStyle name="20% — акцент6 25" xfId="1334"/>
    <cellStyle name="20% - Акцент6 25_лента" xfId="1335"/>
    <cellStyle name="20% — акцент6 25_лента" xfId="1336"/>
    <cellStyle name="20% - Акцент6 26" xfId="1337"/>
    <cellStyle name="20% — акцент6 26" xfId="1338"/>
    <cellStyle name="20% - Акцент6 26_лента" xfId="1339"/>
    <cellStyle name="20% — акцент6 26_лента" xfId="1340"/>
    <cellStyle name="20% - Акцент6 27" xfId="1341"/>
    <cellStyle name="20% — акцент6 27" xfId="1342"/>
    <cellStyle name="20% - Акцент6 27_лента" xfId="1343"/>
    <cellStyle name="20% — акцент6 27_лента" xfId="1344"/>
    <cellStyle name="20% - Акцент6 28" xfId="1345"/>
    <cellStyle name="20% — акцент6 28" xfId="1346"/>
    <cellStyle name="20% - Акцент6 28_лента" xfId="1347"/>
    <cellStyle name="20% — акцент6 28_лента" xfId="1348"/>
    <cellStyle name="20% - Акцент6 29" xfId="1349"/>
    <cellStyle name="20% — акцент6 29" xfId="1350"/>
    <cellStyle name="20% - Акцент6 29_лента" xfId="1351"/>
    <cellStyle name="20% — акцент6 29_лента" xfId="1352"/>
    <cellStyle name="20% - Акцент6 3" xfId="1353"/>
    <cellStyle name="20% — акцент6 3" xfId="1354"/>
    <cellStyle name="20% - Акцент6 3_лента" xfId="1355"/>
    <cellStyle name="20% — акцент6 3_лента" xfId="1356"/>
    <cellStyle name="20% - Акцент6 30" xfId="1357"/>
    <cellStyle name="20% — акцент6 30" xfId="1358"/>
    <cellStyle name="20% - Акцент6 30_лента" xfId="1359"/>
    <cellStyle name="20% — акцент6 30_лента" xfId="1360"/>
    <cellStyle name="20% - Акцент6 31" xfId="1361"/>
    <cellStyle name="20% — акцент6 31" xfId="1362"/>
    <cellStyle name="20% - Акцент6 31_лента" xfId="1363"/>
    <cellStyle name="20% — акцент6 31_лента" xfId="1364"/>
    <cellStyle name="20% - Акцент6 32" xfId="1365"/>
    <cellStyle name="20% — акцент6 32" xfId="1366"/>
    <cellStyle name="20% - Акцент6 32_лента" xfId="1367"/>
    <cellStyle name="20% — акцент6 32_лента" xfId="1368"/>
    <cellStyle name="20% - Акцент6 33" xfId="1369"/>
    <cellStyle name="20% — акцент6 33" xfId="1370"/>
    <cellStyle name="20% - Акцент6 33_лента" xfId="1371"/>
    <cellStyle name="20% — акцент6 33_лента" xfId="1372"/>
    <cellStyle name="20% - Акцент6 34" xfId="1373"/>
    <cellStyle name="20% — акцент6 34" xfId="1374"/>
    <cellStyle name="20% - Акцент6 34_лента" xfId="1375"/>
    <cellStyle name="20% — акцент6 34_лента" xfId="1376"/>
    <cellStyle name="20% - Акцент6 35" xfId="1377"/>
    <cellStyle name="20% — акцент6 35" xfId="1378"/>
    <cellStyle name="20% - Акцент6 35_лента" xfId="1379"/>
    <cellStyle name="20% — акцент6 35_лента" xfId="1380"/>
    <cellStyle name="20% - Акцент6 36" xfId="1381"/>
    <cellStyle name="20% — акцент6 36" xfId="1382"/>
    <cellStyle name="20% - Акцент6 36_лента" xfId="1383"/>
    <cellStyle name="20% — акцент6 36_лента" xfId="1384"/>
    <cellStyle name="20% - Акцент6 37" xfId="1385"/>
    <cellStyle name="20% — акцент6 37" xfId="1386"/>
    <cellStyle name="20% - Акцент6 37_лента" xfId="1387"/>
    <cellStyle name="20% — акцент6 37_лента" xfId="1388"/>
    <cellStyle name="20% - Акцент6 38" xfId="1389"/>
    <cellStyle name="20% — акцент6 38" xfId="1390"/>
    <cellStyle name="20% - Акцент6 38_лента" xfId="1391"/>
    <cellStyle name="20% — акцент6 38_лента" xfId="1392"/>
    <cellStyle name="20% - Акцент6 39" xfId="1393"/>
    <cellStyle name="20% — акцент6 39" xfId="1394"/>
    <cellStyle name="20% - Акцент6 39_лента" xfId="1395"/>
    <cellStyle name="20% — акцент6 39_лента" xfId="1396"/>
    <cellStyle name="20% - Акцент6 4" xfId="1397"/>
    <cellStyle name="20% — акцент6 4" xfId="1398"/>
    <cellStyle name="20% - Акцент6 4_лента" xfId="1399"/>
    <cellStyle name="20% — акцент6 4_лента" xfId="1400"/>
    <cellStyle name="20% - Акцент6 40" xfId="1401"/>
    <cellStyle name="20% — акцент6 40" xfId="1402"/>
    <cellStyle name="20% - Акцент6 40_лента" xfId="1403"/>
    <cellStyle name="20% — акцент6 40_лента" xfId="1404"/>
    <cellStyle name="20% - Акцент6 41" xfId="1405"/>
    <cellStyle name="20% — акцент6 41" xfId="1406"/>
    <cellStyle name="20% - Акцент6 41_лента" xfId="1407"/>
    <cellStyle name="20% — акцент6 41_лента" xfId="1408"/>
    <cellStyle name="20% - Акцент6 42" xfId="1409"/>
    <cellStyle name="20% — акцент6 42" xfId="1410"/>
    <cellStyle name="20% - Акцент6 42_лента" xfId="1411"/>
    <cellStyle name="20% — акцент6 42_лента" xfId="1412"/>
    <cellStyle name="20% - Акцент6 43" xfId="1413"/>
    <cellStyle name="20% — акцент6 43" xfId="1414"/>
    <cellStyle name="20% - Акцент6 43_лента" xfId="1415"/>
    <cellStyle name="20% — акцент6 43_лента" xfId="1416"/>
    <cellStyle name="20% - Акцент6 44" xfId="1417"/>
    <cellStyle name="20% — акцент6 44" xfId="1418"/>
    <cellStyle name="20% - Акцент6 44_лента" xfId="1419"/>
    <cellStyle name="20% — акцент6 44_лента" xfId="1420"/>
    <cellStyle name="20% - Акцент6 45" xfId="1421"/>
    <cellStyle name="20% — акцент6 45" xfId="1422"/>
    <cellStyle name="20% - Акцент6 45_лента" xfId="1423"/>
    <cellStyle name="20% — акцент6 45_лента" xfId="1424"/>
    <cellStyle name="20% - Акцент6 46" xfId="1425"/>
    <cellStyle name="20% — акцент6 46" xfId="1426"/>
    <cellStyle name="20% - Акцент6 46_лента" xfId="1427"/>
    <cellStyle name="20% — акцент6 46_лента" xfId="1428"/>
    <cellStyle name="20% - Акцент6 47" xfId="1429"/>
    <cellStyle name="20% — акцент6 47" xfId="1430"/>
    <cellStyle name="20% - Акцент6 47_лента" xfId="1431"/>
    <cellStyle name="20% — акцент6 47_лента" xfId="1432"/>
    <cellStyle name="20% - Акцент6 48" xfId="1433"/>
    <cellStyle name="20% — акцент6 48" xfId="1434"/>
    <cellStyle name="20% - Акцент6 48_лента" xfId="1435"/>
    <cellStyle name="20% — акцент6 48_лента" xfId="1436"/>
    <cellStyle name="20% - Акцент6 49" xfId="1437"/>
    <cellStyle name="20% — акцент6 49" xfId="1438"/>
    <cellStyle name="20% - Акцент6 49_лента" xfId="1439"/>
    <cellStyle name="20% — акцент6 49_лента" xfId="1440"/>
    <cellStyle name="20% - Акцент6 5" xfId="1441"/>
    <cellStyle name="20% — акцент6 5" xfId="1442"/>
    <cellStyle name="20% - Акцент6 5_лента" xfId="1443"/>
    <cellStyle name="20% — акцент6 5_лента" xfId="1444"/>
    <cellStyle name="20% - Акцент6 50" xfId="1445"/>
    <cellStyle name="20% — акцент6 50" xfId="1446"/>
    <cellStyle name="20% - Акцент6 50_лента" xfId="1447"/>
    <cellStyle name="20% — акцент6 50_лента" xfId="1448"/>
    <cellStyle name="20% - Акцент6 51" xfId="1449"/>
    <cellStyle name="20% — акцент6 51" xfId="1450"/>
    <cellStyle name="20% - Акцент6 51_лента" xfId="1451"/>
    <cellStyle name="20% — акцент6 51_лента" xfId="1452"/>
    <cellStyle name="20% - Акцент6 52" xfId="1453"/>
    <cellStyle name="20% — акцент6 52" xfId="1454"/>
    <cellStyle name="20% - Акцент6 52_лента" xfId="1455"/>
    <cellStyle name="20% — акцент6 52_лента" xfId="1456"/>
    <cellStyle name="20% - Акцент6 53" xfId="1457"/>
    <cellStyle name="20% — акцент6 53" xfId="1458"/>
    <cellStyle name="20% - Акцент6 53_лента" xfId="1459"/>
    <cellStyle name="20% — акцент6 53_лента" xfId="1460"/>
    <cellStyle name="20% - Акцент6 54" xfId="1461"/>
    <cellStyle name="20% — акцент6 54" xfId="1462"/>
    <cellStyle name="20% - Акцент6 54_лента" xfId="1463"/>
    <cellStyle name="20% — акцент6 54_лента" xfId="1464"/>
    <cellStyle name="20% - Акцент6 55" xfId="1465"/>
    <cellStyle name="20% — акцент6 55" xfId="1466"/>
    <cellStyle name="20% - Акцент6 55_лента" xfId="1467"/>
    <cellStyle name="20% — акцент6 55_лента" xfId="1468"/>
    <cellStyle name="20% - Акцент6 56" xfId="1469"/>
    <cellStyle name="20% — акцент6 56" xfId="1470"/>
    <cellStyle name="20% - Акцент6 56_лента" xfId="1471"/>
    <cellStyle name="20% — акцент6 56_лента" xfId="1472"/>
    <cellStyle name="20% - Акцент6 57" xfId="1473"/>
    <cellStyle name="20% — акцент6 57" xfId="1474"/>
    <cellStyle name="20% - Акцент6 57_лента" xfId="1475"/>
    <cellStyle name="20% - Акцент6 58" xfId="1476"/>
    <cellStyle name="20% - Акцент6 59" xfId="1477"/>
    <cellStyle name="20% - Акцент6 6" xfId="1478"/>
    <cellStyle name="20% — акцент6 6" xfId="1479"/>
    <cellStyle name="20% - Акцент6 6_лента" xfId="1480"/>
    <cellStyle name="20% — акцент6 6_лента" xfId="1481"/>
    <cellStyle name="20% - Акцент6 60" xfId="1482"/>
    <cellStyle name="20% - Акцент6 61" xfId="1483"/>
    <cellStyle name="20% - Акцент6 62" xfId="1484"/>
    <cellStyle name="20% - Акцент6 63" xfId="1485"/>
    <cellStyle name="20% - Акцент6 64" xfId="1486"/>
    <cellStyle name="20% - Акцент6 65" xfId="1487"/>
    <cellStyle name="20% - Акцент6 66" xfId="1488"/>
    <cellStyle name="20% - Акцент6 67" xfId="1489"/>
    <cellStyle name="20% - Акцент6 7" xfId="1490"/>
    <cellStyle name="20% — акцент6 7" xfId="1491"/>
    <cellStyle name="20% - Акцент6 7_лента" xfId="1492"/>
    <cellStyle name="20% — акцент6 7_лента" xfId="1493"/>
    <cellStyle name="20% - Акцент6 8" xfId="1494"/>
    <cellStyle name="20% — акцент6 8" xfId="1495"/>
    <cellStyle name="20% - Акцент6 8_лента" xfId="1496"/>
    <cellStyle name="20% — акцент6 8_лента" xfId="1497"/>
    <cellStyle name="20% - Акцент6 9" xfId="1498"/>
    <cellStyle name="20% — акцент6 9" xfId="1499"/>
    <cellStyle name="20% - Акцент6 9_лента" xfId="1500"/>
    <cellStyle name="20% — акцент6 9_лента" xfId="1501"/>
    <cellStyle name="20% - Акцент6_база" xfId="1502"/>
    <cellStyle name="40% - Акцент1" xfId="1503"/>
    <cellStyle name="40% - Акцент1 10" xfId="1504"/>
    <cellStyle name="40% — акцент1 10" xfId="1505"/>
    <cellStyle name="40% - Акцент1 10_лента" xfId="1506"/>
    <cellStyle name="40% — акцент1 10_лента" xfId="1507"/>
    <cellStyle name="40% - Акцент1 11" xfId="1508"/>
    <cellStyle name="40% — акцент1 11" xfId="1509"/>
    <cellStyle name="40% - Акцент1 11_лента" xfId="1510"/>
    <cellStyle name="40% — акцент1 11_лента" xfId="1511"/>
    <cellStyle name="40% - Акцент1 12" xfId="1512"/>
    <cellStyle name="40% — акцент1 12" xfId="1513"/>
    <cellStyle name="40% - Акцент1 12_лента" xfId="1514"/>
    <cellStyle name="40% — акцент1 12_лента" xfId="1515"/>
    <cellStyle name="40% - Акцент1 13" xfId="1516"/>
    <cellStyle name="40% — акцент1 13" xfId="1517"/>
    <cellStyle name="40% - Акцент1 13_лента" xfId="1518"/>
    <cellStyle name="40% — акцент1 13_лента" xfId="1519"/>
    <cellStyle name="40% - Акцент1 14" xfId="1520"/>
    <cellStyle name="40% — акцент1 14" xfId="1521"/>
    <cellStyle name="40% - Акцент1 14_лента" xfId="1522"/>
    <cellStyle name="40% — акцент1 14_лента" xfId="1523"/>
    <cellStyle name="40% - Акцент1 15" xfId="1524"/>
    <cellStyle name="40% — акцент1 15" xfId="1525"/>
    <cellStyle name="40% - Акцент1 15_лента" xfId="1526"/>
    <cellStyle name="40% — акцент1 15_лента" xfId="1527"/>
    <cellStyle name="40% - Акцент1 16" xfId="1528"/>
    <cellStyle name="40% — акцент1 16" xfId="1529"/>
    <cellStyle name="40% - Акцент1 16_лента" xfId="1530"/>
    <cellStyle name="40% — акцент1 16_лента" xfId="1531"/>
    <cellStyle name="40% - Акцент1 17" xfId="1532"/>
    <cellStyle name="40% — акцент1 17" xfId="1533"/>
    <cellStyle name="40% - Акцент1 17_лента" xfId="1534"/>
    <cellStyle name="40% — акцент1 17_лента" xfId="1535"/>
    <cellStyle name="40% - Акцент1 18" xfId="1536"/>
    <cellStyle name="40% — акцент1 18" xfId="1537"/>
    <cellStyle name="40% - Акцент1 18_лента" xfId="1538"/>
    <cellStyle name="40% — акцент1 18_лента" xfId="1539"/>
    <cellStyle name="40% - Акцент1 19" xfId="1540"/>
    <cellStyle name="40% — акцент1 19" xfId="1541"/>
    <cellStyle name="40% - Акцент1 19_лента" xfId="1542"/>
    <cellStyle name="40% — акцент1 19_лента" xfId="1543"/>
    <cellStyle name="40% - Акцент1 2" xfId="1544"/>
    <cellStyle name="40% — акцент1 2" xfId="1545"/>
    <cellStyle name="40% - Акцент1 2_лента" xfId="1546"/>
    <cellStyle name="40% — акцент1 2_лента" xfId="1547"/>
    <cellStyle name="40% - Акцент1 20" xfId="1548"/>
    <cellStyle name="40% — акцент1 20" xfId="1549"/>
    <cellStyle name="40% - Акцент1 20_лента" xfId="1550"/>
    <cellStyle name="40% — акцент1 20_лента" xfId="1551"/>
    <cellStyle name="40% - Акцент1 21" xfId="1552"/>
    <cellStyle name="40% — акцент1 21" xfId="1553"/>
    <cellStyle name="40% - Акцент1 21_лента" xfId="1554"/>
    <cellStyle name="40% — акцент1 21_лента" xfId="1555"/>
    <cellStyle name="40% - Акцент1 22" xfId="1556"/>
    <cellStyle name="40% — акцент1 22" xfId="1557"/>
    <cellStyle name="40% - Акцент1 22_лента" xfId="1558"/>
    <cellStyle name="40% — акцент1 22_лента" xfId="1559"/>
    <cellStyle name="40% - Акцент1 23" xfId="1560"/>
    <cellStyle name="40% — акцент1 23" xfId="1561"/>
    <cellStyle name="40% - Акцент1 23_лента" xfId="1562"/>
    <cellStyle name="40% — акцент1 23_лента" xfId="1563"/>
    <cellStyle name="40% - Акцент1 24" xfId="1564"/>
    <cellStyle name="40% — акцент1 24" xfId="1565"/>
    <cellStyle name="40% - Акцент1 24_лента" xfId="1566"/>
    <cellStyle name="40% — акцент1 24_лента" xfId="1567"/>
    <cellStyle name="40% - Акцент1 25" xfId="1568"/>
    <cellStyle name="40% — акцент1 25" xfId="1569"/>
    <cellStyle name="40% - Акцент1 25_лента" xfId="1570"/>
    <cellStyle name="40% — акцент1 25_лента" xfId="1571"/>
    <cellStyle name="40% - Акцент1 26" xfId="1572"/>
    <cellStyle name="40% — акцент1 26" xfId="1573"/>
    <cellStyle name="40% - Акцент1 26_лента" xfId="1574"/>
    <cellStyle name="40% — акцент1 26_лента" xfId="1575"/>
    <cellStyle name="40% - Акцент1 27" xfId="1576"/>
    <cellStyle name="40% — акцент1 27" xfId="1577"/>
    <cellStyle name="40% - Акцент1 27_лента" xfId="1578"/>
    <cellStyle name="40% — акцент1 27_лента" xfId="1579"/>
    <cellStyle name="40% - Акцент1 28" xfId="1580"/>
    <cellStyle name="40% — акцент1 28" xfId="1581"/>
    <cellStyle name="40% - Акцент1 28_лента" xfId="1582"/>
    <cellStyle name="40% — акцент1 28_лента" xfId="1583"/>
    <cellStyle name="40% - Акцент1 29" xfId="1584"/>
    <cellStyle name="40% — акцент1 29" xfId="1585"/>
    <cellStyle name="40% - Акцент1 29_лента" xfId="1586"/>
    <cellStyle name="40% — акцент1 29_лента" xfId="1587"/>
    <cellStyle name="40% - Акцент1 3" xfId="1588"/>
    <cellStyle name="40% — акцент1 3" xfId="1589"/>
    <cellStyle name="40% - Акцент1 3_лента" xfId="1590"/>
    <cellStyle name="40% — акцент1 3_лента" xfId="1591"/>
    <cellStyle name="40% - Акцент1 30" xfId="1592"/>
    <cellStyle name="40% — акцент1 30" xfId="1593"/>
    <cellStyle name="40% - Акцент1 30_лента" xfId="1594"/>
    <cellStyle name="40% — акцент1 30_лента" xfId="1595"/>
    <cellStyle name="40% - Акцент1 31" xfId="1596"/>
    <cellStyle name="40% — акцент1 31" xfId="1597"/>
    <cellStyle name="40% - Акцент1 31_лента" xfId="1598"/>
    <cellStyle name="40% — акцент1 31_лента" xfId="1599"/>
    <cellStyle name="40% - Акцент1 32" xfId="1600"/>
    <cellStyle name="40% — акцент1 32" xfId="1601"/>
    <cellStyle name="40% - Акцент1 32_лента" xfId="1602"/>
    <cellStyle name="40% — акцент1 32_лента" xfId="1603"/>
    <cellStyle name="40% - Акцент1 33" xfId="1604"/>
    <cellStyle name="40% — акцент1 33" xfId="1605"/>
    <cellStyle name="40% - Акцент1 33_лента" xfId="1606"/>
    <cellStyle name="40% — акцент1 33_лента" xfId="1607"/>
    <cellStyle name="40% - Акцент1 34" xfId="1608"/>
    <cellStyle name="40% — акцент1 34" xfId="1609"/>
    <cellStyle name="40% - Акцент1 34_лента" xfId="1610"/>
    <cellStyle name="40% — акцент1 34_лента" xfId="1611"/>
    <cellStyle name="40% - Акцент1 35" xfId="1612"/>
    <cellStyle name="40% — акцент1 35" xfId="1613"/>
    <cellStyle name="40% - Акцент1 35_лента" xfId="1614"/>
    <cellStyle name="40% — акцент1 35_лента" xfId="1615"/>
    <cellStyle name="40% - Акцент1 36" xfId="1616"/>
    <cellStyle name="40% — акцент1 36" xfId="1617"/>
    <cellStyle name="40% - Акцент1 36_лента" xfId="1618"/>
    <cellStyle name="40% — акцент1 36_лента" xfId="1619"/>
    <cellStyle name="40% - Акцент1 37" xfId="1620"/>
    <cellStyle name="40% — акцент1 37" xfId="1621"/>
    <cellStyle name="40% - Акцент1 37_лента" xfId="1622"/>
    <cellStyle name="40% — акцент1 37_лента" xfId="1623"/>
    <cellStyle name="40% - Акцент1 38" xfId="1624"/>
    <cellStyle name="40% — акцент1 38" xfId="1625"/>
    <cellStyle name="40% - Акцент1 38_лента" xfId="1626"/>
    <cellStyle name="40% — акцент1 38_лента" xfId="1627"/>
    <cellStyle name="40% - Акцент1 39" xfId="1628"/>
    <cellStyle name="40% — акцент1 39" xfId="1629"/>
    <cellStyle name="40% - Акцент1 39_лента" xfId="1630"/>
    <cellStyle name="40% — акцент1 39_лента" xfId="1631"/>
    <cellStyle name="40% - Акцент1 4" xfId="1632"/>
    <cellStyle name="40% — акцент1 4" xfId="1633"/>
    <cellStyle name="40% - Акцент1 4_лента" xfId="1634"/>
    <cellStyle name="40% — акцент1 4_лента" xfId="1635"/>
    <cellStyle name="40% - Акцент1 40" xfId="1636"/>
    <cellStyle name="40% — акцент1 40" xfId="1637"/>
    <cellStyle name="40% - Акцент1 40_лента" xfId="1638"/>
    <cellStyle name="40% — акцент1 40_лента" xfId="1639"/>
    <cellStyle name="40% - Акцент1 41" xfId="1640"/>
    <cellStyle name="40% — акцент1 41" xfId="1641"/>
    <cellStyle name="40% - Акцент1 41_лента" xfId="1642"/>
    <cellStyle name="40% — акцент1 41_лента" xfId="1643"/>
    <cellStyle name="40% - Акцент1 42" xfId="1644"/>
    <cellStyle name="40% — акцент1 42" xfId="1645"/>
    <cellStyle name="40% - Акцент1 42_лента" xfId="1646"/>
    <cellStyle name="40% — акцент1 42_лента" xfId="1647"/>
    <cellStyle name="40% - Акцент1 43" xfId="1648"/>
    <cellStyle name="40% — акцент1 43" xfId="1649"/>
    <cellStyle name="40% - Акцент1 43_лента" xfId="1650"/>
    <cellStyle name="40% — акцент1 43_лента" xfId="1651"/>
    <cellStyle name="40% - Акцент1 44" xfId="1652"/>
    <cellStyle name="40% — акцент1 44" xfId="1653"/>
    <cellStyle name="40% - Акцент1 44_лента" xfId="1654"/>
    <cellStyle name="40% — акцент1 44_лента" xfId="1655"/>
    <cellStyle name="40% - Акцент1 45" xfId="1656"/>
    <cellStyle name="40% — акцент1 45" xfId="1657"/>
    <cellStyle name="40% - Акцент1 45_лента" xfId="1658"/>
    <cellStyle name="40% — акцент1 45_лента" xfId="1659"/>
    <cellStyle name="40% - Акцент1 46" xfId="1660"/>
    <cellStyle name="40% — акцент1 46" xfId="1661"/>
    <cellStyle name="40% - Акцент1 46_лента" xfId="1662"/>
    <cellStyle name="40% — акцент1 46_лента" xfId="1663"/>
    <cellStyle name="40% - Акцент1 47" xfId="1664"/>
    <cellStyle name="40% — акцент1 47" xfId="1665"/>
    <cellStyle name="40% - Акцент1 47_лента" xfId="1666"/>
    <cellStyle name="40% — акцент1 47_лента" xfId="1667"/>
    <cellStyle name="40% - Акцент1 48" xfId="1668"/>
    <cellStyle name="40% — акцент1 48" xfId="1669"/>
    <cellStyle name="40% - Акцент1 48_лента" xfId="1670"/>
    <cellStyle name="40% — акцент1 48_лента" xfId="1671"/>
    <cellStyle name="40% - Акцент1 49" xfId="1672"/>
    <cellStyle name="40% — акцент1 49" xfId="1673"/>
    <cellStyle name="40% - Акцент1 49_лента" xfId="1674"/>
    <cellStyle name="40% — акцент1 49_лента" xfId="1675"/>
    <cellStyle name="40% - Акцент1 5" xfId="1676"/>
    <cellStyle name="40% — акцент1 5" xfId="1677"/>
    <cellStyle name="40% - Акцент1 5_лента" xfId="1678"/>
    <cellStyle name="40% — акцент1 5_лента" xfId="1679"/>
    <cellStyle name="40% - Акцент1 50" xfId="1680"/>
    <cellStyle name="40% — акцент1 50" xfId="1681"/>
    <cellStyle name="40% - Акцент1 50_лента" xfId="1682"/>
    <cellStyle name="40% — акцент1 50_лента" xfId="1683"/>
    <cellStyle name="40% - Акцент1 51" xfId="1684"/>
    <cellStyle name="40% — акцент1 51" xfId="1685"/>
    <cellStyle name="40% - Акцент1 51_лента" xfId="1686"/>
    <cellStyle name="40% — акцент1 51_лента" xfId="1687"/>
    <cellStyle name="40% - Акцент1 52" xfId="1688"/>
    <cellStyle name="40% — акцент1 52" xfId="1689"/>
    <cellStyle name="40% - Акцент1 52_лента" xfId="1690"/>
    <cellStyle name="40% — акцент1 52_лента" xfId="1691"/>
    <cellStyle name="40% - Акцент1 53" xfId="1692"/>
    <cellStyle name="40% — акцент1 53" xfId="1693"/>
    <cellStyle name="40% - Акцент1 53_лента" xfId="1694"/>
    <cellStyle name="40% — акцент1 53_лента" xfId="1695"/>
    <cellStyle name="40% - Акцент1 54" xfId="1696"/>
    <cellStyle name="40% — акцент1 54" xfId="1697"/>
    <cellStyle name="40% - Акцент1 54_лента" xfId="1698"/>
    <cellStyle name="40% — акцент1 54_лента" xfId="1699"/>
    <cellStyle name="40% - Акцент1 55" xfId="1700"/>
    <cellStyle name="40% — акцент1 55" xfId="1701"/>
    <cellStyle name="40% - Акцент1 55_лента" xfId="1702"/>
    <cellStyle name="40% — акцент1 55_лента" xfId="1703"/>
    <cellStyle name="40% - Акцент1 56" xfId="1704"/>
    <cellStyle name="40% — акцент1 56" xfId="1705"/>
    <cellStyle name="40% - Акцент1 56_лента" xfId="1706"/>
    <cellStyle name="40% — акцент1 56_лента" xfId="1707"/>
    <cellStyle name="40% - Акцент1 57" xfId="1708"/>
    <cellStyle name="40% — акцент1 57" xfId="1709"/>
    <cellStyle name="40% - Акцент1 57_лента" xfId="1710"/>
    <cellStyle name="40% - Акцент1 58" xfId="1711"/>
    <cellStyle name="40% - Акцент1 59" xfId="1712"/>
    <cellStyle name="40% - Акцент1 6" xfId="1713"/>
    <cellStyle name="40% — акцент1 6" xfId="1714"/>
    <cellStyle name="40% - Акцент1 6_лента" xfId="1715"/>
    <cellStyle name="40% — акцент1 6_лента" xfId="1716"/>
    <cellStyle name="40% - Акцент1 60" xfId="1717"/>
    <cellStyle name="40% - Акцент1 61" xfId="1718"/>
    <cellStyle name="40% - Акцент1 62" xfId="1719"/>
    <cellStyle name="40% - Акцент1 63" xfId="1720"/>
    <cellStyle name="40% - Акцент1 64" xfId="1721"/>
    <cellStyle name="40% - Акцент1 65" xfId="1722"/>
    <cellStyle name="40% - Акцент1 66" xfId="1723"/>
    <cellStyle name="40% - Акцент1 67" xfId="1724"/>
    <cellStyle name="40% - Акцент1 7" xfId="1725"/>
    <cellStyle name="40% — акцент1 7" xfId="1726"/>
    <cellStyle name="40% - Акцент1 7_лента" xfId="1727"/>
    <cellStyle name="40% — акцент1 7_лента" xfId="1728"/>
    <cellStyle name="40% - Акцент1 8" xfId="1729"/>
    <cellStyle name="40% — акцент1 8" xfId="1730"/>
    <cellStyle name="40% - Акцент1 8_лента" xfId="1731"/>
    <cellStyle name="40% — акцент1 8_лента" xfId="1732"/>
    <cellStyle name="40% - Акцент1 9" xfId="1733"/>
    <cellStyle name="40% — акцент1 9" xfId="1734"/>
    <cellStyle name="40% - Акцент1 9_лента" xfId="1735"/>
    <cellStyle name="40% — акцент1 9_лента" xfId="1736"/>
    <cellStyle name="40% - Акцент1_база" xfId="1737"/>
    <cellStyle name="40% - Акцент2" xfId="1738"/>
    <cellStyle name="40% - Акцент2 10" xfId="1739"/>
    <cellStyle name="40% — акцент2 10" xfId="1740"/>
    <cellStyle name="40% - Акцент2 10_лента" xfId="1741"/>
    <cellStyle name="40% — акцент2 10_лента" xfId="1742"/>
    <cellStyle name="40% - Акцент2 11" xfId="1743"/>
    <cellStyle name="40% — акцент2 11" xfId="1744"/>
    <cellStyle name="40% - Акцент2 11_лента" xfId="1745"/>
    <cellStyle name="40% — акцент2 11_лента" xfId="1746"/>
    <cellStyle name="40% - Акцент2 12" xfId="1747"/>
    <cellStyle name="40% — акцент2 12" xfId="1748"/>
    <cellStyle name="40% - Акцент2 12_лента" xfId="1749"/>
    <cellStyle name="40% — акцент2 12_лента" xfId="1750"/>
    <cellStyle name="40% - Акцент2 13" xfId="1751"/>
    <cellStyle name="40% — акцент2 13" xfId="1752"/>
    <cellStyle name="40% - Акцент2 13_лента" xfId="1753"/>
    <cellStyle name="40% — акцент2 13_лента" xfId="1754"/>
    <cellStyle name="40% - Акцент2 14" xfId="1755"/>
    <cellStyle name="40% — акцент2 14" xfId="1756"/>
    <cellStyle name="40% - Акцент2 14_лента" xfId="1757"/>
    <cellStyle name="40% — акцент2 14_лента" xfId="1758"/>
    <cellStyle name="40% - Акцент2 15" xfId="1759"/>
    <cellStyle name="40% — акцент2 15" xfId="1760"/>
    <cellStyle name="40% - Акцент2 15_лента" xfId="1761"/>
    <cellStyle name="40% — акцент2 15_лента" xfId="1762"/>
    <cellStyle name="40% - Акцент2 16" xfId="1763"/>
    <cellStyle name="40% — акцент2 16" xfId="1764"/>
    <cellStyle name="40% - Акцент2 16_лента" xfId="1765"/>
    <cellStyle name="40% — акцент2 16_лента" xfId="1766"/>
    <cellStyle name="40% - Акцент2 17" xfId="1767"/>
    <cellStyle name="40% — акцент2 17" xfId="1768"/>
    <cellStyle name="40% - Акцент2 17_лента" xfId="1769"/>
    <cellStyle name="40% — акцент2 17_лента" xfId="1770"/>
    <cellStyle name="40% - Акцент2 18" xfId="1771"/>
    <cellStyle name="40% — акцент2 18" xfId="1772"/>
    <cellStyle name="40% - Акцент2 18_лента" xfId="1773"/>
    <cellStyle name="40% — акцент2 18_лента" xfId="1774"/>
    <cellStyle name="40% - Акцент2 19" xfId="1775"/>
    <cellStyle name="40% — акцент2 19" xfId="1776"/>
    <cellStyle name="40% - Акцент2 19_лента" xfId="1777"/>
    <cellStyle name="40% — акцент2 19_лента" xfId="1778"/>
    <cellStyle name="40% - Акцент2 2" xfId="1779"/>
    <cellStyle name="40% — акцент2 2" xfId="1780"/>
    <cellStyle name="40% - Акцент2 2_лента" xfId="1781"/>
    <cellStyle name="40% — акцент2 2_лента" xfId="1782"/>
    <cellStyle name="40% - Акцент2 20" xfId="1783"/>
    <cellStyle name="40% — акцент2 20" xfId="1784"/>
    <cellStyle name="40% - Акцент2 20_лента" xfId="1785"/>
    <cellStyle name="40% — акцент2 20_лента" xfId="1786"/>
    <cellStyle name="40% - Акцент2 21" xfId="1787"/>
    <cellStyle name="40% — акцент2 21" xfId="1788"/>
    <cellStyle name="40% - Акцент2 21_лента" xfId="1789"/>
    <cellStyle name="40% — акцент2 21_лента" xfId="1790"/>
    <cellStyle name="40% - Акцент2 22" xfId="1791"/>
    <cellStyle name="40% — акцент2 22" xfId="1792"/>
    <cellStyle name="40% - Акцент2 22_лента" xfId="1793"/>
    <cellStyle name="40% — акцент2 22_лента" xfId="1794"/>
    <cellStyle name="40% - Акцент2 23" xfId="1795"/>
    <cellStyle name="40% — акцент2 23" xfId="1796"/>
    <cellStyle name="40% - Акцент2 23_лента" xfId="1797"/>
    <cellStyle name="40% — акцент2 23_лента" xfId="1798"/>
    <cellStyle name="40% - Акцент2 24" xfId="1799"/>
    <cellStyle name="40% — акцент2 24" xfId="1800"/>
    <cellStyle name="40% - Акцент2 24_лента" xfId="1801"/>
    <cellStyle name="40% — акцент2 24_лента" xfId="1802"/>
    <cellStyle name="40% - Акцент2 25" xfId="1803"/>
    <cellStyle name="40% — акцент2 25" xfId="1804"/>
    <cellStyle name="40% - Акцент2 25_лента" xfId="1805"/>
    <cellStyle name="40% — акцент2 25_лента" xfId="1806"/>
    <cellStyle name="40% - Акцент2 26" xfId="1807"/>
    <cellStyle name="40% — акцент2 26" xfId="1808"/>
    <cellStyle name="40% - Акцент2 26_лента" xfId="1809"/>
    <cellStyle name="40% — акцент2 26_лента" xfId="1810"/>
    <cellStyle name="40% - Акцент2 27" xfId="1811"/>
    <cellStyle name="40% — акцент2 27" xfId="1812"/>
    <cellStyle name="40% - Акцент2 27_лента" xfId="1813"/>
    <cellStyle name="40% — акцент2 27_лента" xfId="1814"/>
    <cellStyle name="40% - Акцент2 28" xfId="1815"/>
    <cellStyle name="40% — акцент2 28" xfId="1816"/>
    <cellStyle name="40% - Акцент2 28_лента" xfId="1817"/>
    <cellStyle name="40% — акцент2 28_лента" xfId="1818"/>
    <cellStyle name="40% - Акцент2 29" xfId="1819"/>
    <cellStyle name="40% — акцент2 29" xfId="1820"/>
    <cellStyle name="40% - Акцент2 29_лента" xfId="1821"/>
    <cellStyle name="40% — акцент2 29_лента" xfId="1822"/>
    <cellStyle name="40% - Акцент2 3" xfId="1823"/>
    <cellStyle name="40% — акцент2 3" xfId="1824"/>
    <cellStyle name="40% - Акцент2 3_лента" xfId="1825"/>
    <cellStyle name="40% — акцент2 3_лента" xfId="1826"/>
    <cellStyle name="40% - Акцент2 30" xfId="1827"/>
    <cellStyle name="40% — акцент2 30" xfId="1828"/>
    <cellStyle name="40% - Акцент2 30_лента" xfId="1829"/>
    <cellStyle name="40% — акцент2 30_лента" xfId="1830"/>
    <cellStyle name="40% - Акцент2 31" xfId="1831"/>
    <cellStyle name="40% — акцент2 31" xfId="1832"/>
    <cellStyle name="40% - Акцент2 31_лента" xfId="1833"/>
    <cellStyle name="40% — акцент2 31_лента" xfId="1834"/>
    <cellStyle name="40% - Акцент2 32" xfId="1835"/>
    <cellStyle name="40% — акцент2 32" xfId="1836"/>
    <cellStyle name="40% - Акцент2 32_лента" xfId="1837"/>
    <cellStyle name="40% — акцент2 32_лента" xfId="1838"/>
    <cellStyle name="40% - Акцент2 33" xfId="1839"/>
    <cellStyle name="40% — акцент2 33" xfId="1840"/>
    <cellStyle name="40% - Акцент2 33_лента" xfId="1841"/>
    <cellStyle name="40% — акцент2 33_лента" xfId="1842"/>
    <cellStyle name="40% - Акцент2 34" xfId="1843"/>
    <cellStyle name="40% — акцент2 34" xfId="1844"/>
    <cellStyle name="40% - Акцент2 34_лента" xfId="1845"/>
    <cellStyle name="40% — акцент2 34_лента" xfId="1846"/>
    <cellStyle name="40% - Акцент2 35" xfId="1847"/>
    <cellStyle name="40% — акцент2 35" xfId="1848"/>
    <cellStyle name="40% - Акцент2 35_лента" xfId="1849"/>
    <cellStyle name="40% — акцент2 35_лента" xfId="1850"/>
    <cellStyle name="40% - Акцент2 36" xfId="1851"/>
    <cellStyle name="40% — акцент2 36" xfId="1852"/>
    <cellStyle name="40% - Акцент2 36_лента" xfId="1853"/>
    <cellStyle name="40% — акцент2 36_лента" xfId="1854"/>
    <cellStyle name="40% - Акцент2 37" xfId="1855"/>
    <cellStyle name="40% — акцент2 37" xfId="1856"/>
    <cellStyle name="40% - Акцент2 37_лента" xfId="1857"/>
    <cellStyle name="40% — акцент2 37_лента" xfId="1858"/>
    <cellStyle name="40% - Акцент2 38" xfId="1859"/>
    <cellStyle name="40% — акцент2 38" xfId="1860"/>
    <cellStyle name="40% - Акцент2 38_лента" xfId="1861"/>
    <cellStyle name="40% — акцент2 38_лента" xfId="1862"/>
    <cellStyle name="40% - Акцент2 39" xfId="1863"/>
    <cellStyle name="40% — акцент2 39" xfId="1864"/>
    <cellStyle name="40% - Акцент2 39_лента" xfId="1865"/>
    <cellStyle name="40% — акцент2 39_лента" xfId="1866"/>
    <cellStyle name="40% - Акцент2 4" xfId="1867"/>
    <cellStyle name="40% — акцент2 4" xfId="1868"/>
    <cellStyle name="40% - Акцент2 4_лента" xfId="1869"/>
    <cellStyle name="40% — акцент2 4_лента" xfId="1870"/>
    <cellStyle name="40% - Акцент2 40" xfId="1871"/>
    <cellStyle name="40% — акцент2 40" xfId="1872"/>
    <cellStyle name="40% - Акцент2 40_лента" xfId="1873"/>
    <cellStyle name="40% — акцент2 40_лента" xfId="1874"/>
    <cellStyle name="40% - Акцент2 41" xfId="1875"/>
    <cellStyle name="40% — акцент2 41" xfId="1876"/>
    <cellStyle name="40% - Акцент2 41_лента" xfId="1877"/>
    <cellStyle name="40% — акцент2 41_лента" xfId="1878"/>
    <cellStyle name="40% - Акцент2 42" xfId="1879"/>
    <cellStyle name="40% — акцент2 42" xfId="1880"/>
    <cellStyle name="40% - Акцент2 42_лента" xfId="1881"/>
    <cellStyle name="40% — акцент2 42_лента" xfId="1882"/>
    <cellStyle name="40% - Акцент2 43" xfId="1883"/>
    <cellStyle name="40% — акцент2 43" xfId="1884"/>
    <cellStyle name="40% - Акцент2 43_лента" xfId="1885"/>
    <cellStyle name="40% — акцент2 43_лента" xfId="1886"/>
    <cellStyle name="40% - Акцент2 44" xfId="1887"/>
    <cellStyle name="40% — акцент2 44" xfId="1888"/>
    <cellStyle name="40% - Акцент2 44_лента" xfId="1889"/>
    <cellStyle name="40% — акцент2 44_лента" xfId="1890"/>
    <cellStyle name="40% - Акцент2 45" xfId="1891"/>
    <cellStyle name="40% — акцент2 45" xfId="1892"/>
    <cellStyle name="40% - Акцент2 45_лента" xfId="1893"/>
    <cellStyle name="40% — акцент2 45_лента" xfId="1894"/>
    <cellStyle name="40% - Акцент2 46" xfId="1895"/>
    <cellStyle name="40% — акцент2 46" xfId="1896"/>
    <cellStyle name="40% - Акцент2 46_лента" xfId="1897"/>
    <cellStyle name="40% — акцент2 46_лента" xfId="1898"/>
    <cellStyle name="40% - Акцент2 47" xfId="1899"/>
    <cellStyle name="40% — акцент2 47" xfId="1900"/>
    <cellStyle name="40% - Акцент2 47_лента" xfId="1901"/>
    <cellStyle name="40% — акцент2 47_лента" xfId="1902"/>
    <cellStyle name="40% - Акцент2 48" xfId="1903"/>
    <cellStyle name="40% — акцент2 48" xfId="1904"/>
    <cellStyle name="40% - Акцент2 48_лента" xfId="1905"/>
    <cellStyle name="40% — акцент2 48_лента" xfId="1906"/>
    <cellStyle name="40% - Акцент2 49" xfId="1907"/>
    <cellStyle name="40% — акцент2 49" xfId="1908"/>
    <cellStyle name="40% - Акцент2 49_лента" xfId="1909"/>
    <cellStyle name="40% — акцент2 49_лента" xfId="1910"/>
    <cellStyle name="40% - Акцент2 5" xfId="1911"/>
    <cellStyle name="40% — акцент2 5" xfId="1912"/>
    <cellStyle name="40% - Акцент2 5_лента" xfId="1913"/>
    <cellStyle name="40% — акцент2 5_лента" xfId="1914"/>
    <cellStyle name="40% - Акцент2 50" xfId="1915"/>
    <cellStyle name="40% — акцент2 50" xfId="1916"/>
    <cellStyle name="40% - Акцент2 50_лента" xfId="1917"/>
    <cellStyle name="40% — акцент2 50_лента" xfId="1918"/>
    <cellStyle name="40% - Акцент2 51" xfId="1919"/>
    <cellStyle name="40% — акцент2 51" xfId="1920"/>
    <cellStyle name="40% - Акцент2 51_лента" xfId="1921"/>
    <cellStyle name="40% — акцент2 51_лента" xfId="1922"/>
    <cellStyle name="40% - Акцент2 52" xfId="1923"/>
    <cellStyle name="40% — акцент2 52" xfId="1924"/>
    <cellStyle name="40% - Акцент2 52_лента" xfId="1925"/>
    <cellStyle name="40% — акцент2 52_лента" xfId="1926"/>
    <cellStyle name="40% - Акцент2 53" xfId="1927"/>
    <cellStyle name="40% — акцент2 53" xfId="1928"/>
    <cellStyle name="40% - Акцент2 53_лента" xfId="1929"/>
    <cellStyle name="40% — акцент2 53_лента" xfId="1930"/>
    <cellStyle name="40% - Акцент2 54" xfId="1931"/>
    <cellStyle name="40% — акцент2 54" xfId="1932"/>
    <cellStyle name="40% - Акцент2 54_лента" xfId="1933"/>
    <cellStyle name="40% — акцент2 54_лента" xfId="1934"/>
    <cellStyle name="40% - Акцент2 55" xfId="1935"/>
    <cellStyle name="40% — акцент2 55" xfId="1936"/>
    <cellStyle name="40% - Акцент2 55_лента" xfId="1937"/>
    <cellStyle name="40% — акцент2 55_лента" xfId="1938"/>
    <cellStyle name="40% - Акцент2 56" xfId="1939"/>
    <cellStyle name="40% — акцент2 56" xfId="1940"/>
    <cellStyle name="40% - Акцент2 56_лента" xfId="1941"/>
    <cellStyle name="40% — акцент2 56_лента" xfId="1942"/>
    <cellStyle name="40% - Акцент2 57" xfId="1943"/>
    <cellStyle name="40% — акцент2 57" xfId="1944"/>
    <cellStyle name="40% - Акцент2 57_лента" xfId="1945"/>
    <cellStyle name="40% - Акцент2 58" xfId="1946"/>
    <cellStyle name="40% - Акцент2 59" xfId="1947"/>
    <cellStyle name="40% - Акцент2 6" xfId="1948"/>
    <cellStyle name="40% — акцент2 6" xfId="1949"/>
    <cellStyle name="40% - Акцент2 6_лента" xfId="1950"/>
    <cellStyle name="40% — акцент2 6_лента" xfId="1951"/>
    <cellStyle name="40% - Акцент2 60" xfId="1952"/>
    <cellStyle name="40% - Акцент2 61" xfId="1953"/>
    <cellStyle name="40% - Акцент2 62" xfId="1954"/>
    <cellStyle name="40% - Акцент2 63" xfId="1955"/>
    <cellStyle name="40% - Акцент2 64" xfId="1956"/>
    <cellStyle name="40% - Акцент2 65" xfId="1957"/>
    <cellStyle name="40% - Акцент2 66" xfId="1958"/>
    <cellStyle name="40% - Акцент2 67" xfId="1959"/>
    <cellStyle name="40% - Акцент2 7" xfId="1960"/>
    <cellStyle name="40% — акцент2 7" xfId="1961"/>
    <cellStyle name="40% - Акцент2 7_лента" xfId="1962"/>
    <cellStyle name="40% — акцент2 7_лента" xfId="1963"/>
    <cellStyle name="40% - Акцент2 8" xfId="1964"/>
    <cellStyle name="40% — акцент2 8" xfId="1965"/>
    <cellStyle name="40% - Акцент2 8_лента" xfId="1966"/>
    <cellStyle name="40% — акцент2 8_лента" xfId="1967"/>
    <cellStyle name="40% - Акцент2 9" xfId="1968"/>
    <cellStyle name="40% — акцент2 9" xfId="1969"/>
    <cellStyle name="40% - Акцент2 9_лента" xfId="1970"/>
    <cellStyle name="40% — акцент2 9_лента" xfId="1971"/>
    <cellStyle name="40% - Акцент2_база" xfId="1972"/>
    <cellStyle name="40% - Акцент3" xfId="1973"/>
    <cellStyle name="40% - Акцент3 10" xfId="1974"/>
    <cellStyle name="40% — акцент3 10" xfId="1975"/>
    <cellStyle name="40% - Акцент3 10_лента" xfId="1976"/>
    <cellStyle name="40% — акцент3 10_лента" xfId="1977"/>
    <cellStyle name="40% - Акцент3 11" xfId="1978"/>
    <cellStyle name="40% — акцент3 11" xfId="1979"/>
    <cellStyle name="40% - Акцент3 11_лента" xfId="1980"/>
    <cellStyle name="40% — акцент3 11_лента" xfId="1981"/>
    <cellStyle name="40% - Акцент3 12" xfId="1982"/>
    <cellStyle name="40% — акцент3 12" xfId="1983"/>
    <cellStyle name="40% - Акцент3 12_лента" xfId="1984"/>
    <cellStyle name="40% — акцент3 12_лента" xfId="1985"/>
    <cellStyle name="40% - Акцент3 13" xfId="1986"/>
    <cellStyle name="40% — акцент3 13" xfId="1987"/>
    <cellStyle name="40% - Акцент3 13_лента" xfId="1988"/>
    <cellStyle name="40% — акцент3 13_лента" xfId="1989"/>
    <cellStyle name="40% - Акцент3 14" xfId="1990"/>
    <cellStyle name="40% — акцент3 14" xfId="1991"/>
    <cellStyle name="40% - Акцент3 14_лента" xfId="1992"/>
    <cellStyle name="40% — акцент3 14_лента" xfId="1993"/>
    <cellStyle name="40% - Акцент3 15" xfId="1994"/>
    <cellStyle name="40% — акцент3 15" xfId="1995"/>
    <cellStyle name="40% - Акцент3 15_лента" xfId="1996"/>
    <cellStyle name="40% — акцент3 15_лента" xfId="1997"/>
    <cellStyle name="40% - Акцент3 16" xfId="1998"/>
    <cellStyle name="40% — акцент3 16" xfId="1999"/>
    <cellStyle name="40% - Акцент3 16_лента" xfId="2000"/>
    <cellStyle name="40% — акцент3 16_лента" xfId="2001"/>
    <cellStyle name="40% - Акцент3 17" xfId="2002"/>
    <cellStyle name="40% — акцент3 17" xfId="2003"/>
    <cellStyle name="40% - Акцент3 17_лента" xfId="2004"/>
    <cellStyle name="40% — акцент3 17_лента" xfId="2005"/>
    <cellStyle name="40% - Акцент3 18" xfId="2006"/>
    <cellStyle name="40% — акцент3 18" xfId="2007"/>
    <cellStyle name="40% - Акцент3 18_лента" xfId="2008"/>
    <cellStyle name="40% — акцент3 18_лента" xfId="2009"/>
    <cellStyle name="40% - Акцент3 19" xfId="2010"/>
    <cellStyle name="40% — акцент3 19" xfId="2011"/>
    <cellStyle name="40% - Акцент3 19_лента" xfId="2012"/>
    <cellStyle name="40% — акцент3 19_лента" xfId="2013"/>
    <cellStyle name="40% - Акцент3 2" xfId="2014"/>
    <cellStyle name="40% — акцент3 2" xfId="2015"/>
    <cellStyle name="40% - Акцент3 2_лента" xfId="2016"/>
    <cellStyle name="40% — акцент3 2_лента" xfId="2017"/>
    <cellStyle name="40% - Акцент3 20" xfId="2018"/>
    <cellStyle name="40% — акцент3 20" xfId="2019"/>
    <cellStyle name="40% - Акцент3 20_лента" xfId="2020"/>
    <cellStyle name="40% — акцент3 20_лента" xfId="2021"/>
    <cellStyle name="40% - Акцент3 21" xfId="2022"/>
    <cellStyle name="40% — акцент3 21" xfId="2023"/>
    <cellStyle name="40% - Акцент3 21_лента" xfId="2024"/>
    <cellStyle name="40% — акцент3 21_лента" xfId="2025"/>
    <cellStyle name="40% - Акцент3 22" xfId="2026"/>
    <cellStyle name="40% — акцент3 22" xfId="2027"/>
    <cellStyle name="40% - Акцент3 22_лента" xfId="2028"/>
    <cellStyle name="40% — акцент3 22_лента" xfId="2029"/>
    <cellStyle name="40% - Акцент3 23" xfId="2030"/>
    <cellStyle name="40% — акцент3 23" xfId="2031"/>
    <cellStyle name="40% - Акцент3 23_лента" xfId="2032"/>
    <cellStyle name="40% — акцент3 23_лента" xfId="2033"/>
    <cellStyle name="40% - Акцент3 24" xfId="2034"/>
    <cellStyle name="40% — акцент3 24" xfId="2035"/>
    <cellStyle name="40% - Акцент3 24_лента" xfId="2036"/>
    <cellStyle name="40% — акцент3 24_лента" xfId="2037"/>
    <cellStyle name="40% - Акцент3 25" xfId="2038"/>
    <cellStyle name="40% — акцент3 25" xfId="2039"/>
    <cellStyle name="40% - Акцент3 25_лента" xfId="2040"/>
    <cellStyle name="40% — акцент3 25_лента" xfId="2041"/>
    <cellStyle name="40% - Акцент3 26" xfId="2042"/>
    <cellStyle name="40% — акцент3 26" xfId="2043"/>
    <cellStyle name="40% - Акцент3 26_лента" xfId="2044"/>
    <cellStyle name="40% — акцент3 26_лента" xfId="2045"/>
    <cellStyle name="40% - Акцент3 27" xfId="2046"/>
    <cellStyle name="40% — акцент3 27" xfId="2047"/>
    <cellStyle name="40% - Акцент3 27_лента" xfId="2048"/>
    <cellStyle name="40% — акцент3 27_лента" xfId="2049"/>
    <cellStyle name="40% - Акцент3 28" xfId="2050"/>
    <cellStyle name="40% — акцент3 28" xfId="2051"/>
    <cellStyle name="40% - Акцент3 28_лента" xfId="2052"/>
    <cellStyle name="40% — акцент3 28_лента" xfId="2053"/>
    <cellStyle name="40% - Акцент3 29" xfId="2054"/>
    <cellStyle name="40% — акцент3 29" xfId="2055"/>
    <cellStyle name="40% - Акцент3 29_лента" xfId="2056"/>
    <cellStyle name="40% — акцент3 29_лента" xfId="2057"/>
    <cellStyle name="40% - Акцент3 3" xfId="2058"/>
    <cellStyle name="40% — акцент3 3" xfId="2059"/>
    <cellStyle name="40% - Акцент3 3_лента" xfId="2060"/>
    <cellStyle name="40% — акцент3 3_лента" xfId="2061"/>
    <cellStyle name="40% - Акцент3 30" xfId="2062"/>
    <cellStyle name="40% — акцент3 30" xfId="2063"/>
    <cellStyle name="40% - Акцент3 30_лента" xfId="2064"/>
    <cellStyle name="40% — акцент3 30_лента" xfId="2065"/>
    <cellStyle name="40% - Акцент3 31" xfId="2066"/>
    <cellStyle name="40% — акцент3 31" xfId="2067"/>
    <cellStyle name="40% - Акцент3 31_лента" xfId="2068"/>
    <cellStyle name="40% — акцент3 31_лента" xfId="2069"/>
    <cellStyle name="40% - Акцент3 32" xfId="2070"/>
    <cellStyle name="40% — акцент3 32" xfId="2071"/>
    <cellStyle name="40% - Акцент3 32_лента" xfId="2072"/>
    <cellStyle name="40% — акцент3 32_лента" xfId="2073"/>
    <cellStyle name="40% - Акцент3 33" xfId="2074"/>
    <cellStyle name="40% — акцент3 33" xfId="2075"/>
    <cellStyle name="40% - Акцент3 33_лента" xfId="2076"/>
    <cellStyle name="40% — акцент3 33_лента" xfId="2077"/>
    <cellStyle name="40% - Акцент3 34" xfId="2078"/>
    <cellStyle name="40% — акцент3 34" xfId="2079"/>
    <cellStyle name="40% - Акцент3 34_лента" xfId="2080"/>
    <cellStyle name="40% — акцент3 34_лента" xfId="2081"/>
    <cellStyle name="40% - Акцент3 35" xfId="2082"/>
    <cellStyle name="40% — акцент3 35" xfId="2083"/>
    <cellStyle name="40% - Акцент3 35_лента" xfId="2084"/>
    <cellStyle name="40% — акцент3 35_лента" xfId="2085"/>
    <cellStyle name="40% - Акцент3 36" xfId="2086"/>
    <cellStyle name="40% — акцент3 36" xfId="2087"/>
    <cellStyle name="40% - Акцент3 36_лента" xfId="2088"/>
    <cellStyle name="40% — акцент3 36_лента" xfId="2089"/>
    <cellStyle name="40% - Акцент3 37" xfId="2090"/>
    <cellStyle name="40% — акцент3 37" xfId="2091"/>
    <cellStyle name="40% - Акцент3 37_лента" xfId="2092"/>
    <cellStyle name="40% — акцент3 37_лента" xfId="2093"/>
    <cellStyle name="40% - Акцент3 38" xfId="2094"/>
    <cellStyle name="40% — акцент3 38" xfId="2095"/>
    <cellStyle name="40% - Акцент3 38_лента" xfId="2096"/>
    <cellStyle name="40% — акцент3 38_лента" xfId="2097"/>
    <cellStyle name="40% - Акцент3 39" xfId="2098"/>
    <cellStyle name="40% — акцент3 39" xfId="2099"/>
    <cellStyle name="40% - Акцент3 39_лента" xfId="2100"/>
    <cellStyle name="40% — акцент3 39_лента" xfId="2101"/>
    <cellStyle name="40% - Акцент3 4" xfId="2102"/>
    <cellStyle name="40% — акцент3 4" xfId="2103"/>
    <cellStyle name="40% - Акцент3 4_лента" xfId="2104"/>
    <cellStyle name="40% — акцент3 4_лента" xfId="2105"/>
    <cellStyle name="40% - Акцент3 40" xfId="2106"/>
    <cellStyle name="40% — акцент3 40" xfId="2107"/>
    <cellStyle name="40% - Акцент3 40_лента" xfId="2108"/>
    <cellStyle name="40% — акцент3 40_лента" xfId="2109"/>
    <cellStyle name="40% - Акцент3 41" xfId="2110"/>
    <cellStyle name="40% — акцент3 41" xfId="2111"/>
    <cellStyle name="40% - Акцент3 41_лента" xfId="2112"/>
    <cellStyle name="40% — акцент3 41_лента" xfId="2113"/>
    <cellStyle name="40% - Акцент3 42" xfId="2114"/>
    <cellStyle name="40% — акцент3 42" xfId="2115"/>
    <cellStyle name="40% - Акцент3 42_лента" xfId="2116"/>
    <cellStyle name="40% — акцент3 42_лента" xfId="2117"/>
    <cellStyle name="40% - Акцент3 43" xfId="2118"/>
    <cellStyle name="40% — акцент3 43" xfId="2119"/>
    <cellStyle name="40% - Акцент3 43_лента" xfId="2120"/>
    <cellStyle name="40% — акцент3 43_лента" xfId="2121"/>
    <cellStyle name="40% - Акцент3 44" xfId="2122"/>
    <cellStyle name="40% — акцент3 44" xfId="2123"/>
    <cellStyle name="40% - Акцент3 44_лента" xfId="2124"/>
    <cellStyle name="40% — акцент3 44_лента" xfId="2125"/>
    <cellStyle name="40% - Акцент3 45" xfId="2126"/>
    <cellStyle name="40% — акцент3 45" xfId="2127"/>
    <cellStyle name="40% - Акцент3 45_лента" xfId="2128"/>
    <cellStyle name="40% — акцент3 45_лента" xfId="2129"/>
    <cellStyle name="40% - Акцент3 46" xfId="2130"/>
    <cellStyle name="40% — акцент3 46" xfId="2131"/>
    <cellStyle name="40% - Акцент3 46_лента" xfId="2132"/>
    <cellStyle name="40% — акцент3 46_лента" xfId="2133"/>
    <cellStyle name="40% - Акцент3 47" xfId="2134"/>
    <cellStyle name="40% — акцент3 47" xfId="2135"/>
    <cellStyle name="40% - Акцент3 47_лента" xfId="2136"/>
    <cellStyle name="40% — акцент3 47_лента" xfId="2137"/>
    <cellStyle name="40% - Акцент3 48" xfId="2138"/>
    <cellStyle name="40% — акцент3 48" xfId="2139"/>
    <cellStyle name="40% - Акцент3 48_лента" xfId="2140"/>
    <cellStyle name="40% — акцент3 48_лента" xfId="2141"/>
    <cellStyle name="40% - Акцент3 49" xfId="2142"/>
    <cellStyle name="40% — акцент3 49" xfId="2143"/>
    <cellStyle name="40% - Акцент3 49_лента" xfId="2144"/>
    <cellStyle name="40% — акцент3 49_лента" xfId="2145"/>
    <cellStyle name="40% - Акцент3 5" xfId="2146"/>
    <cellStyle name="40% — акцент3 5" xfId="2147"/>
    <cellStyle name="40% - Акцент3 5_лента" xfId="2148"/>
    <cellStyle name="40% — акцент3 5_лента" xfId="2149"/>
    <cellStyle name="40% - Акцент3 50" xfId="2150"/>
    <cellStyle name="40% — акцент3 50" xfId="2151"/>
    <cellStyle name="40% - Акцент3 50_лента" xfId="2152"/>
    <cellStyle name="40% — акцент3 50_лента" xfId="2153"/>
    <cellStyle name="40% - Акцент3 51" xfId="2154"/>
    <cellStyle name="40% — акцент3 51" xfId="2155"/>
    <cellStyle name="40% - Акцент3 51_лента" xfId="2156"/>
    <cellStyle name="40% — акцент3 51_лента" xfId="2157"/>
    <cellStyle name="40% - Акцент3 52" xfId="2158"/>
    <cellStyle name="40% — акцент3 52" xfId="2159"/>
    <cellStyle name="40% - Акцент3 52_лента" xfId="2160"/>
    <cellStyle name="40% — акцент3 52_лента" xfId="2161"/>
    <cellStyle name="40% - Акцент3 53" xfId="2162"/>
    <cellStyle name="40% — акцент3 53" xfId="2163"/>
    <cellStyle name="40% - Акцент3 53_лента" xfId="2164"/>
    <cellStyle name="40% — акцент3 53_лента" xfId="2165"/>
    <cellStyle name="40% - Акцент3 54" xfId="2166"/>
    <cellStyle name="40% — акцент3 54" xfId="2167"/>
    <cellStyle name="40% - Акцент3 54_лента" xfId="2168"/>
    <cellStyle name="40% — акцент3 54_лента" xfId="2169"/>
    <cellStyle name="40% - Акцент3 55" xfId="2170"/>
    <cellStyle name="40% — акцент3 55" xfId="2171"/>
    <cellStyle name="40% - Акцент3 55_лента" xfId="2172"/>
    <cellStyle name="40% — акцент3 55_лента" xfId="2173"/>
    <cellStyle name="40% - Акцент3 56" xfId="2174"/>
    <cellStyle name="40% — акцент3 56" xfId="2175"/>
    <cellStyle name="40% - Акцент3 56_лента" xfId="2176"/>
    <cellStyle name="40% — акцент3 56_лента" xfId="2177"/>
    <cellStyle name="40% - Акцент3 57" xfId="2178"/>
    <cellStyle name="40% — акцент3 57" xfId="2179"/>
    <cellStyle name="40% - Акцент3 57_лента" xfId="2180"/>
    <cellStyle name="40% - Акцент3 58" xfId="2181"/>
    <cellStyle name="40% - Акцент3 59" xfId="2182"/>
    <cellStyle name="40% - Акцент3 6" xfId="2183"/>
    <cellStyle name="40% — акцент3 6" xfId="2184"/>
    <cellStyle name="40% - Акцент3 6_лента" xfId="2185"/>
    <cellStyle name="40% — акцент3 6_лента" xfId="2186"/>
    <cellStyle name="40% - Акцент3 60" xfId="2187"/>
    <cellStyle name="40% - Акцент3 61" xfId="2188"/>
    <cellStyle name="40% - Акцент3 62" xfId="2189"/>
    <cellStyle name="40% - Акцент3 63" xfId="2190"/>
    <cellStyle name="40% - Акцент3 64" xfId="2191"/>
    <cellStyle name="40% - Акцент3 65" xfId="2192"/>
    <cellStyle name="40% - Акцент3 66" xfId="2193"/>
    <cellStyle name="40% - Акцент3 67" xfId="2194"/>
    <cellStyle name="40% - Акцент3 7" xfId="2195"/>
    <cellStyle name="40% — акцент3 7" xfId="2196"/>
    <cellStyle name="40% - Акцент3 7_лента" xfId="2197"/>
    <cellStyle name="40% — акцент3 7_лента" xfId="2198"/>
    <cellStyle name="40% - Акцент3 8" xfId="2199"/>
    <cellStyle name="40% — акцент3 8" xfId="2200"/>
    <cellStyle name="40% - Акцент3 8_лента" xfId="2201"/>
    <cellStyle name="40% — акцент3 8_лента" xfId="2202"/>
    <cellStyle name="40% - Акцент3 9" xfId="2203"/>
    <cellStyle name="40% — акцент3 9" xfId="2204"/>
    <cellStyle name="40% - Акцент3 9_лента" xfId="2205"/>
    <cellStyle name="40% — акцент3 9_лента" xfId="2206"/>
    <cellStyle name="40% - Акцент3_база" xfId="2207"/>
    <cellStyle name="40% - Акцент4" xfId="2208"/>
    <cellStyle name="40% - Акцент4 10" xfId="2209"/>
    <cellStyle name="40% — акцент4 10" xfId="2210"/>
    <cellStyle name="40% - Акцент4 10_лента" xfId="2211"/>
    <cellStyle name="40% — акцент4 10_лента" xfId="2212"/>
    <cellStyle name="40% - Акцент4 11" xfId="2213"/>
    <cellStyle name="40% — акцент4 11" xfId="2214"/>
    <cellStyle name="40% - Акцент4 11_лента" xfId="2215"/>
    <cellStyle name="40% — акцент4 11_лента" xfId="2216"/>
    <cellStyle name="40% - Акцент4 12" xfId="2217"/>
    <cellStyle name="40% — акцент4 12" xfId="2218"/>
    <cellStyle name="40% - Акцент4 12_лента" xfId="2219"/>
    <cellStyle name="40% — акцент4 12_лента" xfId="2220"/>
    <cellStyle name="40% - Акцент4 13" xfId="2221"/>
    <cellStyle name="40% — акцент4 13" xfId="2222"/>
    <cellStyle name="40% - Акцент4 13_лента" xfId="2223"/>
    <cellStyle name="40% — акцент4 13_лента" xfId="2224"/>
    <cellStyle name="40% - Акцент4 14" xfId="2225"/>
    <cellStyle name="40% — акцент4 14" xfId="2226"/>
    <cellStyle name="40% - Акцент4 14_лента" xfId="2227"/>
    <cellStyle name="40% — акцент4 14_лента" xfId="2228"/>
    <cellStyle name="40% - Акцент4 15" xfId="2229"/>
    <cellStyle name="40% — акцент4 15" xfId="2230"/>
    <cellStyle name="40% - Акцент4 15_лента" xfId="2231"/>
    <cellStyle name="40% — акцент4 15_лента" xfId="2232"/>
    <cellStyle name="40% - Акцент4 16" xfId="2233"/>
    <cellStyle name="40% — акцент4 16" xfId="2234"/>
    <cellStyle name="40% - Акцент4 16_лента" xfId="2235"/>
    <cellStyle name="40% — акцент4 16_лента" xfId="2236"/>
    <cellStyle name="40% - Акцент4 17" xfId="2237"/>
    <cellStyle name="40% — акцент4 17" xfId="2238"/>
    <cellStyle name="40% - Акцент4 17_лента" xfId="2239"/>
    <cellStyle name="40% — акцент4 17_лента" xfId="2240"/>
    <cellStyle name="40% - Акцент4 18" xfId="2241"/>
    <cellStyle name="40% — акцент4 18" xfId="2242"/>
    <cellStyle name="40% - Акцент4 18_лента" xfId="2243"/>
    <cellStyle name="40% — акцент4 18_лента" xfId="2244"/>
    <cellStyle name="40% - Акцент4 19" xfId="2245"/>
    <cellStyle name="40% — акцент4 19" xfId="2246"/>
    <cellStyle name="40% - Акцент4 19_лента" xfId="2247"/>
    <cellStyle name="40% — акцент4 19_лента" xfId="2248"/>
    <cellStyle name="40% - Акцент4 2" xfId="2249"/>
    <cellStyle name="40% — акцент4 2" xfId="2250"/>
    <cellStyle name="40% - Акцент4 2_лента" xfId="2251"/>
    <cellStyle name="40% — акцент4 2_лента" xfId="2252"/>
    <cellStyle name="40% - Акцент4 20" xfId="2253"/>
    <cellStyle name="40% — акцент4 20" xfId="2254"/>
    <cellStyle name="40% - Акцент4 20_лента" xfId="2255"/>
    <cellStyle name="40% — акцент4 20_лента" xfId="2256"/>
    <cellStyle name="40% - Акцент4 21" xfId="2257"/>
    <cellStyle name="40% — акцент4 21" xfId="2258"/>
    <cellStyle name="40% - Акцент4 21_лента" xfId="2259"/>
    <cellStyle name="40% — акцент4 21_лента" xfId="2260"/>
    <cellStyle name="40% - Акцент4 22" xfId="2261"/>
    <cellStyle name="40% — акцент4 22" xfId="2262"/>
    <cellStyle name="40% - Акцент4 22_лента" xfId="2263"/>
    <cellStyle name="40% — акцент4 22_лента" xfId="2264"/>
    <cellStyle name="40% - Акцент4 23" xfId="2265"/>
    <cellStyle name="40% — акцент4 23" xfId="2266"/>
    <cellStyle name="40% - Акцент4 23_лента" xfId="2267"/>
    <cellStyle name="40% — акцент4 23_лента" xfId="2268"/>
    <cellStyle name="40% - Акцент4 24" xfId="2269"/>
    <cellStyle name="40% — акцент4 24" xfId="2270"/>
    <cellStyle name="40% - Акцент4 24_лента" xfId="2271"/>
    <cellStyle name="40% — акцент4 24_лента" xfId="2272"/>
    <cellStyle name="40% - Акцент4 25" xfId="2273"/>
    <cellStyle name="40% — акцент4 25" xfId="2274"/>
    <cellStyle name="40% - Акцент4 25_лента" xfId="2275"/>
    <cellStyle name="40% — акцент4 25_лента" xfId="2276"/>
    <cellStyle name="40% - Акцент4 26" xfId="2277"/>
    <cellStyle name="40% — акцент4 26" xfId="2278"/>
    <cellStyle name="40% - Акцент4 26_лента" xfId="2279"/>
    <cellStyle name="40% — акцент4 26_лента" xfId="2280"/>
    <cellStyle name="40% - Акцент4 27" xfId="2281"/>
    <cellStyle name="40% — акцент4 27" xfId="2282"/>
    <cellStyle name="40% - Акцент4 27_лента" xfId="2283"/>
    <cellStyle name="40% — акцент4 27_лента" xfId="2284"/>
    <cellStyle name="40% - Акцент4 28" xfId="2285"/>
    <cellStyle name="40% — акцент4 28" xfId="2286"/>
    <cellStyle name="40% - Акцент4 28_лента" xfId="2287"/>
    <cellStyle name="40% — акцент4 28_лента" xfId="2288"/>
    <cellStyle name="40% - Акцент4 29" xfId="2289"/>
    <cellStyle name="40% — акцент4 29" xfId="2290"/>
    <cellStyle name="40% - Акцент4 29_лента" xfId="2291"/>
    <cellStyle name="40% — акцент4 29_лента" xfId="2292"/>
    <cellStyle name="40% - Акцент4 3" xfId="2293"/>
    <cellStyle name="40% — акцент4 3" xfId="2294"/>
    <cellStyle name="40% - Акцент4 3_лента" xfId="2295"/>
    <cellStyle name="40% — акцент4 3_лента" xfId="2296"/>
    <cellStyle name="40% - Акцент4 30" xfId="2297"/>
    <cellStyle name="40% — акцент4 30" xfId="2298"/>
    <cellStyle name="40% - Акцент4 30_лента" xfId="2299"/>
    <cellStyle name="40% — акцент4 30_лента" xfId="2300"/>
    <cellStyle name="40% - Акцент4 31" xfId="2301"/>
    <cellStyle name="40% — акцент4 31" xfId="2302"/>
    <cellStyle name="40% - Акцент4 31_лента" xfId="2303"/>
    <cellStyle name="40% — акцент4 31_лента" xfId="2304"/>
    <cellStyle name="40% - Акцент4 32" xfId="2305"/>
    <cellStyle name="40% — акцент4 32" xfId="2306"/>
    <cellStyle name="40% - Акцент4 32_лента" xfId="2307"/>
    <cellStyle name="40% — акцент4 32_лента" xfId="2308"/>
    <cellStyle name="40% - Акцент4 33" xfId="2309"/>
    <cellStyle name="40% — акцент4 33" xfId="2310"/>
    <cellStyle name="40% - Акцент4 33_лента" xfId="2311"/>
    <cellStyle name="40% — акцент4 33_лента" xfId="2312"/>
    <cellStyle name="40% - Акцент4 34" xfId="2313"/>
    <cellStyle name="40% — акцент4 34" xfId="2314"/>
    <cellStyle name="40% - Акцент4 34_лента" xfId="2315"/>
    <cellStyle name="40% — акцент4 34_лента" xfId="2316"/>
    <cellStyle name="40% - Акцент4 35" xfId="2317"/>
    <cellStyle name="40% — акцент4 35" xfId="2318"/>
    <cellStyle name="40% - Акцент4 35_лента" xfId="2319"/>
    <cellStyle name="40% — акцент4 35_лента" xfId="2320"/>
    <cellStyle name="40% - Акцент4 36" xfId="2321"/>
    <cellStyle name="40% — акцент4 36" xfId="2322"/>
    <cellStyle name="40% - Акцент4 36_лента" xfId="2323"/>
    <cellStyle name="40% — акцент4 36_лента" xfId="2324"/>
    <cellStyle name="40% - Акцент4 37" xfId="2325"/>
    <cellStyle name="40% — акцент4 37" xfId="2326"/>
    <cellStyle name="40% - Акцент4 37_лента" xfId="2327"/>
    <cellStyle name="40% — акцент4 37_лента" xfId="2328"/>
    <cellStyle name="40% - Акцент4 38" xfId="2329"/>
    <cellStyle name="40% — акцент4 38" xfId="2330"/>
    <cellStyle name="40% - Акцент4 38_лента" xfId="2331"/>
    <cellStyle name="40% — акцент4 38_лента" xfId="2332"/>
    <cellStyle name="40% - Акцент4 39" xfId="2333"/>
    <cellStyle name="40% — акцент4 39" xfId="2334"/>
    <cellStyle name="40% - Акцент4 39_лента" xfId="2335"/>
    <cellStyle name="40% — акцент4 39_лента" xfId="2336"/>
    <cellStyle name="40% - Акцент4 4" xfId="2337"/>
    <cellStyle name="40% — акцент4 4" xfId="2338"/>
    <cellStyle name="40% - Акцент4 4_лента" xfId="2339"/>
    <cellStyle name="40% — акцент4 4_лента" xfId="2340"/>
    <cellStyle name="40% - Акцент4 40" xfId="2341"/>
    <cellStyle name="40% — акцент4 40" xfId="2342"/>
    <cellStyle name="40% - Акцент4 40_лента" xfId="2343"/>
    <cellStyle name="40% — акцент4 40_лента" xfId="2344"/>
    <cellStyle name="40% - Акцент4 41" xfId="2345"/>
    <cellStyle name="40% — акцент4 41" xfId="2346"/>
    <cellStyle name="40% - Акцент4 41_лента" xfId="2347"/>
    <cellStyle name="40% — акцент4 41_лента" xfId="2348"/>
    <cellStyle name="40% - Акцент4 42" xfId="2349"/>
    <cellStyle name="40% — акцент4 42" xfId="2350"/>
    <cellStyle name="40% - Акцент4 42_лента" xfId="2351"/>
    <cellStyle name="40% — акцент4 42_лента" xfId="2352"/>
    <cellStyle name="40% - Акцент4 43" xfId="2353"/>
    <cellStyle name="40% — акцент4 43" xfId="2354"/>
    <cellStyle name="40% - Акцент4 43_лента" xfId="2355"/>
    <cellStyle name="40% — акцент4 43_лента" xfId="2356"/>
    <cellStyle name="40% - Акцент4 44" xfId="2357"/>
    <cellStyle name="40% — акцент4 44" xfId="2358"/>
    <cellStyle name="40% - Акцент4 44_лента" xfId="2359"/>
    <cellStyle name="40% — акцент4 44_лента" xfId="2360"/>
    <cellStyle name="40% - Акцент4 45" xfId="2361"/>
    <cellStyle name="40% — акцент4 45" xfId="2362"/>
    <cellStyle name="40% - Акцент4 45_лента" xfId="2363"/>
    <cellStyle name="40% — акцент4 45_лента" xfId="2364"/>
    <cellStyle name="40% - Акцент4 46" xfId="2365"/>
    <cellStyle name="40% — акцент4 46" xfId="2366"/>
    <cellStyle name="40% - Акцент4 46_лента" xfId="2367"/>
    <cellStyle name="40% — акцент4 46_лента" xfId="2368"/>
    <cellStyle name="40% - Акцент4 47" xfId="2369"/>
    <cellStyle name="40% — акцент4 47" xfId="2370"/>
    <cellStyle name="40% - Акцент4 47_лента" xfId="2371"/>
    <cellStyle name="40% — акцент4 47_лента" xfId="2372"/>
    <cellStyle name="40% - Акцент4 48" xfId="2373"/>
    <cellStyle name="40% — акцент4 48" xfId="2374"/>
    <cellStyle name="40% - Акцент4 48_лента" xfId="2375"/>
    <cellStyle name="40% — акцент4 48_лента" xfId="2376"/>
    <cellStyle name="40% - Акцент4 49" xfId="2377"/>
    <cellStyle name="40% — акцент4 49" xfId="2378"/>
    <cellStyle name="40% - Акцент4 49_лента" xfId="2379"/>
    <cellStyle name="40% — акцент4 49_лента" xfId="2380"/>
    <cellStyle name="40% - Акцент4 5" xfId="2381"/>
    <cellStyle name="40% — акцент4 5" xfId="2382"/>
    <cellStyle name="40% - Акцент4 5_лента" xfId="2383"/>
    <cellStyle name="40% — акцент4 5_лента" xfId="2384"/>
    <cellStyle name="40% - Акцент4 50" xfId="2385"/>
    <cellStyle name="40% — акцент4 50" xfId="2386"/>
    <cellStyle name="40% - Акцент4 50_лента" xfId="2387"/>
    <cellStyle name="40% — акцент4 50_лента" xfId="2388"/>
    <cellStyle name="40% - Акцент4 51" xfId="2389"/>
    <cellStyle name="40% — акцент4 51" xfId="2390"/>
    <cellStyle name="40% - Акцент4 51_лента" xfId="2391"/>
    <cellStyle name="40% — акцент4 51_лента" xfId="2392"/>
    <cellStyle name="40% - Акцент4 52" xfId="2393"/>
    <cellStyle name="40% — акцент4 52" xfId="2394"/>
    <cellStyle name="40% - Акцент4 52_лента" xfId="2395"/>
    <cellStyle name="40% — акцент4 52_лента" xfId="2396"/>
    <cellStyle name="40% - Акцент4 53" xfId="2397"/>
    <cellStyle name="40% — акцент4 53" xfId="2398"/>
    <cellStyle name="40% - Акцент4 53_лента" xfId="2399"/>
    <cellStyle name="40% — акцент4 53_лента" xfId="2400"/>
    <cellStyle name="40% - Акцент4 54" xfId="2401"/>
    <cellStyle name="40% — акцент4 54" xfId="2402"/>
    <cellStyle name="40% - Акцент4 54_лента" xfId="2403"/>
    <cellStyle name="40% — акцент4 54_лента" xfId="2404"/>
    <cellStyle name="40% - Акцент4 55" xfId="2405"/>
    <cellStyle name="40% — акцент4 55" xfId="2406"/>
    <cellStyle name="40% - Акцент4 55_лента" xfId="2407"/>
    <cellStyle name="40% — акцент4 55_лента" xfId="2408"/>
    <cellStyle name="40% - Акцент4 56" xfId="2409"/>
    <cellStyle name="40% — акцент4 56" xfId="2410"/>
    <cellStyle name="40% - Акцент4 56_лента" xfId="2411"/>
    <cellStyle name="40% — акцент4 56_лента" xfId="2412"/>
    <cellStyle name="40% - Акцент4 57" xfId="2413"/>
    <cellStyle name="40% — акцент4 57" xfId="2414"/>
    <cellStyle name="40% - Акцент4 57_лента" xfId="2415"/>
    <cellStyle name="40% - Акцент4 58" xfId="2416"/>
    <cellStyle name="40% - Акцент4 59" xfId="2417"/>
    <cellStyle name="40% - Акцент4 6" xfId="2418"/>
    <cellStyle name="40% — акцент4 6" xfId="2419"/>
    <cellStyle name="40% - Акцент4 6_лента" xfId="2420"/>
    <cellStyle name="40% — акцент4 6_лента" xfId="2421"/>
    <cellStyle name="40% - Акцент4 60" xfId="2422"/>
    <cellStyle name="40% - Акцент4 61" xfId="2423"/>
    <cellStyle name="40% - Акцент4 62" xfId="2424"/>
    <cellStyle name="40% - Акцент4 63" xfId="2425"/>
    <cellStyle name="40% - Акцент4 64" xfId="2426"/>
    <cellStyle name="40% - Акцент4 65" xfId="2427"/>
    <cellStyle name="40% - Акцент4 66" xfId="2428"/>
    <cellStyle name="40% - Акцент4 67" xfId="2429"/>
    <cellStyle name="40% - Акцент4 7" xfId="2430"/>
    <cellStyle name="40% — акцент4 7" xfId="2431"/>
    <cellStyle name="40% - Акцент4 7_лента" xfId="2432"/>
    <cellStyle name="40% — акцент4 7_лента" xfId="2433"/>
    <cellStyle name="40% - Акцент4 8" xfId="2434"/>
    <cellStyle name="40% — акцент4 8" xfId="2435"/>
    <cellStyle name="40% - Акцент4 8_лента" xfId="2436"/>
    <cellStyle name="40% — акцент4 8_лента" xfId="2437"/>
    <cellStyle name="40% - Акцент4 9" xfId="2438"/>
    <cellStyle name="40% — акцент4 9" xfId="2439"/>
    <cellStyle name="40% - Акцент4 9_лента" xfId="2440"/>
    <cellStyle name="40% — акцент4 9_лента" xfId="2441"/>
    <cellStyle name="40% - Акцент4_база" xfId="2442"/>
    <cellStyle name="40% - Акцент5" xfId="2443"/>
    <cellStyle name="40% - Акцент5 10" xfId="2444"/>
    <cellStyle name="40% — акцент5 10" xfId="2445"/>
    <cellStyle name="40% - Акцент5 10_лента" xfId="2446"/>
    <cellStyle name="40% — акцент5 10_лента" xfId="2447"/>
    <cellStyle name="40% - Акцент5 11" xfId="2448"/>
    <cellStyle name="40% — акцент5 11" xfId="2449"/>
    <cellStyle name="40% - Акцент5 11_лента" xfId="2450"/>
    <cellStyle name="40% — акцент5 11_лента" xfId="2451"/>
    <cellStyle name="40% - Акцент5 12" xfId="2452"/>
    <cellStyle name="40% — акцент5 12" xfId="2453"/>
    <cellStyle name="40% - Акцент5 12_лента" xfId="2454"/>
    <cellStyle name="40% — акцент5 12_лента" xfId="2455"/>
    <cellStyle name="40% - Акцент5 13" xfId="2456"/>
    <cellStyle name="40% — акцент5 13" xfId="2457"/>
    <cellStyle name="40% - Акцент5 13_лента" xfId="2458"/>
    <cellStyle name="40% — акцент5 13_лента" xfId="2459"/>
    <cellStyle name="40% - Акцент5 14" xfId="2460"/>
    <cellStyle name="40% — акцент5 14" xfId="2461"/>
    <cellStyle name="40% - Акцент5 14_лента" xfId="2462"/>
    <cellStyle name="40% — акцент5 14_лента" xfId="2463"/>
    <cellStyle name="40% - Акцент5 15" xfId="2464"/>
    <cellStyle name="40% — акцент5 15" xfId="2465"/>
    <cellStyle name="40% - Акцент5 15_лента" xfId="2466"/>
    <cellStyle name="40% — акцент5 15_лента" xfId="2467"/>
    <cellStyle name="40% - Акцент5 16" xfId="2468"/>
    <cellStyle name="40% — акцент5 16" xfId="2469"/>
    <cellStyle name="40% - Акцент5 16_лента" xfId="2470"/>
    <cellStyle name="40% — акцент5 16_лента" xfId="2471"/>
    <cellStyle name="40% - Акцент5 17" xfId="2472"/>
    <cellStyle name="40% — акцент5 17" xfId="2473"/>
    <cellStyle name="40% - Акцент5 17_лента" xfId="2474"/>
    <cellStyle name="40% — акцент5 17_лента" xfId="2475"/>
    <cellStyle name="40% - Акцент5 18" xfId="2476"/>
    <cellStyle name="40% — акцент5 18" xfId="2477"/>
    <cellStyle name="40% - Акцент5 18_лента" xfId="2478"/>
    <cellStyle name="40% — акцент5 18_лента" xfId="2479"/>
    <cellStyle name="40% - Акцент5 19" xfId="2480"/>
    <cellStyle name="40% — акцент5 19" xfId="2481"/>
    <cellStyle name="40% - Акцент5 19_лента" xfId="2482"/>
    <cellStyle name="40% — акцент5 19_лента" xfId="2483"/>
    <cellStyle name="40% - Акцент5 2" xfId="2484"/>
    <cellStyle name="40% — акцент5 2" xfId="2485"/>
    <cellStyle name="40% - Акцент5 2_лента" xfId="2486"/>
    <cellStyle name="40% — акцент5 2_лента" xfId="2487"/>
    <cellStyle name="40% - Акцент5 20" xfId="2488"/>
    <cellStyle name="40% — акцент5 20" xfId="2489"/>
    <cellStyle name="40% - Акцент5 20_лента" xfId="2490"/>
    <cellStyle name="40% — акцент5 20_лента" xfId="2491"/>
    <cellStyle name="40% - Акцент5 21" xfId="2492"/>
    <cellStyle name="40% — акцент5 21" xfId="2493"/>
    <cellStyle name="40% - Акцент5 21_лента" xfId="2494"/>
    <cellStyle name="40% — акцент5 21_лента" xfId="2495"/>
    <cellStyle name="40% - Акцент5 22" xfId="2496"/>
    <cellStyle name="40% — акцент5 22" xfId="2497"/>
    <cellStyle name="40% - Акцент5 22_лента" xfId="2498"/>
    <cellStyle name="40% — акцент5 22_лента" xfId="2499"/>
    <cellStyle name="40% - Акцент5 23" xfId="2500"/>
    <cellStyle name="40% — акцент5 23" xfId="2501"/>
    <cellStyle name="40% - Акцент5 23_лента" xfId="2502"/>
    <cellStyle name="40% — акцент5 23_лента" xfId="2503"/>
    <cellStyle name="40% - Акцент5 24" xfId="2504"/>
    <cellStyle name="40% — акцент5 24" xfId="2505"/>
    <cellStyle name="40% - Акцент5 24_лента" xfId="2506"/>
    <cellStyle name="40% — акцент5 24_лента" xfId="2507"/>
    <cellStyle name="40% - Акцент5 25" xfId="2508"/>
    <cellStyle name="40% — акцент5 25" xfId="2509"/>
    <cellStyle name="40% - Акцент5 25_лента" xfId="2510"/>
    <cellStyle name="40% — акцент5 25_лента" xfId="2511"/>
    <cellStyle name="40% - Акцент5 26" xfId="2512"/>
    <cellStyle name="40% — акцент5 26" xfId="2513"/>
    <cellStyle name="40% - Акцент5 26_лента" xfId="2514"/>
    <cellStyle name="40% — акцент5 26_лента" xfId="2515"/>
    <cellStyle name="40% - Акцент5 27" xfId="2516"/>
    <cellStyle name="40% — акцент5 27" xfId="2517"/>
    <cellStyle name="40% - Акцент5 27_лента" xfId="2518"/>
    <cellStyle name="40% — акцент5 27_лента" xfId="2519"/>
    <cellStyle name="40% - Акцент5 28" xfId="2520"/>
    <cellStyle name="40% — акцент5 28" xfId="2521"/>
    <cellStyle name="40% - Акцент5 28_лента" xfId="2522"/>
    <cellStyle name="40% — акцент5 28_лента" xfId="2523"/>
    <cellStyle name="40% - Акцент5 29" xfId="2524"/>
    <cellStyle name="40% — акцент5 29" xfId="2525"/>
    <cellStyle name="40% - Акцент5 29_лента" xfId="2526"/>
    <cellStyle name="40% — акцент5 29_лента" xfId="2527"/>
    <cellStyle name="40% - Акцент5 3" xfId="2528"/>
    <cellStyle name="40% — акцент5 3" xfId="2529"/>
    <cellStyle name="40% - Акцент5 3_лента" xfId="2530"/>
    <cellStyle name="40% — акцент5 3_лента" xfId="2531"/>
    <cellStyle name="40% - Акцент5 30" xfId="2532"/>
    <cellStyle name="40% — акцент5 30" xfId="2533"/>
    <cellStyle name="40% - Акцент5 30_лента" xfId="2534"/>
    <cellStyle name="40% — акцент5 30_лента" xfId="2535"/>
    <cellStyle name="40% - Акцент5 31" xfId="2536"/>
    <cellStyle name="40% — акцент5 31" xfId="2537"/>
    <cellStyle name="40% - Акцент5 31_лента" xfId="2538"/>
    <cellStyle name="40% — акцент5 31_лента" xfId="2539"/>
    <cellStyle name="40% - Акцент5 32" xfId="2540"/>
    <cellStyle name="40% — акцент5 32" xfId="2541"/>
    <cellStyle name="40% - Акцент5 32_лента" xfId="2542"/>
    <cellStyle name="40% — акцент5 32_лента" xfId="2543"/>
    <cellStyle name="40% - Акцент5 33" xfId="2544"/>
    <cellStyle name="40% — акцент5 33" xfId="2545"/>
    <cellStyle name="40% - Акцент5 33_лента" xfId="2546"/>
    <cellStyle name="40% — акцент5 33_лента" xfId="2547"/>
    <cellStyle name="40% - Акцент5 34" xfId="2548"/>
    <cellStyle name="40% — акцент5 34" xfId="2549"/>
    <cellStyle name="40% - Акцент5 34_лента" xfId="2550"/>
    <cellStyle name="40% — акцент5 34_лента" xfId="2551"/>
    <cellStyle name="40% - Акцент5 35" xfId="2552"/>
    <cellStyle name="40% — акцент5 35" xfId="2553"/>
    <cellStyle name="40% - Акцент5 35_лента" xfId="2554"/>
    <cellStyle name="40% — акцент5 35_лента" xfId="2555"/>
    <cellStyle name="40% - Акцент5 36" xfId="2556"/>
    <cellStyle name="40% — акцент5 36" xfId="2557"/>
    <cellStyle name="40% - Акцент5 36_лента" xfId="2558"/>
    <cellStyle name="40% — акцент5 36_лента" xfId="2559"/>
    <cellStyle name="40% - Акцент5 37" xfId="2560"/>
    <cellStyle name="40% — акцент5 37" xfId="2561"/>
    <cellStyle name="40% - Акцент5 37_лента" xfId="2562"/>
    <cellStyle name="40% — акцент5 37_лента" xfId="2563"/>
    <cellStyle name="40% - Акцент5 38" xfId="2564"/>
    <cellStyle name="40% — акцент5 38" xfId="2565"/>
    <cellStyle name="40% - Акцент5 38_лента" xfId="2566"/>
    <cellStyle name="40% — акцент5 38_лента" xfId="2567"/>
    <cellStyle name="40% - Акцент5 39" xfId="2568"/>
    <cellStyle name="40% — акцент5 39" xfId="2569"/>
    <cellStyle name="40% - Акцент5 39_лента" xfId="2570"/>
    <cellStyle name="40% — акцент5 39_лента" xfId="2571"/>
    <cellStyle name="40% - Акцент5 4" xfId="2572"/>
    <cellStyle name="40% — акцент5 4" xfId="2573"/>
    <cellStyle name="40% - Акцент5 4_лента" xfId="2574"/>
    <cellStyle name="40% — акцент5 4_лента" xfId="2575"/>
    <cellStyle name="40% - Акцент5 40" xfId="2576"/>
    <cellStyle name="40% — акцент5 40" xfId="2577"/>
    <cellStyle name="40% - Акцент5 40_лента" xfId="2578"/>
    <cellStyle name="40% — акцент5 40_лента" xfId="2579"/>
    <cellStyle name="40% - Акцент5 41" xfId="2580"/>
    <cellStyle name="40% — акцент5 41" xfId="2581"/>
    <cellStyle name="40% - Акцент5 41_лента" xfId="2582"/>
    <cellStyle name="40% — акцент5 41_лента" xfId="2583"/>
    <cellStyle name="40% - Акцент5 42" xfId="2584"/>
    <cellStyle name="40% — акцент5 42" xfId="2585"/>
    <cellStyle name="40% - Акцент5 42_лента" xfId="2586"/>
    <cellStyle name="40% — акцент5 42_лента" xfId="2587"/>
    <cellStyle name="40% - Акцент5 43" xfId="2588"/>
    <cellStyle name="40% — акцент5 43" xfId="2589"/>
    <cellStyle name="40% - Акцент5 43_лента" xfId="2590"/>
    <cellStyle name="40% — акцент5 43_лента" xfId="2591"/>
    <cellStyle name="40% - Акцент5 44" xfId="2592"/>
    <cellStyle name="40% — акцент5 44" xfId="2593"/>
    <cellStyle name="40% - Акцент5 44_лента" xfId="2594"/>
    <cellStyle name="40% — акцент5 44_лента" xfId="2595"/>
    <cellStyle name="40% - Акцент5 45" xfId="2596"/>
    <cellStyle name="40% — акцент5 45" xfId="2597"/>
    <cellStyle name="40% - Акцент5 45_лента" xfId="2598"/>
    <cellStyle name="40% — акцент5 45_лента" xfId="2599"/>
    <cellStyle name="40% - Акцент5 46" xfId="2600"/>
    <cellStyle name="40% — акцент5 46" xfId="2601"/>
    <cellStyle name="40% - Акцент5 46_лента" xfId="2602"/>
    <cellStyle name="40% — акцент5 46_лента" xfId="2603"/>
    <cellStyle name="40% - Акцент5 47" xfId="2604"/>
    <cellStyle name="40% — акцент5 47" xfId="2605"/>
    <cellStyle name="40% - Акцент5 47_лента" xfId="2606"/>
    <cellStyle name="40% — акцент5 47_лента" xfId="2607"/>
    <cellStyle name="40% - Акцент5 48" xfId="2608"/>
    <cellStyle name="40% — акцент5 48" xfId="2609"/>
    <cellStyle name="40% - Акцент5 48_лента" xfId="2610"/>
    <cellStyle name="40% — акцент5 48_лента" xfId="2611"/>
    <cellStyle name="40% - Акцент5 49" xfId="2612"/>
    <cellStyle name="40% — акцент5 49" xfId="2613"/>
    <cellStyle name="40% - Акцент5 49_лента" xfId="2614"/>
    <cellStyle name="40% — акцент5 49_лента" xfId="2615"/>
    <cellStyle name="40% - Акцент5 5" xfId="2616"/>
    <cellStyle name="40% — акцент5 5" xfId="2617"/>
    <cellStyle name="40% - Акцент5 5_лента" xfId="2618"/>
    <cellStyle name="40% — акцент5 5_лента" xfId="2619"/>
    <cellStyle name="40% - Акцент5 50" xfId="2620"/>
    <cellStyle name="40% — акцент5 50" xfId="2621"/>
    <cellStyle name="40% - Акцент5 50_лента" xfId="2622"/>
    <cellStyle name="40% — акцент5 50_лента" xfId="2623"/>
    <cellStyle name="40% - Акцент5 51" xfId="2624"/>
    <cellStyle name="40% — акцент5 51" xfId="2625"/>
    <cellStyle name="40% - Акцент5 51_лента" xfId="2626"/>
    <cellStyle name="40% — акцент5 51_лента" xfId="2627"/>
    <cellStyle name="40% - Акцент5 52" xfId="2628"/>
    <cellStyle name="40% — акцент5 52" xfId="2629"/>
    <cellStyle name="40% - Акцент5 52_лента" xfId="2630"/>
    <cellStyle name="40% — акцент5 52_лента" xfId="2631"/>
    <cellStyle name="40% - Акцент5 53" xfId="2632"/>
    <cellStyle name="40% — акцент5 53" xfId="2633"/>
    <cellStyle name="40% - Акцент5 53_лента" xfId="2634"/>
    <cellStyle name="40% — акцент5 53_лента" xfId="2635"/>
    <cellStyle name="40% - Акцент5 54" xfId="2636"/>
    <cellStyle name="40% — акцент5 54" xfId="2637"/>
    <cellStyle name="40% - Акцент5 54_лента" xfId="2638"/>
    <cellStyle name="40% — акцент5 54_лента" xfId="2639"/>
    <cellStyle name="40% - Акцент5 55" xfId="2640"/>
    <cellStyle name="40% — акцент5 55" xfId="2641"/>
    <cellStyle name="40% - Акцент5 55_лента" xfId="2642"/>
    <cellStyle name="40% — акцент5 55_лента" xfId="2643"/>
    <cellStyle name="40% - Акцент5 56" xfId="2644"/>
    <cellStyle name="40% — акцент5 56" xfId="2645"/>
    <cellStyle name="40% - Акцент5 56_лента" xfId="2646"/>
    <cellStyle name="40% — акцент5 56_лента" xfId="2647"/>
    <cellStyle name="40% - Акцент5 57" xfId="2648"/>
    <cellStyle name="40% — акцент5 57" xfId="2649"/>
    <cellStyle name="40% - Акцент5 57_лента" xfId="2650"/>
    <cellStyle name="40% - Акцент5 58" xfId="2651"/>
    <cellStyle name="40% - Акцент5 59" xfId="2652"/>
    <cellStyle name="40% - Акцент5 6" xfId="2653"/>
    <cellStyle name="40% — акцент5 6" xfId="2654"/>
    <cellStyle name="40% - Акцент5 6_лента" xfId="2655"/>
    <cellStyle name="40% — акцент5 6_лента" xfId="2656"/>
    <cellStyle name="40% - Акцент5 60" xfId="2657"/>
    <cellStyle name="40% - Акцент5 61" xfId="2658"/>
    <cellStyle name="40% - Акцент5 62" xfId="2659"/>
    <cellStyle name="40% - Акцент5 63" xfId="2660"/>
    <cellStyle name="40% - Акцент5 64" xfId="2661"/>
    <cellStyle name="40% - Акцент5 65" xfId="2662"/>
    <cellStyle name="40% - Акцент5 66" xfId="2663"/>
    <cellStyle name="40% - Акцент5 67" xfId="2664"/>
    <cellStyle name="40% - Акцент5 7" xfId="2665"/>
    <cellStyle name="40% — акцент5 7" xfId="2666"/>
    <cellStyle name="40% - Акцент5 7_лента" xfId="2667"/>
    <cellStyle name="40% — акцент5 7_лента" xfId="2668"/>
    <cellStyle name="40% - Акцент5 8" xfId="2669"/>
    <cellStyle name="40% — акцент5 8" xfId="2670"/>
    <cellStyle name="40% - Акцент5 8_лента" xfId="2671"/>
    <cellStyle name="40% — акцент5 8_лента" xfId="2672"/>
    <cellStyle name="40% - Акцент5 9" xfId="2673"/>
    <cellStyle name="40% — акцент5 9" xfId="2674"/>
    <cellStyle name="40% - Акцент5 9_лента" xfId="2675"/>
    <cellStyle name="40% — акцент5 9_лента" xfId="2676"/>
    <cellStyle name="40% - Акцент5_база" xfId="2677"/>
    <cellStyle name="40% - Акцент6" xfId="2678"/>
    <cellStyle name="40% - Акцент6 10" xfId="2679"/>
    <cellStyle name="40% — акцент6 10" xfId="2680"/>
    <cellStyle name="40% - Акцент6 10_лента" xfId="2681"/>
    <cellStyle name="40% — акцент6 10_лента" xfId="2682"/>
    <cellStyle name="40% - Акцент6 11" xfId="2683"/>
    <cellStyle name="40% — акцент6 11" xfId="2684"/>
    <cellStyle name="40% - Акцент6 11_лента" xfId="2685"/>
    <cellStyle name="40% — акцент6 11_лента" xfId="2686"/>
    <cellStyle name="40% - Акцент6 12" xfId="2687"/>
    <cellStyle name="40% — акцент6 12" xfId="2688"/>
    <cellStyle name="40% - Акцент6 12_лента" xfId="2689"/>
    <cellStyle name="40% — акцент6 12_лента" xfId="2690"/>
    <cellStyle name="40% - Акцент6 13" xfId="2691"/>
    <cellStyle name="40% — акцент6 13" xfId="2692"/>
    <cellStyle name="40% - Акцент6 13_лента" xfId="2693"/>
    <cellStyle name="40% — акцент6 13_лента" xfId="2694"/>
    <cellStyle name="40% - Акцент6 14" xfId="2695"/>
    <cellStyle name="40% — акцент6 14" xfId="2696"/>
    <cellStyle name="40% - Акцент6 14_лента" xfId="2697"/>
    <cellStyle name="40% — акцент6 14_лента" xfId="2698"/>
    <cellStyle name="40% - Акцент6 15" xfId="2699"/>
    <cellStyle name="40% — акцент6 15" xfId="2700"/>
    <cellStyle name="40% - Акцент6 15_лента" xfId="2701"/>
    <cellStyle name="40% — акцент6 15_лента" xfId="2702"/>
    <cellStyle name="40% - Акцент6 16" xfId="2703"/>
    <cellStyle name="40% — акцент6 16" xfId="2704"/>
    <cellStyle name="40% - Акцент6 16_лента" xfId="2705"/>
    <cellStyle name="40% — акцент6 16_лента" xfId="2706"/>
    <cellStyle name="40% - Акцент6 17" xfId="2707"/>
    <cellStyle name="40% — акцент6 17" xfId="2708"/>
    <cellStyle name="40% - Акцент6 17_лента" xfId="2709"/>
    <cellStyle name="40% — акцент6 17_лента" xfId="2710"/>
    <cellStyle name="40% - Акцент6 18" xfId="2711"/>
    <cellStyle name="40% — акцент6 18" xfId="2712"/>
    <cellStyle name="40% - Акцент6 18_лента" xfId="2713"/>
    <cellStyle name="40% — акцент6 18_лента" xfId="2714"/>
    <cellStyle name="40% - Акцент6 19" xfId="2715"/>
    <cellStyle name="40% — акцент6 19" xfId="2716"/>
    <cellStyle name="40% - Акцент6 19_лента" xfId="2717"/>
    <cellStyle name="40% — акцент6 19_лента" xfId="2718"/>
    <cellStyle name="40% - Акцент6 2" xfId="2719"/>
    <cellStyle name="40% — акцент6 2" xfId="2720"/>
    <cellStyle name="40% - Акцент6 2_лента" xfId="2721"/>
    <cellStyle name="40% — акцент6 2_лента" xfId="2722"/>
    <cellStyle name="40% - Акцент6 20" xfId="2723"/>
    <cellStyle name="40% — акцент6 20" xfId="2724"/>
    <cellStyle name="40% - Акцент6 20_лента" xfId="2725"/>
    <cellStyle name="40% — акцент6 20_лента" xfId="2726"/>
    <cellStyle name="40% - Акцент6 21" xfId="2727"/>
    <cellStyle name="40% — акцент6 21" xfId="2728"/>
    <cellStyle name="40% - Акцент6 21_лента" xfId="2729"/>
    <cellStyle name="40% — акцент6 21_лента" xfId="2730"/>
    <cellStyle name="40% - Акцент6 22" xfId="2731"/>
    <cellStyle name="40% — акцент6 22" xfId="2732"/>
    <cellStyle name="40% - Акцент6 22_лента" xfId="2733"/>
    <cellStyle name="40% — акцент6 22_лента" xfId="2734"/>
    <cellStyle name="40% - Акцент6 23" xfId="2735"/>
    <cellStyle name="40% — акцент6 23" xfId="2736"/>
    <cellStyle name="40% - Акцент6 23_лента" xfId="2737"/>
    <cellStyle name="40% — акцент6 23_лента" xfId="2738"/>
    <cellStyle name="40% - Акцент6 24" xfId="2739"/>
    <cellStyle name="40% — акцент6 24" xfId="2740"/>
    <cellStyle name="40% - Акцент6 24_лента" xfId="2741"/>
    <cellStyle name="40% — акцент6 24_лента" xfId="2742"/>
    <cellStyle name="40% - Акцент6 25" xfId="2743"/>
    <cellStyle name="40% — акцент6 25" xfId="2744"/>
    <cellStyle name="40% - Акцент6 25_лента" xfId="2745"/>
    <cellStyle name="40% — акцент6 25_лента" xfId="2746"/>
    <cellStyle name="40% - Акцент6 26" xfId="2747"/>
    <cellStyle name="40% — акцент6 26" xfId="2748"/>
    <cellStyle name="40% - Акцент6 26_лента" xfId="2749"/>
    <cellStyle name="40% — акцент6 26_лента" xfId="2750"/>
    <cellStyle name="40% - Акцент6 27" xfId="2751"/>
    <cellStyle name="40% — акцент6 27" xfId="2752"/>
    <cellStyle name="40% - Акцент6 27_лента" xfId="2753"/>
    <cellStyle name="40% — акцент6 27_лента" xfId="2754"/>
    <cellStyle name="40% - Акцент6 28" xfId="2755"/>
    <cellStyle name="40% — акцент6 28" xfId="2756"/>
    <cellStyle name="40% - Акцент6 28_лента" xfId="2757"/>
    <cellStyle name="40% — акцент6 28_лента" xfId="2758"/>
    <cellStyle name="40% - Акцент6 29" xfId="2759"/>
    <cellStyle name="40% — акцент6 29" xfId="2760"/>
    <cellStyle name="40% - Акцент6 29_лента" xfId="2761"/>
    <cellStyle name="40% — акцент6 29_лента" xfId="2762"/>
    <cellStyle name="40% - Акцент6 3" xfId="2763"/>
    <cellStyle name="40% — акцент6 3" xfId="2764"/>
    <cellStyle name="40% - Акцент6 3_лента" xfId="2765"/>
    <cellStyle name="40% — акцент6 3_лента" xfId="2766"/>
    <cellStyle name="40% - Акцент6 30" xfId="2767"/>
    <cellStyle name="40% — акцент6 30" xfId="2768"/>
    <cellStyle name="40% - Акцент6 30_лента" xfId="2769"/>
    <cellStyle name="40% — акцент6 30_лента" xfId="2770"/>
    <cellStyle name="40% - Акцент6 31" xfId="2771"/>
    <cellStyle name="40% — акцент6 31" xfId="2772"/>
    <cellStyle name="40% - Акцент6 31_лента" xfId="2773"/>
    <cellStyle name="40% — акцент6 31_лента" xfId="2774"/>
    <cellStyle name="40% - Акцент6 32" xfId="2775"/>
    <cellStyle name="40% — акцент6 32" xfId="2776"/>
    <cellStyle name="40% - Акцент6 32_лента" xfId="2777"/>
    <cellStyle name="40% — акцент6 32_лента" xfId="2778"/>
    <cellStyle name="40% - Акцент6 33" xfId="2779"/>
    <cellStyle name="40% — акцент6 33" xfId="2780"/>
    <cellStyle name="40% - Акцент6 33_лента" xfId="2781"/>
    <cellStyle name="40% — акцент6 33_лента" xfId="2782"/>
    <cellStyle name="40% - Акцент6 34" xfId="2783"/>
    <cellStyle name="40% — акцент6 34" xfId="2784"/>
    <cellStyle name="40% - Акцент6 34_лента" xfId="2785"/>
    <cellStyle name="40% — акцент6 34_лента" xfId="2786"/>
    <cellStyle name="40% - Акцент6 35" xfId="2787"/>
    <cellStyle name="40% — акцент6 35" xfId="2788"/>
    <cellStyle name="40% - Акцент6 35_лента" xfId="2789"/>
    <cellStyle name="40% — акцент6 35_лента" xfId="2790"/>
    <cellStyle name="40% - Акцент6 36" xfId="2791"/>
    <cellStyle name="40% — акцент6 36" xfId="2792"/>
    <cellStyle name="40% - Акцент6 36_лента" xfId="2793"/>
    <cellStyle name="40% — акцент6 36_лента" xfId="2794"/>
    <cellStyle name="40% - Акцент6 37" xfId="2795"/>
    <cellStyle name="40% — акцент6 37" xfId="2796"/>
    <cellStyle name="40% - Акцент6 38" xfId="2797"/>
    <cellStyle name="40% — акцент6 38" xfId="2798"/>
    <cellStyle name="40% - Акцент6 39" xfId="2799"/>
    <cellStyle name="40% — акцент6 39" xfId="2800"/>
    <cellStyle name="40% - Акцент6 4" xfId="2801"/>
    <cellStyle name="40% — акцент6 4" xfId="2802"/>
    <cellStyle name="40% - Акцент6 40" xfId="2803"/>
    <cellStyle name="40% — акцент6 40" xfId="2804"/>
    <cellStyle name="40% - Акцент6 41" xfId="2805"/>
    <cellStyle name="40% — акцент6 41" xfId="2806"/>
    <cellStyle name="40% - Акцент6 42" xfId="2807"/>
    <cellStyle name="40% — акцент6 42" xfId="2808"/>
    <cellStyle name="40% - Акцент6 43" xfId="2809"/>
    <cellStyle name="40% — акцент6 43" xfId="2810"/>
    <cellStyle name="40% - Акцент6 44" xfId="2811"/>
    <cellStyle name="40% — акцент6 44" xfId="2812"/>
    <cellStyle name="40% - Акцент6 45" xfId="2813"/>
    <cellStyle name="40% — акцент6 45" xfId="2814"/>
    <cellStyle name="40% - Акцент6 46" xfId="2815"/>
    <cellStyle name="40% — акцент6 46" xfId="2816"/>
    <cellStyle name="40% - Акцент6 47" xfId="2817"/>
    <cellStyle name="40% — акцент6 47" xfId="2818"/>
    <cellStyle name="40% - Акцент6 48" xfId="2819"/>
    <cellStyle name="40% — акцент6 48" xfId="2820"/>
    <cellStyle name="40% - Акцент6 49" xfId="2821"/>
    <cellStyle name="40% — акцент6 49" xfId="2822"/>
    <cellStyle name="40% - Акцент6 5" xfId="2823"/>
    <cellStyle name="40% — акцент6 5" xfId="2824"/>
    <cellStyle name="40% - Акцент6 50" xfId="2825"/>
    <cellStyle name="40% — акцент6 50" xfId="2826"/>
    <cellStyle name="40% - Акцент6 51" xfId="2827"/>
    <cellStyle name="40% — акцент6 51" xfId="2828"/>
    <cellStyle name="40% - Акцент6 52" xfId="2829"/>
    <cellStyle name="40% — акцент6 52" xfId="2830"/>
    <cellStyle name="40% - Акцент6 53" xfId="2831"/>
    <cellStyle name="40% — акцент6 53" xfId="2832"/>
    <cellStyle name="40% - Акцент6 54" xfId="2833"/>
    <cellStyle name="40% — акцент6 54" xfId="2834"/>
    <cellStyle name="40% - Акцент6 55" xfId="2835"/>
    <cellStyle name="40% — акцент6 55" xfId="2836"/>
    <cellStyle name="40% - Акцент6 56" xfId="2837"/>
    <cellStyle name="40% — акцент6 56" xfId="2838"/>
    <cellStyle name="40% - Акцент6 57" xfId="2839"/>
    <cellStyle name="40% — акцент6 57" xfId="2840"/>
    <cellStyle name="40% - Акцент6 58" xfId="2841"/>
    <cellStyle name="40% - Акцент6 59" xfId="2842"/>
    <cellStyle name="40% - Акцент6 6" xfId="2843"/>
    <cellStyle name="40% — акцент6 6" xfId="2844"/>
    <cellStyle name="40% - Акцент6 60" xfId="2845"/>
    <cellStyle name="40% - Акцент6 61" xfId="2846"/>
    <cellStyle name="40% - Акцент6 62" xfId="2847"/>
    <cellStyle name="40% - Акцент6 63" xfId="2848"/>
    <cellStyle name="40% - Акцент6 64" xfId="2849"/>
    <cellStyle name="40% - Акцент6 65" xfId="2850"/>
    <cellStyle name="40% - Акцент6 66" xfId="2851"/>
    <cellStyle name="40% - Акцент6 67" xfId="2852"/>
    <cellStyle name="40% - Акцент6 7" xfId="2853"/>
    <cellStyle name="40% — акцент6 7" xfId="2854"/>
    <cellStyle name="40% - Акцент6 8" xfId="2855"/>
    <cellStyle name="40% — акцент6 8" xfId="2856"/>
    <cellStyle name="40% - Акцент6 9" xfId="2857"/>
    <cellStyle name="40% — акцент6 9" xfId="2858"/>
    <cellStyle name="40% - Акцент6_база" xfId="2859"/>
    <cellStyle name="60% - Акцент1" xfId="2860"/>
    <cellStyle name="60% - Акцент1 10" xfId="2861"/>
    <cellStyle name="60% — акцент1 10" xfId="2862"/>
    <cellStyle name="60% - Акцент1 11" xfId="2863"/>
    <cellStyle name="60% — акцент1 11" xfId="2864"/>
    <cellStyle name="60% - Акцент1 12" xfId="2865"/>
    <cellStyle name="60% — акцент1 12" xfId="2866"/>
    <cellStyle name="60% - Акцент1 13" xfId="2867"/>
    <cellStyle name="60% — акцент1 13" xfId="2868"/>
    <cellStyle name="60% - Акцент1 14" xfId="2869"/>
    <cellStyle name="60% — акцент1 14" xfId="2870"/>
    <cellStyle name="60% - Акцент1 15" xfId="2871"/>
    <cellStyle name="60% — акцент1 15" xfId="2872"/>
    <cellStyle name="60% - Акцент1 16" xfId="2873"/>
    <cellStyle name="60% — акцент1 16" xfId="2874"/>
    <cellStyle name="60% - Акцент1 17" xfId="2875"/>
    <cellStyle name="60% — акцент1 17" xfId="2876"/>
    <cellStyle name="60% - Акцент1 18" xfId="2877"/>
    <cellStyle name="60% — акцент1 18" xfId="2878"/>
    <cellStyle name="60% - Акцент1 19" xfId="2879"/>
    <cellStyle name="60% — акцент1 19" xfId="2880"/>
    <cellStyle name="60% - Акцент1 2" xfId="2881"/>
    <cellStyle name="60% — акцент1 2" xfId="2882"/>
    <cellStyle name="60% - Акцент1 20" xfId="2883"/>
    <cellStyle name="60% — акцент1 20" xfId="2884"/>
    <cellStyle name="60% - Акцент1 21" xfId="2885"/>
    <cellStyle name="60% — акцент1 21" xfId="2886"/>
    <cellStyle name="60% - Акцент1 22" xfId="2887"/>
    <cellStyle name="60% — акцент1 22" xfId="2888"/>
    <cellStyle name="60% - Акцент1 23" xfId="2889"/>
    <cellStyle name="60% — акцент1 23" xfId="2890"/>
    <cellStyle name="60% - Акцент1 24" xfId="2891"/>
    <cellStyle name="60% — акцент1 24" xfId="2892"/>
    <cellStyle name="60% - Акцент1 25" xfId="2893"/>
    <cellStyle name="60% — акцент1 25" xfId="2894"/>
    <cellStyle name="60% - Акцент1 26" xfId="2895"/>
    <cellStyle name="60% — акцент1 26" xfId="2896"/>
    <cellStyle name="60% - Акцент1 27" xfId="2897"/>
    <cellStyle name="60% — акцент1 27" xfId="2898"/>
    <cellStyle name="60% - Акцент1 28" xfId="2899"/>
    <cellStyle name="60% — акцент1 28" xfId="2900"/>
    <cellStyle name="60% - Акцент1 29" xfId="2901"/>
    <cellStyle name="60% — акцент1 29" xfId="2902"/>
    <cellStyle name="60% - Акцент1 3" xfId="2903"/>
    <cellStyle name="60% — акцент1 3" xfId="2904"/>
    <cellStyle name="60% - Акцент1 30" xfId="2905"/>
    <cellStyle name="60% — акцент1 30" xfId="2906"/>
    <cellStyle name="60% - Акцент1 31" xfId="2907"/>
    <cellStyle name="60% — акцент1 31" xfId="2908"/>
    <cellStyle name="60% - Акцент1 32" xfId="2909"/>
    <cellStyle name="60% — акцент1 32" xfId="2910"/>
    <cellStyle name="60% - Акцент1 33" xfId="2911"/>
    <cellStyle name="60% — акцент1 33" xfId="2912"/>
    <cellStyle name="60% - Акцент1 34" xfId="2913"/>
    <cellStyle name="60% — акцент1 34" xfId="2914"/>
    <cellStyle name="60% - Акцент1 35" xfId="2915"/>
    <cellStyle name="60% — акцент1 35" xfId="2916"/>
    <cellStyle name="60% - Акцент1 36" xfId="2917"/>
    <cellStyle name="60% — акцент1 36" xfId="2918"/>
    <cellStyle name="60% - Акцент1 37" xfId="2919"/>
    <cellStyle name="60% — акцент1 37" xfId="2920"/>
    <cellStyle name="60% - Акцент1 38" xfId="2921"/>
    <cellStyle name="60% — акцент1 38" xfId="2922"/>
    <cellStyle name="60% - Акцент1 39" xfId="2923"/>
    <cellStyle name="60% — акцент1 39" xfId="2924"/>
    <cellStyle name="60% - Акцент1 4" xfId="2925"/>
    <cellStyle name="60% — акцент1 4" xfId="2926"/>
    <cellStyle name="60% - Акцент1 40" xfId="2927"/>
    <cellStyle name="60% — акцент1 40" xfId="2928"/>
    <cellStyle name="60% - Акцент1 41" xfId="2929"/>
    <cellStyle name="60% — акцент1 41" xfId="2930"/>
    <cellStyle name="60% - Акцент1 42" xfId="2931"/>
    <cellStyle name="60% — акцент1 42" xfId="2932"/>
    <cellStyle name="60% - Акцент1 43" xfId="2933"/>
    <cellStyle name="60% — акцент1 43" xfId="2934"/>
    <cellStyle name="60% - Акцент1 44" xfId="2935"/>
    <cellStyle name="60% — акцент1 44" xfId="2936"/>
    <cellStyle name="60% - Акцент1 45" xfId="2937"/>
    <cellStyle name="60% — акцент1 45" xfId="2938"/>
    <cellStyle name="60% - Акцент1 46" xfId="2939"/>
    <cellStyle name="60% — акцент1 46" xfId="2940"/>
    <cellStyle name="60% - Акцент1 47" xfId="2941"/>
    <cellStyle name="60% — акцент1 47" xfId="2942"/>
    <cellStyle name="60% - Акцент1 48" xfId="2943"/>
    <cellStyle name="60% — акцент1 48" xfId="2944"/>
    <cellStyle name="60% - Акцент1 49" xfId="2945"/>
    <cellStyle name="60% — акцент1 49" xfId="2946"/>
    <cellStyle name="60% - Акцент1 5" xfId="2947"/>
    <cellStyle name="60% — акцент1 5" xfId="2948"/>
    <cellStyle name="60% - Акцент1 50" xfId="2949"/>
    <cellStyle name="60% — акцент1 50" xfId="2950"/>
    <cellStyle name="60% - Акцент1 51" xfId="2951"/>
    <cellStyle name="60% — акцент1 51" xfId="2952"/>
    <cellStyle name="60% - Акцент1 52" xfId="2953"/>
    <cellStyle name="60% — акцент1 52" xfId="2954"/>
    <cellStyle name="60% - Акцент1 53" xfId="2955"/>
    <cellStyle name="60% — акцент1 53" xfId="2956"/>
    <cellStyle name="60% - Акцент1 54" xfId="2957"/>
    <cellStyle name="60% — акцент1 54" xfId="2958"/>
    <cellStyle name="60% - Акцент1 55" xfId="2959"/>
    <cellStyle name="60% — акцент1 55" xfId="2960"/>
    <cellStyle name="60% - Акцент1 56" xfId="2961"/>
    <cellStyle name="60% — акцент1 56" xfId="2962"/>
    <cellStyle name="60% - Акцент1 57" xfId="2963"/>
    <cellStyle name="60% — акцент1 57" xfId="2964"/>
    <cellStyle name="60% - Акцент1 58" xfId="2965"/>
    <cellStyle name="60% - Акцент1 59" xfId="2966"/>
    <cellStyle name="60% - Акцент1 6" xfId="2967"/>
    <cellStyle name="60% — акцент1 6" xfId="2968"/>
    <cellStyle name="60% - Акцент1 60" xfId="2969"/>
    <cellStyle name="60% - Акцент1 61" xfId="2970"/>
    <cellStyle name="60% - Акцент1 62" xfId="2971"/>
    <cellStyle name="60% - Акцент1 63" xfId="2972"/>
    <cellStyle name="60% - Акцент1 64" xfId="2973"/>
    <cellStyle name="60% - Акцент1 65" xfId="2974"/>
    <cellStyle name="60% - Акцент1 66" xfId="2975"/>
    <cellStyle name="60% - Акцент1 67" xfId="2976"/>
    <cellStyle name="60% - Акцент1 7" xfId="2977"/>
    <cellStyle name="60% — акцент1 7" xfId="2978"/>
    <cellStyle name="60% - Акцент1 8" xfId="2979"/>
    <cellStyle name="60% — акцент1 8" xfId="2980"/>
    <cellStyle name="60% - Акцент1 9" xfId="2981"/>
    <cellStyle name="60% — акцент1 9" xfId="2982"/>
    <cellStyle name="60% - Акцент1_двигатели" xfId="2983"/>
    <cellStyle name="60% - Акцент2" xfId="2984"/>
    <cellStyle name="60% - Акцент2 10" xfId="2985"/>
    <cellStyle name="60% — акцент2 10" xfId="2986"/>
    <cellStyle name="60% - Акцент2 11" xfId="2987"/>
    <cellStyle name="60% — акцент2 11" xfId="2988"/>
    <cellStyle name="60% - Акцент2 12" xfId="2989"/>
    <cellStyle name="60% — акцент2 12" xfId="2990"/>
    <cellStyle name="60% - Акцент2 13" xfId="2991"/>
    <cellStyle name="60% — акцент2 13" xfId="2992"/>
    <cellStyle name="60% - Акцент2 14" xfId="2993"/>
    <cellStyle name="60% — акцент2 14" xfId="2994"/>
    <cellStyle name="60% - Акцент2 15" xfId="2995"/>
    <cellStyle name="60% — акцент2 15" xfId="2996"/>
    <cellStyle name="60% - Акцент2 16" xfId="2997"/>
    <cellStyle name="60% — акцент2 16" xfId="2998"/>
    <cellStyle name="60% - Акцент2 17" xfId="2999"/>
    <cellStyle name="60% — акцент2 17" xfId="3000"/>
    <cellStyle name="60% - Акцент2 18" xfId="3001"/>
    <cellStyle name="60% — акцент2 18" xfId="3002"/>
    <cellStyle name="60% - Акцент2 19" xfId="3003"/>
    <cellStyle name="60% — акцент2 19" xfId="3004"/>
    <cellStyle name="60% - Акцент2 2" xfId="3005"/>
    <cellStyle name="60% — акцент2 2" xfId="3006"/>
    <cellStyle name="60% - Акцент2 20" xfId="3007"/>
    <cellStyle name="60% — акцент2 20" xfId="3008"/>
    <cellStyle name="60% - Акцент2 21" xfId="3009"/>
    <cellStyle name="60% — акцент2 21" xfId="3010"/>
    <cellStyle name="60% - Акцент2 22" xfId="3011"/>
    <cellStyle name="60% — акцент2 22" xfId="3012"/>
    <cellStyle name="60% - Акцент2 23" xfId="3013"/>
    <cellStyle name="60% — акцент2 23" xfId="3014"/>
    <cellStyle name="60% - Акцент2 24" xfId="3015"/>
    <cellStyle name="60% — акцент2 24" xfId="3016"/>
    <cellStyle name="60% - Акцент2 25" xfId="3017"/>
    <cellStyle name="60% — акцент2 25" xfId="3018"/>
    <cellStyle name="60% - Акцент2 26" xfId="3019"/>
    <cellStyle name="60% — акцент2 26" xfId="3020"/>
    <cellStyle name="60% - Акцент2 27" xfId="3021"/>
    <cellStyle name="60% — акцент2 27" xfId="3022"/>
    <cellStyle name="60% - Акцент2 28" xfId="3023"/>
    <cellStyle name="60% — акцент2 28" xfId="3024"/>
    <cellStyle name="60% - Акцент2 29" xfId="3025"/>
    <cellStyle name="60% — акцент2 29" xfId="3026"/>
    <cellStyle name="60% - Акцент2 3" xfId="3027"/>
    <cellStyle name="60% — акцент2 3" xfId="3028"/>
    <cellStyle name="60% - Акцент2 30" xfId="3029"/>
    <cellStyle name="60% — акцент2 30" xfId="3030"/>
    <cellStyle name="60% - Акцент2 31" xfId="3031"/>
    <cellStyle name="60% — акцент2 31" xfId="3032"/>
    <cellStyle name="60% - Акцент2 32" xfId="3033"/>
    <cellStyle name="60% — акцент2 32" xfId="3034"/>
    <cellStyle name="60% - Акцент2 33" xfId="3035"/>
    <cellStyle name="60% — акцент2 33" xfId="3036"/>
    <cellStyle name="60% - Акцент2 34" xfId="3037"/>
    <cellStyle name="60% — акцент2 34" xfId="3038"/>
    <cellStyle name="60% - Акцент2 35" xfId="3039"/>
    <cellStyle name="60% — акцент2 35" xfId="3040"/>
    <cellStyle name="60% - Акцент2 36" xfId="3041"/>
    <cellStyle name="60% — акцент2 36" xfId="3042"/>
    <cellStyle name="60% - Акцент2 37" xfId="3043"/>
    <cellStyle name="60% — акцент2 37" xfId="3044"/>
    <cellStyle name="60% - Акцент2 38" xfId="3045"/>
    <cellStyle name="60% — акцент2 38" xfId="3046"/>
    <cellStyle name="60% - Акцент2 39" xfId="3047"/>
    <cellStyle name="60% — акцент2 39" xfId="3048"/>
    <cellStyle name="60% - Акцент2 4" xfId="3049"/>
    <cellStyle name="60% — акцент2 4" xfId="3050"/>
    <cellStyle name="60% - Акцент2 40" xfId="3051"/>
    <cellStyle name="60% — акцент2 40" xfId="3052"/>
    <cellStyle name="60% - Акцент2 41" xfId="3053"/>
    <cellStyle name="60% — акцент2 41" xfId="3054"/>
    <cellStyle name="60% - Акцент2 42" xfId="3055"/>
    <cellStyle name="60% — акцент2 42" xfId="3056"/>
    <cellStyle name="60% - Акцент2 43" xfId="3057"/>
    <cellStyle name="60% — акцент2 43" xfId="3058"/>
    <cellStyle name="60% - Акцент2 44" xfId="3059"/>
    <cellStyle name="60% — акцент2 44" xfId="3060"/>
    <cellStyle name="60% - Акцент2 45" xfId="3061"/>
    <cellStyle name="60% — акцент2 45" xfId="3062"/>
    <cellStyle name="60% - Акцент2 46" xfId="3063"/>
    <cellStyle name="60% — акцент2 46" xfId="3064"/>
    <cellStyle name="60% - Акцент2 47" xfId="3065"/>
    <cellStyle name="60% — акцент2 47" xfId="3066"/>
    <cellStyle name="60% - Акцент2 48" xfId="3067"/>
    <cellStyle name="60% — акцент2 48" xfId="3068"/>
    <cellStyle name="60% - Акцент2 49" xfId="3069"/>
    <cellStyle name="60% — акцент2 49" xfId="3070"/>
    <cellStyle name="60% - Акцент2 5" xfId="3071"/>
    <cellStyle name="60% — акцент2 5" xfId="3072"/>
    <cellStyle name="60% - Акцент2 50" xfId="3073"/>
    <cellStyle name="60% — акцент2 50" xfId="3074"/>
    <cellStyle name="60% - Акцент2 51" xfId="3075"/>
    <cellStyle name="60% — акцент2 51" xfId="3076"/>
    <cellStyle name="60% - Акцент2 52" xfId="3077"/>
    <cellStyle name="60% — акцент2 52" xfId="3078"/>
    <cellStyle name="60% - Акцент2 53" xfId="3079"/>
    <cellStyle name="60% — акцент2 53" xfId="3080"/>
    <cellStyle name="60% - Акцент2 54" xfId="3081"/>
    <cellStyle name="60% — акцент2 54" xfId="3082"/>
    <cellStyle name="60% - Акцент2 55" xfId="3083"/>
    <cellStyle name="60% — акцент2 55" xfId="3084"/>
    <cellStyle name="60% - Акцент2 56" xfId="3085"/>
    <cellStyle name="60% — акцент2 56" xfId="3086"/>
    <cellStyle name="60% - Акцент2 57" xfId="3087"/>
    <cellStyle name="60% — акцент2 57" xfId="3088"/>
    <cellStyle name="60% - Акцент2 58" xfId="3089"/>
    <cellStyle name="60% - Акцент2 59" xfId="3090"/>
    <cellStyle name="60% - Акцент2 6" xfId="3091"/>
    <cellStyle name="60% — акцент2 6" xfId="3092"/>
    <cellStyle name="60% - Акцент2 60" xfId="3093"/>
    <cellStyle name="60% - Акцент2 61" xfId="3094"/>
    <cellStyle name="60% - Акцент2 62" xfId="3095"/>
    <cellStyle name="60% - Акцент2 63" xfId="3096"/>
    <cellStyle name="60% - Акцент2 64" xfId="3097"/>
    <cellStyle name="60% - Акцент2 65" xfId="3098"/>
    <cellStyle name="60% - Акцент2 66" xfId="3099"/>
    <cellStyle name="60% - Акцент2 67" xfId="3100"/>
    <cellStyle name="60% - Акцент2 7" xfId="3101"/>
    <cellStyle name="60% — акцент2 7" xfId="3102"/>
    <cellStyle name="60% - Акцент2 8" xfId="3103"/>
    <cellStyle name="60% — акцент2 8" xfId="3104"/>
    <cellStyle name="60% - Акцент2 9" xfId="3105"/>
    <cellStyle name="60% — акцент2 9" xfId="3106"/>
    <cellStyle name="60% - Акцент2_двигатели" xfId="3107"/>
    <cellStyle name="60% - Акцент3" xfId="3108"/>
    <cellStyle name="60% - Акцент3 10" xfId="3109"/>
    <cellStyle name="60% — акцент3 10" xfId="3110"/>
    <cellStyle name="60% - Акцент3 11" xfId="3111"/>
    <cellStyle name="60% — акцент3 11" xfId="3112"/>
    <cellStyle name="60% - Акцент3 12" xfId="3113"/>
    <cellStyle name="60% — акцент3 12" xfId="3114"/>
    <cellStyle name="60% - Акцент3 13" xfId="3115"/>
    <cellStyle name="60% — акцент3 13" xfId="3116"/>
    <cellStyle name="60% - Акцент3 14" xfId="3117"/>
    <cellStyle name="60% — акцент3 14" xfId="3118"/>
    <cellStyle name="60% - Акцент3 15" xfId="3119"/>
    <cellStyle name="60% — акцент3 15" xfId="3120"/>
    <cellStyle name="60% - Акцент3 16" xfId="3121"/>
    <cellStyle name="60% — акцент3 16" xfId="3122"/>
    <cellStyle name="60% - Акцент3 17" xfId="3123"/>
    <cellStyle name="60% — акцент3 17" xfId="3124"/>
    <cellStyle name="60% - Акцент3 18" xfId="3125"/>
    <cellStyle name="60% — акцент3 18" xfId="3126"/>
    <cellStyle name="60% - Акцент3 19" xfId="3127"/>
    <cellStyle name="60% — акцент3 19" xfId="3128"/>
    <cellStyle name="60% - Акцент3 2" xfId="3129"/>
    <cellStyle name="60% — акцент3 2" xfId="3130"/>
    <cellStyle name="60% - Акцент3 20" xfId="3131"/>
    <cellStyle name="60% — акцент3 20" xfId="3132"/>
    <cellStyle name="60% - Акцент3 21" xfId="3133"/>
    <cellStyle name="60% — акцент3 21" xfId="3134"/>
    <cellStyle name="60% - Акцент3 22" xfId="3135"/>
    <cellStyle name="60% — акцент3 22" xfId="3136"/>
    <cellStyle name="60% - Акцент3 23" xfId="3137"/>
    <cellStyle name="60% — акцент3 23" xfId="3138"/>
    <cellStyle name="60% - Акцент3 24" xfId="3139"/>
    <cellStyle name="60% — акцент3 24" xfId="3140"/>
    <cellStyle name="60% - Акцент3 25" xfId="3141"/>
    <cellStyle name="60% — акцент3 25" xfId="3142"/>
    <cellStyle name="60% - Акцент3 26" xfId="3143"/>
    <cellStyle name="60% — акцент3 26" xfId="3144"/>
    <cellStyle name="60% - Акцент3 27" xfId="3145"/>
    <cellStyle name="60% — акцент3 27" xfId="3146"/>
    <cellStyle name="60% - Акцент3 28" xfId="3147"/>
    <cellStyle name="60% — акцент3 28" xfId="3148"/>
    <cellStyle name="60% - Акцент3 29" xfId="3149"/>
    <cellStyle name="60% — акцент3 29" xfId="3150"/>
    <cellStyle name="60% - Акцент3 3" xfId="3151"/>
    <cellStyle name="60% — акцент3 3" xfId="3152"/>
    <cellStyle name="60% - Акцент3 30" xfId="3153"/>
    <cellStyle name="60% — акцент3 30" xfId="3154"/>
    <cellStyle name="60% - Акцент3 31" xfId="3155"/>
    <cellStyle name="60% — акцент3 31" xfId="3156"/>
    <cellStyle name="60% - Акцент3 32" xfId="3157"/>
    <cellStyle name="60% — акцент3 32" xfId="3158"/>
    <cellStyle name="60% - Акцент3 33" xfId="3159"/>
    <cellStyle name="60% — акцент3 33" xfId="3160"/>
    <cellStyle name="60% - Акцент3 34" xfId="3161"/>
    <cellStyle name="60% — акцент3 34" xfId="3162"/>
    <cellStyle name="60% - Акцент3 35" xfId="3163"/>
    <cellStyle name="60% — акцент3 35" xfId="3164"/>
    <cellStyle name="60% - Акцент3 36" xfId="3165"/>
    <cellStyle name="60% — акцент3 36" xfId="3166"/>
    <cellStyle name="60% - Акцент3 37" xfId="3167"/>
    <cellStyle name="60% — акцент3 37" xfId="3168"/>
    <cellStyle name="60% - Акцент3 38" xfId="3169"/>
    <cellStyle name="60% — акцент3 38" xfId="3170"/>
    <cellStyle name="60% - Акцент3 39" xfId="3171"/>
    <cellStyle name="60% — акцент3 39" xfId="3172"/>
    <cellStyle name="60% - Акцент3 4" xfId="3173"/>
    <cellStyle name="60% — акцент3 4" xfId="3174"/>
    <cellStyle name="60% - Акцент3 40" xfId="3175"/>
    <cellStyle name="60% — акцент3 40" xfId="3176"/>
    <cellStyle name="60% - Акцент3 41" xfId="3177"/>
    <cellStyle name="60% — акцент3 41" xfId="3178"/>
    <cellStyle name="60% - Акцент3 42" xfId="3179"/>
    <cellStyle name="60% — акцент3 42" xfId="3180"/>
    <cellStyle name="60% - Акцент3 43" xfId="3181"/>
    <cellStyle name="60% — акцент3 43" xfId="3182"/>
    <cellStyle name="60% - Акцент3 44" xfId="3183"/>
    <cellStyle name="60% — акцент3 44" xfId="3184"/>
    <cellStyle name="60% - Акцент3 45" xfId="3185"/>
    <cellStyle name="60% — акцент3 45" xfId="3186"/>
    <cellStyle name="60% - Акцент3 46" xfId="3187"/>
    <cellStyle name="60% — акцент3 46" xfId="3188"/>
    <cellStyle name="60% - Акцент3 47" xfId="3189"/>
    <cellStyle name="60% — акцент3 47" xfId="3190"/>
    <cellStyle name="60% - Акцент3 48" xfId="3191"/>
    <cellStyle name="60% — акцент3 48" xfId="3192"/>
    <cellStyle name="60% - Акцент3 49" xfId="3193"/>
    <cellStyle name="60% — акцент3 49" xfId="3194"/>
    <cellStyle name="60% - Акцент3 5" xfId="3195"/>
    <cellStyle name="60% — акцент3 5" xfId="3196"/>
    <cellStyle name="60% - Акцент3 50" xfId="3197"/>
    <cellStyle name="60% — акцент3 50" xfId="3198"/>
    <cellStyle name="60% - Акцент3 51" xfId="3199"/>
    <cellStyle name="60% — акцент3 51" xfId="3200"/>
    <cellStyle name="60% - Акцент3 52" xfId="3201"/>
    <cellStyle name="60% — акцент3 52" xfId="3202"/>
    <cellStyle name="60% - Акцент3 53" xfId="3203"/>
    <cellStyle name="60% — акцент3 53" xfId="3204"/>
    <cellStyle name="60% - Акцент3 54" xfId="3205"/>
    <cellStyle name="60% — акцент3 54" xfId="3206"/>
    <cellStyle name="60% - Акцент3 55" xfId="3207"/>
    <cellStyle name="60% — акцент3 55" xfId="3208"/>
    <cellStyle name="60% - Акцент3 56" xfId="3209"/>
    <cellStyle name="60% — акцент3 56" xfId="3210"/>
    <cellStyle name="60% - Акцент3 57" xfId="3211"/>
    <cellStyle name="60% — акцент3 57" xfId="3212"/>
    <cellStyle name="60% - Акцент3 58" xfId="3213"/>
    <cellStyle name="60% - Акцент3 59" xfId="3214"/>
    <cellStyle name="60% - Акцент3 6" xfId="3215"/>
    <cellStyle name="60% — акцент3 6" xfId="3216"/>
    <cellStyle name="60% - Акцент3 60" xfId="3217"/>
    <cellStyle name="60% - Акцент3 61" xfId="3218"/>
    <cellStyle name="60% - Акцент3 62" xfId="3219"/>
    <cellStyle name="60% - Акцент3 63" xfId="3220"/>
    <cellStyle name="60% - Акцент3 64" xfId="3221"/>
    <cellStyle name="60% - Акцент3 65" xfId="3222"/>
    <cellStyle name="60% - Акцент3 66" xfId="3223"/>
    <cellStyle name="60% - Акцент3 67" xfId="3224"/>
    <cellStyle name="60% - Акцент3 7" xfId="3225"/>
    <cellStyle name="60% — акцент3 7" xfId="3226"/>
    <cellStyle name="60% - Акцент3 8" xfId="3227"/>
    <cellStyle name="60% — акцент3 8" xfId="3228"/>
    <cellStyle name="60% - Акцент3 9" xfId="3229"/>
    <cellStyle name="60% — акцент3 9" xfId="3230"/>
    <cellStyle name="60% - Акцент3_двигатели" xfId="3231"/>
    <cellStyle name="60% - Акцент4" xfId="3232"/>
    <cellStyle name="60% - Акцент4 10" xfId="3233"/>
    <cellStyle name="60% — акцент4 10" xfId="3234"/>
    <cellStyle name="60% - Акцент4 11" xfId="3235"/>
    <cellStyle name="60% — акцент4 11" xfId="3236"/>
    <cellStyle name="60% - Акцент4 12" xfId="3237"/>
    <cellStyle name="60% — акцент4 12" xfId="3238"/>
    <cellStyle name="60% - Акцент4 13" xfId="3239"/>
    <cellStyle name="60% — акцент4 13" xfId="3240"/>
    <cellStyle name="60% - Акцент4 14" xfId="3241"/>
    <cellStyle name="60% — акцент4 14" xfId="3242"/>
    <cellStyle name="60% - Акцент4 15" xfId="3243"/>
    <cellStyle name="60% — акцент4 15" xfId="3244"/>
    <cellStyle name="60% - Акцент4 16" xfId="3245"/>
    <cellStyle name="60% — акцент4 16" xfId="3246"/>
    <cellStyle name="60% - Акцент4 17" xfId="3247"/>
    <cellStyle name="60% — акцент4 17" xfId="3248"/>
    <cellStyle name="60% - Акцент4 18" xfId="3249"/>
    <cellStyle name="60% — акцент4 18" xfId="3250"/>
    <cellStyle name="60% - Акцент4 19" xfId="3251"/>
    <cellStyle name="60% — акцент4 19" xfId="3252"/>
    <cellStyle name="60% - Акцент4 2" xfId="3253"/>
    <cellStyle name="60% — акцент4 2" xfId="3254"/>
    <cellStyle name="60% - Акцент4 20" xfId="3255"/>
    <cellStyle name="60% — акцент4 20" xfId="3256"/>
    <cellStyle name="60% - Акцент4 21" xfId="3257"/>
    <cellStyle name="60% — акцент4 21" xfId="3258"/>
    <cellStyle name="60% - Акцент4 22" xfId="3259"/>
    <cellStyle name="60% — акцент4 22" xfId="3260"/>
    <cellStyle name="60% - Акцент4 23" xfId="3261"/>
    <cellStyle name="60% — акцент4 23" xfId="3262"/>
    <cellStyle name="60% - Акцент4 24" xfId="3263"/>
    <cellStyle name="60% — акцент4 24" xfId="3264"/>
    <cellStyle name="60% - Акцент4 25" xfId="3265"/>
    <cellStyle name="60% — акцент4 25" xfId="3266"/>
    <cellStyle name="60% - Акцент4 26" xfId="3267"/>
    <cellStyle name="60% — акцент4 26" xfId="3268"/>
    <cellStyle name="60% - Акцент4 27" xfId="3269"/>
    <cellStyle name="60% — акцент4 27" xfId="3270"/>
    <cellStyle name="60% - Акцент4 28" xfId="3271"/>
    <cellStyle name="60% — акцент4 28" xfId="3272"/>
    <cellStyle name="60% - Акцент4 29" xfId="3273"/>
    <cellStyle name="60% — акцент4 29" xfId="3274"/>
    <cellStyle name="60% - Акцент4 3" xfId="3275"/>
    <cellStyle name="60% — акцент4 3" xfId="3276"/>
    <cellStyle name="60% - Акцент4 30" xfId="3277"/>
    <cellStyle name="60% — акцент4 30" xfId="3278"/>
    <cellStyle name="60% - Акцент4 31" xfId="3279"/>
    <cellStyle name="60% — акцент4 31" xfId="3280"/>
    <cellStyle name="60% - Акцент4 32" xfId="3281"/>
    <cellStyle name="60% — акцент4 32" xfId="3282"/>
    <cellStyle name="60% - Акцент4 33" xfId="3283"/>
    <cellStyle name="60% — акцент4 33" xfId="3284"/>
    <cellStyle name="60% - Акцент4 34" xfId="3285"/>
    <cellStyle name="60% — акцент4 34" xfId="3286"/>
    <cellStyle name="60% - Акцент4 35" xfId="3287"/>
    <cellStyle name="60% — акцент4 35" xfId="3288"/>
    <cellStyle name="60% - Акцент4 36" xfId="3289"/>
    <cellStyle name="60% — акцент4 36" xfId="3290"/>
    <cellStyle name="60% - Акцент4 37" xfId="3291"/>
    <cellStyle name="60% — акцент4 37" xfId="3292"/>
    <cellStyle name="60% - Акцент4 38" xfId="3293"/>
    <cellStyle name="60% — акцент4 38" xfId="3294"/>
    <cellStyle name="60% - Акцент4 39" xfId="3295"/>
    <cellStyle name="60% — акцент4 39" xfId="3296"/>
    <cellStyle name="60% - Акцент4 4" xfId="3297"/>
    <cellStyle name="60% — акцент4 4" xfId="3298"/>
    <cellStyle name="60% - Акцент4 40" xfId="3299"/>
    <cellStyle name="60% — акцент4 40" xfId="3300"/>
    <cellStyle name="60% - Акцент4 41" xfId="3301"/>
    <cellStyle name="60% — акцент4 41" xfId="3302"/>
    <cellStyle name="60% - Акцент4 42" xfId="3303"/>
    <cellStyle name="60% — акцент4 42" xfId="3304"/>
    <cellStyle name="60% - Акцент4 43" xfId="3305"/>
    <cellStyle name="60% — акцент4 43" xfId="3306"/>
    <cellStyle name="60% - Акцент4 44" xfId="3307"/>
    <cellStyle name="60% — акцент4 44" xfId="3308"/>
    <cellStyle name="60% - Акцент4 45" xfId="3309"/>
    <cellStyle name="60% — акцент4 45" xfId="3310"/>
    <cellStyle name="60% - Акцент4 46" xfId="3311"/>
    <cellStyle name="60% — акцент4 46" xfId="3312"/>
    <cellStyle name="60% - Акцент4 47" xfId="3313"/>
    <cellStyle name="60% — акцент4 47" xfId="3314"/>
    <cellStyle name="60% - Акцент4 48" xfId="3315"/>
    <cellStyle name="60% — акцент4 48" xfId="3316"/>
    <cellStyle name="60% - Акцент4 49" xfId="3317"/>
    <cellStyle name="60% — акцент4 49" xfId="3318"/>
    <cellStyle name="60% - Акцент4 5" xfId="3319"/>
    <cellStyle name="60% — акцент4 5" xfId="3320"/>
    <cellStyle name="60% - Акцент4 50" xfId="3321"/>
    <cellStyle name="60% — акцент4 50" xfId="3322"/>
    <cellStyle name="60% - Акцент4 51" xfId="3323"/>
    <cellStyle name="60% — акцент4 51" xfId="3324"/>
    <cellStyle name="60% - Акцент4 52" xfId="3325"/>
    <cellStyle name="60% — акцент4 52" xfId="3326"/>
    <cellStyle name="60% - Акцент4 53" xfId="3327"/>
    <cellStyle name="60% — акцент4 53" xfId="3328"/>
    <cellStyle name="60% - Акцент4 54" xfId="3329"/>
    <cellStyle name="60% — акцент4 54" xfId="3330"/>
    <cellStyle name="60% - Акцент4 55" xfId="3331"/>
    <cellStyle name="60% — акцент4 55" xfId="3332"/>
    <cellStyle name="60% - Акцент4 56" xfId="3333"/>
    <cellStyle name="60% — акцент4 56" xfId="3334"/>
    <cellStyle name="60% - Акцент4 57" xfId="3335"/>
    <cellStyle name="60% — акцент4 57" xfId="3336"/>
    <cellStyle name="60% - Акцент4 58" xfId="3337"/>
    <cellStyle name="60% - Акцент4 59" xfId="3338"/>
    <cellStyle name="60% - Акцент4 6" xfId="3339"/>
    <cellStyle name="60% — акцент4 6" xfId="3340"/>
    <cellStyle name="60% - Акцент4 60" xfId="3341"/>
    <cellStyle name="60% - Акцент4 61" xfId="3342"/>
    <cellStyle name="60% - Акцент4 62" xfId="3343"/>
    <cellStyle name="60% - Акцент4 63" xfId="3344"/>
    <cellStyle name="60% - Акцент4 64" xfId="3345"/>
    <cellStyle name="60% - Акцент4 65" xfId="3346"/>
    <cellStyle name="60% - Акцент4 66" xfId="3347"/>
    <cellStyle name="60% - Акцент4 67" xfId="3348"/>
    <cellStyle name="60% - Акцент4 7" xfId="3349"/>
    <cellStyle name="60% — акцент4 7" xfId="3350"/>
    <cellStyle name="60% - Акцент4 8" xfId="3351"/>
    <cellStyle name="60% — акцент4 8" xfId="3352"/>
    <cellStyle name="60% - Акцент4 9" xfId="3353"/>
    <cellStyle name="60% — акцент4 9" xfId="3354"/>
    <cellStyle name="60% - Акцент4_двигатели" xfId="3355"/>
    <cellStyle name="60% - Акцент5" xfId="3356"/>
    <cellStyle name="60% - Акцент5 10" xfId="3357"/>
    <cellStyle name="60% — акцент5 10" xfId="3358"/>
    <cellStyle name="60% - Акцент5 11" xfId="3359"/>
    <cellStyle name="60% — акцент5 11" xfId="3360"/>
    <cellStyle name="60% - Акцент5 12" xfId="3361"/>
    <cellStyle name="60% — акцент5 12" xfId="3362"/>
    <cellStyle name="60% - Акцент5 13" xfId="3363"/>
    <cellStyle name="60% — акцент5 13" xfId="3364"/>
    <cellStyle name="60% - Акцент5 14" xfId="3365"/>
    <cellStyle name="60% — акцент5 14" xfId="3366"/>
    <cellStyle name="60% - Акцент5 15" xfId="3367"/>
    <cellStyle name="60% — акцент5 15" xfId="3368"/>
    <cellStyle name="60% - Акцент5 16" xfId="3369"/>
    <cellStyle name="60% — акцент5 16" xfId="3370"/>
    <cellStyle name="60% - Акцент5 17" xfId="3371"/>
    <cellStyle name="60% — акцент5 17" xfId="3372"/>
    <cellStyle name="60% - Акцент5 18" xfId="3373"/>
    <cellStyle name="60% — акцент5 18" xfId="3374"/>
    <cellStyle name="60% - Акцент5 19" xfId="3375"/>
    <cellStyle name="60% — акцент5 19" xfId="3376"/>
    <cellStyle name="60% - Акцент5 2" xfId="3377"/>
    <cellStyle name="60% — акцент5 2" xfId="3378"/>
    <cellStyle name="60% - Акцент5 20" xfId="3379"/>
    <cellStyle name="60% — акцент5 20" xfId="3380"/>
    <cellStyle name="60% - Акцент5 21" xfId="3381"/>
    <cellStyle name="60% — акцент5 21" xfId="3382"/>
    <cellStyle name="60% - Акцент5 22" xfId="3383"/>
    <cellStyle name="60% — акцент5 22" xfId="3384"/>
    <cellStyle name="60% - Акцент5 23" xfId="3385"/>
    <cellStyle name="60% — акцент5 23" xfId="3386"/>
    <cellStyle name="60% - Акцент5 24" xfId="3387"/>
    <cellStyle name="60% — акцент5 24" xfId="3388"/>
    <cellStyle name="60% - Акцент5 25" xfId="3389"/>
    <cellStyle name="60% — акцент5 25" xfId="3390"/>
    <cellStyle name="60% - Акцент5 26" xfId="3391"/>
    <cellStyle name="60% — акцент5 26" xfId="3392"/>
    <cellStyle name="60% - Акцент5 27" xfId="3393"/>
    <cellStyle name="60% — акцент5 27" xfId="3394"/>
    <cellStyle name="60% - Акцент5 28" xfId="3395"/>
    <cellStyle name="60% — акцент5 28" xfId="3396"/>
    <cellStyle name="60% - Акцент5 29" xfId="3397"/>
    <cellStyle name="60% — акцент5 29" xfId="3398"/>
    <cellStyle name="60% - Акцент5 3" xfId="3399"/>
    <cellStyle name="60% — акцент5 3" xfId="3400"/>
    <cellStyle name="60% - Акцент5 30" xfId="3401"/>
    <cellStyle name="60% — акцент5 30" xfId="3402"/>
    <cellStyle name="60% - Акцент5 31" xfId="3403"/>
    <cellStyle name="60% — акцент5 31" xfId="3404"/>
    <cellStyle name="60% - Акцент5 32" xfId="3405"/>
    <cellStyle name="60% — акцент5 32" xfId="3406"/>
    <cellStyle name="60% - Акцент5 33" xfId="3407"/>
    <cellStyle name="60% — акцент5 33" xfId="3408"/>
    <cellStyle name="60% - Акцент5 34" xfId="3409"/>
    <cellStyle name="60% — акцент5 34" xfId="3410"/>
    <cellStyle name="60% - Акцент5 35" xfId="3411"/>
    <cellStyle name="60% — акцент5 35" xfId="3412"/>
    <cellStyle name="60% - Акцент5 36" xfId="3413"/>
    <cellStyle name="60% — акцент5 36" xfId="3414"/>
    <cellStyle name="60% - Акцент5 37" xfId="3415"/>
    <cellStyle name="60% — акцент5 37" xfId="3416"/>
    <cellStyle name="60% - Акцент5 38" xfId="3417"/>
    <cellStyle name="60% — акцент5 38" xfId="3418"/>
    <cellStyle name="60% - Акцент5 39" xfId="3419"/>
    <cellStyle name="60% — акцент5 39" xfId="3420"/>
    <cellStyle name="60% - Акцент5 4" xfId="3421"/>
    <cellStyle name="60% — акцент5 4" xfId="3422"/>
    <cellStyle name="60% - Акцент5 40" xfId="3423"/>
    <cellStyle name="60% — акцент5 40" xfId="3424"/>
    <cellStyle name="60% - Акцент5 41" xfId="3425"/>
    <cellStyle name="60% — акцент5 41" xfId="3426"/>
    <cellStyle name="60% - Акцент5 42" xfId="3427"/>
    <cellStyle name="60% — акцент5 42" xfId="3428"/>
    <cellStyle name="60% - Акцент5 43" xfId="3429"/>
    <cellStyle name="60% — акцент5 43" xfId="3430"/>
    <cellStyle name="60% - Акцент5 44" xfId="3431"/>
    <cellStyle name="60% — акцент5 44" xfId="3432"/>
    <cellStyle name="60% - Акцент5 45" xfId="3433"/>
    <cellStyle name="60% — акцент5 45" xfId="3434"/>
    <cellStyle name="60% - Акцент5 46" xfId="3435"/>
    <cellStyle name="60% — акцент5 46" xfId="3436"/>
    <cellStyle name="60% - Акцент5 47" xfId="3437"/>
    <cellStyle name="60% — акцент5 47" xfId="3438"/>
    <cellStyle name="60% - Акцент5 48" xfId="3439"/>
    <cellStyle name="60% — акцент5 48" xfId="3440"/>
    <cellStyle name="60% - Акцент5 49" xfId="3441"/>
    <cellStyle name="60% — акцент5 49" xfId="3442"/>
    <cellStyle name="60% - Акцент5 5" xfId="3443"/>
    <cellStyle name="60% — акцент5 5" xfId="3444"/>
    <cellStyle name="60% - Акцент5 50" xfId="3445"/>
    <cellStyle name="60% — акцент5 50" xfId="3446"/>
    <cellStyle name="60% - Акцент5 51" xfId="3447"/>
    <cellStyle name="60% — акцент5 51" xfId="3448"/>
    <cellStyle name="60% - Акцент5 52" xfId="3449"/>
    <cellStyle name="60% — акцент5 52" xfId="3450"/>
    <cellStyle name="60% - Акцент5 53" xfId="3451"/>
    <cellStyle name="60% — акцент5 53" xfId="3452"/>
    <cellStyle name="60% - Акцент5 54" xfId="3453"/>
    <cellStyle name="60% — акцент5 54" xfId="3454"/>
    <cellStyle name="60% - Акцент5 55" xfId="3455"/>
    <cellStyle name="60% — акцент5 55" xfId="3456"/>
    <cellStyle name="60% - Акцент5 56" xfId="3457"/>
    <cellStyle name="60% — акцент5 56" xfId="3458"/>
    <cellStyle name="60% - Акцент5 57" xfId="3459"/>
    <cellStyle name="60% — акцент5 57" xfId="3460"/>
    <cellStyle name="60% - Акцент5 58" xfId="3461"/>
    <cellStyle name="60% - Акцент5 59" xfId="3462"/>
    <cellStyle name="60% - Акцент5 6" xfId="3463"/>
    <cellStyle name="60% — акцент5 6" xfId="3464"/>
    <cellStyle name="60% - Акцент5 60" xfId="3465"/>
    <cellStyle name="60% - Акцент5 61" xfId="3466"/>
    <cellStyle name="60% - Акцент5 62" xfId="3467"/>
    <cellStyle name="60% - Акцент5 63" xfId="3468"/>
    <cellStyle name="60% - Акцент5 64" xfId="3469"/>
    <cellStyle name="60% - Акцент5 65" xfId="3470"/>
    <cellStyle name="60% - Акцент5 66" xfId="3471"/>
    <cellStyle name="60% - Акцент5 67" xfId="3472"/>
    <cellStyle name="60% - Акцент5 7" xfId="3473"/>
    <cellStyle name="60% — акцент5 7" xfId="3474"/>
    <cellStyle name="60% - Акцент5 8" xfId="3475"/>
    <cellStyle name="60% — акцент5 8" xfId="3476"/>
    <cellStyle name="60% - Акцент5 9" xfId="3477"/>
    <cellStyle name="60% — акцент5 9" xfId="3478"/>
    <cellStyle name="60% - Акцент5_двигатели" xfId="3479"/>
    <cellStyle name="60% - Акцент6" xfId="3480"/>
    <cellStyle name="60% - Акцент6 10" xfId="3481"/>
    <cellStyle name="60% — акцент6 10" xfId="3482"/>
    <cellStyle name="60% - Акцент6 11" xfId="3483"/>
    <cellStyle name="60% — акцент6 11" xfId="3484"/>
    <cellStyle name="60% - Акцент6 12" xfId="3485"/>
    <cellStyle name="60% — акцент6 12" xfId="3486"/>
    <cellStyle name="60% - Акцент6 13" xfId="3487"/>
    <cellStyle name="60% — акцент6 13" xfId="3488"/>
    <cellStyle name="60% - Акцент6 14" xfId="3489"/>
    <cellStyle name="60% — акцент6 14" xfId="3490"/>
    <cellStyle name="60% - Акцент6 15" xfId="3491"/>
    <cellStyle name="60% — акцент6 15" xfId="3492"/>
    <cellStyle name="60% - Акцент6 16" xfId="3493"/>
    <cellStyle name="60% — акцент6 16" xfId="3494"/>
    <cellStyle name="60% - Акцент6 17" xfId="3495"/>
    <cellStyle name="60% — акцент6 17" xfId="3496"/>
    <cellStyle name="60% - Акцент6 18" xfId="3497"/>
    <cellStyle name="60% — акцент6 18" xfId="3498"/>
    <cellStyle name="60% - Акцент6 19" xfId="3499"/>
    <cellStyle name="60% — акцент6 19" xfId="3500"/>
    <cellStyle name="60% - Акцент6 2" xfId="3501"/>
    <cellStyle name="60% — акцент6 2" xfId="3502"/>
    <cellStyle name="60% - Акцент6 20" xfId="3503"/>
    <cellStyle name="60% — акцент6 20" xfId="3504"/>
    <cellStyle name="60% - Акцент6 21" xfId="3505"/>
    <cellStyle name="60% — акцент6 21" xfId="3506"/>
    <cellStyle name="60% - Акцент6 22" xfId="3507"/>
    <cellStyle name="60% — акцент6 22" xfId="3508"/>
    <cellStyle name="60% - Акцент6 23" xfId="3509"/>
    <cellStyle name="60% — акцент6 23" xfId="3510"/>
    <cellStyle name="60% - Акцент6 24" xfId="3511"/>
    <cellStyle name="60% — акцент6 24" xfId="3512"/>
    <cellStyle name="60% - Акцент6 25" xfId="3513"/>
    <cellStyle name="60% — акцент6 25" xfId="3514"/>
    <cellStyle name="60% - Акцент6 26" xfId="3515"/>
    <cellStyle name="60% — акцент6 26" xfId="3516"/>
    <cellStyle name="60% - Акцент6 27" xfId="3517"/>
    <cellStyle name="60% — акцент6 27" xfId="3518"/>
    <cellStyle name="60% - Акцент6 28" xfId="3519"/>
    <cellStyle name="60% — акцент6 28" xfId="3520"/>
    <cellStyle name="60% - Акцент6 29" xfId="3521"/>
    <cellStyle name="60% — акцент6 29" xfId="3522"/>
    <cellStyle name="60% - Акцент6 3" xfId="3523"/>
    <cellStyle name="60% — акцент6 3" xfId="3524"/>
    <cellStyle name="60% - Акцент6 30" xfId="3525"/>
    <cellStyle name="60% — акцент6 30" xfId="3526"/>
    <cellStyle name="60% - Акцент6 31" xfId="3527"/>
    <cellStyle name="60% — акцент6 31" xfId="3528"/>
    <cellStyle name="60% - Акцент6 32" xfId="3529"/>
    <cellStyle name="60% — акцент6 32" xfId="3530"/>
    <cellStyle name="60% - Акцент6 33" xfId="3531"/>
    <cellStyle name="60% — акцент6 33" xfId="3532"/>
    <cellStyle name="60% - Акцент6 34" xfId="3533"/>
    <cellStyle name="60% — акцент6 34" xfId="3534"/>
    <cellStyle name="60% - Акцент6 35" xfId="3535"/>
    <cellStyle name="60% — акцент6 35" xfId="3536"/>
    <cellStyle name="60% - Акцент6 36" xfId="3537"/>
    <cellStyle name="60% — акцент6 36" xfId="3538"/>
    <cellStyle name="60% - Акцент6 37" xfId="3539"/>
    <cellStyle name="60% — акцент6 37" xfId="3540"/>
    <cellStyle name="60% - Акцент6 38" xfId="3541"/>
    <cellStyle name="60% — акцент6 38" xfId="3542"/>
    <cellStyle name="60% - Акцент6 39" xfId="3543"/>
    <cellStyle name="60% — акцент6 39" xfId="3544"/>
    <cellStyle name="60% - Акцент6 4" xfId="3545"/>
    <cellStyle name="60% — акцент6 4" xfId="3546"/>
    <cellStyle name="60% - Акцент6 40" xfId="3547"/>
    <cellStyle name="60% — акцент6 40" xfId="3548"/>
    <cellStyle name="60% - Акцент6 41" xfId="3549"/>
    <cellStyle name="60% — акцент6 41" xfId="3550"/>
    <cellStyle name="60% - Акцент6 42" xfId="3551"/>
    <cellStyle name="60% — акцент6 42" xfId="3552"/>
    <cellStyle name="60% - Акцент6 43" xfId="3553"/>
    <cellStyle name="60% — акцент6 43" xfId="3554"/>
    <cellStyle name="60% - Акцент6 44" xfId="3555"/>
    <cellStyle name="60% — акцент6 44" xfId="3556"/>
    <cellStyle name="60% - Акцент6 45" xfId="3557"/>
    <cellStyle name="60% — акцент6 45" xfId="3558"/>
    <cellStyle name="60% - Акцент6 46" xfId="3559"/>
    <cellStyle name="60% — акцент6 46" xfId="3560"/>
    <cellStyle name="60% - Акцент6 47" xfId="3561"/>
    <cellStyle name="60% — акцент6 47" xfId="3562"/>
    <cellStyle name="60% - Акцент6 48" xfId="3563"/>
    <cellStyle name="60% — акцент6 48" xfId="3564"/>
    <cellStyle name="60% - Акцент6 49" xfId="3565"/>
    <cellStyle name="60% — акцент6 49" xfId="3566"/>
    <cellStyle name="60% - Акцент6 5" xfId="3567"/>
    <cellStyle name="60% — акцент6 5" xfId="3568"/>
    <cellStyle name="60% - Акцент6 50" xfId="3569"/>
    <cellStyle name="60% — акцент6 50" xfId="3570"/>
    <cellStyle name="60% - Акцент6 51" xfId="3571"/>
    <cellStyle name="60% — акцент6 51" xfId="3572"/>
    <cellStyle name="60% - Акцент6 52" xfId="3573"/>
    <cellStyle name="60% — акцент6 52" xfId="3574"/>
    <cellStyle name="60% - Акцент6 53" xfId="3575"/>
    <cellStyle name="60% — акцент6 53" xfId="3576"/>
    <cellStyle name="60% - Акцент6 54" xfId="3577"/>
    <cellStyle name="60% — акцент6 54" xfId="3578"/>
    <cellStyle name="60% - Акцент6 55" xfId="3579"/>
    <cellStyle name="60% — акцент6 55" xfId="3580"/>
    <cellStyle name="60% - Акцент6 56" xfId="3581"/>
    <cellStyle name="60% — акцент6 56" xfId="3582"/>
    <cellStyle name="60% - Акцент6 57" xfId="3583"/>
    <cellStyle name="60% — акцент6 57" xfId="3584"/>
    <cellStyle name="60% - Акцент6 58" xfId="3585"/>
    <cellStyle name="60% - Акцент6 59" xfId="3586"/>
    <cellStyle name="60% - Акцент6 6" xfId="3587"/>
    <cellStyle name="60% — акцент6 6" xfId="3588"/>
    <cellStyle name="60% - Акцент6 60" xfId="3589"/>
    <cellStyle name="60% - Акцент6_двигатели" xfId="3590"/>
    <cellStyle name="Normal 3" xfId="3591"/>
    <cellStyle name="Гиперссылка" xfId="3608" builtinId="8"/>
    <cellStyle name="Гиперссылка 2" xfId="3592"/>
    <cellStyle name="Обычный" xfId="0" builtinId="0"/>
    <cellStyle name="Обычный 2" xfId="3594"/>
    <cellStyle name="Обычный 3" xfId="3595"/>
    <cellStyle name="Обычный 3 2" xfId="3596"/>
    <cellStyle name="Обычный 3_продукция_ЭММ" xfId="3597"/>
    <cellStyle name="Обычный 4" xfId="3598"/>
    <cellStyle name="Обычный 5" xfId="3599"/>
    <cellStyle name="Обычный 6" xfId="3606"/>
    <cellStyle name="Обычный 7" xfId="3607"/>
    <cellStyle name="Обычный_Стартовая" xfId="3593"/>
    <cellStyle name="Обычный_Структура" xfId="3602"/>
    <cellStyle name="Обычный_Трудозатраты" xfId="3604"/>
    <cellStyle name="Обычный_форма расчета" xfId="3605"/>
    <cellStyle name="Процентный 2" xfId="3600"/>
    <cellStyle name="Финансовый 2" xfId="3601"/>
    <cellStyle name="Финансовый 2 2" xfId="3603"/>
  </cellStyles>
  <dxfs count="1">
    <dxf>
      <font>
        <color rgb="FFFF0000"/>
      </font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66675</xdr:rowOff>
    </xdr:from>
    <xdr:to>
      <xdr:col>8</xdr:col>
      <xdr:colOff>3228974</xdr:colOff>
      <xdr:row>0</xdr:row>
      <xdr:rowOff>409461</xdr:rowOff>
    </xdr:to>
    <xdr:sp macro="[0]!Сформировать_структуру" textlink="">
      <xdr:nvSpPr>
        <xdr:cNvPr id="2" name="TextBox 1"/>
        <xdr:cNvSpPr txBox="1"/>
      </xdr:nvSpPr>
      <xdr:spPr>
        <a:xfrm>
          <a:off x="66674" y="66675"/>
          <a:ext cx="5705475" cy="342786"/>
        </a:xfrm>
        <a:prstGeom prst="rect">
          <a:avLst/>
        </a:prstGeom>
        <a:solidFill>
          <a:schemeClr val="accent2">
            <a:lumMod val="50000"/>
          </a:schemeClr>
        </a:solidFill>
        <a:ln w="19050">
          <a:solidFill>
            <a:srgbClr val="FFFF00"/>
          </a:solidFill>
        </a:ln>
        <a:effectLst>
          <a:outerShdw blurRad="63500" sx="102000" sy="102000" algn="ctr" rotWithShape="0">
            <a:prstClr val="black">
              <a:alpha val="54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ru-RU" sz="1600" b="1">
              <a:solidFill>
                <a:srgbClr val="FFFF00"/>
              </a:solidFill>
            </a:rPr>
            <a:t>Рассчитать</a:t>
          </a:r>
          <a:r>
            <a:rPr lang="ru-RU" sz="1600" b="1" baseline="0">
              <a:solidFill>
                <a:srgbClr val="FFFF00"/>
              </a:solidFill>
            </a:rPr>
            <a:t> стоимость</a:t>
          </a:r>
          <a:endParaRPr lang="ru-RU" sz="1600" b="1">
            <a:solidFill>
              <a:srgbClr val="FFFF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1676400</xdr:colOff>
      <xdr:row>278</xdr:row>
      <xdr:rowOff>142875</xdr:rowOff>
    </xdr:from>
    <xdr:to>
      <xdr:col>14</xdr:col>
      <xdr:colOff>532731</xdr:colOff>
      <xdr:row>302</xdr:row>
      <xdr:rowOff>28018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1725" y="54502050"/>
          <a:ext cx="5352381" cy="44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28575</xdr:colOff>
      <xdr:row>1</xdr:row>
      <xdr:rowOff>342786</xdr:rowOff>
    </xdr:to>
    <xdr:sp macro="[0]!Корректировка_трудозатрат" textlink="">
      <xdr:nvSpPr>
        <xdr:cNvPr id="2" name="TextBox 1"/>
        <xdr:cNvSpPr txBox="1"/>
      </xdr:nvSpPr>
      <xdr:spPr>
        <a:xfrm>
          <a:off x="0" y="323850"/>
          <a:ext cx="3000375" cy="342786"/>
        </a:xfrm>
        <a:prstGeom prst="rect">
          <a:avLst/>
        </a:prstGeom>
        <a:solidFill>
          <a:schemeClr val="accent2">
            <a:lumMod val="50000"/>
          </a:schemeClr>
        </a:solidFill>
        <a:ln w="19050">
          <a:solidFill>
            <a:srgbClr val="FFFF00"/>
          </a:solidFill>
        </a:ln>
        <a:effectLst>
          <a:outerShdw blurRad="63500" sx="102000" sy="102000" algn="ctr" rotWithShape="0">
            <a:prstClr val="black">
              <a:alpha val="54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600" b="1">
              <a:solidFill>
                <a:srgbClr val="FFFF00"/>
              </a:solidFill>
            </a:rPr>
            <a:t>Корректировать трудозатраты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6;&#1072;&#1089;&#1095;&#1077;&#1090;%20&#1089;&#1090;&#1086;&#1080;&#1084;&#1086;&#1089;&#1090;&#1080;%20&#1079;&#1077;&#1088;&#1085;&#1086;&#1089;&#1091;&#1096;&#1080;&#1083;&#1082;&#1080;%20&#1052;&#1057;1500%2030.07.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"/>
      <sheetName val="Электрика (спец.расчет)"/>
      <sheetName val="Покупные_изделия"/>
      <sheetName val="Структура"/>
      <sheetName val="Трудозатраты"/>
    </sheetNames>
    <sheetDataSet>
      <sheetData sheetId="0">
        <row r="8">
          <cell r="A8">
            <v>70</v>
          </cell>
        </row>
        <row r="9">
          <cell r="A9">
            <v>79</v>
          </cell>
        </row>
        <row r="10">
          <cell r="A10">
            <v>10</v>
          </cell>
        </row>
        <row r="11">
          <cell r="A11">
            <v>0.2</v>
          </cell>
        </row>
        <row r="12">
          <cell r="A12">
            <v>0.4</v>
          </cell>
        </row>
        <row r="13">
          <cell r="A13">
            <v>1200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00B0F0"/>
    <outlinePr summaryBelow="0" summaryRight="0"/>
  </sheetPr>
  <dimension ref="A1:S5038"/>
  <sheetViews>
    <sheetView tabSelected="1" zoomScaleNormal="100" workbookViewId="0">
      <pane ySplit="15" topLeftCell="A16" activePane="bottomLeft" state="frozenSplit"/>
      <selection activeCell="A15" sqref="A15"/>
      <selection pane="bottomLeft" activeCell="Q5037" sqref="Q5037"/>
    </sheetView>
  </sheetViews>
  <sheetFormatPr defaultRowHeight="15" outlineLevelRow="7" x14ac:dyDescent="0.25"/>
  <cols>
    <col min="1" max="1" width="12.140625" customWidth="1"/>
    <col min="2" max="7" width="3.7109375" customWidth="1"/>
    <col min="8" max="8" width="3.7109375" style="6" customWidth="1"/>
    <col min="9" max="9" width="46" style="3" customWidth="1"/>
    <col min="10" max="10" width="9.5703125" bestFit="1" customWidth="1"/>
    <col min="11" max="11" width="11" style="6" bestFit="1" customWidth="1"/>
    <col min="12" max="13" width="12.5703125" style="3" bestFit="1" customWidth="1"/>
    <col min="14" max="15" width="11" style="14" bestFit="1" customWidth="1"/>
    <col min="16" max="16" width="12" style="3" customWidth="1"/>
    <col min="17" max="17" width="13.28515625" style="3" bestFit="1" customWidth="1"/>
    <col min="18" max="18" width="13.140625" customWidth="1"/>
  </cols>
  <sheetData>
    <row r="1" spans="1:19" ht="40.5" hidden="1" customHeight="1" x14ac:dyDescent="0.3">
      <c r="A1" s="144"/>
      <c r="B1" s="144"/>
      <c r="C1" s="144"/>
      <c r="D1" s="144"/>
      <c r="E1" s="144"/>
      <c r="F1" s="144"/>
      <c r="G1" s="144"/>
      <c r="H1" s="144"/>
      <c r="I1" s="144"/>
    </row>
    <row r="2" spans="1:19" ht="19.5" hidden="1" thickBot="1" x14ac:dyDescent="0.35">
      <c r="A2" s="7" t="s">
        <v>337</v>
      </c>
    </row>
    <row r="3" spans="1:19" ht="15.75" hidden="1" thickBot="1" x14ac:dyDescent="0.3">
      <c r="A3" t="s">
        <v>581</v>
      </c>
    </row>
    <row r="4" spans="1:19" ht="15.75" hidden="1" thickBot="1" x14ac:dyDescent="0.3">
      <c r="A4" t="s">
        <v>582</v>
      </c>
    </row>
    <row r="5" spans="1:19" ht="15.75" hidden="1" thickBot="1" x14ac:dyDescent="0.3">
      <c r="A5" t="s">
        <v>583</v>
      </c>
    </row>
    <row r="6" spans="1:19" ht="15.75" hidden="1" thickBot="1" x14ac:dyDescent="0.3">
      <c r="A6" t="s">
        <v>584</v>
      </c>
    </row>
    <row r="7" spans="1:19" ht="15.75" hidden="1" thickBot="1" x14ac:dyDescent="0.3"/>
    <row r="8" spans="1:19" ht="15.75" hidden="1" thickBot="1" x14ac:dyDescent="0.3">
      <c r="A8" s="9">
        <v>75</v>
      </c>
      <c r="B8" s="8" t="s">
        <v>333</v>
      </c>
    </row>
    <row r="9" spans="1:19" ht="15.75" hidden="1" thickBot="1" x14ac:dyDescent="0.3">
      <c r="A9" s="9">
        <v>90.7</v>
      </c>
      <c r="B9" s="8" t="s">
        <v>332</v>
      </c>
    </row>
    <row r="10" spans="1:19" ht="15.75" hidden="1" thickBot="1" x14ac:dyDescent="0.3">
      <c r="A10" s="9">
        <v>11.6</v>
      </c>
      <c r="B10" s="8" t="s">
        <v>352</v>
      </c>
    </row>
    <row r="11" spans="1:19" ht="15.75" hidden="1" thickBot="1" x14ac:dyDescent="0.3">
      <c r="A11" s="10">
        <v>0.2</v>
      </c>
      <c r="B11" s="1" t="s">
        <v>334</v>
      </c>
    </row>
    <row r="12" spans="1:19" ht="15.75" hidden="1" thickBot="1" x14ac:dyDescent="0.3">
      <c r="A12" s="10"/>
      <c r="B12" s="1" t="s">
        <v>335</v>
      </c>
    </row>
    <row r="13" spans="1:19" ht="15.75" hidden="1" thickBot="1" x14ac:dyDescent="0.3">
      <c r="A13" s="11">
        <v>2350</v>
      </c>
      <c r="B13" s="1" t="s">
        <v>336</v>
      </c>
    </row>
    <row r="14" spans="1:19" ht="15.75" hidden="1" thickBot="1" x14ac:dyDescent="0.3"/>
    <row r="15" spans="1:19" ht="45.75" thickBot="1" x14ac:dyDescent="0.3">
      <c r="B15" s="108" t="s">
        <v>0</v>
      </c>
      <c r="C15" s="105"/>
      <c r="D15" s="105"/>
      <c r="E15" s="105"/>
      <c r="F15" s="105"/>
      <c r="G15" s="105"/>
      <c r="H15" s="106"/>
      <c r="I15" s="107"/>
      <c r="J15" s="109" t="s">
        <v>331</v>
      </c>
      <c r="K15" s="110" t="s">
        <v>1920</v>
      </c>
      <c r="L15" s="119" t="s">
        <v>1921</v>
      </c>
      <c r="M15" s="119" t="s">
        <v>1922</v>
      </c>
      <c r="N15" s="121" t="s">
        <v>1923</v>
      </c>
      <c r="O15" s="121" t="s">
        <v>1924</v>
      </c>
      <c r="P15" s="119" t="s">
        <v>1925</v>
      </c>
      <c r="Q15" s="126" t="s">
        <v>1621</v>
      </c>
      <c r="R15" t="s">
        <v>1926</v>
      </c>
    </row>
    <row r="16" spans="1:19" collapsed="1" x14ac:dyDescent="0.25">
      <c r="B16" s="97" t="s">
        <v>1937</v>
      </c>
      <c r="C16" s="98"/>
      <c r="D16" s="98"/>
      <c r="E16" s="98"/>
      <c r="F16" s="98"/>
      <c r="G16" s="98"/>
      <c r="H16" s="99"/>
      <c r="I16" s="100"/>
      <c r="J16" s="102">
        <f>HYPERLINK("#Структура!E4",Структура!E4)</f>
        <v>1</v>
      </c>
      <c r="K16" s="111">
        <f t="array" ref="K16">SUMPRODUCT(IF(ISTEXT(C17:C5032),1,0),J17:J5032,K17:K5032)</f>
        <v>29837.126149999996</v>
      </c>
      <c r="L16" s="100">
        <f>M16/J16</f>
        <v>12618868.549854441</v>
      </c>
      <c r="M16" s="100">
        <f>SUMIF(C17:C5032,"*",M17:M5032)*J16</f>
        <v>12618868.549854441</v>
      </c>
      <c r="N16" s="122">
        <f>HYPERLINK("#Трудозатраты!B840",Трудозатраты!B840+SUMIF(C17:C5032,"*",O17:O5032))</f>
        <v>262921.26500000001</v>
      </c>
      <c r="O16" s="101">
        <f>N16*J16</f>
        <v>262921.26500000001</v>
      </c>
      <c r="P16" s="100">
        <f>O16/60*(1+запас_труд)*стоимость_трудочаса</f>
        <v>10297749.545833334</v>
      </c>
      <c r="Q16" s="127">
        <f>M16*(1+наценка_покупное)+P16</f>
        <v>25440391.805658661</v>
      </c>
      <c r="R16" s="135">
        <v>20655674</v>
      </c>
      <c r="S16" s="138">
        <f>Q16/R16-1</f>
        <v>0.23164181452799171</v>
      </c>
    </row>
    <row r="17" spans="3:17" hidden="1" outlineLevel="1" collapsed="1" x14ac:dyDescent="0.25">
      <c r="C17" s="97" t="s">
        <v>755</v>
      </c>
      <c r="D17" s="98"/>
      <c r="E17" s="98"/>
      <c r="F17" s="98"/>
      <c r="G17" s="98"/>
      <c r="H17" s="99"/>
      <c r="I17" s="100"/>
      <c r="J17" s="102">
        <f>HYPERLINK("#Структура!E3241",Структура!E3241)</f>
        <v>1</v>
      </c>
      <c r="K17" s="112">
        <f>HYPERLINK("#Структура!G3241",Структура!G3241)</f>
        <v>821.68140000000005</v>
      </c>
      <c r="L17" s="100">
        <f>M17/J17</f>
        <v>274543.30475568038</v>
      </c>
      <c r="M17" s="100">
        <f>SUMIF(D18:D523,"*",M18:M523)*J17</f>
        <v>274543.30475568038</v>
      </c>
      <c r="N17" s="122">
        <f>HYPERLINK("#Трудозатраты!B98",Трудозатраты!B98+SUMIF(D18:D523,"*",O18:O523))</f>
        <v>5174.41</v>
      </c>
      <c r="O17" s="101">
        <f>N17*J17</f>
        <v>5174.41</v>
      </c>
      <c r="P17" s="100">
        <f>O17/60*(1+запас_труд)*стоимость_трудочаса</f>
        <v>202664.39166666666</v>
      </c>
      <c r="Q17" s="127">
        <f>M17*(1+наценка_покупное)+P17</f>
        <v>532116.35737348313</v>
      </c>
    </row>
    <row r="18" spans="3:17" hidden="1" outlineLevel="2" collapsed="1" x14ac:dyDescent="0.25">
      <c r="D18" s="97" t="s">
        <v>669</v>
      </c>
      <c r="E18" s="98"/>
      <c r="F18" s="98"/>
      <c r="G18" s="98"/>
      <c r="H18" s="99"/>
      <c r="I18" s="100"/>
      <c r="J18" s="102">
        <f>HYPERLINK("#Структура!E402",Структура!E402)</f>
        <v>1</v>
      </c>
      <c r="K18" s="111">
        <f t="array" ref="K18">SUMPRODUCT(IF(ISTEXT(E19:E28),1,0),J19:J28,K19:K28)</f>
        <v>27.79644</v>
      </c>
      <c r="L18" s="100">
        <f>M18/J18</f>
        <v>26452.747925190699</v>
      </c>
      <c r="M18" s="100">
        <f>SUMIF(E19:E28,"*",M19:M28)*J18</f>
        <v>26452.747925190699</v>
      </c>
      <c r="N18" s="122">
        <f>HYPERLINK("#Трудозатраты!B39",Трудозатраты!B39+SUMIF(E19:E28,"*",O19:O28))</f>
        <v>801</v>
      </c>
      <c r="O18" s="101">
        <f>N18*J18</f>
        <v>801</v>
      </c>
      <c r="P18" s="100">
        <f>O18/60*(1+запас_труд)*стоимость_трудочаса</f>
        <v>31372.5</v>
      </c>
      <c r="Q18" s="127">
        <f>M18*(1+наценка_покупное)+P18</f>
        <v>63115.797510228833</v>
      </c>
    </row>
    <row r="19" spans="3:17" hidden="1" outlineLevel="3" collapsed="1" x14ac:dyDescent="0.25">
      <c r="E19" s="97" t="s">
        <v>668</v>
      </c>
      <c r="F19" s="98"/>
      <c r="G19" s="98"/>
      <c r="H19" s="99"/>
      <c r="I19" s="100"/>
      <c r="J19" s="102">
        <f>HYPERLINK("#Структура!E127",Структура!E127)</f>
        <v>1</v>
      </c>
      <c r="K19" s="111">
        <f t="array" ref="K19">SUMPRODUCT(IF(ISTEXT(F20:F24),1,0),J20:J24,K20:K24)</f>
        <v>21.77328</v>
      </c>
      <c r="L19" s="100">
        <f>M19/J19</f>
        <v>22356.863666400001</v>
      </c>
      <c r="M19" s="100">
        <f>SUMIF(F20:F24,"*",M20:M24)*J19</f>
        <v>22356.863666400001</v>
      </c>
      <c r="N19" s="122">
        <f>HYPERLINK("#Трудозатраты!B41",Трудозатраты!B41+SUMIF(F20:F24,"*",O20:O24))</f>
        <v>238</v>
      </c>
      <c r="O19" s="101">
        <f>N19*J19</f>
        <v>238</v>
      </c>
      <c r="P19" s="100">
        <f>O19/60*(1+запас_труд)*стоимость_трудочаса</f>
        <v>9321.6666666666661</v>
      </c>
      <c r="Q19" s="127">
        <f>M19*(1+наценка_покупное)+P19</f>
        <v>36149.903066346669</v>
      </c>
    </row>
    <row r="20" spans="3:17" hidden="1" outlineLevel="4" collapsed="1" x14ac:dyDescent="0.25">
      <c r="F20" s="85" t="s">
        <v>673</v>
      </c>
      <c r="G20" s="86"/>
      <c r="H20" s="87"/>
      <c r="I20" s="88"/>
      <c r="J20" s="90">
        <f>HYPERLINK("#Структура!E132",Структура!E132)</f>
        <v>156</v>
      </c>
      <c r="K20" s="113">
        <f>HYPERLINK("#Структура!G132",Структура!G132)</f>
        <v>6.9529999999999995E-2</v>
      </c>
      <c r="L20" s="88">
        <f>M20/J20</f>
        <v>12.5472</v>
      </c>
      <c r="M20" s="88">
        <f>SUMIF(G21,"*",M21)*J20</f>
        <v>1957.3632</v>
      </c>
      <c r="N20" s="123">
        <f>HYPERLINK("#Трудозатраты!B42",Трудозатраты!B42+SUMIF(G21,"*",O21))</f>
        <v>0.5</v>
      </c>
      <c r="O20" s="89">
        <f>N20*J20</f>
        <v>78</v>
      </c>
      <c r="P20" s="88">
        <f>O20/60*(1+запас_труд)*стоимость_трудочаса</f>
        <v>3055</v>
      </c>
      <c r="Q20" s="128">
        <f>M20*(1+наценка_покупное)+P20</f>
        <v>5403.8358399999997</v>
      </c>
    </row>
    <row r="21" spans="3:17" hidden="1" outlineLevel="5" x14ac:dyDescent="0.25">
      <c r="G21" s="74" t="s">
        <v>120</v>
      </c>
      <c r="H21" s="75"/>
      <c r="I21" s="76"/>
      <c r="J21" s="78">
        <f>HYPERLINK("#Структура!E136",Структура!E136)</f>
        <v>0.10456</v>
      </c>
      <c r="K21" s="114" t="str">
        <f>HYPERLINK("#Структура!G136","")</f>
        <v/>
      </c>
      <c r="L21" s="120">
        <f>HYPERLINK("#Покупные_изделия!D295",Покупные_изделия!D295)</f>
        <v>120</v>
      </c>
      <c r="M21" s="76">
        <f>J21*L21</f>
        <v>12.5472</v>
      </c>
      <c r="N21" s="77"/>
      <c r="O21" s="77"/>
      <c r="P21" s="76"/>
      <c r="Q21" s="76"/>
    </row>
    <row r="22" spans="3:17" hidden="1" outlineLevel="4" x14ac:dyDescent="0.25">
      <c r="F22" s="74" t="s">
        <v>9</v>
      </c>
      <c r="G22" s="74"/>
      <c r="H22" s="75"/>
      <c r="I22" s="76"/>
      <c r="J22" s="78">
        <f>HYPERLINK("#Структура!E133",Структура!E133)</f>
        <v>20</v>
      </c>
      <c r="K22" s="114">
        <f>HYPERLINK("#Структура!G133",Структура!G133)</f>
        <v>0.54632999999999998</v>
      </c>
      <c r="L22" s="120">
        <f>HYPERLINK("#Покупные_изделия!D12",Покупные_изделия!D12)</f>
        <v>1018.2479999999999</v>
      </c>
      <c r="M22" s="76">
        <f>J22*L22</f>
        <v>20364.96</v>
      </c>
      <c r="N22" s="77"/>
      <c r="O22" s="77"/>
      <c r="P22" s="76"/>
      <c r="Q22" s="76"/>
    </row>
    <row r="23" spans="3:17" hidden="1" outlineLevel="4" x14ac:dyDescent="0.25">
      <c r="F23" s="74" t="s">
        <v>67</v>
      </c>
      <c r="G23" s="74"/>
      <c r="H23" s="75"/>
      <c r="I23" s="76"/>
      <c r="J23" s="78">
        <f>HYPERLINK("#Структура!E134",Структура!E134)</f>
        <v>0.374</v>
      </c>
      <c r="K23" s="114" t="str">
        <f>HYPERLINK("#Структура!G134","")</f>
        <v/>
      </c>
      <c r="L23" s="120">
        <f>HYPERLINK("#Покупные_изделия!D203",Покупные_изделия!D203)</f>
        <v>30.003600000000002</v>
      </c>
      <c r="M23" s="76">
        <f>J23*L23</f>
        <v>11.221346400000002</v>
      </c>
      <c r="N23" s="77"/>
      <c r="O23" s="77"/>
      <c r="P23" s="76"/>
      <c r="Q23" s="76"/>
    </row>
    <row r="24" spans="3:17" hidden="1" outlineLevel="4" x14ac:dyDescent="0.25">
      <c r="F24" s="74" t="s">
        <v>146</v>
      </c>
      <c r="G24" s="74"/>
      <c r="H24" s="75"/>
      <c r="I24" s="76"/>
      <c r="J24" s="78">
        <f>HYPERLINK("#Структура!E135",Структура!E135)</f>
        <v>0.22</v>
      </c>
      <c r="K24" s="114" t="str">
        <f>HYPERLINK("#Структура!G135","")</f>
        <v/>
      </c>
      <c r="L24" s="120">
        <f>HYPERLINK("#Покупные_изделия!D406",Покупные_изделия!D406)</f>
        <v>105.996</v>
      </c>
      <c r="M24" s="76">
        <f>J24*L24</f>
        <v>23.319119999999998</v>
      </c>
      <c r="N24" s="77"/>
      <c r="O24" s="77"/>
      <c r="P24" s="76"/>
      <c r="Q24" s="76"/>
    </row>
    <row r="25" spans="3:17" hidden="1" outlineLevel="3" collapsed="1" x14ac:dyDescent="0.25">
      <c r="E25" s="84" t="s">
        <v>670</v>
      </c>
      <c r="F25" s="79"/>
      <c r="G25" s="79"/>
      <c r="H25" s="80"/>
      <c r="I25" s="81"/>
      <c r="J25" s="83">
        <f>HYPERLINK("#Структура!E128",Структура!E128)</f>
        <v>78</v>
      </c>
      <c r="K25" s="115">
        <f>HYPERLINK("#Структура!G128",Структура!G128)</f>
        <v>3.5619999999999999E-2</v>
      </c>
      <c r="L25" s="81">
        <f>M25/J25</f>
        <v>39.330683999999998</v>
      </c>
      <c r="M25" s="81">
        <f>SUMIF(F26,"*",M26)*J25</f>
        <v>3067.7933519999997</v>
      </c>
      <c r="N25" s="124">
        <f>HYPERLINK("#Трудозатраты!B40",Трудозатраты!B40+SUMIF(F26,"*",O26))</f>
        <v>3.5</v>
      </c>
      <c r="O25" s="82">
        <f>N25*J25</f>
        <v>273</v>
      </c>
      <c r="P25" s="81">
        <f>O25/60*(1+запас_труд)*стоимость_трудочаса</f>
        <v>10692.5</v>
      </c>
      <c r="Q25" s="129">
        <f>M25*(1+наценка_покупное)+P25</f>
        <v>14373.852022399999</v>
      </c>
    </row>
    <row r="26" spans="3:17" hidden="1" outlineLevel="4" x14ac:dyDescent="0.25">
      <c r="F26" s="74" t="s">
        <v>143</v>
      </c>
      <c r="G26" s="74"/>
      <c r="H26" s="75"/>
      <c r="I26" s="76"/>
      <c r="J26" s="78">
        <f>HYPERLINK("#Структура!E131",Структура!E131)</f>
        <v>5.7000000000000002E-2</v>
      </c>
      <c r="K26" s="114" t="str">
        <f>HYPERLINK("#Структура!G131","")</f>
        <v/>
      </c>
      <c r="L26" s="120">
        <f>HYPERLINK("#Покупные_изделия!D384",Покупные_изделия!D384)</f>
        <v>690.01199999999994</v>
      </c>
      <c r="M26" s="76">
        <f>J26*L26</f>
        <v>39.330683999999998</v>
      </c>
      <c r="N26" s="77"/>
      <c r="O26" s="77"/>
      <c r="P26" s="76"/>
      <c r="Q26" s="76"/>
    </row>
    <row r="27" spans="3:17" hidden="1" outlineLevel="3" x14ac:dyDescent="0.25">
      <c r="E27" s="74" t="s">
        <v>671</v>
      </c>
      <c r="F27" s="74"/>
      <c r="G27" s="74"/>
      <c r="H27" s="75"/>
      <c r="I27" s="76"/>
      <c r="J27" s="78">
        <f>HYPERLINK("#Структура!E129",Структура!E129)</f>
        <v>156</v>
      </c>
      <c r="K27" s="114">
        <f>HYPERLINK("#Структура!G129",Структура!G129)</f>
        <v>1.5699999999999999E-2</v>
      </c>
      <c r="L27" s="120">
        <f>HYPERLINK("#Покупные_изделия!D105",Покупные_изделия!D105)</f>
        <v>5.0999999999999996</v>
      </c>
      <c r="M27" s="76">
        <f>J27*L27</f>
        <v>795.59999999999991</v>
      </c>
      <c r="N27" s="77"/>
      <c r="O27" s="77"/>
      <c r="P27" s="76"/>
      <c r="Q27" s="76"/>
    </row>
    <row r="28" spans="3:17" hidden="1" outlineLevel="3" x14ac:dyDescent="0.25">
      <c r="E28" s="74" t="s">
        <v>672</v>
      </c>
      <c r="F28" s="74"/>
      <c r="G28" s="74"/>
      <c r="H28" s="75"/>
      <c r="I28" s="76"/>
      <c r="J28" s="78">
        <f>HYPERLINK("#Структура!E130",Структура!E130)</f>
        <v>156</v>
      </c>
      <c r="K28" s="114">
        <f>HYPERLINK("#Структура!G130",Структура!G130)</f>
        <v>5.1000000000000004E-3</v>
      </c>
      <c r="L28" s="120">
        <f>HYPERLINK("#Покупные_изделия!D171",Покупные_изделия!D171)</f>
        <v>1.490326325581395</v>
      </c>
      <c r="M28" s="76">
        <f>J28*L28</f>
        <v>232.49090679069761</v>
      </c>
      <c r="N28" s="77"/>
      <c r="O28" s="77"/>
      <c r="P28" s="76"/>
      <c r="Q28" s="76"/>
    </row>
    <row r="29" spans="3:17" hidden="1" outlineLevel="2" collapsed="1" x14ac:dyDescent="0.25">
      <c r="D29" s="96" t="s">
        <v>688</v>
      </c>
      <c r="E29" s="91"/>
      <c r="F29" s="91"/>
      <c r="G29" s="91"/>
      <c r="H29" s="92"/>
      <c r="I29" s="93"/>
      <c r="J29" s="95">
        <f>HYPERLINK("#Структура!E403",Структура!E403)</f>
        <v>3</v>
      </c>
      <c r="K29" s="116">
        <f>HYPERLINK("#Структура!G403",Структура!G403)</f>
        <v>53.008090000000003</v>
      </c>
      <c r="L29" s="93">
        <f>M29/J29</f>
        <v>8043.8930892000017</v>
      </c>
      <c r="M29" s="93">
        <f>SUMIF(E30:E46,"*",M30:M46)*J29</f>
        <v>24131.679267600004</v>
      </c>
      <c r="N29" s="125">
        <f>HYPERLINK("#Трудозатраты!B57",Трудозатраты!B57+SUMIF(E30:E46,"*",O30:O46))</f>
        <v>144.19999999999999</v>
      </c>
      <c r="O29" s="94">
        <f>N29*J29</f>
        <v>432.59999999999997</v>
      </c>
      <c r="P29" s="93">
        <f>O29/60*(1+запас_труд)*стоимость_трудочаса</f>
        <v>16943.499999999996</v>
      </c>
      <c r="Q29" s="130">
        <f>M29*(1+наценка_покупное)+P29</f>
        <v>45901.515121119999</v>
      </c>
    </row>
    <row r="30" spans="3:17" hidden="1" outlineLevel="3" collapsed="1" x14ac:dyDescent="0.25">
      <c r="E30" s="85" t="s">
        <v>674</v>
      </c>
      <c r="F30" s="86"/>
      <c r="G30" s="86"/>
      <c r="H30" s="87"/>
      <c r="I30" s="88"/>
      <c r="J30" s="90">
        <f>HYPERLINK("#Структура!E165",Структура!E165)</f>
        <v>2</v>
      </c>
      <c r="K30" s="113">
        <f>HYPERLINK("#Структура!G165",Структура!G165)</f>
        <v>0.61160999999999999</v>
      </c>
      <c r="L30" s="88">
        <f>M30/J30</f>
        <v>62.5</v>
      </c>
      <c r="M30" s="88">
        <f>SUMIF(F31,"*",M31)*J30</f>
        <v>125</v>
      </c>
      <c r="N30" s="123">
        <f>HYPERLINK("#Трудозатраты!B43",Трудозатраты!B43+SUMIF(F31,"*",O31))</f>
        <v>4</v>
      </c>
      <c r="O30" s="89">
        <f>N30*J30</f>
        <v>8</v>
      </c>
      <c r="P30" s="88">
        <f>O30/60*(1+запас_труд)*стоимость_трудочаса</f>
        <v>313.33333333333331</v>
      </c>
      <c r="Q30" s="128">
        <f>M30*(1+наценка_покупное)+P30</f>
        <v>463.33333333333331</v>
      </c>
    </row>
    <row r="31" spans="3:17" hidden="1" outlineLevel="4" x14ac:dyDescent="0.25">
      <c r="F31" s="74" t="s">
        <v>85</v>
      </c>
      <c r="G31" s="74"/>
      <c r="H31" s="75"/>
      <c r="I31" s="76"/>
      <c r="J31" s="78">
        <f>HYPERLINK("#Структура!E137",Структура!E137)</f>
        <v>0.625</v>
      </c>
      <c r="K31" s="114" t="str">
        <f>HYPERLINK("#Структура!G137","")</f>
        <v/>
      </c>
      <c r="L31" s="120">
        <f>HYPERLINK("#Покупные_изделия!D254",Покупные_изделия!D254)</f>
        <v>100</v>
      </c>
      <c r="M31" s="76">
        <f>J31*L31</f>
        <v>62.5</v>
      </c>
      <c r="N31" s="77"/>
      <c r="O31" s="77"/>
      <c r="P31" s="76"/>
      <c r="Q31" s="76"/>
    </row>
    <row r="32" spans="3:17" hidden="1" outlineLevel="3" collapsed="1" x14ac:dyDescent="0.25">
      <c r="E32" s="84" t="s">
        <v>689</v>
      </c>
      <c r="F32" s="79"/>
      <c r="G32" s="79"/>
      <c r="H32" s="80"/>
      <c r="I32" s="81"/>
      <c r="J32" s="83">
        <f>HYPERLINK("#Структура!E166",Структура!E166)</f>
        <v>2</v>
      </c>
      <c r="K32" s="115">
        <f>HYPERLINK("#Структура!G166",Структура!G166)</f>
        <v>21.270379999999999</v>
      </c>
      <c r="L32" s="81">
        <f>M32/J32</f>
        <v>3043.5336000000002</v>
      </c>
      <c r="M32" s="81">
        <f>SUMIF(F33,"*",M33)*J32</f>
        <v>6087.0672000000004</v>
      </c>
      <c r="N32" s="124">
        <f>HYPERLINK("#Трудозатраты!B58",Трудозатраты!B58+SUMIF(F33,"*",O33))</f>
        <v>21.5</v>
      </c>
      <c r="O32" s="82">
        <f>N32*J32</f>
        <v>43</v>
      </c>
      <c r="P32" s="81">
        <f>O32/60*(1+запас_труд)*стоимость_трудочаса</f>
        <v>1684.1666666666667</v>
      </c>
      <c r="Q32" s="129">
        <f>M32*(1+наценка_покупное)+P32</f>
        <v>8988.6473066666676</v>
      </c>
    </row>
    <row r="33" spans="4:17" hidden="1" outlineLevel="4" x14ac:dyDescent="0.25">
      <c r="F33" s="74" t="s">
        <v>116</v>
      </c>
      <c r="G33" s="74"/>
      <c r="H33" s="75"/>
      <c r="I33" s="76"/>
      <c r="J33" s="78">
        <f>HYPERLINK("#Структура!E178",Структура!E178)</f>
        <v>25.362780000000001</v>
      </c>
      <c r="K33" s="114" t="str">
        <f>HYPERLINK("#Структура!G178","")</f>
        <v/>
      </c>
      <c r="L33" s="120">
        <f>HYPERLINK("#Покупные_изделия!D291",Покупные_изделия!D291)</f>
        <v>120</v>
      </c>
      <c r="M33" s="76">
        <f>J33*L33</f>
        <v>3043.5336000000002</v>
      </c>
      <c r="N33" s="77"/>
      <c r="O33" s="77"/>
      <c r="P33" s="76"/>
      <c r="Q33" s="76"/>
    </row>
    <row r="34" spans="4:17" hidden="1" outlineLevel="3" collapsed="1" x14ac:dyDescent="0.25">
      <c r="E34" s="84" t="s">
        <v>690</v>
      </c>
      <c r="F34" s="79"/>
      <c r="G34" s="79"/>
      <c r="H34" s="80"/>
      <c r="I34" s="81"/>
      <c r="J34" s="83">
        <f>HYPERLINK("#Структура!E167",Структура!E167)</f>
        <v>2</v>
      </c>
      <c r="K34" s="115">
        <f>HYPERLINK("#Структура!G167",Структура!G167)</f>
        <v>2.3813399999999998</v>
      </c>
      <c r="L34" s="81">
        <f>M34/J34</f>
        <v>356.30160000000001</v>
      </c>
      <c r="M34" s="81">
        <f>SUMIF(F35,"*",M35)*J34</f>
        <v>712.60320000000002</v>
      </c>
      <c r="N34" s="124">
        <f>HYPERLINK("#Трудозатраты!B59",Трудозатраты!B59+SUMIF(F35,"*",O35))</f>
        <v>1.0999999999999999</v>
      </c>
      <c r="O34" s="82">
        <f>N34*J34</f>
        <v>2.1999999999999997</v>
      </c>
      <c r="P34" s="81">
        <f>O34/60*(1+запас_труд)*стоимость_трудочаса</f>
        <v>86.166666666666657</v>
      </c>
      <c r="Q34" s="129">
        <f>M34*(1+наценка_покупное)+P34</f>
        <v>941.2905066666666</v>
      </c>
    </row>
    <row r="35" spans="4:17" hidden="1" outlineLevel="4" x14ac:dyDescent="0.25">
      <c r="F35" s="74" t="s">
        <v>116</v>
      </c>
      <c r="G35" s="74"/>
      <c r="H35" s="75"/>
      <c r="I35" s="76"/>
      <c r="J35" s="78">
        <f>HYPERLINK("#Структура!E179",Структура!E179)</f>
        <v>2.9691800000000002</v>
      </c>
      <c r="K35" s="114" t="str">
        <f>HYPERLINK("#Структура!G179","")</f>
        <v/>
      </c>
      <c r="L35" s="120">
        <f>HYPERLINK("#Покупные_изделия!D291",Покупные_изделия!D291)</f>
        <v>120</v>
      </c>
      <c r="M35" s="76">
        <f>J35*L35</f>
        <v>356.30160000000001</v>
      </c>
      <c r="N35" s="77"/>
      <c r="O35" s="77"/>
      <c r="P35" s="76"/>
      <c r="Q35" s="76"/>
    </row>
    <row r="36" spans="4:17" hidden="1" outlineLevel="3" collapsed="1" x14ac:dyDescent="0.25">
      <c r="E36" s="84" t="s">
        <v>691</v>
      </c>
      <c r="F36" s="79"/>
      <c r="G36" s="79"/>
      <c r="H36" s="80"/>
      <c r="I36" s="81"/>
      <c r="J36" s="83">
        <f>HYPERLINK("#Структура!E168",Структура!E168)</f>
        <v>1</v>
      </c>
      <c r="K36" s="115">
        <f>HYPERLINK("#Структура!G168",Структура!G168)</f>
        <v>4.4814299999999996</v>
      </c>
      <c r="L36" s="81">
        <f>M36/J36</f>
        <v>450.1</v>
      </c>
      <c r="M36" s="81">
        <f>SUMIF(F37,"*",M37)*J36</f>
        <v>450.1</v>
      </c>
      <c r="N36" s="124">
        <f>HYPERLINK("#Трудозатраты!B60",Трудозатраты!B60+SUMIF(F37,"*",O37))</f>
        <v>14</v>
      </c>
      <c r="O36" s="82">
        <f>N36*J36</f>
        <v>14</v>
      </c>
      <c r="P36" s="81">
        <f>O36/60*(1+запас_труд)*стоимость_трудочаса</f>
        <v>548.33333333333337</v>
      </c>
      <c r="Q36" s="129">
        <f>M36*(1+наценка_покупное)+P36</f>
        <v>1088.4533333333334</v>
      </c>
    </row>
    <row r="37" spans="4:17" hidden="1" outlineLevel="4" x14ac:dyDescent="0.25">
      <c r="F37" s="74" t="s">
        <v>188</v>
      </c>
      <c r="G37" s="74"/>
      <c r="H37" s="75"/>
      <c r="I37" s="76"/>
      <c r="J37" s="78">
        <f>HYPERLINK("#Структура!E180",Структура!E180)</f>
        <v>4.5010000000000003</v>
      </c>
      <c r="K37" s="114" t="str">
        <f>HYPERLINK("#Структура!G180","")</f>
        <v/>
      </c>
      <c r="L37" s="120">
        <f>HYPERLINK("#Покупные_изделия!D501",Покупные_изделия!D501)</f>
        <v>100</v>
      </c>
      <c r="M37" s="76">
        <f t="shared" ref="M37:M46" si="0">J37*L37</f>
        <v>450.1</v>
      </c>
      <c r="N37" s="77"/>
      <c r="O37" s="77"/>
      <c r="P37" s="76"/>
      <c r="Q37" s="76"/>
    </row>
    <row r="38" spans="4:17" hidden="1" outlineLevel="3" x14ac:dyDescent="0.25">
      <c r="E38" s="74" t="s">
        <v>44</v>
      </c>
      <c r="F38" s="74"/>
      <c r="G38" s="74"/>
      <c r="H38" s="75"/>
      <c r="I38" s="76"/>
      <c r="J38" s="78">
        <f>HYPERLINK("#Структура!E169",Структура!E169)</f>
        <v>0.627</v>
      </c>
      <c r="K38" s="114" t="str">
        <f>HYPERLINK("#Структура!G169","")</f>
        <v/>
      </c>
      <c r="L38" s="120">
        <f>HYPERLINK("#Покупные_изделия!D63",Покупные_изделия!D63)</f>
        <v>396.00000000000006</v>
      </c>
      <c r="M38" s="76">
        <f t="shared" si="0"/>
        <v>248.29200000000003</v>
      </c>
      <c r="N38" s="77"/>
      <c r="O38" s="77"/>
      <c r="P38" s="76"/>
      <c r="Q38" s="76"/>
    </row>
    <row r="39" spans="4:17" hidden="1" outlineLevel="3" x14ac:dyDescent="0.25">
      <c r="E39" s="74" t="s">
        <v>66</v>
      </c>
      <c r="F39" s="74"/>
      <c r="G39" s="74"/>
      <c r="H39" s="75"/>
      <c r="I39" s="76"/>
      <c r="J39" s="78">
        <f>HYPERLINK("#Структура!E170",Структура!E170)</f>
        <v>3.7999999999999999E-2</v>
      </c>
      <c r="K39" s="114" t="str">
        <f>HYPERLINK("#Структура!G170","")</f>
        <v/>
      </c>
      <c r="L39" s="120">
        <f>HYPERLINK("#Покупные_изделия!D198",Покупные_изделия!D198)</f>
        <v>268.47480000000002</v>
      </c>
      <c r="M39" s="76">
        <f t="shared" si="0"/>
        <v>10.2020424</v>
      </c>
      <c r="N39" s="77"/>
      <c r="O39" s="77"/>
      <c r="P39" s="76"/>
      <c r="Q39" s="76"/>
    </row>
    <row r="40" spans="4:17" hidden="1" outlineLevel="3" x14ac:dyDescent="0.25">
      <c r="E40" s="74" t="s">
        <v>67</v>
      </c>
      <c r="F40" s="74"/>
      <c r="G40" s="74"/>
      <c r="H40" s="75"/>
      <c r="I40" s="76"/>
      <c r="J40" s="78">
        <f>HYPERLINK("#Структура!E171",Структура!E171)</f>
        <v>0.27500000000000002</v>
      </c>
      <c r="K40" s="114" t="str">
        <f>HYPERLINK("#Структура!G171","")</f>
        <v/>
      </c>
      <c r="L40" s="120">
        <f>HYPERLINK("#Покупные_изделия!D203",Покупные_изделия!D203)</f>
        <v>30.003600000000002</v>
      </c>
      <c r="M40" s="76">
        <f t="shared" si="0"/>
        <v>8.2509900000000016</v>
      </c>
      <c r="N40" s="77"/>
      <c r="O40" s="77"/>
      <c r="P40" s="76"/>
      <c r="Q40" s="76"/>
    </row>
    <row r="41" spans="4:17" hidden="1" outlineLevel="3" x14ac:dyDescent="0.25">
      <c r="E41" s="74" t="s">
        <v>139</v>
      </c>
      <c r="F41" s="74"/>
      <c r="G41" s="74"/>
      <c r="H41" s="75"/>
      <c r="I41" s="76"/>
      <c r="J41" s="78">
        <f>HYPERLINK("#Структура!E172",Структура!E172)</f>
        <v>6.4000000000000001E-2</v>
      </c>
      <c r="K41" s="114" t="str">
        <f>HYPERLINK("#Структура!G172","")</f>
        <v/>
      </c>
      <c r="L41" s="120">
        <f>HYPERLINK("#Покупные_изделия!D360",Покупные_изделия!D360)</f>
        <v>171.87720000000002</v>
      </c>
      <c r="M41" s="76">
        <f t="shared" si="0"/>
        <v>11.0001408</v>
      </c>
      <c r="N41" s="77"/>
      <c r="O41" s="77"/>
      <c r="P41" s="76"/>
      <c r="Q41" s="76"/>
    </row>
    <row r="42" spans="4:17" hidden="1" outlineLevel="3" x14ac:dyDescent="0.25">
      <c r="E42" s="74" t="s">
        <v>146</v>
      </c>
      <c r="F42" s="74"/>
      <c r="G42" s="74"/>
      <c r="H42" s="75"/>
      <c r="I42" s="76"/>
      <c r="J42" s="78">
        <f>HYPERLINK("#Структура!E173",Структура!E173)</f>
        <v>0.16200000000000001</v>
      </c>
      <c r="K42" s="114" t="str">
        <f>HYPERLINK("#Структура!G173","")</f>
        <v/>
      </c>
      <c r="L42" s="120">
        <f>HYPERLINK("#Покупные_изделия!D406",Покупные_изделия!D406)</f>
        <v>105.996</v>
      </c>
      <c r="M42" s="76">
        <f t="shared" si="0"/>
        <v>17.171351999999999</v>
      </c>
      <c r="N42" s="77"/>
      <c r="O42" s="77"/>
      <c r="P42" s="76"/>
      <c r="Q42" s="76"/>
    </row>
    <row r="43" spans="4:17" hidden="1" outlineLevel="3" x14ac:dyDescent="0.25">
      <c r="E43" s="74" t="s">
        <v>156</v>
      </c>
      <c r="F43" s="74"/>
      <c r="G43" s="74"/>
      <c r="H43" s="75"/>
      <c r="I43" s="76"/>
      <c r="J43" s="78">
        <f>HYPERLINK("#Структура!E174",Структура!E174)</f>
        <v>0.38300000000000001</v>
      </c>
      <c r="K43" s="114" t="str">
        <f>HYPERLINK("#Структура!G174","")</f>
        <v/>
      </c>
      <c r="L43" s="120">
        <f>HYPERLINK("#Покупные_изделия!D427",Покупные_изделия!D427)</f>
        <v>155.53200000000001</v>
      </c>
      <c r="M43" s="76">
        <f t="shared" si="0"/>
        <v>59.568756000000008</v>
      </c>
      <c r="N43" s="77"/>
      <c r="O43" s="77"/>
      <c r="P43" s="76"/>
      <c r="Q43" s="76"/>
    </row>
    <row r="44" spans="4:17" hidden="1" outlineLevel="3" x14ac:dyDescent="0.25">
      <c r="E44" s="74" t="s">
        <v>157</v>
      </c>
      <c r="F44" s="74"/>
      <c r="G44" s="74"/>
      <c r="H44" s="75"/>
      <c r="I44" s="76"/>
      <c r="J44" s="78">
        <f>HYPERLINK("#Структура!E175",Структура!E175)</f>
        <v>0.192</v>
      </c>
      <c r="K44" s="114" t="str">
        <f>HYPERLINK("#Структура!G175","")</f>
        <v/>
      </c>
      <c r="L44" s="120">
        <f>HYPERLINK("#Покупные_изделия!D428",Покупные_изделия!D428)</f>
        <v>138.756</v>
      </c>
      <c r="M44" s="76">
        <f t="shared" si="0"/>
        <v>26.641152000000002</v>
      </c>
      <c r="N44" s="77"/>
      <c r="O44" s="77"/>
      <c r="P44" s="76"/>
      <c r="Q44" s="76"/>
    </row>
    <row r="45" spans="4:17" hidden="1" outlineLevel="3" x14ac:dyDescent="0.25">
      <c r="E45" s="74" t="s">
        <v>200</v>
      </c>
      <c r="F45" s="74"/>
      <c r="G45" s="74"/>
      <c r="H45" s="75"/>
      <c r="I45" s="76"/>
      <c r="J45" s="78">
        <f>HYPERLINK("#Структура!E176",Структура!E176)</f>
        <v>0.31900000000000001</v>
      </c>
      <c r="K45" s="114" t="str">
        <f>HYPERLINK("#Структура!G176","")</f>
        <v/>
      </c>
      <c r="L45" s="120">
        <f>HYPERLINK("#Покупные_изделия!D518",Покупные_изделия!D518)</f>
        <v>270</v>
      </c>
      <c r="M45" s="76">
        <f t="shared" si="0"/>
        <v>86.13</v>
      </c>
      <c r="N45" s="77"/>
      <c r="O45" s="77"/>
      <c r="P45" s="76"/>
      <c r="Q45" s="76"/>
    </row>
    <row r="46" spans="4:17" hidden="1" outlineLevel="3" x14ac:dyDescent="0.25">
      <c r="E46" s="74" t="s">
        <v>202</v>
      </c>
      <c r="F46" s="74"/>
      <c r="G46" s="74"/>
      <c r="H46" s="75"/>
      <c r="I46" s="76"/>
      <c r="J46" s="78">
        <f>HYPERLINK("#Структура!E177",Структура!E177)</f>
        <v>0.436</v>
      </c>
      <c r="K46" s="114" t="str">
        <f>HYPERLINK("#Структура!G177","")</f>
        <v/>
      </c>
      <c r="L46" s="120">
        <f>HYPERLINK("#Покупные_изделия!D521",Покупные_изделия!D521)</f>
        <v>462.99599999999998</v>
      </c>
      <c r="M46" s="76">
        <f t="shared" si="0"/>
        <v>201.86625599999999</v>
      </c>
      <c r="N46" s="77"/>
      <c r="O46" s="77"/>
      <c r="P46" s="76"/>
      <c r="Q46" s="76"/>
    </row>
    <row r="47" spans="4:17" hidden="1" outlineLevel="2" collapsed="1" x14ac:dyDescent="0.25">
      <c r="D47" s="96" t="s">
        <v>695</v>
      </c>
      <c r="E47" s="91"/>
      <c r="F47" s="91"/>
      <c r="G47" s="91"/>
      <c r="H47" s="92"/>
      <c r="I47" s="93"/>
      <c r="J47" s="95">
        <f>HYPERLINK("#Структура!E404",Структура!E404)</f>
        <v>1</v>
      </c>
      <c r="K47" s="116">
        <f>HYPERLINK("#Структура!G404",Структура!G404)</f>
        <v>133.67010999999999</v>
      </c>
      <c r="L47" s="93">
        <f>M47/J47</f>
        <v>28409.884705903638</v>
      </c>
      <c r="M47" s="93">
        <f>SUMIF(E48:E176,"*",M48:M176)*J47</f>
        <v>28409.884705903638</v>
      </c>
      <c r="N47" s="125">
        <f>HYPERLINK("#Трудозатраты!B64",Трудозатраты!B64+SUMIF(E48:E176,"*",O48:O176))</f>
        <v>917</v>
      </c>
      <c r="O47" s="94">
        <f>N47*J47</f>
        <v>917</v>
      </c>
      <c r="P47" s="93">
        <f>O47/60*(1+запас_труд)*стоимость_трудочаса</f>
        <v>35915.833333333336</v>
      </c>
      <c r="Q47" s="130">
        <f>M47*(1+наценка_покупное)+P47</f>
        <v>70007.694980417698</v>
      </c>
    </row>
    <row r="48" spans="4:17" hidden="1" outlineLevel="3" collapsed="1" x14ac:dyDescent="0.25">
      <c r="E48" s="97" t="s">
        <v>596</v>
      </c>
      <c r="F48" s="98"/>
      <c r="G48" s="98"/>
      <c r="H48" s="99"/>
      <c r="I48" s="100"/>
      <c r="J48" s="102">
        <f>HYPERLINK("#Структура!E200",Структура!E200)</f>
        <v>1</v>
      </c>
      <c r="K48" s="112">
        <f>HYPERLINK("#Структура!G200",Структура!G200)</f>
        <v>13.637930000000001</v>
      </c>
      <c r="L48" s="100">
        <f>M48/J48</f>
        <v>3178.4705483999996</v>
      </c>
      <c r="M48" s="100">
        <f>SUMIF(F49:F54,"*",M49:M54)*J48</f>
        <v>3178.4705483999996</v>
      </c>
      <c r="N48" s="122">
        <f>HYPERLINK("#Трудозатраты!B10",Трудозатраты!B10+SUMIF(F49:F54,"*",O49:O54))</f>
        <v>192</v>
      </c>
      <c r="O48" s="101">
        <f>N48*J48</f>
        <v>192</v>
      </c>
      <c r="P48" s="100">
        <f>O48/60*(1+запас_труд)*стоимость_трудочаса</f>
        <v>7520</v>
      </c>
      <c r="Q48" s="127">
        <f>M48*(1+наценка_покупное)+P48</f>
        <v>11334.164658079999</v>
      </c>
    </row>
    <row r="49" spans="5:17" hidden="1" outlineLevel="4" collapsed="1" x14ac:dyDescent="0.25">
      <c r="F49" s="85" t="s">
        <v>593</v>
      </c>
      <c r="G49" s="86"/>
      <c r="H49" s="87"/>
      <c r="I49" s="88"/>
      <c r="J49" s="90">
        <f>HYPERLINK("#Структура!E10",Структура!E10)</f>
        <v>1</v>
      </c>
      <c r="K49" s="113">
        <f>HYPERLINK("#Структура!G10",Структура!G10)</f>
        <v>10.563599999999999</v>
      </c>
      <c r="L49" s="88">
        <f>M49/J49</f>
        <v>2580.3804</v>
      </c>
      <c r="M49" s="88">
        <f>SUMIF(G50,"*",M50)*J49</f>
        <v>2580.3804</v>
      </c>
      <c r="N49" s="123">
        <f>HYPERLINK("#Трудозатраты!B8",Трудозатраты!B8+SUMIF(G50,"*",O50))</f>
        <v>40</v>
      </c>
      <c r="O49" s="89">
        <f>N49*J49</f>
        <v>40</v>
      </c>
      <c r="P49" s="88">
        <f>O49/60*(1+запас_труд)*стоимость_трудочаса</f>
        <v>1566.6666666666665</v>
      </c>
      <c r="Q49" s="128">
        <f>M49*(1+наценка_покупное)+P49</f>
        <v>4663.1231466666668</v>
      </c>
    </row>
    <row r="50" spans="5:17" hidden="1" outlineLevel="5" x14ac:dyDescent="0.25">
      <c r="G50" s="74" t="s">
        <v>592</v>
      </c>
      <c r="H50" s="75"/>
      <c r="I50" s="76"/>
      <c r="J50" s="78">
        <f>HYPERLINK("#Структура!E8",Структура!E8)</f>
        <v>21.503170000000001</v>
      </c>
      <c r="K50" s="114" t="str">
        <f>HYPERLINK("#Структура!G8","")</f>
        <v/>
      </c>
      <c r="L50" s="120">
        <f>HYPERLINK("#Покупные_изделия!D288",Покупные_изделия!D288)</f>
        <v>120</v>
      </c>
      <c r="M50" s="76">
        <f>J50*L50</f>
        <v>2580.3804</v>
      </c>
      <c r="N50" s="77"/>
      <c r="O50" s="77"/>
      <c r="P50" s="76"/>
      <c r="Q50" s="76"/>
    </row>
    <row r="51" spans="5:17" hidden="1" outlineLevel="4" collapsed="1" x14ac:dyDescent="0.25">
      <c r="F51" s="84" t="s">
        <v>594</v>
      </c>
      <c r="G51" s="79"/>
      <c r="H51" s="80"/>
      <c r="I51" s="81"/>
      <c r="J51" s="83">
        <f>HYPERLINK("#Структура!E11",Структура!E11)</f>
        <v>1</v>
      </c>
      <c r="K51" s="115">
        <f>HYPERLINK("#Структура!G11",Структура!G11)</f>
        <v>3.0743299999999998</v>
      </c>
      <c r="L51" s="81">
        <f>M51/J51</f>
        <v>587.1</v>
      </c>
      <c r="M51" s="81">
        <f>SUMIF(G52,"*",M52)*J51</f>
        <v>587.1</v>
      </c>
      <c r="N51" s="124">
        <f>HYPERLINK("#Трудозатраты!B9",Трудозатраты!B9+SUMIF(G52,"*",O52))</f>
        <v>42</v>
      </c>
      <c r="O51" s="82">
        <f>N51*J51</f>
        <v>42</v>
      </c>
      <c r="P51" s="81">
        <f>O51/60*(1+запас_труд)*стоимость_трудочаса</f>
        <v>1645</v>
      </c>
      <c r="Q51" s="129">
        <f>M51*(1+наценка_покупное)+P51</f>
        <v>2349.52</v>
      </c>
    </row>
    <row r="52" spans="5:17" hidden="1" outlineLevel="5" x14ac:dyDescent="0.25">
      <c r="G52" s="74" t="s">
        <v>77</v>
      </c>
      <c r="H52" s="75"/>
      <c r="I52" s="76"/>
      <c r="J52" s="78">
        <f>HYPERLINK("#Структура!E9",Структура!E9)</f>
        <v>5.8710000000000004</v>
      </c>
      <c r="K52" s="114" t="str">
        <f>HYPERLINK("#Структура!G9","")</f>
        <v/>
      </c>
      <c r="L52" s="120">
        <f>HYPERLINK("#Покупные_изделия!D246",Покупные_изделия!D246)</f>
        <v>100</v>
      </c>
      <c r="M52" s="76">
        <f>J52*L52</f>
        <v>587.1</v>
      </c>
      <c r="N52" s="77"/>
      <c r="O52" s="77"/>
      <c r="P52" s="76"/>
      <c r="Q52" s="76"/>
    </row>
    <row r="53" spans="5:17" hidden="1" outlineLevel="4" x14ac:dyDescent="0.25">
      <c r="F53" s="74" t="s">
        <v>67</v>
      </c>
      <c r="G53" s="74"/>
      <c r="H53" s="75"/>
      <c r="I53" s="76"/>
      <c r="J53" s="78">
        <f>HYPERLINK("#Структура!E12",Структура!E12)</f>
        <v>0.11899999999999999</v>
      </c>
      <c r="K53" s="114" t="str">
        <f>HYPERLINK("#Структура!G12","")</f>
        <v/>
      </c>
      <c r="L53" s="120">
        <f>HYPERLINK("#Покупные_изделия!D203",Покупные_изделия!D203)</f>
        <v>30.003600000000002</v>
      </c>
      <c r="M53" s="76">
        <f>J53*L53</f>
        <v>3.5704283999999999</v>
      </c>
      <c r="N53" s="77"/>
      <c r="O53" s="77"/>
      <c r="P53" s="76"/>
      <c r="Q53" s="76"/>
    </row>
    <row r="54" spans="5:17" hidden="1" outlineLevel="4" x14ac:dyDescent="0.25">
      <c r="F54" s="74" t="s">
        <v>146</v>
      </c>
      <c r="G54" s="74"/>
      <c r="H54" s="75"/>
      <c r="I54" s="76"/>
      <c r="J54" s="78">
        <f>HYPERLINK("#Структура!E13",Структура!E13)</f>
        <v>7.0000000000000007E-2</v>
      </c>
      <c r="K54" s="114" t="str">
        <f>HYPERLINK("#Структура!G13","")</f>
        <v/>
      </c>
      <c r="L54" s="120">
        <f>HYPERLINK("#Покупные_изделия!D406",Покупные_изделия!D406)</f>
        <v>105.996</v>
      </c>
      <c r="M54" s="76">
        <f>J54*L54</f>
        <v>7.4197200000000008</v>
      </c>
      <c r="N54" s="77"/>
      <c r="O54" s="77"/>
      <c r="P54" s="76"/>
      <c r="Q54" s="76"/>
    </row>
    <row r="55" spans="5:17" hidden="1" outlineLevel="3" collapsed="1" x14ac:dyDescent="0.25">
      <c r="E55" s="96" t="s">
        <v>658</v>
      </c>
      <c r="F55" s="91"/>
      <c r="G55" s="91"/>
      <c r="H55" s="92"/>
      <c r="I55" s="93"/>
      <c r="J55" s="95">
        <f>HYPERLINK("#Структура!E201",Структура!E201)</f>
        <v>2</v>
      </c>
      <c r="K55" s="116">
        <f>HYPERLINK("#Структура!G201",Структура!G201)</f>
        <v>1.2933399999999999</v>
      </c>
      <c r="L55" s="93">
        <f>M55/J55</f>
        <v>157.4733516</v>
      </c>
      <c r="M55" s="93">
        <f>SUMIF(F56:F60,"*",M56:M60)*J55</f>
        <v>314.9467032</v>
      </c>
      <c r="N55" s="125">
        <f>HYPERLINK("#Трудозатраты!B29",Трудозатраты!B29+SUMIF(F56:F60,"*",O56:O60))</f>
        <v>10.4</v>
      </c>
      <c r="O55" s="94">
        <f>N55*J55</f>
        <v>20.8</v>
      </c>
      <c r="P55" s="93">
        <f>O55/60*(1+запас_труд)*стоимость_трудочаса</f>
        <v>814.66666666666674</v>
      </c>
      <c r="Q55" s="130">
        <f>M55*(1+наценка_покупное)+P55</f>
        <v>1192.6027105066667</v>
      </c>
    </row>
    <row r="56" spans="5:17" hidden="1" outlineLevel="4" collapsed="1" x14ac:dyDescent="0.25">
      <c r="F56" s="85" t="s">
        <v>657</v>
      </c>
      <c r="G56" s="86"/>
      <c r="H56" s="87"/>
      <c r="I56" s="88"/>
      <c r="J56" s="90">
        <f>HYPERLINK("#Структура!E91",Структура!E91)</f>
        <v>1</v>
      </c>
      <c r="K56" s="113">
        <f>HYPERLINK("#Структура!G91",Структура!G91)</f>
        <v>1.1704699999999999</v>
      </c>
      <c r="L56" s="88">
        <f>M56/J56</f>
        <v>130.10729999999998</v>
      </c>
      <c r="M56" s="88">
        <f>SUMIF(G57,"*",M57)*J56</f>
        <v>130.10729999999998</v>
      </c>
      <c r="N56" s="123">
        <f>HYPERLINK("#Трудозатраты!B30",Трудозатраты!B30+SUMIF(G57,"*",O57))</f>
        <v>5.4</v>
      </c>
      <c r="O56" s="89">
        <f>N56*J56</f>
        <v>5.4</v>
      </c>
      <c r="P56" s="88">
        <f>O56/60*(1+запас_труд)*стоимость_трудочаса</f>
        <v>211.50000000000003</v>
      </c>
      <c r="Q56" s="128">
        <f>M56*(1+наценка_покупное)+P56</f>
        <v>367.62876</v>
      </c>
    </row>
    <row r="57" spans="5:17" hidden="1" outlineLevel="5" x14ac:dyDescent="0.25">
      <c r="G57" s="74" t="s">
        <v>211</v>
      </c>
      <c r="H57" s="75"/>
      <c r="I57" s="76"/>
      <c r="J57" s="78">
        <f>HYPERLINK("#Структура!E95",Структура!E95)</f>
        <v>0.33500000000000002</v>
      </c>
      <c r="K57" s="114" t="str">
        <f>HYPERLINK("#Структура!G95","")</f>
        <v/>
      </c>
      <c r="L57" s="120">
        <f>HYPERLINK("#Покупные_изделия!D561",Покупные_изделия!D561)</f>
        <v>388.37999999999994</v>
      </c>
      <c r="M57" s="76">
        <f>J57*L57</f>
        <v>130.10729999999998</v>
      </c>
      <c r="N57" s="77"/>
      <c r="O57" s="77"/>
      <c r="P57" s="76"/>
      <c r="Q57" s="76"/>
    </row>
    <row r="58" spans="5:17" hidden="1" outlineLevel="4" x14ac:dyDescent="0.25">
      <c r="F58" s="74" t="s">
        <v>653</v>
      </c>
      <c r="G58" s="74"/>
      <c r="H58" s="75"/>
      <c r="I58" s="76"/>
      <c r="J58" s="78">
        <f>HYPERLINK("#Структура!E92",Структура!E92)</f>
        <v>1</v>
      </c>
      <c r="K58" s="114">
        <f>HYPERLINK("#Структура!G92",Структура!G92)</f>
        <v>0.12286999999999999</v>
      </c>
      <c r="L58" s="120">
        <f>HYPERLINK("#Покупные_изделия!D182",Покупные_изделия!D182)</f>
        <v>23.591999999999999</v>
      </c>
      <c r="M58" s="76">
        <f>J58*L58</f>
        <v>23.591999999999999</v>
      </c>
      <c r="N58" s="77"/>
      <c r="O58" s="77"/>
      <c r="P58" s="76"/>
      <c r="Q58" s="76"/>
    </row>
    <row r="59" spans="5:17" hidden="1" outlineLevel="4" x14ac:dyDescent="0.25">
      <c r="F59" s="74" t="s">
        <v>67</v>
      </c>
      <c r="G59" s="74"/>
      <c r="H59" s="75"/>
      <c r="I59" s="76"/>
      <c r="J59" s="78">
        <f>HYPERLINK("#Структура!E93",Структура!E93)</f>
        <v>4.1000000000000002E-2</v>
      </c>
      <c r="K59" s="114" t="str">
        <f>HYPERLINK("#Структура!G93","")</f>
        <v/>
      </c>
      <c r="L59" s="120">
        <f>HYPERLINK("#Покупные_изделия!D203",Покупные_изделия!D203)</f>
        <v>30.003600000000002</v>
      </c>
      <c r="M59" s="76">
        <f>J59*L59</f>
        <v>1.2301476000000002</v>
      </c>
      <c r="N59" s="77"/>
      <c r="O59" s="77"/>
      <c r="P59" s="76"/>
      <c r="Q59" s="76"/>
    </row>
    <row r="60" spans="5:17" hidden="1" outlineLevel="4" x14ac:dyDescent="0.25">
      <c r="F60" s="74" t="s">
        <v>146</v>
      </c>
      <c r="G60" s="74"/>
      <c r="H60" s="75"/>
      <c r="I60" s="76"/>
      <c r="J60" s="78">
        <f>HYPERLINK("#Структура!E94",Структура!E94)</f>
        <v>2.4E-2</v>
      </c>
      <c r="K60" s="114" t="str">
        <f>HYPERLINK("#Структура!G94","")</f>
        <v/>
      </c>
      <c r="L60" s="120">
        <f>HYPERLINK("#Покупные_изделия!D406",Покупные_изделия!D406)</f>
        <v>105.996</v>
      </c>
      <c r="M60" s="76">
        <f>J60*L60</f>
        <v>2.5439039999999999</v>
      </c>
      <c r="N60" s="77"/>
      <c r="O60" s="77"/>
      <c r="P60" s="76"/>
      <c r="Q60" s="76"/>
    </row>
    <row r="61" spans="5:17" hidden="1" outlineLevel="3" collapsed="1" x14ac:dyDescent="0.25">
      <c r="E61" s="96" t="s">
        <v>661</v>
      </c>
      <c r="F61" s="91"/>
      <c r="G61" s="91"/>
      <c r="H61" s="92"/>
      <c r="I61" s="93"/>
      <c r="J61" s="95">
        <f>HYPERLINK("#Структура!E202",Структура!E202)</f>
        <v>2</v>
      </c>
      <c r="K61" s="116">
        <f>HYPERLINK("#Структура!G202",Структура!G202)</f>
        <v>0.53744000000000003</v>
      </c>
      <c r="L61" s="93">
        <f>M61/J61</f>
        <v>183.87073599999999</v>
      </c>
      <c r="M61" s="93">
        <f>SUMIF(F62:F66,"*",M62:M66)*J61</f>
        <v>367.74147199999999</v>
      </c>
      <c r="N61" s="125">
        <f>HYPERLINK("#Трудозатраты!B32",Трудозатраты!B32+SUMIF(F62:F66,"*",O62:O66))</f>
        <v>29.7</v>
      </c>
      <c r="O61" s="94">
        <f>N61*J61</f>
        <v>59.4</v>
      </c>
      <c r="P61" s="93">
        <f>O61/60*(1+запас_труд)*стоимость_трудочаса</f>
        <v>2326.5</v>
      </c>
      <c r="Q61" s="130">
        <f>M61*(1+наценка_покупное)+P61</f>
        <v>2767.7897664000002</v>
      </c>
    </row>
    <row r="62" spans="5:17" hidden="1" outlineLevel="4" collapsed="1" x14ac:dyDescent="0.25">
      <c r="F62" s="85" t="s">
        <v>660</v>
      </c>
      <c r="G62" s="86"/>
      <c r="H62" s="87"/>
      <c r="I62" s="88"/>
      <c r="J62" s="90">
        <f>HYPERLINK("#Структура!E97",Структура!E97)</f>
        <v>1</v>
      </c>
      <c r="K62" s="113">
        <f>HYPERLINK("#Структура!G97",Структура!G97)</f>
        <v>0.34733999999999998</v>
      </c>
      <c r="L62" s="88">
        <f>M62/J62</f>
        <v>37.799999999999997</v>
      </c>
      <c r="M62" s="88">
        <f>SUMIF(G63,"*",M63)*J62</f>
        <v>37.799999999999997</v>
      </c>
      <c r="N62" s="123">
        <f>HYPERLINK("#Трудозатраты!B33",Трудозатраты!B33+SUMIF(G63,"*",O63))</f>
        <v>19.7</v>
      </c>
      <c r="O62" s="89">
        <f>N62*J62</f>
        <v>19.7</v>
      </c>
      <c r="P62" s="88">
        <f>O62/60*(1+запас_труд)*стоимость_трудочаса</f>
        <v>771.58333333333326</v>
      </c>
      <c r="Q62" s="128">
        <f>M62*(1+наценка_покупное)+P62</f>
        <v>816.94333333333327</v>
      </c>
    </row>
    <row r="63" spans="5:17" hidden="1" outlineLevel="5" x14ac:dyDescent="0.25">
      <c r="G63" s="74" t="s">
        <v>83</v>
      </c>
      <c r="H63" s="75"/>
      <c r="I63" s="76"/>
      <c r="J63" s="78">
        <f>HYPERLINK("#Структура!E101",Структура!E101)</f>
        <v>0.378</v>
      </c>
      <c r="K63" s="114" t="str">
        <f>HYPERLINK("#Структура!G101","")</f>
        <v/>
      </c>
      <c r="L63" s="120">
        <f>HYPERLINK("#Покупные_изделия!D252",Покупные_изделия!D252)</f>
        <v>100</v>
      </c>
      <c r="M63" s="76">
        <f>J63*L63</f>
        <v>37.799999999999997</v>
      </c>
      <c r="N63" s="77"/>
      <c r="O63" s="77"/>
      <c r="P63" s="76"/>
      <c r="Q63" s="76"/>
    </row>
    <row r="64" spans="5:17" hidden="1" outlineLevel="4" x14ac:dyDescent="0.25">
      <c r="F64" s="74" t="s">
        <v>662</v>
      </c>
      <c r="G64" s="74"/>
      <c r="H64" s="75"/>
      <c r="I64" s="76"/>
      <c r="J64" s="78">
        <f>HYPERLINK("#Структура!E98",Структура!E98)</f>
        <v>2</v>
      </c>
      <c r="K64" s="114">
        <f>HYPERLINK("#Структура!G98",Структура!G98)</f>
        <v>1.098E-2</v>
      </c>
      <c r="L64" s="120">
        <f>HYPERLINK("#Покупные_изделия!D541",Покупные_изделия!D541)</f>
        <v>1.713367999999998</v>
      </c>
      <c r="M64" s="76">
        <f>J64*L64</f>
        <v>3.426735999999996</v>
      </c>
      <c r="N64" s="77"/>
      <c r="O64" s="77"/>
      <c r="P64" s="76"/>
      <c r="Q64" s="76"/>
    </row>
    <row r="65" spans="5:17" hidden="1" outlineLevel="4" x14ac:dyDescent="0.25">
      <c r="F65" s="74" t="s">
        <v>214</v>
      </c>
      <c r="G65" s="74"/>
      <c r="H65" s="75"/>
      <c r="I65" s="76"/>
      <c r="J65" s="78">
        <f>HYPERLINK("#Структура!E99",Структура!E99)</f>
        <v>2</v>
      </c>
      <c r="K65" s="114">
        <f>HYPERLINK("#Структура!G99",Структура!G99)</f>
        <v>4.9300000000000004E-3</v>
      </c>
      <c r="L65" s="120">
        <f>HYPERLINK("#Покупные_изделия!D564",Покупные_изделия!D564)</f>
        <v>1.32</v>
      </c>
      <c r="M65" s="76">
        <f>J65*L65</f>
        <v>2.64</v>
      </c>
      <c r="N65" s="77"/>
      <c r="O65" s="77"/>
      <c r="P65" s="76"/>
      <c r="Q65" s="76"/>
    </row>
    <row r="66" spans="5:17" hidden="1" outlineLevel="4" x14ac:dyDescent="0.25">
      <c r="F66" s="74" t="s">
        <v>160</v>
      </c>
      <c r="G66" s="74"/>
      <c r="H66" s="75"/>
      <c r="I66" s="76"/>
      <c r="J66" s="78">
        <f>HYPERLINK("#Структура!E100",Структура!E100)</f>
        <v>1</v>
      </c>
      <c r="K66" s="114">
        <f>HYPERLINK("#Структура!G100",Структура!G100)</f>
        <v>0.15828999999999999</v>
      </c>
      <c r="L66" s="120">
        <f>HYPERLINK("#Покупные_изделия!D433",Покупные_изделия!D433)</f>
        <v>140.00399999999999</v>
      </c>
      <c r="M66" s="76">
        <f>J66*L66</f>
        <v>140.00399999999999</v>
      </c>
      <c r="N66" s="77"/>
      <c r="O66" s="77"/>
      <c r="P66" s="76"/>
      <c r="Q66" s="76"/>
    </row>
    <row r="67" spans="5:17" hidden="1" outlineLevel="3" collapsed="1" x14ac:dyDescent="0.25">
      <c r="E67" s="96" t="s">
        <v>696</v>
      </c>
      <c r="F67" s="91"/>
      <c r="G67" s="91"/>
      <c r="H67" s="92"/>
      <c r="I67" s="93"/>
      <c r="J67" s="95">
        <f>HYPERLINK("#Структура!E203",Структура!E203)</f>
        <v>1</v>
      </c>
      <c r="K67" s="116">
        <f>HYPERLINK("#Структура!G203",Структура!G203)</f>
        <v>3.99247</v>
      </c>
      <c r="L67" s="93">
        <f>M67/J67</f>
        <v>495.11065719999999</v>
      </c>
      <c r="M67" s="93">
        <f>SUMIF(F68:F77,"*",M68:M77)*J67</f>
        <v>495.11065719999999</v>
      </c>
      <c r="N67" s="125">
        <f>HYPERLINK("#Трудозатраты!B68",Трудозатраты!B68+SUMIF(F68:F77,"*",O68:O77))</f>
        <v>25</v>
      </c>
      <c r="O67" s="94">
        <f>N67*J67</f>
        <v>25</v>
      </c>
      <c r="P67" s="93">
        <f>O67/60*(1+запас_труд)*стоимость_трудочаса</f>
        <v>979.16666666666674</v>
      </c>
      <c r="Q67" s="130">
        <f>M67*(1+наценка_покупное)+P67</f>
        <v>1573.2994553066667</v>
      </c>
    </row>
    <row r="68" spans="5:17" hidden="1" outlineLevel="4" collapsed="1" x14ac:dyDescent="0.25">
      <c r="F68" s="85" t="s">
        <v>712</v>
      </c>
      <c r="G68" s="86"/>
      <c r="H68" s="87"/>
      <c r="I68" s="88"/>
      <c r="J68" s="90">
        <f>HYPERLINK("#Структура!E252",Структура!E252)</f>
        <v>1</v>
      </c>
      <c r="K68" s="113">
        <f>HYPERLINK("#Структура!G252",Структура!G252)</f>
        <v>3.7467299999999999</v>
      </c>
      <c r="L68" s="88">
        <f>M68/J68</f>
        <v>385</v>
      </c>
      <c r="M68" s="88">
        <f>SUMIF(G69,"*",M69)*J68</f>
        <v>385</v>
      </c>
      <c r="N68" s="123">
        <f>HYPERLINK("#Трудозатраты!B69",Трудозатраты!B69+SUMIF(G69,"*",O69))</f>
        <v>10.5</v>
      </c>
      <c r="O68" s="89">
        <f>N68*J68</f>
        <v>10.5</v>
      </c>
      <c r="P68" s="88">
        <f>O68/60*(1+запас_труд)*стоимость_трудочаса</f>
        <v>411.25</v>
      </c>
      <c r="Q68" s="128">
        <f>M68*(1+наценка_покупное)+P68</f>
        <v>873.25</v>
      </c>
    </row>
    <row r="69" spans="5:17" hidden="1" outlineLevel="5" x14ac:dyDescent="0.25">
      <c r="G69" s="74" t="s">
        <v>203</v>
      </c>
      <c r="H69" s="75"/>
      <c r="I69" s="76"/>
      <c r="J69" s="78">
        <f>HYPERLINK("#Структура!E261",Структура!E261)</f>
        <v>3.85</v>
      </c>
      <c r="K69" s="114" t="str">
        <f>HYPERLINK("#Структура!G261","")</f>
        <v/>
      </c>
      <c r="L69" s="120">
        <f>HYPERLINK("#Покупные_изделия!D548",Покупные_изделия!D548)</f>
        <v>100</v>
      </c>
      <c r="M69" s="76">
        <f t="shared" ref="M69:M77" si="1">J69*L69</f>
        <v>385</v>
      </c>
      <c r="N69" s="77"/>
      <c r="O69" s="77"/>
      <c r="P69" s="76"/>
      <c r="Q69" s="76"/>
    </row>
    <row r="70" spans="5:17" hidden="1" outlineLevel="4" x14ac:dyDescent="0.25">
      <c r="F70" s="74" t="s">
        <v>653</v>
      </c>
      <c r="G70" s="74"/>
      <c r="H70" s="75"/>
      <c r="I70" s="76"/>
      <c r="J70" s="78">
        <f>HYPERLINK("#Структура!E253",Структура!E253)</f>
        <v>2</v>
      </c>
      <c r="K70" s="114">
        <f>HYPERLINK("#Структура!G253",Структура!G253)</f>
        <v>0.12286999999999999</v>
      </c>
      <c r="L70" s="120">
        <f>HYPERLINK("#Покупные_изделия!D182",Покупные_изделия!D182)</f>
        <v>23.591999999999999</v>
      </c>
      <c r="M70" s="76">
        <f t="shared" si="1"/>
        <v>47.183999999999997</v>
      </c>
      <c r="N70" s="77"/>
      <c r="O70" s="77"/>
      <c r="P70" s="76"/>
      <c r="Q70" s="76"/>
    </row>
    <row r="71" spans="5:17" hidden="1" outlineLevel="4" x14ac:dyDescent="0.25">
      <c r="F71" s="74" t="s">
        <v>44</v>
      </c>
      <c r="G71" s="74"/>
      <c r="H71" s="75"/>
      <c r="I71" s="76"/>
      <c r="J71" s="78">
        <f>HYPERLINK("#Структура!E254",Структура!E254)</f>
        <v>5.5E-2</v>
      </c>
      <c r="K71" s="114" t="str">
        <f>HYPERLINK("#Структура!G254","")</f>
        <v/>
      </c>
      <c r="L71" s="120">
        <f>HYPERLINK("#Покупные_изделия!D63",Покупные_изделия!D63)</f>
        <v>396.00000000000006</v>
      </c>
      <c r="M71" s="76">
        <f t="shared" si="1"/>
        <v>21.780000000000005</v>
      </c>
      <c r="N71" s="77"/>
      <c r="O71" s="77"/>
      <c r="P71" s="76"/>
      <c r="Q71" s="76"/>
    </row>
    <row r="72" spans="5:17" hidden="1" outlineLevel="4" x14ac:dyDescent="0.25">
      <c r="F72" s="74" t="s">
        <v>67</v>
      </c>
      <c r="G72" s="74"/>
      <c r="H72" s="75"/>
      <c r="I72" s="76"/>
      <c r="J72" s="78">
        <f>HYPERLINK("#Структура!E255",Структура!E255)</f>
        <v>1.4999999999999999E-2</v>
      </c>
      <c r="K72" s="114" t="str">
        <f>HYPERLINK("#Структура!G255","")</f>
        <v/>
      </c>
      <c r="L72" s="120">
        <f>HYPERLINK("#Покупные_изделия!D203",Покупные_изделия!D203)</f>
        <v>30.003600000000002</v>
      </c>
      <c r="M72" s="76">
        <f t="shared" si="1"/>
        <v>0.45005400000000001</v>
      </c>
      <c r="N72" s="77"/>
      <c r="O72" s="77"/>
      <c r="P72" s="76"/>
      <c r="Q72" s="76"/>
    </row>
    <row r="73" spans="5:17" hidden="1" outlineLevel="4" x14ac:dyDescent="0.25">
      <c r="F73" s="74" t="s">
        <v>139</v>
      </c>
      <c r="G73" s="74"/>
      <c r="H73" s="75"/>
      <c r="I73" s="76"/>
      <c r="J73" s="78">
        <f>HYPERLINK("#Структура!E256",Структура!E256)</f>
        <v>6.0000000000000001E-3</v>
      </c>
      <c r="K73" s="114" t="str">
        <f>HYPERLINK("#Структура!G256","")</f>
        <v/>
      </c>
      <c r="L73" s="120">
        <f>HYPERLINK("#Покупные_изделия!D360",Покупные_изделия!D360)</f>
        <v>171.87720000000002</v>
      </c>
      <c r="M73" s="76">
        <f t="shared" si="1"/>
        <v>1.0312632000000002</v>
      </c>
      <c r="N73" s="77"/>
      <c r="O73" s="77"/>
      <c r="P73" s="76"/>
      <c r="Q73" s="76"/>
    </row>
    <row r="74" spans="5:17" hidden="1" outlineLevel="4" x14ac:dyDescent="0.25">
      <c r="F74" s="74" t="s">
        <v>146</v>
      </c>
      <c r="G74" s="74"/>
      <c r="H74" s="75"/>
      <c r="I74" s="76"/>
      <c r="J74" s="78">
        <f>HYPERLINK("#Структура!E257",Структура!E257)</f>
        <v>0.01</v>
      </c>
      <c r="K74" s="114" t="str">
        <f>HYPERLINK("#Структура!G257","")</f>
        <v/>
      </c>
      <c r="L74" s="120">
        <f>HYPERLINK("#Покупные_изделия!D406",Покупные_изделия!D406)</f>
        <v>105.996</v>
      </c>
      <c r="M74" s="76">
        <f t="shared" si="1"/>
        <v>1.05996</v>
      </c>
      <c r="N74" s="77"/>
      <c r="O74" s="77"/>
      <c r="P74" s="76"/>
      <c r="Q74" s="76"/>
    </row>
    <row r="75" spans="5:17" hidden="1" outlineLevel="4" x14ac:dyDescent="0.25">
      <c r="F75" s="74" t="s">
        <v>156</v>
      </c>
      <c r="G75" s="74"/>
      <c r="H75" s="75"/>
      <c r="I75" s="76"/>
      <c r="J75" s="78">
        <f>HYPERLINK("#Структура!E258",Структура!E258)</f>
        <v>0.02</v>
      </c>
      <c r="K75" s="114" t="str">
        <f>HYPERLINK("#Структура!G258","")</f>
        <v/>
      </c>
      <c r="L75" s="120">
        <f>HYPERLINK("#Покупные_изделия!D427",Покупные_изделия!D427)</f>
        <v>155.53200000000001</v>
      </c>
      <c r="M75" s="76">
        <f t="shared" si="1"/>
        <v>3.1106400000000001</v>
      </c>
      <c r="N75" s="77"/>
      <c r="O75" s="77"/>
      <c r="P75" s="76"/>
      <c r="Q75" s="76"/>
    </row>
    <row r="76" spans="5:17" hidden="1" outlineLevel="4" x14ac:dyDescent="0.25">
      <c r="F76" s="74" t="s">
        <v>200</v>
      </c>
      <c r="G76" s="74"/>
      <c r="H76" s="75"/>
      <c r="I76" s="76"/>
      <c r="J76" s="78">
        <f>HYPERLINK("#Структура!E259",Структура!E259)</f>
        <v>0.02</v>
      </c>
      <c r="K76" s="114" t="str">
        <f>HYPERLINK("#Структура!G259","")</f>
        <v/>
      </c>
      <c r="L76" s="120">
        <f>HYPERLINK("#Покупные_изделия!D518",Покупные_изделия!D518)</f>
        <v>270</v>
      </c>
      <c r="M76" s="76">
        <f t="shared" si="1"/>
        <v>5.4</v>
      </c>
      <c r="N76" s="77"/>
      <c r="O76" s="77"/>
      <c r="P76" s="76"/>
      <c r="Q76" s="76"/>
    </row>
    <row r="77" spans="5:17" hidden="1" outlineLevel="4" x14ac:dyDescent="0.25">
      <c r="F77" s="74" t="s">
        <v>202</v>
      </c>
      <c r="G77" s="74"/>
      <c r="H77" s="75"/>
      <c r="I77" s="76"/>
      <c r="J77" s="78">
        <f>HYPERLINK("#Структура!E260",Структура!E260)</f>
        <v>6.5000000000000002E-2</v>
      </c>
      <c r="K77" s="114" t="str">
        <f>HYPERLINK("#Структура!G260","")</f>
        <v/>
      </c>
      <c r="L77" s="120">
        <f>HYPERLINK("#Покупные_изделия!D521",Покупные_изделия!D521)</f>
        <v>462.99599999999998</v>
      </c>
      <c r="M77" s="76">
        <f t="shared" si="1"/>
        <v>30.094739999999998</v>
      </c>
      <c r="N77" s="77"/>
      <c r="O77" s="77"/>
      <c r="P77" s="76"/>
      <c r="Q77" s="76"/>
    </row>
    <row r="78" spans="5:17" hidden="1" outlineLevel="3" collapsed="1" x14ac:dyDescent="0.25">
      <c r="E78" s="96" t="s">
        <v>697</v>
      </c>
      <c r="F78" s="91"/>
      <c r="G78" s="91"/>
      <c r="H78" s="92"/>
      <c r="I78" s="93"/>
      <c r="J78" s="95">
        <f>HYPERLINK("#Структура!E204",Структура!E204)</f>
        <v>2</v>
      </c>
      <c r="K78" s="116">
        <f>HYPERLINK("#Структура!G204",Структура!G204)</f>
        <v>11.81869</v>
      </c>
      <c r="L78" s="93">
        <f>M78/J78</f>
        <v>4524.5666213049271</v>
      </c>
      <c r="M78" s="93">
        <f>SUMIF(F79:F104,"*",M79:M104)*J78</f>
        <v>9049.1332426098543</v>
      </c>
      <c r="N78" s="125">
        <f>HYPERLINK("#Трудозатраты!B83",Трудозатраты!B83+SUMIF(F79:F104,"*",O79:O104))</f>
        <v>53.5</v>
      </c>
      <c r="O78" s="94">
        <f>N78*J78</f>
        <v>107</v>
      </c>
      <c r="P78" s="93">
        <f>O78/60*(1+запас_труд)*стоимость_трудочаса</f>
        <v>4190.8333333333339</v>
      </c>
      <c r="Q78" s="130">
        <f>M78*(1+наценка_покупное)+P78</f>
        <v>15049.793224465158</v>
      </c>
    </row>
    <row r="79" spans="5:17" hidden="1" outlineLevel="4" collapsed="1" x14ac:dyDescent="0.25">
      <c r="F79" s="97" t="s">
        <v>726</v>
      </c>
      <c r="G79" s="98"/>
      <c r="H79" s="99"/>
      <c r="I79" s="100"/>
      <c r="J79" s="102">
        <f>HYPERLINK("#Структура!E315",Структура!E315)</f>
        <v>1</v>
      </c>
      <c r="K79" s="112">
        <f>HYPERLINK("#Структура!G315",Структура!G315)</f>
        <v>8.41465</v>
      </c>
      <c r="L79" s="100">
        <f>M79/J79</f>
        <v>2718.3384156000002</v>
      </c>
      <c r="M79" s="100">
        <f>SUMIF(G80:G94,"*",M80:M94)*J79</f>
        <v>2718.3384156000002</v>
      </c>
      <c r="N79" s="122">
        <f>HYPERLINK("#Трудозатраты!B85",Трудозатраты!B85+SUMIF(G80:G94,"*",O80:O94))</f>
        <v>35.5</v>
      </c>
      <c r="O79" s="101">
        <f>N79*J79</f>
        <v>35.5</v>
      </c>
      <c r="P79" s="100">
        <f>O79/60*(1+запас_труд)*стоимость_трудочаса</f>
        <v>1390.4166666666667</v>
      </c>
      <c r="Q79" s="127">
        <f>M79*(1+наценка_покупное)+P79</f>
        <v>4652.4227653866665</v>
      </c>
    </row>
    <row r="80" spans="5:17" hidden="1" outlineLevel="5" collapsed="1" x14ac:dyDescent="0.25">
      <c r="G80" s="85" t="s">
        <v>655</v>
      </c>
      <c r="H80" s="87"/>
      <c r="I80" s="88"/>
      <c r="J80" s="90">
        <f>HYPERLINK("#Структура!E326",Структура!E326)</f>
        <v>2</v>
      </c>
      <c r="K80" s="113">
        <f>HYPERLINK("#Структура!G326",Структура!G326)</f>
        <v>0.74331999999999998</v>
      </c>
      <c r="L80" s="88">
        <f>M80/J80</f>
        <v>113.03999999999999</v>
      </c>
      <c r="M80" s="88">
        <f>SUMIF(H81,"*",M81)*J80</f>
        <v>226.07999999999998</v>
      </c>
      <c r="N80" s="123">
        <f>HYPERLINK("#Трудозатраты!B27",Трудозатраты!B27+SUMIF(H81,"*",O81))</f>
        <v>1.5</v>
      </c>
      <c r="O80" s="89">
        <f>N80*J80</f>
        <v>3</v>
      </c>
      <c r="P80" s="88">
        <f>O80/60*(1+запас_труд)*стоимость_трудочаса</f>
        <v>117.5</v>
      </c>
      <c r="Q80" s="128">
        <f>M80*(1+наценка_покупное)+P80</f>
        <v>388.79599999999999</v>
      </c>
    </row>
    <row r="81" spans="6:17" hidden="1" outlineLevel="6" x14ac:dyDescent="0.25">
      <c r="H81" s="75" t="s">
        <v>110</v>
      </c>
      <c r="I81" s="76"/>
      <c r="J81" s="78">
        <f>HYPERLINK("#Структура!E89",Структура!E89)</f>
        <v>0.94199999999999995</v>
      </c>
      <c r="K81" s="114" t="str">
        <f>HYPERLINK("#Структура!G89","")</f>
        <v/>
      </c>
      <c r="L81" s="120">
        <f>HYPERLINK("#Покупные_изделия!D282",Покупные_изделия!D282)</f>
        <v>120</v>
      </c>
      <c r="M81" s="76">
        <f>J81*L81</f>
        <v>113.03999999999999</v>
      </c>
      <c r="N81" s="77"/>
      <c r="O81" s="77"/>
      <c r="P81" s="76"/>
      <c r="Q81" s="76"/>
    </row>
    <row r="82" spans="6:17" hidden="1" outlineLevel="5" collapsed="1" x14ac:dyDescent="0.25">
      <c r="G82" s="84" t="s">
        <v>656</v>
      </c>
      <c r="H82" s="80"/>
      <c r="I82" s="81"/>
      <c r="J82" s="83">
        <f>HYPERLINK("#Структура!E327",Структура!E327)</f>
        <v>4</v>
      </c>
      <c r="K82" s="115">
        <f>HYPERLINK("#Структура!G327",Структура!G327)</f>
        <v>0.26395999999999997</v>
      </c>
      <c r="L82" s="81">
        <f>M82/J82</f>
        <v>50.879999999999995</v>
      </c>
      <c r="M82" s="81">
        <f>SUMIF(H83,"*",M83)*J82</f>
        <v>203.51999999999998</v>
      </c>
      <c r="N82" s="124">
        <f>HYPERLINK("#Трудозатраты!B28",Трудозатраты!B28+SUMIF(H83,"*",O83))</f>
        <v>1.1000000000000001</v>
      </c>
      <c r="O82" s="82">
        <f>N82*J82</f>
        <v>4.4000000000000004</v>
      </c>
      <c r="P82" s="81">
        <f>O82/60*(1+запас_труд)*стоимость_трудочаса</f>
        <v>172.33333333333334</v>
      </c>
      <c r="Q82" s="129">
        <f>M82*(1+наценка_покупное)+P82</f>
        <v>416.5573333333333</v>
      </c>
    </row>
    <row r="83" spans="6:17" hidden="1" outlineLevel="6" x14ac:dyDescent="0.25">
      <c r="H83" s="75" t="s">
        <v>110</v>
      </c>
      <c r="I83" s="76"/>
      <c r="J83" s="78">
        <f>HYPERLINK("#Структура!E90",Структура!E90)</f>
        <v>0.42399999999999999</v>
      </c>
      <c r="K83" s="114" t="str">
        <f>HYPERLINK("#Структура!G90","")</f>
        <v/>
      </c>
      <c r="L83" s="120">
        <f>HYPERLINK("#Покупные_изделия!D282",Покупные_изделия!D282)</f>
        <v>120</v>
      </c>
      <c r="M83" s="76">
        <f>J83*L83</f>
        <v>50.879999999999995</v>
      </c>
      <c r="N83" s="77"/>
      <c r="O83" s="77"/>
      <c r="P83" s="76"/>
      <c r="Q83" s="76"/>
    </row>
    <row r="84" spans="6:17" hidden="1" outlineLevel="5" collapsed="1" x14ac:dyDescent="0.25">
      <c r="G84" s="84" t="s">
        <v>725</v>
      </c>
      <c r="H84" s="80"/>
      <c r="I84" s="81"/>
      <c r="J84" s="83">
        <f>HYPERLINK("#Структура!E328",Структура!E328)</f>
        <v>2</v>
      </c>
      <c r="K84" s="115">
        <f>HYPERLINK("#Структура!G328",Структура!G328)</f>
        <v>2.6062799999999999</v>
      </c>
      <c r="L84" s="81">
        <f>M84/J84</f>
        <v>393.108</v>
      </c>
      <c r="M84" s="81">
        <f>SUMIF(H85,"*",M85)*J84</f>
        <v>786.21600000000001</v>
      </c>
      <c r="N84" s="124">
        <f>HYPERLINK("#Трудозатраты!B78",Трудозатраты!B78+SUMIF(H85,"*",O85))</f>
        <v>2.5</v>
      </c>
      <c r="O84" s="82">
        <f>N84*J84</f>
        <v>5</v>
      </c>
      <c r="P84" s="81">
        <f>O84/60*(1+запас_труд)*стоимость_трудочаса</f>
        <v>195.83333333333331</v>
      </c>
      <c r="Q84" s="129">
        <f>M84*(1+наценка_покупное)+P84</f>
        <v>1139.2925333333333</v>
      </c>
    </row>
    <row r="85" spans="6:17" hidden="1" outlineLevel="6" x14ac:dyDescent="0.25">
      <c r="H85" s="75" t="s">
        <v>120</v>
      </c>
      <c r="I85" s="76"/>
      <c r="J85" s="78">
        <f>HYPERLINK("#Структура!E294",Структура!E294)</f>
        <v>3.2759</v>
      </c>
      <c r="K85" s="114" t="str">
        <f>HYPERLINK("#Структура!G294","")</f>
        <v/>
      </c>
      <c r="L85" s="120">
        <f>HYPERLINK("#Покупные_изделия!D295",Покупные_изделия!D295)</f>
        <v>120</v>
      </c>
      <c r="M85" s="76">
        <f>J85*L85</f>
        <v>393.108</v>
      </c>
      <c r="N85" s="77"/>
      <c r="O85" s="77"/>
      <c r="P85" s="76"/>
      <c r="Q85" s="76"/>
    </row>
    <row r="86" spans="6:17" hidden="1" outlineLevel="5" collapsed="1" x14ac:dyDescent="0.25">
      <c r="G86" s="84" t="s">
        <v>728</v>
      </c>
      <c r="H86" s="80"/>
      <c r="I86" s="81"/>
      <c r="J86" s="83">
        <f>HYPERLINK("#Структура!E329",Структура!E329)</f>
        <v>2</v>
      </c>
      <c r="K86" s="115">
        <f>HYPERLINK("#Структура!G329",Структура!G329)</f>
        <v>4.53714</v>
      </c>
      <c r="L86" s="81">
        <f>M86/J86</f>
        <v>684.07320000000004</v>
      </c>
      <c r="M86" s="81">
        <f>SUMIF(H87,"*",M87)*J86</f>
        <v>1368.1464000000001</v>
      </c>
      <c r="N86" s="124">
        <f>HYPERLINK("#Трудозатраты!B86",Трудозатраты!B86+SUMIF(H87,"*",O87))</f>
        <v>2.2999999999999998</v>
      </c>
      <c r="O86" s="82">
        <f>N86*J86</f>
        <v>4.5999999999999996</v>
      </c>
      <c r="P86" s="81">
        <f>O86/60*(1+запас_труд)*стоимость_трудочаса</f>
        <v>180.16666666666666</v>
      </c>
      <c r="Q86" s="129">
        <f>M86*(1+наценка_покупное)+P86</f>
        <v>1821.9423466666667</v>
      </c>
    </row>
    <row r="87" spans="6:17" hidden="1" outlineLevel="6" x14ac:dyDescent="0.25">
      <c r="H87" s="75" t="s">
        <v>120</v>
      </c>
      <c r="I87" s="76"/>
      <c r="J87" s="78">
        <f>HYPERLINK("#Структура!E337",Структура!E337)</f>
        <v>5.7006100000000002</v>
      </c>
      <c r="K87" s="114" t="str">
        <f>HYPERLINK("#Структура!G337","")</f>
        <v/>
      </c>
      <c r="L87" s="120">
        <f>HYPERLINK("#Покупные_изделия!D295",Покупные_изделия!D295)</f>
        <v>120</v>
      </c>
      <c r="M87" s="76">
        <f t="shared" ref="M87:M94" si="2">J87*L87</f>
        <v>684.07320000000004</v>
      </c>
      <c r="N87" s="77"/>
      <c r="O87" s="77"/>
      <c r="P87" s="76"/>
      <c r="Q87" s="76"/>
    </row>
    <row r="88" spans="6:17" hidden="1" outlineLevel="5" x14ac:dyDescent="0.25">
      <c r="G88" s="74" t="s">
        <v>44</v>
      </c>
      <c r="H88" s="75"/>
      <c r="I88" s="76"/>
      <c r="J88" s="78">
        <f>HYPERLINK("#Структура!E330",Структура!E330)</f>
        <v>0.13100000000000001</v>
      </c>
      <c r="K88" s="114" t="str">
        <f>HYPERLINK("#Структура!G330","")</f>
        <v/>
      </c>
      <c r="L88" s="120">
        <f>HYPERLINK("#Покупные_изделия!D63",Покупные_изделия!D63)</f>
        <v>396.00000000000006</v>
      </c>
      <c r="M88" s="76">
        <f t="shared" si="2"/>
        <v>51.876000000000012</v>
      </c>
      <c r="N88" s="77"/>
      <c r="O88" s="77"/>
      <c r="P88" s="76"/>
      <c r="Q88" s="76"/>
    </row>
    <row r="89" spans="6:17" hidden="1" outlineLevel="5" x14ac:dyDescent="0.25">
      <c r="G89" s="74" t="s">
        <v>67</v>
      </c>
      <c r="H89" s="75"/>
      <c r="I89" s="76"/>
      <c r="J89" s="78">
        <f>HYPERLINK("#Структура!E331",Структура!E331)</f>
        <v>0.3</v>
      </c>
      <c r="K89" s="114" t="str">
        <f>HYPERLINK("#Структура!G331","")</f>
        <v/>
      </c>
      <c r="L89" s="120">
        <f>HYPERLINK("#Покупные_изделия!D203",Покупные_изделия!D203)</f>
        <v>30.003600000000002</v>
      </c>
      <c r="M89" s="76">
        <f t="shared" si="2"/>
        <v>9.00108</v>
      </c>
      <c r="N89" s="77"/>
      <c r="O89" s="77"/>
      <c r="P89" s="76"/>
      <c r="Q89" s="76"/>
    </row>
    <row r="90" spans="6:17" hidden="1" outlineLevel="5" x14ac:dyDescent="0.25">
      <c r="G90" s="74" t="s">
        <v>139</v>
      </c>
      <c r="H90" s="75"/>
      <c r="I90" s="76"/>
      <c r="J90" s="78">
        <f>HYPERLINK("#Структура!E332",Структура!E332)</f>
        <v>1.2999999999999999E-2</v>
      </c>
      <c r="K90" s="114" t="str">
        <f>HYPERLINK("#Структура!G332","")</f>
        <v/>
      </c>
      <c r="L90" s="120">
        <f>HYPERLINK("#Покупные_изделия!D360",Покупные_изделия!D360)</f>
        <v>171.87720000000002</v>
      </c>
      <c r="M90" s="76">
        <f t="shared" si="2"/>
        <v>2.2344036000000003</v>
      </c>
      <c r="N90" s="77"/>
      <c r="O90" s="77"/>
      <c r="P90" s="76"/>
      <c r="Q90" s="76"/>
    </row>
    <row r="91" spans="6:17" hidden="1" outlineLevel="5" x14ac:dyDescent="0.25">
      <c r="G91" s="74" t="s">
        <v>146</v>
      </c>
      <c r="H91" s="75"/>
      <c r="I91" s="76"/>
      <c r="J91" s="78">
        <f>HYPERLINK("#Структура!E333",Структура!E333)</f>
        <v>0.17599999999999999</v>
      </c>
      <c r="K91" s="114" t="str">
        <f>HYPERLINK("#Структура!G333","")</f>
        <v/>
      </c>
      <c r="L91" s="120">
        <f>HYPERLINK("#Покупные_изделия!D406",Покупные_изделия!D406)</f>
        <v>105.996</v>
      </c>
      <c r="M91" s="76">
        <f t="shared" si="2"/>
        <v>18.655295999999996</v>
      </c>
      <c r="N91" s="77"/>
      <c r="O91" s="77"/>
      <c r="P91" s="76"/>
      <c r="Q91" s="76"/>
    </row>
    <row r="92" spans="6:17" hidden="1" outlineLevel="5" x14ac:dyDescent="0.25">
      <c r="G92" s="74" t="s">
        <v>156</v>
      </c>
      <c r="H92" s="75"/>
      <c r="I92" s="76"/>
      <c r="J92" s="78">
        <f>HYPERLINK("#Структура!E334",Структура!E334)</f>
        <v>0.05</v>
      </c>
      <c r="K92" s="114" t="str">
        <f>HYPERLINK("#Структура!G334","")</f>
        <v/>
      </c>
      <c r="L92" s="120">
        <f>HYPERLINK("#Покупные_изделия!D427",Покупные_изделия!D427)</f>
        <v>155.53200000000001</v>
      </c>
      <c r="M92" s="76">
        <f t="shared" si="2"/>
        <v>7.7766000000000011</v>
      </c>
      <c r="N92" s="77"/>
      <c r="O92" s="77"/>
      <c r="P92" s="76"/>
      <c r="Q92" s="76"/>
    </row>
    <row r="93" spans="6:17" hidden="1" outlineLevel="5" x14ac:dyDescent="0.25">
      <c r="G93" s="74" t="s">
        <v>200</v>
      </c>
      <c r="H93" s="75"/>
      <c r="I93" s="76"/>
      <c r="J93" s="78">
        <f>HYPERLINK("#Структура!E335",Структура!E335)</f>
        <v>0.01</v>
      </c>
      <c r="K93" s="114" t="str">
        <f>HYPERLINK("#Структура!G335","")</f>
        <v/>
      </c>
      <c r="L93" s="120">
        <f>HYPERLINK("#Покупные_изделия!D518",Покупные_изделия!D518)</f>
        <v>270</v>
      </c>
      <c r="M93" s="76">
        <f t="shared" si="2"/>
        <v>2.7</v>
      </c>
      <c r="N93" s="77"/>
      <c r="O93" s="77"/>
      <c r="P93" s="76"/>
      <c r="Q93" s="76"/>
    </row>
    <row r="94" spans="6:17" hidden="1" outlineLevel="5" x14ac:dyDescent="0.25">
      <c r="G94" s="74" t="s">
        <v>202</v>
      </c>
      <c r="H94" s="75"/>
      <c r="I94" s="76"/>
      <c r="J94" s="78">
        <f>HYPERLINK("#Структура!E336",Структура!E336)</f>
        <v>9.0999999999999998E-2</v>
      </c>
      <c r="K94" s="114" t="str">
        <f>HYPERLINK("#Структура!G336","")</f>
        <v/>
      </c>
      <c r="L94" s="120">
        <f>HYPERLINK("#Покупные_изделия!D521",Покупные_изделия!D521)</f>
        <v>462.99599999999998</v>
      </c>
      <c r="M94" s="76">
        <f t="shared" si="2"/>
        <v>42.132635999999998</v>
      </c>
      <c r="N94" s="77"/>
      <c r="O94" s="77"/>
      <c r="P94" s="76"/>
      <c r="Q94" s="76"/>
    </row>
    <row r="95" spans="6:17" hidden="1" outlineLevel="4" collapsed="1" x14ac:dyDescent="0.25">
      <c r="F95" s="84" t="s">
        <v>727</v>
      </c>
      <c r="G95" s="79"/>
      <c r="H95" s="80"/>
      <c r="I95" s="81"/>
      <c r="J95" s="83">
        <f>HYPERLINK("#Структура!E316",Структура!E316)</f>
        <v>1</v>
      </c>
      <c r="K95" s="115">
        <f>HYPERLINK("#Структура!G316",Структура!G316)</f>
        <v>0.74407999999999996</v>
      </c>
      <c r="L95" s="81">
        <f>M95/J95</f>
        <v>630.53056800000013</v>
      </c>
      <c r="M95" s="81">
        <f>SUMIF(G96,"*",M96)*J95</f>
        <v>630.53056800000013</v>
      </c>
      <c r="N95" s="124">
        <f>HYPERLINK("#Трудозатраты!B84",Трудозатраты!B84+SUMIF(G96,"*",O96))</f>
        <v>6</v>
      </c>
      <c r="O95" s="82">
        <f>N95*J95</f>
        <v>6</v>
      </c>
      <c r="P95" s="81">
        <f>O95/60*(1+запас_труд)*стоимость_трудочаса</f>
        <v>235</v>
      </c>
      <c r="Q95" s="129">
        <f>M95*(1+наценка_покупное)+P95</f>
        <v>991.63668160000009</v>
      </c>
    </row>
    <row r="96" spans="6:17" hidden="1" outlineLevel="5" x14ac:dyDescent="0.25">
      <c r="G96" s="74" t="s">
        <v>144</v>
      </c>
      <c r="H96" s="75"/>
      <c r="I96" s="76"/>
      <c r="J96" s="78">
        <f>HYPERLINK("#Структура!E325",Структура!E325)</f>
        <v>0.92700000000000005</v>
      </c>
      <c r="K96" s="114" t="str">
        <f>HYPERLINK("#Структура!G325","")</f>
        <v/>
      </c>
      <c r="L96" s="120">
        <f>HYPERLINK("#Покупные_изделия!D385",Покупные_изделия!D385)</f>
        <v>680.18400000000008</v>
      </c>
      <c r="M96" s="76">
        <f t="shared" ref="M96:M104" si="3">J96*L96</f>
        <v>630.53056800000013</v>
      </c>
      <c r="N96" s="77"/>
      <c r="O96" s="77"/>
      <c r="P96" s="76"/>
      <c r="Q96" s="76"/>
    </row>
    <row r="97" spans="5:17" hidden="1" outlineLevel="4" x14ac:dyDescent="0.25">
      <c r="F97" s="74" t="s">
        <v>720</v>
      </c>
      <c r="G97" s="74"/>
      <c r="H97" s="75"/>
      <c r="I97" s="76"/>
      <c r="J97" s="78">
        <f>HYPERLINK("#Структура!E317",Структура!E317)</f>
        <v>4</v>
      </c>
      <c r="K97" s="114">
        <f>HYPERLINK("#Структура!G317",Структура!G317)</f>
        <v>8.6550000000000002E-2</v>
      </c>
      <c r="L97" s="120">
        <f>HYPERLINK("#Покупные_изделия!D93",Покупные_изделия!D93)</f>
        <v>24.023999999999997</v>
      </c>
      <c r="M97" s="76">
        <f t="shared" si="3"/>
        <v>96.095999999999989</v>
      </c>
      <c r="N97" s="77"/>
      <c r="O97" s="77"/>
      <c r="P97" s="76"/>
      <c r="Q97" s="76"/>
    </row>
    <row r="98" spans="5:17" hidden="1" outlineLevel="4" x14ac:dyDescent="0.25">
      <c r="F98" s="74" t="s">
        <v>671</v>
      </c>
      <c r="G98" s="74"/>
      <c r="H98" s="75"/>
      <c r="I98" s="76"/>
      <c r="J98" s="78">
        <f>HYPERLINK("#Структура!E318",Структура!E318)</f>
        <v>1</v>
      </c>
      <c r="K98" s="114">
        <f>HYPERLINK("#Структура!G318",Структура!G318)</f>
        <v>1.5699999999999999E-2</v>
      </c>
      <c r="L98" s="120">
        <f>HYPERLINK("#Покупные_изделия!D105",Покупные_изделия!D105)</f>
        <v>5.0999999999999996</v>
      </c>
      <c r="M98" s="76">
        <f t="shared" si="3"/>
        <v>5.0999999999999996</v>
      </c>
      <c r="N98" s="77"/>
      <c r="O98" s="77"/>
      <c r="P98" s="76"/>
      <c r="Q98" s="76"/>
    </row>
    <row r="99" spans="5:17" hidden="1" outlineLevel="4" x14ac:dyDescent="0.25">
      <c r="F99" s="74" t="s">
        <v>721</v>
      </c>
      <c r="G99" s="74"/>
      <c r="H99" s="75"/>
      <c r="I99" s="76"/>
      <c r="J99" s="78">
        <f>HYPERLINK("#Структура!E319",Структура!E319)</f>
        <v>4</v>
      </c>
      <c r="K99" s="114">
        <f>HYPERLINK("#Структура!G319",Структура!G319)</f>
        <v>2.5329999999999998E-2</v>
      </c>
      <c r="L99" s="120">
        <f>HYPERLINK("#Покупные_изделия!D176",Покупные_изделия!D176)</f>
        <v>9.5879999999999992</v>
      </c>
      <c r="M99" s="76">
        <f t="shared" si="3"/>
        <v>38.351999999999997</v>
      </c>
      <c r="N99" s="77"/>
      <c r="O99" s="77"/>
      <c r="P99" s="76"/>
      <c r="Q99" s="76"/>
    </row>
    <row r="100" spans="5:17" hidden="1" outlineLevel="4" x14ac:dyDescent="0.25">
      <c r="F100" s="74" t="s">
        <v>625</v>
      </c>
      <c r="G100" s="74"/>
      <c r="H100" s="75"/>
      <c r="I100" s="76"/>
      <c r="J100" s="78">
        <f>HYPERLINK("#Структура!E320",Структура!E320)</f>
        <v>1</v>
      </c>
      <c r="K100" s="114">
        <f>HYPERLINK("#Структура!G320",Структура!G320)</f>
        <v>7.1399999999999996E-3</v>
      </c>
      <c r="L100" s="120">
        <f>HYPERLINK("#Покупные_изделия!D168",Покупные_изделия!D168)</f>
        <v>1.9715672368421051</v>
      </c>
      <c r="M100" s="76">
        <f t="shared" si="3"/>
        <v>1.9715672368421051</v>
      </c>
      <c r="N100" s="77"/>
      <c r="O100" s="77"/>
      <c r="P100" s="76"/>
      <c r="Q100" s="76"/>
    </row>
    <row r="101" spans="5:17" hidden="1" outlineLevel="4" x14ac:dyDescent="0.25">
      <c r="F101" s="74" t="s">
        <v>722</v>
      </c>
      <c r="G101" s="74"/>
      <c r="H101" s="75"/>
      <c r="I101" s="76"/>
      <c r="J101" s="78">
        <f>HYPERLINK("#Структура!E321",Структура!E321)</f>
        <v>4</v>
      </c>
      <c r="K101" s="114">
        <f>HYPERLINK("#Структура!G321",Структура!G321)</f>
        <v>4.4799999999999996E-3</v>
      </c>
      <c r="L101" s="120">
        <f>HYPERLINK("#Покупные_изделия!D524",Покупные_изделия!D524)</f>
        <v>1.788</v>
      </c>
      <c r="M101" s="76">
        <f t="shared" si="3"/>
        <v>7.1520000000000001</v>
      </c>
      <c r="N101" s="77"/>
      <c r="O101" s="77"/>
      <c r="P101" s="76"/>
      <c r="Q101" s="76"/>
    </row>
    <row r="102" spans="5:17" hidden="1" outlineLevel="4" x14ac:dyDescent="0.25">
      <c r="F102" s="74" t="s">
        <v>723</v>
      </c>
      <c r="G102" s="74"/>
      <c r="H102" s="75"/>
      <c r="I102" s="76"/>
      <c r="J102" s="78">
        <f>HYPERLINK("#Структура!E322",Структура!E322)</f>
        <v>8</v>
      </c>
      <c r="K102" s="114">
        <f>HYPERLINK("#Структура!G322",Структура!G322)</f>
        <v>8.3800000000000003E-3</v>
      </c>
      <c r="L102" s="120">
        <f>HYPERLINK("#Покупные_изделия!D540",Покупные_изделия!D540)</f>
        <v>1.8787588085106388</v>
      </c>
      <c r="M102" s="76">
        <f t="shared" si="3"/>
        <v>15.03007046808511</v>
      </c>
      <c r="N102" s="77"/>
      <c r="O102" s="77"/>
      <c r="P102" s="76"/>
      <c r="Q102" s="76"/>
    </row>
    <row r="103" spans="5:17" hidden="1" outlineLevel="4" x14ac:dyDescent="0.25">
      <c r="F103" s="74" t="s">
        <v>38</v>
      </c>
      <c r="G103" s="74"/>
      <c r="H103" s="75"/>
      <c r="I103" s="76"/>
      <c r="J103" s="78">
        <f>HYPERLINK("#Структура!E323",Структура!E323)</f>
        <v>1</v>
      </c>
      <c r="K103" s="114">
        <f>HYPERLINK("#Структура!G323",Структура!G323)</f>
        <v>3.1515599999999999</v>
      </c>
      <c r="L103" s="120">
        <f>HYPERLINK("#Покупные_изделия!D49",Покупные_изделия!D49)</f>
        <v>999.99599999999998</v>
      </c>
      <c r="M103" s="76">
        <f t="shared" si="3"/>
        <v>999.99599999999998</v>
      </c>
      <c r="N103" s="77"/>
      <c r="O103" s="77"/>
      <c r="P103" s="76"/>
      <c r="Q103" s="76"/>
    </row>
    <row r="104" spans="5:17" hidden="1" outlineLevel="4" x14ac:dyDescent="0.25">
      <c r="F104" s="74" t="s">
        <v>133</v>
      </c>
      <c r="G104" s="74"/>
      <c r="H104" s="75"/>
      <c r="I104" s="76"/>
      <c r="J104" s="78">
        <f>HYPERLINK("#Структура!E324",Структура!E324)</f>
        <v>0.05</v>
      </c>
      <c r="K104" s="114" t="str">
        <f>HYPERLINK("#Структура!G324","")</f>
        <v/>
      </c>
      <c r="L104" s="120">
        <f>HYPERLINK("#Покупные_изделия!D308",Покупные_изделия!D308)</f>
        <v>240</v>
      </c>
      <c r="M104" s="76">
        <f t="shared" si="3"/>
        <v>12</v>
      </c>
      <c r="N104" s="77"/>
      <c r="O104" s="77"/>
      <c r="P104" s="76"/>
      <c r="Q104" s="76"/>
    </row>
    <row r="105" spans="5:17" hidden="1" outlineLevel="3" collapsed="1" x14ac:dyDescent="0.25">
      <c r="E105" s="84" t="s">
        <v>590</v>
      </c>
      <c r="F105" s="79"/>
      <c r="G105" s="79"/>
      <c r="H105" s="80"/>
      <c r="I105" s="81"/>
      <c r="J105" s="83">
        <f>HYPERLINK("#Структура!E205",Структура!E205)</f>
        <v>1</v>
      </c>
      <c r="K105" s="115">
        <f>HYPERLINK("#Структура!G205",Структура!G205)</f>
        <v>6.4697100000000001</v>
      </c>
      <c r="L105" s="81">
        <f>M105/J105</f>
        <v>1023</v>
      </c>
      <c r="M105" s="81">
        <f>SUMIF(F106,"*",M106)*J105</f>
        <v>1023</v>
      </c>
      <c r="N105" s="124">
        <f>HYPERLINK("#Трудозатраты!B6",Трудозатраты!B6+SUMIF(F106,"*",O106))</f>
        <v>66</v>
      </c>
      <c r="O105" s="82">
        <f>N105*J105</f>
        <v>66</v>
      </c>
      <c r="P105" s="81">
        <f>O105/60*(1+запас_труд)*стоимость_трудочаса</f>
        <v>2585</v>
      </c>
      <c r="Q105" s="129">
        <f>M105*(1+наценка_покупное)+P105</f>
        <v>3812.6</v>
      </c>
    </row>
    <row r="106" spans="5:17" hidden="1" outlineLevel="4" x14ac:dyDescent="0.25">
      <c r="F106" s="74" t="s">
        <v>101</v>
      </c>
      <c r="G106" s="74"/>
      <c r="H106" s="75"/>
      <c r="I106" s="76"/>
      <c r="J106" s="78">
        <f>HYPERLINK("#Структура!E6",Структура!E6)</f>
        <v>10.23</v>
      </c>
      <c r="K106" s="114" t="str">
        <f>HYPERLINK("#Структура!G6","")</f>
        <v/>
      </c>
      <c r="L106" s="120">
        <f>HYPERLINK("#Покупные_изделия!D270",Покупные_изделия!D270)</f>
        <v>100</v>
      </c>
      <c r="M106" s="76">
        <f>J106*L106</f>
        <v>1023</v>
      </c>
      <c r="N106" s="77"/>
      <c r="O106" s="77"/>
      <c r="P106" s="76"/>
      <c r="Q106" s="76"/>
    </row>
    <row r="107" spans="5:17" hidden="1" outlineLevel="3" collapsed="1" x14ac:dyDescent="0.25">
      <c r="E107" s="84" t="s">
        <v>652</v>
      </c>
      <c r="F107" s="79"/>
      <c r="G107" s="79"/>
      <c r="H107" s="80"/>
      <c r="I107" s="81"/>
      <c r="J107" s="83">
        <f>HYPERLINK("#Структура!E206",Структура!E206)</f>
        <v>1</v>
      </c>
      <c r="K107" s="115">
        <f>HYPERLINK("#Структура!G206",Структура!G206)</f>
        <v>5.5714600000000001</v>
      </c>
      <c r="L107" s="81">
        <f>M107/J107</f>
        <v>1069.4208000000001</v>
      </c>
      <c r="M107" s="81">
        <f>SUMIF(F108,"*",M108)*J107</f>
        <v>1069.4208000000001</v>
      </c>
      <c r="N107" s="124">
        <f>HYPERLINK("#Трудозатраты!B25",Трудозатраты!B25+SUMIF(F108,"*",O108))</f>
        <v>20</v>
      </c>
      <c r="O107" s="82">
        <f>N107*J107</f>
        <v>20</v>
      </c>
      <c r="P107" s="81">
        <f>O107/60*(1+запас_труд)*стоимость_трудочаса</f>
        <v>783.33333333333326</v>
      </c>
      <c r="Q107" s="129">
        <f>M107*(1+наценка_покупное)+P107</f>
        <v>2066.6382933333334</v>
      </c>
    </row>
    <row r="108" spans="5:17" hidden="1" outlineLevel="4" x14ac:dyDescent="0.25">
      <c r="F108" s="74" t="s">
        <v>128</v>
      </c>
      <c r="G108" s="74"/>
      <c r="H108" s="75"/>
      <c r="I108" s="76"/>
      <c r="J108" s="78">
        <f>HYPERLINK("#Структура!E87",Структура!E87)</f>
        <v>6.6838800000000003</v>
      </c>
      <c r="K108" s="114" t="str">
        <f>HYPERLINK("#Структура!G87","")</f>
        <v/>
      </c>
      <c r="L108" s="120">
        <f>HYPERLINK("#Покупные_изделия!D303",Покупные_изделия!D303)</f>
        <v>160</v>
      </c>
      <c r="M108" s="76">
        <f>J108*L108</f>
        <v>1069.4208000000001</v>
      </c>
      <c r="N108" s="77"/>
      <c r="O108" s="77"/>
      <c r="P108" s="76"/>
      <c r="Q108" s="76"/>
    </row>
    <row r="109" spans="5:17" hidden="1" outlineLevel="3" collapsed="1" x14ac:dyDescent="0.25">
      <c r="E109" s="84" t="s">
        <v>654</v>
      </c>
      <c r="F109" s="79"/>
      <c r="G109" s="79"/>
      <c r="H109" s="80"/>
      <c r="I109" s="81"/>
      <c r="J109" s="83">
        <f>HYPERLINK("#Структура!E207",Структура!E207)</f>
        <v>2</v>
      </c>
      <c r="K109" s="115">
        <f>HYPERLINK("#Структура!G207",Структура!G207)</f>
        <v>0.11028</v>
      </c>
      <c r="L109" s="81">
        <f>M109/J109</f>
        <v>23.591999999999999</v>
      </c>
      <c r="M109" s="81">
        <f>SUMIF(F110,"*",M110)*J109</f>
        <v>47.183999999999997</v>
      </c>
      <c r="N109" s="124">
        <f>HYPERLINK("#Трудозатраты!B26",Трудозатраты!B26+SUMIF(F110,"*",O110))</f>
        <v>2.1</v>
      </c>
      <c r="O109" s="82">
        <f>N109*J109</f>
        <v>4.2</v>
      </c>
      <c r="P109" s="81">
        <f>O109/60*(1+запас_труд)*стоимость_трудочаса</f>
        <v>164.50000000000003</v>
      </c>
      <c r="Q109" s="129">
        <f>M109*(1+наценка_покупное)+P109</f>
        <v>221.12080000000003</v>
      </c>
    </row>
    <row r="110" spans="5:17" hidden="1" outlineLevel="4" x14ac:dyDescent="0.25">
      <c r="F110" s="74" t="s">
        <v>653</v>
      </c>
      <c r="G110" s="74"/>
      <c r="H110" s="75"/>
      <c r="I110" s="76"/>
      <c r="J110" s="78">
        <f>HYPERLINK("#Структура!E88",Структура!E88)</f>
        <v>1</v>
      </c>
      <c r="K110" s="114" t="str">
        <f>HYPERLINK("#Структура!G88","")</f>
        <v/>
      </c>
      <c r="L110" s="120">
        <f>HYPERLINK("#Покупные_изделия!D182",Покупные_изделия!D182)</f>
        <v>23.591999999999999</v>
      </c>
      <c r="M110" s="76">
        <f>J110*L110</f>
        <v>23.591999999999999</v>
      </c>
      <c r="N110" s="77"/>
      <c r="O110" s="77"/>
      <c r="P110" s="76"/>
      <c r="Q110" s="76"/>
    </row>
    <row r="111" spans="5:17" hidden="1" outlineLevel="3" collapsed="1" x14ac:dyDescent="0.25">
      <c r="E111" s="84" t="s">
        <v>659</v>
      </c>
      <c r="F111" s="79"/>
      <c r="G111" s="79"/>
      <c r="H111" s="80"/>
      <c r="I111" s="81"/>
      <c r="J111" s="83">
        <f>HYPERLINK("#Структура!E208",Структура!E208)</f>
        <v>1</v>
      </c>
      <c r="K111" s="115">
        <f>HYPERLINK("#Структура!G208",Структура!G208)</f>
        <v>1.0603899999999999</v>
      </c>
      <c r="L111" s="81">
        <f>M111/J111</f>
        <v>317.92500000000001</v>
      </c>
      <c r="M111" s="81">
        <f>SUMIF(F112,"*",M112)*J111</f>
        <v>317.92500000000001</v>
      </c>
      <c r="N111" s="124">
        <f>HYPERLINK("#Трудозатраты!B31",Трудозатраты!B31+SUMIF(F112,"*",O112))</f>
        <v>3.1</v>
      </c>
      <c r="O111" s="82">
        <f>N111*J111</f>
        <v>3.1</v>
      </c>
      <c r="P111" s="81">
        <f>O111/60*(1+запас_труд)*стоимость_трудочаса</f>
        <v>121.41666666666667</v>
      </c>
      <c r="Q111" s="129">
        <f>M111*(1+наценка_покупное)+P111</f>
        <v>502.92666666666668</v>
      </c>
    </row>
    <row r="112" spans="5:17" hidden="1" outlineLevel="4" x14ac:dyDescent="0.25">
      <c r="F112" s="74" t="s">
        <v>132</v>
      </c>
      <c r="G112" s="74"/>
      <c r="H112" s="75"/>
      <c r="I112" s="76"/>
      <c r="J112" s="78">
        <f>HYPERLINK("#Структура!E96",Структура!E96)</f>
        <v>1.2717000000000001</v>
      </c>
      <c r="K112" s="114" t="str">
        <f>HYPERLINK("#Структура!G96","")</f>
        <v/>
      </c>
      <c r="L112" s="120">
        <f>HYPERLINK("#Покупные_изделия!D307",Покупные_изделия!D307)</f>
        <v>250</v>
      </c>
      <c r="M112" s="76">
        <f>J112*L112</f>
        <v>317.92500000000001</v>
      </c>
      <c r="N112" s="77"/>
      <c r="O112" s="77"/>
      <c r="P112" s="76"/>
      <c r="Q112" s="76"/>
    </row>
    <row r="113" spans="5:17" hidden="1" outlineLevel="3" collapsed="1" x14ac:dyDescent="0.25">
      <c r="E113" s="84" t="s">
        <v>698</v>
      </c>
      <c r="F113" s="79"/>
      <c r="G113" s="79"/>
      <c r="H113" s="80"/>
      <c r="I113" s="81"/>
      <c r="J113" s="83">
        <f>HYPERLINK("#Структура!E209",Структура!E209)</f>
        <v>1</v>
      </c>
      <c r="K113" s="115">
        <f>HYPERLINK("#Структура!G209",Структура!G209)</f>
        <v>20.94764</v>
      </c>
      <c r="L113" s="81">
        <f>M113/J113</f>
        <v>3307.1181959999999</v>
      </c>
      <c r="M113" s="81">
        <f>SUMIF(F114:F121,"*",M114:M121)*J113</f>
        <v>3307.1181959999999</v>
      </c>
      <c r="N113" s="124">
        <f>HYPERLINK("#Трудозатраты!B65",Трудозатраты!B65+SUMIF(F114:F121,"*",O114:O121))</f>
        <v>31.5</v>
      </c>
      <c r="O113" s="82">
        <f>N113*J113</f>
        <v>31.5</v>
      </c>
      <c r="P113" s="81">
        <f>O113/60*(1+запас_труд)*стоимость_трудочаса</f>
        <v>1233.75</v>
      </c>
      <c r="Q113" s="129">
        <f>M113*(1+наценка_покупное)+P113</f>
        <v>5202.2918351999997</v>
      </c>
    </row>
    <row r="114" spans="5:17" hidden="1" outlineLevel="4" x14ac:dyDescent="0.25">
      <c r="F114" s="74" t="s">
        <v>44</v>
      </c>
      <c r="G114" s="74"/>
      <c r="H114" s="75"/>
      <c r="I114" s="76"/>
      <c r="J114" s="78">
        <f>HYPERLINK("#Структура!E233",Структура!E233)</f>
        <v>0.16400000000000001</v>
      </c>
      <c r="K114" s="114" t="str">
        <f>HYPERLINK("#Структура!G233","")</f>
        <v/>
      </c>
      <c r="L114" s="120">
        <f>HYPERLINK("#Покупные_изделия!D63",Покупные_изделия!D63)</f>
        <v>396.00000000000006</v>
      </c>
      <c r="M114" s="76">
        <f t="shared" ref="M114:M121" si="4">J114*L114</f>
        <v>64.944000000000017</v>
      </c>
      <c r="N114" s="77"/>
      <c r="O114" s="77"/>
      <c r="P114" s="76"/>
      <c r="Q114" s="76"/>
    </row>
    <row r="115" spans="5:17" hidden="1" outlineLevel="4" x14ac:dyDescent="0.25">
      <c r="F115" s="74" t="s">
        <v>66</v>
      </c>
      <c r="G115" s="74"/>
      <c r="H115" s="75"/>
      <c r="I115" s="76"/>
      <c r="J115" s="78">
        <f>HYPERLINK("#Структура!E234",Структура!E234)</f>
        <v>0.06</v>
      </c>
      <c r="K115" s="114" t="str">
        <f>HYPERLINK("#Структура!G234","")</f>
        <v/>
      </c>
      <c r="L115" s="120">
        <f>HYPERLINK("#Покупные_изделия!D198",Покупные_изделия!D198)</f>
        <v>268.47480000000002</v>
      </c>
      <c r="M115" s="76">
        <f t="shared" si="4"/>
        <v>16.108488000000001</v>
      </c>
      <c r="N115" s="77"/>
      <c r="O115" s="77"/>
      <c r="P115" s="76"/>
      <c r="Q115" s="76"/>
    </row>
    <row r="116" spans="5:17" hidden="1" outlineLevel="4" x14ac:dyDescent="0.25">
      <c r="F116" s="74" t="s">
        <v>118</v>
      </c>
      <c r="G116" s="74"/>
      <c r="H116" s="75"/>
      <c r="I116" s="76"/>
      <c r="J116" s="78">
        <f>HYPERLINK("#Структура!E235",Структура!E235)</f>
        <v>26.11224</v>
      </c>
      <c r="K116" s="114" t="str">
        <f>HYPERLINK("#Структура!G235","")</f>
        <v/>
      </c>
      <c r="L116" s="120">
        <f>HYPERLINK("#Покупные_изделия!D293",Покупные_изделия!D293)</f>
        <v>120</v>
      </c>
      <c r="M116" s="76">
        <f t="shared" si="4"/>
        <v>3133.4688000000001</v>
      </c>
      <c r="N116" s="77"/>
      <c r="O116" s="77"/>
      <c r="P116" s="76"/>
      <c r="Q116" s="76"/>
    </row>
    <row r="117" spans="5:17" hidden="1" outlineLevel="4" x14ac:dyDescent="0.25">
      <c r="F117" s="74" t="s">
        <v>139</v>
      </c>
      <c r="G117" s="74"/>
      <c r="H117" s="75"/>
      <c r="I117" s="76"/>
      <c r="J117" s="78">
        <f>HYPERLINK("#Структура!E236",Структура!E236)</f>
        <v>0.02</v>
      </c>
      <c r="K117" s="114" t="str">
        <f>HYPERLINK("#Структура!G236","")</f>
        <v/>
      </c>
      <c r="L117" s="120">
        <f>HYPERLINK("#Покупные_изделия!D360",Покупные_изделия!D360)</f>
        <v>171.87720000000002</v>
      </c>
      <c r="M117" s="76">
        <f t="shared" si="4"/>
        <v>3.4375440000000004</v>
      </c>
      <c r="N117" s="77"/>
      <c r="O117" s="77"/>
      <c r="P117" s="76"/>
      <c r="Q117" s="76"/>
    </row>
    <row r="118" spans="5:17" hidden="1" outlineLevel="4" x14ac:dyDescent="0.25">
      <c r="F118" s="74" t="s">
        <v>156</v>
      </c>
      <c r="G118" s="74"/>
      <c r="H118" s="75"/>
      <c r="I118" s="76"/>
      <c r="J118" s="78">
        <f>HYPERLINK("#Структура!E237",Структура!E237)</f>
        <v>0.12</v>
      </c>
      <c r="K118" s="114" t="str">
        <f>HYPERLINK("#Структура!G237","")</f>
        <v/>
      </c>
      <c r="L118" s="120">
        <f>HYPERLINK("#Покупные_изделия!D427",Покупные_изделия!D427)</f>
        <v>155.53200000000001</v>
      </c>
      <c r="M118" s="76">
        <f t="shared" si="4"/>
        <v>18.66384</v>
      </c>
      <c r="N118" s="77"/>
      <c r="O118" s="77"/>
      <c r="P118" s="76"/>
      <c r="Q118" s="76"/>
    </row>
    <row r="119" spans="5:17" hidden="1" outlineLevel="4" x14ac:dyDescent="0.25">
      <c r="F119" s="74" t="s">
        <v>157</v>
      </c>
      <c r="G119" s="74"/>
      <c r="H119" s="75"/>
      <c r="I119" s="76"/>
      <c r="J119" s="78">
        <f>HYPERLINK("#Структура!E238",Структура!E238)</f>
        <v>1.2E-2</v>
      </c>
      <c r="K119" s="114" t="str">
        <f>HYPERLINK("#Структура!G238","")</f>
        <v/>
      </c>
      <c r="L119" s="120">
        <f>HYPERLINK("#Покупные_изделия!D428",Покупные_изделия!D428)</f>
        <v>138.756</v>
      </c>
      <c r="M119" s="76">
        <f t="shared" si="4"/>
        <v>1.6650720000000001</v>
      </c>
      <c r="N119" s="77"/>
      <c r="O119" s="77"/>
      <c r="P119" s="76"/>
      <c r="Q119" s="76"/>
    </row>
    <row r="120" spans="5:17" hidden="1" outlineLevel="4" x14ac:dyDescent="0.25">
      <c r="F120" s="74" t="s">
        <v>200</v>
      </c>
      <c r="G120" s="74"/>
      <c r="H120" s="75"/>
      <c r="I120" s="76"/>
      <c r="J120" s="78">
        <f>HYPERLINK("#Структура!E239",Структура!E239)</f>
        <v>0.02</v>
      </c>
      <c r="K120" s="114" t="str">
        <f>HYPERLINK("#Структура!G239","")</f>
        <v/>
      </c>
      <c r="L120" s="120">
        <f>HYPERLINK("#Покупные_изделия!D518",Покупные_изделия!D518)</f>
        <v>270</v>
      </c>
      <c r="M120" s="76">
        <f t="shared" si="4"/>
        <v>5.4</v>
      </c>
      <c r="N120" s="77"/>
      <c r="O120" s="77"/>
      <c r="P120" s="76"/>
      <c r="Q120" s="76"/>
    </row>
    <row r="121" spans="5:17" hidden="1" outlineLevel="4" x14ac:dyDescent="0.25">
      <c r="F121" s="74" t="s">
        <v>202</v>
      </c>
      <c r="G121" s="74"/>
      <c r="H121" s="75"/>
      <c r="I121" s="76"/>
      <c r="J121" s="78">
        <f>HYPERLINK("#Структура!E240",Структура!E240)</f>
        <v>0.13700000000000001</v>
      </c>
      <c r="K121" s="114" t="str">
        <f>HYPERLINK("#Структура!G240","")</f>
        <v/>
      </c>
      <c r="L121" s="120">
        <f>HYPERLINK("#Покупные_изделия!D521",Покупные_изделия!D521)</f>
        <v>462.99599999999998</v>
      </c>
      <c r="M121" s="76">
        <f t="shared" si="4"/>
        <v>63.430452000000002</v>
      </c>
      <c r="N121" s="77"/>
      <c r="O121" s="77"/>
      <c r="P121" s="76"/>
      <c r="Q121" s="76"/>
    </row>
    <row r="122" spans="5:17" hidden="1" outlineLevel="3" collapsed="1" x14ac:dyDescent="0.25">
      <c r="E122" s="84" t="s">
        <v>699</v>
      </c>
      <c r="F122" s="79"/>
      <c r="G122" s="79"/>
      <c r="H122" s="80"/>
      <c r="I122" s="81"/>
      <c r="J122" s="83">
        <f>HYPERLINK("#Структура!E210",Структура!E210)</f>
        <v>1</v>
      </c>
      <c r="K122" s="115">
        <f>HYPERLINK("#Структура!G210",Структура!G210)</f>
        <v>20.94764</v>
      </c>
      <c r="L122" s="81">
        <f>M122/J122</f>
        <v>3298.8446976</v>
      </c>
      <c r="M122" s="81">
        <f>SUMIF(F123:F130,"*",M123:M130)*J122</f>
        <v>3298.8446976</v>
      </c>
      <c r="N122" s="124">
        <f>HYPERLINK("#Трудозатраты!B66",Трудозатраты!B66+SUMIF(F123:F130,"*",O123:O130))</f>
        <v>31.5</v>
      </c>
      <c r="O122" s="82">
        <f>N122*J122</f>
        <v>31.5</v>
      </c>
      <c r="P122" s="81">
        <f>O122/60*(1+запас_труд)*стоимость_трудочаса</f>
        <v>1233.75</v>
      </c>
      <c r="Q122" s="129">
        <f>M122*(1+наценка_покупное)+P122</f>
        <v>5192.36363712</v>
      </c>
    </row>
    <row r="123" spans="5:17" hidden="1" outlineLevel="4" x14ac:dyDescent="0.25">
      <c r="F123" s="74" t="s">
        <v>44</v>
      </c>
      <c r="G123" s="74"/>
      <c r="H123" s="75"/>
      <c r="I123" s="76"/>
      <c r="J123" s="78">
        <f>HYPERLINK("#Структура!E241",Структура!E241)</f>
        <v>0.16</v>
      </c>
      <c r="K123" s="114" t="str">
        <f>HYPERLINK("#Структура!G241","")</f>
        <v/>
      </c>
      <c r="L123" s="120">
        <f>HYPERLINK("#Покупные_изделия!D63",Покупные_изделия!D63)</f>
        <v>396.00000000000006</v>
      </c>
      <c r="M123" s="76">
        <f t="shared" ref="M123:M130" si="5">J123*L123</f>
        <v>63.360000000000014</v>
      </c>
      <c r="N123" s="77"/>
      <c r="O123" s="77"/>
      <c r="P123" s="76"/>
      <c r="Q123" s="76"/>
    </row>
    <row r="124" spans="5:17" hidden="1" outlineLevel="4" x14ac:dyDescent="0.25">
      <c r="F124" s="74" t="s">
        <v>66</v>
      </c>
      <c r="G124" s="74"/>
      <c r="H124" s="75"/>
      <c r="I124" s="76"/>
      <c r="J124" s="78">
        <f>HYPERLINK("#Структура!E242",Структура!E242)</f>
        <v>1.2E-2</v>
      </c>
      <c r="K124" s="114" t="str">
        <f>HYPERLINK("#Структура!G242","")</f>
        <v/>
      </c>
      <c r="L124" s="120">
        <f>HYPERLINK("#Покупные_изделия!D198",Покупные_изделия!D198)</f>
        <v>268.47480000000002</v>
      </c>
      <c r="M124" s="76">
        <f t="shared" si="5"/>
        <v>3.2216976000000002</v>
      </c>
      <c r="N124" s="77"/>
      <c r="O124" s="77"/>
      <c r="P124" s="76"/>
      <c r="Q124" s="76"/>
    </row>
    <row r="125" spans="5:17" hidden="1" outlineLevel="4" x14ac:dyDescent="0.25">
      <c r="F125" s="74" t="s">
        <v>118</v>
      </c>
      <c r="G125" s="74"/>
      <c r="H125" s="75"/>
      <c r="I125" s="76"/>
      <c r="J125" s="78">
        <f>HYPERLINK("#Структура!E243",Структура!E243)</f>
        <v>26.11224</v>
      </c>
      <c r="K125" s="114" t="str">
        <f>HYPERLINK("#Структура!G243","")</f>
        <v/>
      </c>
      <c r="L125" s="120">
        <f>HYPERLINK("#Покупные_изделия!D293",Покупные_изделия!D293)</f>
        <v>120</v>
      </c>
      <c r="M125" s="76">
        <f t="shared" si="5"/>
        <v>3133.4688000000001</v>
      </c>
      <c r="N125" s="77"/>
      <c r="O125" s="77"/>
      <c r="P125" s="76"/>
      <c r="Q125" s="76"/>
    </row>
    <row r="126" spans="5:17" hidden="1" outlineLevel="4" x14ac:dyDescent="0.25">
      <c r="F126" s="74" t="s">
        <v>139</v>
      </c>
      <c r="G126" s="74"/>
      <c r="H126" s="75"/>
      <c r="I126" s="76"/>
      <c r="J126" s="78">
        <f>HYPERLINK("#Структура!E244",Структура!E244)</f>
        <v>0.02</v>
      </c>
      <c r="K126" s="114" t="str">
        <f>HYPERLINK("#Структура!G244","")</f>
        <v/>
      </c>
      <c r="L126" s="120">
        <f>HYPERLINK("#Покупные_изделия!D360",Покупные_изделия!D360)</f>
        <v>171.87720000000002</v>
      </c>
      <c r="M126" s="76">
        <f t="shared" si="5"/>
        <v>3.4375440000000004</v>
      </c>
      <c r="N126" s="77"/>
      <c r="O126" s="77"/>
      <c r="P126" s="76"/>
      <c r="Q126" s="76"/>
    </row>
    <row r="127" spans="5:17" hidden="1" outlineLevel="4" x14ac:dyDescent="0.25">
      <c r="F127" s="74" t="s">
        <v>156</v>
      </c>
      <c r="G127" s="74"/>
      <c r="H127" s="75"/>
      <c r="I127" s="76"/>
      <c r="J127" s="78">
        <f>HYPERLINK("#Структура!E245",Структура!E245)</f>
        <v>0.12</v>
      </c>
      <c r="K127" s="114" t="str">
        <f>HYPERLINK("#Структура!G245","")</f>
        <v/>
      </c>
      <c r="L127" s="120">
        <f>HYPERLINK("#Покупные_изделия!D427",Покупные_изделия!D427)</f>
        <v>155.53200000000001</v>
      </c>
      <c r="M127" s="76">
        <f t="shared" si="5"/>
        <v>18.66384</v>
      </c>
      <c r="N127" s="77"/>
      <c r="O127" s="77"/>
      <c r="P127" s="76"/>
      <c r="Q127" s="76"/>
    </row>
    <row r="128" spans="5:17" hidden="1" outlineLevel="4" x14ac:dyDescent="0.25">
      <c r="F128" s="74" t="s">
        <v>157</v>
      </c>
      <c r="G128" s="74"/>
      <c r="H128" s="75"/>
      <c r="I128" s="76"/>
      <c r="J128" s="78">
        <f>HYPERLINK("#Структура!E246",Структура!E246)</f>
        <v>0.06</v>
      </c>
      <c r="K128" s="114" t="str">
        <f>HYPERLINK("#Структура!G246","")</f>
        <v/>
      </c>
      <c r="L128" s="120">
        <f>HYPERLINK("#Покупные_изделия!D428",Покупные_изделия!D428)</f>
        <v>138.756</v>
      </c>
      <c r="M128" s="76">
        <f t="shared" si="5"/>
        <v>8.3253599999999999</v>
      </c>
      <c r="N128" s="77"/>
      <c r="O128" s="77"/>
      <c r="P128" s="76"/>
      <c r="Q128" s="76"/>
    </row>
    <row r="129" spans="5:17" hidden="1" outlineLevel="4" x14ac:dyDescent="0.25">
      <c r="F129" s="74" t="s">
        <v>200</v>
      </c>
      <c r="G129" s="74"/>
      <c r="H129" s="75"/>
      <c r="I129" s="76"/>
      <c r="J129" s="78">
        <f>HYPERLINK("#Структура!E247",Структура!E247)</f>
        <v>0.02</v>
      </c>
      <c r="K129" s="114" t="str">
        <f>HYPERLINK("#Структура!G247","")</f>
        <v/>
      </c>
      <c r="L129" s="120">
        <f>HYPERLINK("#Покупные_изделия!D518",Покупные_изделия!D518)</f>
        <v>270</v>
      </c>
      <c r="M129" s="76">
        <f t="shared" si="5"/>
        <v>5.4</v>
      </c>
      <c r="N129" s="77"/>
      <c r="O129" s="77"/>
      <c r="P129" s="76"/>
      <c r="Q129" s="76"/>
    </row>
    <row r="130" spans="5:17" hidden="1" outlineLevel="4" x14ac:dyDescent="0.25">
      <c r="F130" s="74" t="s">
        <v>202</v>
      </c>
      <c r="G130" s="74"/>
      <c r="H130" s="75"/>
      <c r="I130" s="76"/>
      <c r="J130" s="78">
        <f>HYPERLINK("#Структура!E248",Структура!E248)</f>
        <v>0.13600000000000001</v>
      </c>
      <c r="K130" s="114" t="str">
        <f>HYPERLINK("#Структура!G248","")</f>
        <v/>
      </c>
      <c r="L130" s="120">
        <f>HYPERLINK("#Покупные_изделия!D521",Покупные_изделия!D521)</f>
        <v>462.99599999999998</v>
      </c>
      <c r="M130" s="76">
        <f t="shared" si="5"/>
        <v>62.967455999999999</v>
      </c>
      <c r="N130" s="77"/>
      <c r="O130" s="77"/>
      <c r="P130" s="76"/>
      <c r="Q130" s="76"/>
    </row>
    <row r="131" spans="5:17" hidden="1" outlineLevel="3" collapsed="1" x14ac:dyDescent="0.25">
      <c r="E131" s="84" t="s">
        <v>700</v>
      </c>
      <c r="F131" s="79"/>
      <c r="G131" s="79"/>
      <c r="H131" s="80"/>
      <c r="I131" s="81"/>
      <c r="J131" s="83">
        <f>HYPERLINK("#Структура!E211",Структура!E211)</f>
        <v>1</v>
      </c>
      <c r="K131" s="115">
        <f>HYPERLINK("#Структура!G211",Структура!G211)</f>
        <v>12.564500000000001</v>
      </c>
      <c r="L131" s="81">
        <f>M131/J131</f>
        <v>1853.3039183999999</v>
      </c>
      <c r="M131" s="81">
        <f>SUMIF(F132:F134,"*",M132:M134)*J131</f>
        <v>1853.3039183999999</v>
      </c>
      <c r="N131" s="124">
        <f>HYPERLINK("#Трудозатраты!B67",Трудозатраты!B67+SUMIF(F132:F134,"*",O132:O134))</f>
        <v>9.5</v>
      </c>
      <c r="O131" s="82">
        <f>N131*J131</f>
        <v>9.5</v>
      </c>
      <c r="P131" s="81">
        <f>O131/60*(1+запас_труд)*стоимость_трудочаса</f>
        <v>372.08333333333331</v>
      </c>
      <c r="Q131" s="129">
        <f>M131*(1+наценка_покупное)+P131</f>
        <v>2596.0480354133333</v>
      </c>
    </row>
    <row r="132" spans="5:17" hidden="1" outlineLevel="4" x14ac:dyDescent="0.25">
      <c r="F132" s="74" t="s">
        <v>66</v>
      </c>
      <c r="G132" s="74"/>
      <c r="H132" s="75"/>
      <c r="I132" s="76"/>
      <c r="J132" s="78">
        <f>HYPERLINK("#Структура!E249",Структура!E249)</f>
        <v>8.7999999999999995E-2</v>
      </c>
      <c r="K132" s="114" t="str">
        <f>HYPERLINK("#Структура!G249","")</f>
        <v/>
      </c>
      <c r="L132" s="120">
        <f>HYPERLINK("#Покупные_изделия!D198",Покупные_изделия!D198)</f>
        <v>268.47480000000002</v>
      </c>
      <c r="M132" s="76">
        <f>J132*L132</f>
        <v>23.625782399999999</v>
      </c>
      <c r="N132" s="77"/>
      <c r="O132" s="77"/>
      <c r="P132" s="76"/>
      <c r="Q132" s="76"/>
    </row>
    <row r="133" spans="5:17" hidden="1" outlineLevel="4" x14ac:dyDescent="0.25">
      <c r="F133" s="74" t="s">
        <v>116</v>
      </c>
      <c r="G133" s="74"/>
      <c r="H133" s="75"/>
      <c r="I133" s="76"/>
      <c r="J133" s="78">
        <f>HYPERLINK("#Структура!E250",Структура!E250)</f>
        <v>15.124750000000001</v>
      </c>
      <c r="K133" s="114" t="str">
        <f>HYPERLINK("#Структура!G250","")</f>
        <v/>
      </c>
      <c r="L133" s="120">
        <f>HYPERLINK("#Покупные_изделия!D291",Покупные_изделия!D291)</f>
        <v>120</v>
      </c>
      <c r="M133" s="76">
        <f>J133*L133</f>
        <v>1814.97</v>
      </c>
      <c r="N133" s="77"/>
      <c r="O133" s="77"/>
      <c r="P133" s="76"/>
      <c r="Q133" s="76"/>
    </row>
    <row r="134" spans="5:17" hidden="1" outlineLevel="4" x14ac:dyDescent="0.25">
      <c r="F134" s="74" t="s">
        <v>157</v>
      </c>
      <c r="G134" s="74"/>
      <c r="H134" s="75"/>
      <c r="I134" s="76"/>
      <c r="J134" s="78">
        <f>HYPERLINK("#Структура!E251",Структура!E251)</f>
        <v>0.106</v>
      </c>
      <c r="K134" s="114" t="str">
        <f>HYPERLINK("#Структура!G251","")</f>
        <v/>
      </c>
      <c r="L134" s="120">
        <f>HYPERLINK("#Покупные_изделия!D428",Покупные_изделия!D428)</f>
        <v>138.756</v>
      </c>
      <c r="M134" s="76">
        <f>J134*L134</f>
        <v>14.708136</v>
      </c>
      <c r="N134" s="77"/>
      <c r="O134" s="77"/>
      <c r="P134" s="76"/>
      <c r="Q134" s="76"/>
    </row>
    <row r="135" spans="5:17" hidden="1" outlineLevel="3" collapsed="1" x14ac:dyDescent="0.25">
      <c r="E135" s="84" t="s">
        <v>701</v>
      </c>
      <c r="F135" s="79"/>
      <c r="G135" s="79"/>
      <c r="H135" s="80"/>
      <c r="I135" s="81"/>
      <c r="J135" s="83">
        <f>HYPERLINK("#Структура!E212",Структура!E212)</f>
        <v>1</v>
      </c>
      <c r="K135" s="115">
        <f>HYPERLINK("#Структура!G212",Структура!G212)</f>
        <v>4.7099200000000003</v>
      </c>
      <c r="L135" s="81">
        <f>M135/J135</f>
        <v>906.80639999999994</v>
      </c>
      <c r="M135" s="81">
        <f>SUMIF(F136,"*",M136)*J135</f>
        <v>906.80639999999994</v>
      </c>
      <c r="N135" s="124">
        <f>HYPERLINK("#Трудозатраты!B79",Трудозатраты!B79+SUMIF(F136,"*",O136))</f>
        <v>21</v>
      </c>
      <c r="O135" s="82">
        <f>N135*J135</f>
        <v>21</v>
      </c>
      <c r="P135" s="81">
        <f>O135/60*(1+запас_труд)*стоимость_трудочаса</f>
        <v>822.5</v>
      </c>
      <c r="Q135" s="129">
        <f>M135*(1+наценка_покупное)+P135</f>
        <v>1910.6676799999998</v>
      </c>
    </row>
    <row r="136" spans="5:17" hidden="1" outlineLevel="4" x14ac:dyDescent="0.25">
      <c r="F136" s="74" t="s">
        <v>128</v>
      </c>
      <c r="G136" s="74"/>
      <c r="H136" s="75"/>
      <c r="I136" s="76"/>
      <c r="J136" s="78">
        <f>HYPERLINK("#Структура!E295",Структура!E295)</f>
        <v>5.6675399999999998</v>
      </c>
      <c r="K136" s="114" t="str">
        <f>HYPERLINK("#Структура!G295","")</f>
        <v/>
      </c>
      <c r="L136" s="120">
        <f>HYPERLINK("#Покупные_изделия!D303",Покупные_изделия!D303)</f>
        <v>160</v>
      </c>
      <c r="M136" s="76">
        <f>J136*L136</f>
        <v>906.80639999999994</v>
      </c>
      <c r="N136" s="77"/>
      <c r="O136" s="77"/>
      <c r="P136" s="76"/>
      <c r="Q136" s="76"/>
    </row>
    <row r="137" spans="5:17" hidden="1" outlineLevel="3" collapsed="1" x14ac:dyDescent="0.25">
      <c r="E137" s="84" t="s">
        <v>702</v>
      </c>
      <c r="F137" s="79"/>
      <c r="G137" s="79"/>
      <c r="H137" s="80"/>
      <c r="I137" s="81"/>
      <c r="J137" s="83">
        <f>HYPERLINK("#Структура!E213",Структура!E213)</f>
        <v>4</v>
      </c>
      <c r="K137" s="115">
        <f>HYPERLINK("#Структура!G213",Структура!G213)</f>
        <v>1.6122099999999999</v>
      </c>
      <c r="L137" s="81">
        <f>M137/J137</f>
        <v>200.47886359999998</v>
      </c>
      <c r="M137" s="81">
        <f>SUMIF(F138:F143,"*",M138:M143)*J137</f>
        <v>801.91545439999993</v>
      </c>
      <c r="N137" s="124">
        <f>HYPERLINK("#Трудозатраты!B80",Трудозатраты!B80+SUMIF(F138:F143,"*",O138:O143))</f>
        <v>14.1</v>
      </c>
      <c r="O137" s="82">
        <f>N137*J137</f>
        <v>56.4</v>
      </c>
      <c r="P137" s="81">
        <f>O137/60*(1+запас_труд)*стоимость_трудочаса</f>
        <v>2209</v>
      </c>
      <c r="Q137" s="129">
        <f>M137*(1+наценка_покупное)+P137</f>
        <v>3171.2985452799999</v>
      </c>
    </row>
    <row r="138" spans="5:17" hidden="1" outlineLevel="4" x14ac:dyDescent="0.25">
      <c r="F138" s="74" t="s">
        <v>44</v>
      </c>
      <c r="G138" s="74"/>
      <c r="H138" s="75"/>
      <c r="I138" s="76"/>
      <c r="J138" s="78">
        <f>HYPERLINK("#Структура!E296",Структура!E296)</f>
        <v>3.2000000000000001E-2</v>
      </c>
      <c r="K138" s="114" t="str">
        <f>HYPERLINK("#Структура!G296","")</f>
        <v/>
      </c>
      <c r="L138" s="120">
        <f>HYPERLINK("#Покупные_изделия!D63",Покупные_изделия!D63)</f>
        <v>396.00000000000006</v>
      </c>
      <c r="M138" s="76">
        <f t="shared" ref="M138:M143" si="6">J138*L138</f>
        <v>12.672000000000002</v>
      </c>
      <c r="N138" s="77"/>
      <c r="O138" s="77"/>
      <c r="P138" s="76"/>
      <c r="Q138" s="76"/>
    </row>
    <row r="139" spans="5:17" hidden="1" outlineLevel="4" x14ac:dyDescent="0.25">
      <c r="F139" s="74" t="s">
        <v>139</v>
      </c>
      <c r="G139" s="74"/>
      <c r="H139" s="75"/>
      <c r="I139" s="76"/>
      <c r="J139" s="78">
        <f>HYPERLINK("#Структура!E297",Структура!E297)</f>
        <v>3.0000000000000001E-3</v>
      </c>
      <c r="K139" s="114" t="str">
        <f>HYPERLINK("#Структура!G297","")</f>
        <v/>
      </c>
      <c r="L139" s="120">
        <f>HYPERLINK("#Покупные_изделия!D360",Покупные_изделия!D360)</f>
        <v>171.87720000000002</v>
      </c>
      <c r="M139" s="76">
        <f t="shared" si="6"/>
        <v>0.51563160000000008</v>
      </c>
      <c r="N139" s="77"/>
      <c r="O139" s="77"/>
      <c r="P139" s="76"/>
      <c r="Q139" s="76"/>
    </row>
    <row r="140" spans="5:17" hidden="1" outlineLevel="4" x14ac:dyDescent="0.25">
      <c r="F140" s="74" t="s">
        <v>156</v>
      </c>
      <c r="G140" s="74"/>
      <c r="H140" s="75"/>
      <c r="I140" s="76"/>
      <c r="J140" s="78">
        <f>HYPERLINK("#Структура!E298",Структура!E298)</f>
        <v>0.01</v>
      </c>
      <c r="K140" s="114" t="str">
        <f>HYPERLINK("#Структура!G298","")</f>
        <v/>
      </c>
      <c r="L140" s="120">
        <f>HYPERLINK("#Покупные_изделия!D427",Покупные_изделия!D427)</f>
        <v>155.53200000000001</v>
      </c>
      <c r="M140" s="76">
        <f t="shared" si="6"/>
        <v>1.55532</v>
      </c>
      <c r="N140" s="77"/>
      <c r="O140" s="77"/>
      <c r="P140" s="76"/>
      <c r="Q140" s="76"/>
    </row>
    <row r="141" spans="5:17" hidden="1" outlineLevel="4" x14ac:dyDescent="0.25">
      <c r="F141" s="74" t="s">
        <v>189</v>
      </c>
      <c r="G141" s="74"/>
      <c r="H141" s="75"/>
      <c r="I141" s="76"/>
      <c r="J141" s="78">
        <f>HYPERLINK("#Структура!E299",Структура!E299)</f>
        <v>1.742</v>
      </c>
      <c r="K141" s="114" t="str">
        <f>HYPERLINK("#Структура!G299","")</f>
        <v/>
      </c>
      <c r="L141" s="120">
        <f>HYPERLINK("#Покупные_изделия!D502",Покупные_изделия!D502)</f>
        <v>100</v>
      </c>
      <c r="M141" s="76">
        <f t="shared" si="6"/>
        <v>174.2</v>
      </c>
      <c r="N141" s="77"/>
      <c r="O141" s="77"/>
      <c r="P141" s="76"/>
      <c r="Q141" s="76"/>
    </row>
    <row r="142" spans="5:17" hidden="1" outlineLevel="4" x14ac:dyDescent="0.25">
      <c r="F142" s="74" t="s">
        <v>200</v>
      </c>
      <c r="G142" s="74"/>
      <c r="H142" s="75"/>
      <c r="I142" s="76"/>
      <c r="J142" s="78">
        <f>HYPERLINK("#Структура!E300",Структура!E300)</f>
        <v>5.0000000000000001E-3</v>
      </c>
      <c r="K142" s="114" t="str">
        <f>HYPERLINK("#Структура!G300","")</f>
        <v/>
      </c>
      <c r="L142" s="120">
        <f>HYPERLINK("#Покупные_изделия!D518",Покупные_изделия!D518)</f>
        <v>270</v>
      </c>
      <c r="M142" s="76">
        <f t="shared" si="6"/>
        <v>1.35</v>
      </c>
      <c r="N142" s="77"/>
      <c r="O142" s="77"/>
      <c r="P142" s="76"/>
      <c r="Q142" s="76"/>
    </row>
    <row r="143" spans="5:17" hidden="1" outlineLevel="4" x14ac:dyDescent="0.25">
      <c r="F143" s="74" t="s">
        <v>202</v>
      </c>
      <c r="G143" s="74"/>
      <c r="H143" s="75"/>
      <c r="I143" s="76"/>
      <c r="J143" s="78">
        <f>HYPERLINK("#Структура!E301",Структура!E301)</f>
        <v>2.1999999999999999E-2</v>
      </c>
      <c r="K143" s="114" t="str">
        <f>HYPERLINK("#Структура!G301","")</f>
        <v/>
      </c>
      <c r="L143" s="120">
        <f>HYPERLINK("#Покупные_изделия!D521",Покупные_изделия!D521)</f>
        <v>462.99599999999998</v>
      </c>
      <c r="M143" s="76">
        <f t="shared" si="6"/>
        <v>10.185911999999998</v>
      </c>
      <c r="N143" s="77"/>
      <c r="O143" s="77"/>
      <c r="P143" s="76"/>
      <c r="Q143" s="76"/>
    </row>
    <row r="144" spans="5:17" hidden="1" outlineLevel="3" collapsed="1" x14ac:dyDescent="0.25">
      <c r="E144" s="84" t="s">
        <v>703</v>
      </c>
      <c r="F144" s="79"/>
      <c r="G144" s="79"/>
      <c r="H144" s="80"/>
      <c r="I144" s="81"/>
      <c r="J144" s="83">
        <f>HYPERLINK("#Структура!E214",Структура!E214)</f>
        <v>4</v>
      </c>
      <c r="K144" s="115">
        <f>HYPERLINK("#Структура!G214",Структура!G214)</f>
        <v>0.86831000000000003</v>
      </c>
      <c r="L144" s="81">
        <f>M144/J144</f>
        <v>140.45784240000003</v>
      </c>
      <c r="M144" s="81">
        <f>SUMIF(F145:F149,"*",M145:M149)*J144</f>
        <v>561.83136960000013</v>
      </c>
      <c r="N144" s="124">
        <f>HYPERLINK("#Трудозатраты!B81",Трудозатраты!B81+SUMIF(F145:F149,"*",O145:O149))</f>
        <v>7.25</v>
      </c>
      <c r="O144" s="82">
        <f>N144*J144</f>
        <v>29</v>
      </c>
      <c r="P144" s="81">
        <f>O144/60*(1+запас_труд)*стоимость_трудочаса</f>
        <v>1135.8333333333333</v>
      </c>
      <c r="Q144" s="129">
        <f>M144*(1+наценка_покупное)+P144</f>
        <v>1810.0309768533334</v>
      </c>
    </row>
    <row r="145" spans="5:17" hidden="1" outlineLevel="4" x14ac:dyDescent="0.25">
      <c r="F145" s="74" t="s">
        <v>44</v>
      </c>
      <c r="G145" s="74"/>
      <c r="H145" s="75"/>
      <c r="I145" s="76"/>
      <c r="J145" s="78">
        <f>HYPERLINK("#Структура!E302",Структура!E302)</f>
        <v>1.4E-2</v>
      </c>
      <c r="K145" s="114" t="str">
        <f>HYPERLINK("#Структура!G302","")</f>
        <v/>
      </c>
      <c r="L145" s="120">
        <f>HYPERLINK("#Покупные_изделия!D63",Покупные_изделия!D63)</f>
        <v>396.00000000000006</v>
      </c>
      <c r="M145" s="76">
        <f>J145*L145</f>
        <v>5.5440000000000005</v>
      </c>
      <c r="N145" s="77"/>
      <c r="O145" s="77"/>
      <c r="P145" s="76"/>
      <c r="Q145" s="76"/>
    </row>
    <row r="146" spans="5:17" hidden="1" outlineLevel="4" x14ac:dyDescent="0.25">
      <c r="F146" s="74" t="s">
        <v>122</v>
      </c>
      <c r="G146" s="74"/>
      <c r="H146" s="75"/>
      <c r="I146" s="76"/>
      <c r="J146" s="78">
        <f>HYPERLINK("#Структура!E303",Структура!E303)</f>
        <v>1.07765</v>
      </c>
      <c r="K146" s="114" t="str">
        <f>HYPERLINK("#Структура!G303","")</f>
        <v/>
      </c>
      <c r="L146" s="120">
        <f>HYPERLINK("#Покупные_изделия!D297",Покупные_изделия!D297)</f>
        <v>120</v>
      </c>
      <c r="M146" s="76">
        <f>J146*L146</f>
        <v>129.31800000000001</v>
      </c>
      <c r="N146" s="77"/>
      <c r="O146" s="77"/>
      <c r="P146" s="76"/>
      <c r="Q146" s="76"/>
    </row>
    <row r="147" spans="5:17" hidden="1" outlineLevel="4" x14ac:dyDescent="0.25">
      <c r="F147" s="74" t="s">
        <v>139</v>
      </c>
      <c r="G147" s="74"/>
      <c r="H147" s="75"/>
      <c r="I147" s="76"/>
      <c r="J147" s="78">
        <f>HYPERLINK("#Структура!E304",Структура!E304)</f>
        <v>2E-3</v>
      </c>
      <c r="K147" s="114" t="str">
        <f>HYPERLINK("#Структура!G304","")</f>
        <v/>
      </c>
      <c r="L147" s="120">
        <f>HYPERLINK("#Покупные_изделия!D360",Покупные_изделия!D360)</f>
        <v>171.87720000000002</v>
      </c>
      <c r="M147" s="76">
        <f>J147*L147</f>
        <v>0.34375440000000002</v>
      </c>
      <c r="N147" s="77"/>
      <c r="O147" s="77"/>
      <c r="P147" s="76"/>
      <c r="Q147" s="76"/>
    </row>
    <row r="148" spans="5:17" hidden="1" outlineLevel="4" x14ac:dyDescent="0.25">
      <c r="F148" s="74" t="s">
        <v>156</v>
      </c>
      <c r="G148" s="74"/>
      <c r="H148" s="75"/>
      <c r="I148" s="76"/>
      <c r="J148" s="78">
        <f>HYPERLINK("#Структура!E305",Структура!E305)</f>
        <v>4.0000000000000001E-3</v>
      </c>
      <c r="K148" s="114" t="str">
        <f>HYPERLINK("#Структура!G305","")</f>
        <v/>
      </c>
      <c r="L148" s="120">
        <f>HYPERLINK("#Покупные_изделия!D427",Покупные_изделия!D427)</f>
        <v>155.53200000000001</v>
      </c>
      <c r="M148" s="76">
        <f>J148*L148</f>
        <v>0.62212800000000001</v>
      </c>
      <c r="N148" s="77"/>
      <c r="O148" s="77"/>
      <c r="P148" s="76"/>
      <c r="Q148" s="76"/>
    </row>
    <row r="149" spans="5:17" hidden="1" outlineLevel="4" x14ac:dyDescent="0.25">
      <c r="F149" s="74" t="s">
        <v>202</v>
      </c>
      <c r="G149" s="74"/>
      <c r="H149" s="75"/>
      <c r="I149" s="76"/>
      <c r="J149" s="78">
        <f>HYPERLINK("#Структура!E306",Структура!E306)</f>
        <v>0.01</v>
      </c>
      <c r="K149" s="114" t="str">
        <f>HYPERLINK("#Структура!G306","")</f>
        <v/>
      </c>
      <c r="L149" s="120">
        <f>HYPERLINK("#Покупные_изделия!D521",Покупные_изделия!D521)</f>
        <v>462.99599999999998</v>
      </c>
      <c r="M149" s="76">
        <f>J149*L149</f>
        <v>4.6299599999999996</v>
      </c>
      <c r="N149" s="77"/>
      <c r="O149" s="77"/>
      <c r="P149" s="76"/>
      <c r="Q149" s="76"/>
    </row>
    <row r="150" spans="5:17" hidden="1" outlineLevel="3" collapsed="1" x14ac:dyDescent="0.25">
      <c r="E150" s="84" t="s">
        <v>704</v>
      </c>
      <c r="F150" s="79"/>
      <c r="G150" s="79"/>
      <c r="H150" s="80"/>
      <c r="I150" s="81"/>
      <c r="J150" s="83">
        <f>HYPERLINK("#Структура!E215",Структура!E215)</f>
        <v>1</v>
      </c>
      <c r="K150" s="115">
        <f>HYPERLINK("#Структура!G215",Структура!G215)</f>
        <v>4.9875600000000002</v>
      </c>
      <c r="L150" s="81">
        <f>M150/J150</f>
        <v>808.37624640000001</v>
      </c>
      <c r="M150" s="81">
        <f>SUMIF(F151:F158,"*",M151:M158)*J150</f>
        <v>808.37624640000001</v>
      </c>
      <c r="N150" s="124">
        <f>HYPERLINK("#Трудозатраты!B82",Трудозатраты!B82+SUMIF(F151:F158,"*",O151:O158))</f>
        <v>18.100000000000001</v>
      </c>
      <c r="O150" s="82">
        <f>N150*J150</f>
        <v>18.100000000000001</v>
      </c>
      <c r="P150" s="81">
        <f>O150/60*(1+запас_труд)*стоимость_трудочаса</f>
        <v>708.91666666666674</v>
      </c>
      <c r="Q150" s="129">
        <f>M150*(1+наценка_покупное)+P150</f>
        <v>1678.9681623466668</v>
      </c>
    </row>
    <row r="151" spans="5:17" hidden="1" outlineLevel="4" x14ac:dyDescent="0.25">
      <c r="F151" s="74" t="s">
        <v>44</v>
      </c>
      <c r="G151" s="74"/>
      <c r="H151" s="75"/>
      <c r="I151" s="76"/>
      <c r="J151" s="78">
        <f>HYPERLINK("#Структура!E307",Структура!E307)</f>
        <v>4.8000000000000001E-2</v>
      </c>
      <c r="K151" s="114" t="str">
        <f>HYPERLINK("#Структура!G307","")</f>
        <v/>
      </c>
      <c r="L151" s="120">
        <f>HYPERLINK("#Покупные_изделия!D63",Покупные_изделия!D63)</f>
        <v>396.00000000000006</v>
      </c>
      <c r="M151" s="76">
        <f t="shared" ref="M151:M158" si="7">J151*L151</f>
        <v>19.008000000000003</v>
      </c>
      <c r="N151" s="77"/>
      <c r="O151" s="77"/>
      <c r="P151" s="76"/>
      <c r="Q151" s="76"/>
    </row>
    <row r="152" spans="5:17" hidden="1" outlineLevel="4" x14ac:dyDescent="0.25">
      <c r="F152" s="74" t="s">
        <v>66</v>
      </c>
      <c r="G152" s="74"/>
      <c r="H152" s="75"/>
      <c r="I152" s="76"/>
      <c r="J152" s="78">
        <f>HYPERLINK("#Структура!E308",Структура!E308)</f>
        <v>3.0000000000000001E-3</v>
      </c>
      <c r="K152" s="114" t="str">
        <f>HYPERLINK("#Структура!G308","")</f>
        <v/>
      </c>
      <c r="L152" s="120">
        <f>HYPERLINK("#Покупные_изделия!D198",Покупные_изделия!D198)</f>
        <v>268.47480000000002</v>
      </c>
      <c r="M152" s="76">
        <f t="shared" si="7"/>
        <v>0.80542440000000004</v>
      </c>
      <c r="N152" s="77"/>
      <c r="O152" s="77"/>
      <c r="P152" s="76"/>
      <c r="Q152" s="76"/>
    </row>
    <row r="153" spans="5:17" hidden="1" outlineLevel="4" x14ac:dyDescent="0.25">
      <c r="F153" s="74" t="s">
        <v>118</v>
      </c>
      <c r="G153" s="74"/>
      <c r="H153" s="75"/>
      <c r="I153" s="76"/>
      <c r="J153" s="78">
        <f>HYPERLINK("#Структура!E309",Структура!E309)</f>
        <v>6.3594400000000002</v>
      </c>
      <c r="K153" s="114" t="str">
        <f>HYPERLINK("#Структура!G309","")</f>
        <v/>
      </c>
      <c r="L153" s="120">
        <f>HYPERLINK("#Покупные_изделия!D293",Покупные_изделия!D293)</f>
        <v>120</v>
      </c>
      <c r="M153" s="76">
        <f t="shared" si="7"/>
        <v>763.13279999999997</v>
      </c>
      <c r="N153" s="77"/>
      <c r="O153" s="77"/>
      <c r="P153" s="76"/>
      <c r="Q153" s="76"/>
    </row>
    <row r="154" spans="5:17" hidden="1" outlineLevel="4" x14ac:dyDescent="0.25">
      <c r="F154" s="74" t="s">
        <v>139</v>
      </c>
      <c r="G154" s="74"/>
      <c r="H154" s="75"/>
      <c r="I154" s="76"/>
      <c r="J154" s="78">
        <f>HYPERLINK("#Структура!E310",Структура!E310)</f>
        <v>5.0000000000000001E-3</v>
      </c>
      <c r="K154" s="114" t="str">
        <f>HYPERLINK("#Структура!G310","")</f>
        <v/>
      </c>
      <c r="L154" s="120">
        <f>HYPERLINK("#Покупные_изделия!D360",Покупные_изделия!D360)</f>
        <v>171.87720000000002</v>
      </c>
      <c r="M154" s="76">
        <f t="shared" si="7"/>
        <v>0.85938600000000009</v>
      </c>
      <c r="N154" s="77"/>
      <c r="O154" s="77"/>
      <c r="P154" s="76"/>
      <c r="Q154" s="76"/>
    </row>
    <row r="155" spans="5:17" hidden="1" outlineLevel="4" x14ac:dyDescent="0.25">
      <c r="F155" s="74" t="s">
        <v>156</v>
      </c>
      <c r="G155" s="74"/>
      <c r="H155" s="75"/>
      <c r="I155" s="76"/>
      <c r="J155" s="78">
        <f>HYPERLINK("#Структура!E311",Структура!E311)</f>
        <v>2.9000000000000001E-2</v>
      </c>
      <c r="K155" s="114" t="str">
        <f>HYPERLINK("#Структура!G311","")</f>
        <v/>
      </c>
      <c r="L155" s="120">
        <f>HYPERLINK("#Покупные_изделия!D427",Покупные_изделия!D427)</f>
        <v>155.53200000000001</v>
      </c>
      <c r="M155" s="76">
        <f t="shared" si="7"/>
        <v>4.5104280000000001</v>
      </c>
      <c r="N155" s="77"/>
      <c r="O155" s="77"/>
      <c r="P155" s="76"/>
      <c r="Q155" s="76"/>
    </row>
    <row r="156" spans="5:17" hidden="1" outlineLevel="4" x14ac:dyDescent="0.25">
      <c r="F156" s="74" t="s">
        <v>157</v>
      </c>
      <c r="G156" s="74"/>
      <c r="H156" s="75"/>
      <c r="I156" s="76"/>
      <c r="J156" s="78">
        <f>HYPERLINK("#Структура!E312",Структура!E312)</f>
        <v>1.4999999999999999E-2</v>
      </c>
      <c r="K156" s="114" t="str">
        <f>HYPERLINK("#Структура!G312","")</f>
        <v/>
      </c>
      <c r="L156" s="120">
        <f>HYPERLINK("#Покупные_изделия!D428",Покупные_изделия!D428)</f>
        <v>138.756</v>
      </c>
      <c r="M156" s="76">
        <f t="shared" si="7"/>
        <v>2.08134</v>
      </c>
      <c r="N156" s="77"/>
      <c r="O156" s="77"/>
      <c r="P156" s="76"/>
      <c r="Q156" s="76"/>
    </row>
    <row r="157" spans="5:17" hidden="1" outlineLevel="4" x14ac:dyDescent="0.25">
      <c r="F157" s="74" t="s">
        <v>200</v>
      </c>
      <c r="G157" s="74"/>
      <c r="H157" s="75"/>
      <c r="I157" s="76"/>
      <c r="J157" s="78">
        <f>HYPERLINK("#Структура!E313",Структура!E313)</f>
        <v>0.01</v>
      </c>
      <c r="K157" s="114" t="str">
        <f>HYPERLINK("#Структура!G313","")</f>
        <v/>
      </c>
      <c r="L157" s="120">
        <f>HYPERLINK("#Покупные_изделия!D518",Покупные_изделия!D518)</f>
        <v>270</v>
      </c>
      <c r="M157" s="76">
        <f t="shared" si="7"/>
        <v>2.7</v>
      </c>
      <c r="N157" s="77"/>
      <c r="O157" s="77"/>
      <c r="P157" s="76"/>
      <c r="Q157" s="76"/>
    </row>
    <row r="158" spans="5:17" hidden="1" outlineLevel="4" x14ac:dyDescent="0.25">
      <c r="F158" s="74" t="s">
        <v>202</v>
      </c>
      <c r="G158" s="74"/>
      <c r="H158" s="75"/>
      <c r="I158" s="76"/>
      <c r="J158" s="78">
        <f>HYPERLINK("#Структура!E314",Структура!E314)</f>
        <v>3.3000000000000002E-2</v>
      </c>
      <c r="K158" s="114" t="str">
        <f>HYPERLINK("#Структура!G314","")</f>
        <v/>
      </c>
      <c r="L158" s="120">
        <f>HYPERLINK("#Покупные_изделия!D521",Покупные_изделия!D521)</f>
        <v>462.99599999999998</v>
      </c>
      <c r="M158" s="76">
        <f t="shared" si="7"/>
        <v>15.278867999999999</v>
      </c>
      <c r="N158" s="77"/>
      <c r="O158" s="77"/>
      <c r="P158" s="76"/>
      <c r="Q158" s="76"/>
    </row>
    <row r="159" spans="5:17" hidden="1" outlineLevel="3" collapsed="1" x14ac:dyDescent="0.25">
      <c r="E159" s="84" t="s">
        <v>705</v>
      </c>
      <c r="F159" s="79"/>
      <c r="G159" s="79"/>
      <c r="H159" s="80"/>
      <c r="I159" s="81"/>
      <c r="J159" s="83">
        <f>HYPERLINK("#Структура!E216",Структура!E216)</f>
        <v>1</v>
      </c>
      <c r="K159" s="115">
        <f>HYPERLINK("#Структура!G216",Структура!G216)</f>
        <v>7.4569999999999997E-2</v>
      </c>
      <c r="L159" s="81">
        <f>M159/J159</f>
        <v>97.332206400000018</v>
      </c>
      <c r="M159" s="81">
        <f>SUMIF(F160,"*",M160)*J159</f>
        <v>97.332206400000018</v>
      </c>
      <c r="N159" s="124">
        <f>HYPERLINK("#Трудозатраты!B883",Трудозатраты!B883+SUMIF(F160,"*",O160))</f>
        <v>5.5</v>
      </c>
      <c r="O159" s="82">
        <f>N159*J159</f>
        <v>5.5</v>
      </c>
      <c r="P159" s="81">
        <f>O159/60*(1+запас_труд)*стоимость_трудочаса</f>
        <v>215.41666666666666</v>
      </c>
      <c r="Q159" s="129">
        <f>M159*(1+наценка_покупное)+P159</f>
        <v>332.21531434666667</v>
      </c>
    </row>
    <row r="160" spans="5:17" hidden="1" outlineLevel="4" x14ac:dyDescent="0.25">
      <c r="F160" s="74" t="s">
        <v>166</v>
      </c>
      <c r="G160" s="74"/>
      <c r="H160" s="75"/>
      <c r="I160" s="76"/>
      <c r="J160" s="78">
        <f>HYPERLINK("#Структура!E3754",Структура!E3754)</f>
        <v>6.6000000000000003E-2</v>
      </c>
      <c r="K160" s="114" t="str">
        <f>HYPERLINK("#Структура!G3754","")</f>
        <v/>
      </c>
      <c r="L160" s="120">
        <f>HYPERLINK("#Покупные_изделия!D451",Покупные_изделия!D451)</f>
        <v>1474.7304000000001</v>
      </c>
      <c r="M160" s="76">
        <f t="shared" ref="M160:M176" si="8">J160*L160</f>
        <v>97.332206400000018</v>
      </c>
      <c r="N160" s="77"/>
      <c r="O160" s="77"/>
      <c r="P160" s="76"/>
      <c r="Q160" s="76"/>
    </row>
    <row r="161" spans="5:17" hidden="1" outlineLevel="3" x14ac:dyDescent="0.25">
      <c r="E161" s="74" t="s">
        <v>648</v>
      </c>
      <c r="F161" s="74"/>
      <c r="G161" s="74"/>
      <c r="H161" s="75"/>
      <c r="I161" s="76"/>
      <c r="J161" s="78">
        <f>HYPERLINK("#Структура!E217",Структура!E217)</f>
        <v>2</v>
      </c>
      <c r="K161" s="114">
        <f>HYPERLINK("#Структура!G217",Структура!G217)</f>
        <v>1.325E-2</v>
      </c>
      <c r="L161" s="120">
        <f>HYPERLINK("#Покупные_изделия!D103",Покупные_изделия!D103)</f>
        <v>4.26</v>
      </c>
      <c r="M161" s="76">
        <f t="shared" si="8"/>
        <v>8.52</v>
      </c>
      <c r="N161" s="77"/>
      <c r="O161" s="77"/>
      <c r="P161" s="76"/>
      <c r="Q161" s="76"/>
    </row>
    <row r="162" spans="5:17" hidden="1" outlineLevel="3" x14ac:dyDescent="0.25">
      <c r="E162" s="74" t="s">
        <v>671</v>
      </c>
      <c r="F162" s="74"/>
      <c r="G162" s="74"/>
      <c r="H162" s="75"/>
      <c r="I162" s="76"/>
      <c r="J162" s="78">
        <f>HYPERLINK("#Структура!E218",Структура!E218)</f>
        <v>34</v>
      </c>
      <c r="K162" s="114">
        <f>HYPERLINK("#Структура!G218",Структура!G218)</f>
        <v>1.5699999999999999E-2</v>
      </c>
      <c r="L162" s="120">
        <f>HYPERLINK("#Покупные_изделия!D105",Покупные_изделия!D105)</f>
        <v>5.0999999999999996</v>
      </c>
      <c r="M162" s="76">
        <f t="shared" si="8"/>
        <v>173.39999999999998</v>
      </c>
      <c r="N162" s="77"/>
      <c r="O162" s="77"/>
      <c r="P162" s="76"/>
      <c r="Q162" s="76"/>
    </row>
    <row r="163" spans="5:17" hidden="1" outlineLevel="3" x14ac:dyDescent="0.25">
      <c r="E163" s="74" t="s">
        <v>57</v>
      </c>
      <c r="F163" s="74"/>
      <c r="G163" s="74"/>
      <c r="H163" s="75"/>
      <c r="I163" s="76"/>
      <c r="J163" s="78">
        <f>HYPERLINK("#Структура!E219",Структура!E219)</f>
        <v>16</v>
      </c>
      <c r="K163" s="114">
        <f>HYPERLINK("#Структура!G219",Структура!G219)</f>
        <v>1.102E-2</v>
      </c>
      <c r="L163" s="120">
        <f>HYPERLINK("#Покупные_изделия!D146",Покупные_изделия!D146)</f>
        <v>9.4919999999999991</v>
      </c>
      <c r="M163" s="76">
        <f t="shared" si="8"/>
        <v>151.87199999999999</v>
      </c>
      <c r="N163" s="77"/>
      <c r="O163" s="77"/>
      <c r="P163" s="76"/>
      <c r="Q163" s="76"/>
    </row>
    <row r="164" spans="5:17" hidden="1" outlineLevel="3" x14ac:dyDescent="0.25">
      <c r="E164" s="74" t="s">
        <v>706</v>
      </c>
      <c r="F164" s="74"/>
      <c r="G164" s="74"/>
      <c r="H164" s="75"/>
      <c r="I164" s="76"/>
      <c r="J164" s="78">
        <f>HYPERLINK("#Структура!E220",Структура!E220)</f>
        <v>16</v>
      </c>
      <c r="K164" s="114">
        <f>HYPERLINK("#Структура!G220",Структура!G220)</f>
        <v>1.0200000000000001E-2</v>
      </c>
      <c r="L164" s="120">
        <f>HYPERLINK("#Покупные_изделия!D125",Покупные_изделия!D125)</f>
        <v>6.72</v>
      </c>
      <c r="M164" s="76">
        <f t="shared" si="8"/>
        <v>107.52</v>
      </c>
      <c r="N164" s="77"/>
      <c r="O164" s="77"/>
      <c r="P164" s="76"/>
      <c r="Q164" s="76"/>
    </row>
    <row r="165" spans="5:17" hidden="1" outlineLevel="3" x14ac:dyDescent="0.25">
      <c r="E165" s="74" t="s">
        <v>707</v>
      </c>
      <c r="F165" s="74"/>
      <c r="G165" s="74"/>
      <c r="H165" s="75"/>
      <c r="I165" s="76"/>
      <c r="J165" s="78">
        <f>HYPERLINK("#Структура!E221",Структура!E221)</f>
        <v>2</v>
      </c>
      <c r="K165" s="114">
        <f>HYPERLINK("#Структура!G221",Структура!G221)</f>
        <v>1.35E-2</v>
      </c>
      <c r="L165" s="120">
        <f>HYPERLINK("#Покупные_изделия!D127",Покупные_изделия!D127)</f>
        <v>36.735599999999998</v>
      </c>
      <c r="M165" s="76">
        <f t="shared" si="8"/>
        <v>73.471199999999996</v>
      </c>
      <c r="N165" s="77"/>
      <c r="O165" s="77"/>
      <c r="P165" s="76"/>
      <c r="Q165" s="76"/>
    </row>
    <row r="166" spans="5:17" hidden="1" outlineLevel="3" x14ac:dyDescent="0.25">
      <c r="E166" s="74" t="s">
        <v>708</v>
      </c>
      <c r="F166" s="74"/>
      <c r="G166" s="74"/>
      <c r="H166" s="75"/>
      <c r="I166" s="76"/>
      <c r="J166" s="78">
        <f>HYPERLINK("#Структура!E222",Структура!E222)</f>
        <v>2</v>
      </c>
      <c r="K166" s="114">
        <f>HYPERLINK("#Структура!G222",Структура!G222)</f>
        <v>1.0399999999999999E-3</v>
      </c>
      <c r="L166" s="120">
        <f>HYPERLINK("#Покупные_изделия!D130",Покупные_изделия!D130)</f>
        <v>1.9140000000000001</v>
      </c>
      <c r="M166" s="76">
        <f t="shared" si="8"/>
        <v>3.8280000000000003</v>
      </c>
      <c r="N166" s="77"/>
      <c r="O166" s="77"/>
      <c r="P166" s="76"/>
      <c r="Q166" s="76"/>
    </row>
    <row r="167" spans="5:17" hidden="1" outlineLevel="3" x14ac:dyDescent="0.25">
      <c r="E167" s="74" t="s">
        <v>653</v>
      </c>
      <c r="F167" s="74"/>
      <c r="G167" s="74"/>
      <c r="H167" s="75"/>
      <c r="I167" s="76"/>
      <c r="J167" s="78">
        <f>HYPERLINK("#Структура!E223",Структура!E223)</f>
        <v>4</v>
      </c>
      <c r="K167" s="114">
        <f>HYPERLINK("#Структура!G223",Структура!G223)</f>
        <v>0.12286999999999999</v>
      </c>
      <c r="L167" s="120">
        <f>HYPERLINK("#Покупные_изделия!D182",Покупные_изделия!D182)</f>
        <v>23.591999999999999</v>
      </c>
      <c r="M167" s="76">
        <f t="shared" si="8"/>
        <v>94.367999999999995</v>
      </c>
      <c r="N167" s="77"/>
      <c r="O167" s="77"/>
      <c r="P167" s="76"/>
      <c r="Q167" s="76"/>
    </row>
    <row r="168" spans="5:17" hidden="1" outlineLevel="3" x14ac:dyDescent="0.25">
      <c r="E168" s="74" t="s">
        <v>709</v>
      </c>
      <c r="F168" s="74"/>
      <c r="G168" s="74"/>
      <c r="H168" s="75"/>
      <c r="I168" s="76"/>
      <c r="J168" s="78">
        <f>HYPERLINK("#Структура!E224",Структура!E224)</f>
        <v>4</v>
      </c>
      <c r="K168" s="114">
        <f>HYPERLINK("#Структура!G224",Структура!G224)</f>
        <v>1.49E-2</v>
      </c>
      <c r="L168" s="120">
        <f>HYPERLINK("#Покупные_изделия!D191",Покупные_изделия!D191)</f>
        <v>2.3079818181818181</v>
      </c>
      <c r="M168" s="76">
        <f t="shared" si="8"/>
        <v>9.2319272727272725</v>
      </c>
      <c r="N168" s="77"/>
      <c r="O168" s="77"/>
      <c r="P168" s="76"/>
      <c r="Q168" s="76"/>
    </row>
    <row r="169" spans="5:17" hidden="1" outlineLevel="3" x14ac:dyDescent="0.25">
      <c r="E169" s="74" t="s">
        <v>625</v>
      </c>
      <c r="F169" s="74"/>
      <c r="G169" s="74"/>
      <c r="H169" s="75"/>
      <c r="I169" s="76"/>
      <c r="J169" s="78">
        <f>HYPERLINK("#Структура!E225",Структура!E225)</f>
        <v>60</v>
      </c>
      <c r="K169" s="114">
        <f>HYPERLINK("#Структура!G225",Структура!G225)</f>
        <v>7.1399999999999996E-3</v>
      </c>
      <c r="L169" s="120">
        <f>HYPERLINK("#Покупные_изделия!D168",Покупные_изделия!D168)</f>
        <v>1.9715672368421051</v>
      </c>
      <c r="M169" s="76">
        <f t="shared" si="8"/>
        <v>118.29403421052631</v>
      </c>
      <c r="N169" s="77"/>
      <c r="O169" s="77"/>
      <c r="P169" s="76"/>
      <c r="Q169" s="76"/>
    </row>
    <row r="170" spans="5:17" hidden="1" outlineLevel="3" x14ac:dyDescent="0.25">
      <c r="E170" s="74" t="s">
        <v>710</v>
      </c>
      <c r="F170" s="74"/>
      <c r="G170" s="74"/>
      <c r="H170" s="75"/>
      <c r="I170" s="76"/>
      <c r="J170" s="78">
        <f>HYPERLINK("#Структура!E226",Структура!E226)</f>
        <v>4</v>
      </c>
      <c r="K170" s="114">
        <f>HYPERLINK("#Структура!G226",Структура!G226)</f>
        <v>1.0300000000000001E-3</v>
      </c>
      <c r="L170" s="120">
        <f>HYPERLINK("#Покупные_изделия!D530",Покупные_изделия!D530)</f>
        <v>1.6033970526315791</v>
      </c>
      <c r="M170" s="76">
        <f t="shared" si="8"/>
        <v>6.4135882105263162</v>
      </c>
      <c r="N170" s="77"/>
      <c r="O170" s="77"/>
      <c r="P170" s="76"/>
      <c r="Q170" s="76"/>
    </row>
    <row r="171" spans="5:17" hidden="1" outlineLevel="3" x14ac:dyDescent="0.25">
      <c r="E171" s="74" t="s">
        <v>711</v>
      </c>
      <c r="F171" s="74"/>
      <c r="G171" s="74"/>
      <c r="H171" s="75"/>
      <c r="I171" s="76"/>
      <c r="J171" s="78">
        <f>HYPERLINK("#Структура!E227",Структура!E227)</f>
        <v>4</v>
      </c>
      <c r="K171" s="114">
        <f>HYPERLINK("#Структура!G227",Структура!G227)</f>
        <v>3.1060000000000001E-2</v>
      </c>
      <c r="L171" s="120">
        <f>HYPERLINK("#Покупные_изделия!D543",Покупные_изделия!D543)</f>
        <v>6.4529899999999989</v>
      </c>
      <c r="M171" s="76">
        <f t="shared" si="8"/>
        <v>25.811959999999996</v>
      </c>
      <c r="N171" s="77"/>
      <c r="O171" s="77"/>
      <c r="P171" s="76"/>
      <c r="Q171" s="76"/>
    </row>
    <row r="172" spans="5:17" hidden="1" outlineLevel="3" x14ac:dyDescent="0.25">
      <c r="E172" s="74" t="s">
        <v>17</v>
      </c>
      <c r="F172" s="74"/>
      <c r="G172" s="74"/>
      <c r="H172" s="75"/>
      <c r="I172" s="76"/>
      <c r="J172" s="78">
        <f>HYPERLINK("#Структура!E228",Структура!E228)</f>
        <v>2E-3</v>
      </c>
      <c r="K172" s="114" t="str">
        <f>HYPERLINK("#Структура!G228","")</f>
        <v/>
      </c>
      <c r="L172" s="120">
        <f>HYPERLINK("#Покупные_изделия!D25",Покупные_изделия!D25)</f>
        <v>48916.992000000006</v>
      </c>
      <c r="M172" s="76">
        <f t="shared" si="8"/>
        <v>97.833984000000015</v>
      </c>
      <c r="N172" s="77"/>
      <c r="O172" s="77"/>
      <c r="P172" s="76"/>
      <c r="Q172" s="76"/>
    </row>
    <row r="173" spans="5:17" hidden="1" outlineLevel="3" x14ac:dyDescent="0.25">
      <c r="E173" s="74" t="s">
        <v>64</v>
      </c>
      <c r="F173" s="74"/>
      <c r="G173" s="74"/>
      <c r="H173" s="75"/>
      <c r="I173" s="76"/>
      <c r="J173" s="78">
        <f>HYPERLINK("#Структура!E229",Структура!E229)</f>
        <v>0.05</v>
      </c>
      <c r="K173" s="114" t="str">
        <f>HYPERLINK("#Структура!G229","")</f>
        <v/>
      </c>
      <c r="L173" s="120">
        <f>HYPERLINK("#Покупные_изделия!D196",Покупные_изделия!D196)</f>
        <v>187.92840000000001</v>
      </c>
      <c r="M173" s="76">
        <f t="shared" si="8"/>
        <v>9.3964200000000009</v>
      </c>
      <c r="N173" s="77"/>
      <c r="O173" s="77"/>
      <c r="P173" s="76"/>
      <c r="Q173" s="76"/>
    </row>
    <row r="174" spans="5:17" hidden="1" outlineLevel="3" x14ac:dyDescent="0.25">
      <c r="E174" s="74" t="s">
        <v>133</v>
      </c>
      <c r="F174" s="74"/>
      <c r="G174" s="74"/>
      <c r="H174" s="75"/>
      <c r="I174" s="76"/>
      <c r="J174" s="78">
        <f>HYPERLINK("#Структура!E230",Структура!E230)</f>
        <v>0.1</v>
      </c>
      <c r="K174" s="114" t="str">
        <f>HYPERLINK("#Структура!G230","")</f>
        <v/>
      </c>
      <c r="L174" s="120">
        <f>HYPERLINK("#Покупные_изделия!D308",Покупные_изделия!D308)</f>
        <v>240</v>
      </c>
      <c r="M174" s="76">
        <f t="shared" si="8"/>
        <v>24</v>
      </c>
      <c r="N174" s="77"/>
      <c r="O174" s="77"/>
      <c r="P174" s="76"/>
      <c r="Q174" s="76"/>
    </row>
    <row r="175" spans="5:17" hidden="1" outlineLevel="3" x14ac:dyDescent="0.25">
      <c r="E175" s="74" t="s">
        <v>157</v>
      </c>
      <c r="F175" s="74"/>
      <c r="G175" s="74"/>
      <c r="H175" s="75"/>
      <c r="I175" s="76"/>
      <c r="J175" s="78">
        <f>HYPERLINK("#Структура!E231",Структура!E231)</f>
        <v>0.03</v>
      </c>
      <c r="K175" s="114" t="str">
        <f>HYPERLINK("#Структура!G231","")</f>
        <v/>
      </c>
      <c r="L175" s="120">
        <f>HYPERLINK("#Покупные_изделия!D428",Покупные_изделия!D428)</f>
        <v>138.756</v>
      </c>
      <c r="M175" s="76">
        <f t="shared" si="8"/>
        <v>4.1626799999999999</v>
      </c>
      <c r="N175" s="77"/>
      <c r="O175" s="77"/>
      <c r="P175" s="76"/>
      <c r="Q175" s="76"/>
    </row>
    <row r="176" spans="5:17" hidden="1" outlineLevel="3" x14ac:dyDescent="0.25">
      <c r="E176" s="74" t="s">
        <v>162</v>
      </c>
      <c r="F176" s="74"/>
      <c r="G176" s="74"/>
      <c r="H176" s="75"/>
      <c r="I176" s="76"/>
      <c r="J176" s="78">
        <f>HYPERLINK("#Структура!E232",Структура!E232)</f>
        <v>0.02</v>
      </c>
      <c r="K176" s="114" t="str">
        <f>HYPERLINK("#Структура!G232","")</f>
        <v/>
      </c>
      <c r="L176" s="120">
        <f>HYPERLINK("#Покупные_изделия!D447",Покупные_изделия!D447)</f>
        <v>165</v>
      </c>
      <c r="M176" s="76">
        <f t="shared" si="8"/>
        <v>3.3000000000000003</v>
      </c>
      <c r="N176" s="77"/>
      <c r="O176" s="77"/>
      <c r="P176" s="76"/>
      <c r="Q176" s="76"/>
    </row>
    <row r="177" spans="4:17" hidden="1" outlineLevel="2" collapsed="1" x14ac:dyDescent="0.25">
      <c r="D177" s="96" t="s">
        <v>738</v>
      </c>
      <c r="E177" s="91"/>
      <c r="F177" s="91"/>
      <c r="G177" s="91"/>
      <c r="H177" s="92"/>
      <c r="I177" s="93"/>
      <c r="J177" s="95">
        <f>HYPERLINK("#Структура!E405",Структура!E405)</f>
        <v>1</v>
      </c>
      <c r="K177" s="116">
        <f>HYPERLINK("#Структура!G405",Структура!G405)</f>
        <v>29.937159999999999</v>
      </c>
      <c r="L177" s="93">
        <f>M177/J177</f>
        <v>6070.9730132412651</v>
      </c>
      <c r="M177" s="93">
        <f>SUMIF(E178:E255,"*",M178:M255)*J177</f>
        <v>6070.9730132412651</v>
      </c>
      <c r="N177" s="125">
        <f>HYPERLINK("#Трудозатраты!B88",Трудозатраты!B88+SUMIF(E178:E255,"*",O178:O255))</f>
        <v>256.95</v>
      </c>
      <c r="O177" s="94">
        <f>N177*J177</f>
        <v>256.95</v>
      </c>
      <c r="P177" s="93">
        <f>O177/60*(1+запас_труд)*стоимость_трудочаса</f>
        <v>10063.875</v>
      </c>
      <c r="Q177" s="130">
        <f>M177*(1+наценка_покупное)+P177</f>
        <v>17349.042615889517</v>
      </c>
    </row>
    <row r="178" spans="4:17" hidden="1" outlineLevel="3" collapsed="1" x14ac:dyDescent="0.25">
      <c r="E178" s="97" t="s">
        <v>681</v>
      </c>
      <c r="F178" s="98"/>
      <c r="G178" s="98"/>
      <c r="H178" s="99"/>
      <c r="I178" s="100"/>
      <c r="J178" s="102">
        <f>HYPERLINK("#Структура!E353",Структура!E353)</f>
        <v>1</v>
      </c>
      <c r="K178" s="112">
        <f>HYPERLINK("#Структура!G353",Структура!G353)</f>
        <v>0.38496000000000002</v>
      </c>
      <c r="L178" s="100">
        <f>M178/J178</f>
        <v>105.4174056</v>
      </c>
      <c r="M178" s="100">
        <f>SUMIF(F179:F188,"*",M179:M188)*J178</f>
        <v>105.4174056</v>
      </c>
      <c r="N178" s="122">
        <f>HYPERLINK("#Трудозатраты!B49",Трудозатраты!B49+SUMIF(F179:F188,"*",O179:O188))</f>
        <v>9.75</v>
      </c>
      <c r="O178" s="101">
        <f>N178*J178</f>
        <v>9.75</v>
      </c>
      <c r="P178" s="100">
        <f>O178/60*(1+запас_труд)*стоимость_трудочаса</f>
        <v>381.875</v>
      </c>
      <c r="Q178" s="127">
        <f>M178*(1+наценка_покупное)+P178</f>
        <v>508.37588671999998</v>
      </c>
    </row>
    <row r="179" spans="4:17" hidden="1" outlineLevel="4" collapsed="1" x14ac:dyDescent="0.25">
      <c r="F179" s="85" t="s">
        <v>680</v>
      </c>
      <c r="G179" s="86"/>
      <c r="H179" s="87"/>
      <c r="I179" s="88"/>
      <c r="J179" s="90">
        <f>HYPERLINK("#Структура!E143",Структура!E143)</f>
        <v>1</v>
      </c>
      <c r="K179" s="113">
        <f>HYPERLINK("#Структура!G143",Структура!G143)</f>
        <v>0.23132</v>
      </c>
      <c r="L179" s="88">
        <f>M179/J179</f>
        <v>41.033999999999999</v>
      </c>
      <c r="M179" s="88">
        <f>SUMIF(G180,"*",M180)*J179</f>
        <v>41.033999999999999</v>
      </c>
      <c r="N179" s="123">
        <f>HYPERLINK("#Трудозатраты!B50",Трудозатраты!B50+SUMIF(G180,"*",O180))</f>
        <v>0.7</v>
      </c>
      <c r="O179" s="89">
        <f>N179*J179</f>
        <v>0.7</v>
      </c>
      <c r="P179" s="88">
        <f>O179/60*(1+запас_труд)*стоимость_трудочаса</f>
        <v>27.416666666666664</v>
      </c>
      <c r="Q179" s="128">
        <f>M179*(1+наценка_покупное)+P179</f>
        <v>76.657466666666664</v>
      </c>
    </row>
    <row r="180" spans="4:17" hidden="1" outlineLevel="5" x14ac:dyDescent="0.25">
      <c r="G180" s="74" t="s">
        <v>115</v>
      </c>
      <c r="H180" s="75"/>
      <c r="I180" s="76"/>
      <c r="J180" s="78">
        <f>HYPERLINK("#Структура!E151",Структура!E151)</f>
        <v>0.34194999999999998</v>
      </c>
      <c r="K180" s="114" t="str">
        <f>HYPERLINK("#Структура!G151","")</f>
        <v/>
      </c>
      <c r="L180" s="120">
        <f>HYPERLINK("#Покупные_изделия!D289",Покупные_изделия!D289)</f>
        <v>120</v>
      </c>
      <c r="M180" s="76">
        <f>J180*L180</f>
        <v>41.033999999999999</v>
      </c>
      <c r="N180" s="77"/>
      <c r="O180" s="77"/>
      <c r="P180" s="76"/>
      <c r="Q180" s="76"/>
    </row>
    <row r="181" spans="4:17" hidden="1" outlineLevel="4" collapsed="1" x14ac:dyDescent="0.25">
      <c r="F181" s="84" t="s">
        <v>682</v>
      </c>
      <c r="G181" s="79"/>
      <c r="H181" s="80"/>
      <c r="I181" s="81"/>
      <c r="J181" s="83">
        <f>HYPERLINK("#Структура!E144",Структура!E144)</f>
        <v>1</v>
      </c>
      <c r="K181" s="115">
        <f>HYPERLINK("#Структура!G144",Структура!G144)</f>
        <v>0.15364</v>
      </c>
      <c r="L181" s="81">
        <f>M181/J181</f>
        <v>48</v>
      </c>
      <c r="M181" s="81">
        <f>SUMIF(G182,"*",M182)*J181</f>
        <v>48</v>
      </c>
      <c r="N181" s="124">
        <f>HYPERLINK("#Трудозатраты!B51",Трудозатраты!B51+SUMIF(G182,"*",O182))</f>
        <v>5</v>
      </c>
      <c r="O181" s="82">
        <f>N181*J181</f>
        <v>5</v>
      </c>
      <c r="P181" s="81">
        <f>O181/60*(1+запас_труд)*стоимость_трудочаса</f>
        <v>195.83333333333331</v>
      </c>
      <c r="Q181" s="129">
        <f>M181*(1+наценка_покупное)+P181</f>
        <v>253.43333333333331</v>
      </c>
    </row>
    <row r="182" spans="4:17" hidden="1" outlineLevel="5" x14ac:dyDescent="0.25">
      <c r="G182" s="74" t="s">
        <v>181</v>
      </c>
      <c r="H182" s="75"/>
      <c r="I182" s="76"/>
      <c r="J182" s="78">
        <f>HYPERLINK("#Структура!E152",Структура!E152)</f>
        <v>0.4</v>
      </c>
      <c r="K182" s="114" t="str">
        <f>HYPERLINK("#Структура!G152","")</f>
        <v/>
      </c>
      <c r="L182" s="120">
        <f>HYPERLINK("#Покупные_изделия!D492",Покупные_изделия!D492)</f>
        <v>120</v>
      </c>
      <c r="M182" s="76">
        <f t="shared" ref="M182:M188" si="9">J182*L182</f>
        <v>48</v>
      </c>
      <c r="N182" s="77"/>
      <c r="O182" s="77"/>
      <c r="P182" s="76"/>
      <c r="Q182" s="76"/>
    </row>
    <row r="183" spans="4:17" hidden="1" outlineLevel="4" x14ac:dyDescent="0.25">
      <c r="F183" s="74" t="s">
        <v>44</v>
      </c>
      <c r="G183" s="74"/>
      <c r="H183" s="75"/>
      <c r="I183" s="76"/>
      <c r="J183" s="78">
        <f>HYPERLINK("#Структура!E145",Структура!E145)</f>
        <v>1.7000000000000001E-2</v>
      </c>
      <c r="K183" s="114" t="str">
        <f>HYPERLINK("#Структура!G145","")</f>
        <v/>
      </c>
      <c r="L183" s="120">
        <f>HYPERLINK("#Покупные_изделия!D63",Покупные_изделия!D63)</f>
        <v>396.00000000000006</v>
      </c>
      <c r="M183" s="76">
        <f t="shared" si="9"/>
        <v>6.7320000000000011</v>
      </c>
      <c r="N183" s="77"/>
      <c r="O183" s="77"/>
      <c r="P183" s="76"/>
      <c r="Q183" s="76"/>
    </row>
    <row r="184" spans="4:17" hidden="1" outlineLevel="4" x14ac:dyDescent="0.25">
      <c r="F184" s="74" t="s">
        <v>67</v>
      </c>
      <c r="G184" s="74"/>
      <c r="H184" s="75"/>
      <c r="I184" s="76"/>
      <c r="J184" s="78">
        <f>HYPERLINK("#Структура!E146",Структура!E146)</f>
        <v>3.2000000000000001E-2</v>
      </c>
      <c r="K184" s="114" t="str">
        <f>HYPERLINK("#Структура!G146","")</f>
        <v/>
      </c>
      <c r="L184" s="120">
        <f>HYPERLINK("#Покупные_изделия!D203",Покупные_изделия!D203)</f>
        <v>30.003600000000002</v>
      </c>
      <c r="M184" s="76">
        <f t="shared" si="9"/>
        <v>0.96011520000000006</v>
      </c>
      <c r="N184" s="77"/>
      <c r="O184" s="77"/>
      <c r="P184" s="76"/>
      <c r="Q184" s="76"/>
    </row>
    <row r="185" spans="4:17" hidden="1" outlineLevel="4" x14ac:dyDescent="0.25">
      <c r="F185" s="74" t="s">
        <v>139</v>
      </c>
      <c r="G185" s="74"/>
      <c r="H185" s="75"/>
      <c r="I185" s="76"/>
      <c r="J185" s="78">
        <f>HYPERLINK("#Структура!E147",Структура!E147)</f>
        <v>2E-3</v>
      </c>
      <c r="K185" s="114" t="str">
        <f>HYPERLINK("#Структура!G147","")</f>
        <v/>
      </c>
      <c r="L185" s="120">
        <f>HYPERLINK("#Покупные_изделия!D360",Покупные_изделия!D360)</f>
        <v>171.87720000000002</v>
      </c>
      <c r="M185" s="76">
        <f t="shared" si="9"/>
        <v>0.34375440000000002</v>
      </c>
      <c r="N185" s="77"/>
      <c r="O185" s="77"/>
      <c r="P185" s="76"/>
      <c r="Q185" s="76"/>
    </row>
    <row r="186" spans="4:17" hidden="1" outlineLevel="4" x14ac:dyDescent="0.25">
      <c r="F186" s="74" t="s">
        <v>146</v>
      </c>
      <c r="G186" s="74"/>
      <c r="H186" s="75"/>
      <c r="I186" s="76"/>
      <c r="J186" s="78">
        <f>HYPERLINK("#Структура!E148",Структура!E148)</f>
        <v>1.9E-2</v>
      </c>
      <c r="K186" s="114" t="str">
        <f>HYPERLINK("#Структура!G148","")</f>
        <v/>
      </c>
      <c r="L186" s="120">
        <f>HYPERLINK("#Покупные_изделия!D406",Покупные_изделия!D406)</f>
        <v>105.996</v>
      </c>
      <c r="M186" s="76">
        <f t="shared" si="9"/>
        <v>2.0139239999999998</v>
      </c>
      <c r="N186" s="77"/>
      <c r="O186" s="77"/>
      <c r="P186" s="76"/>
      <c r="Q186" s="76"/>
    </row>
    <row r="187" spans="4:17" hidden="1" outlineLevel="4" x14ac:dyDescent="0.25">
      <c r="F187" s="74" t="s">
        <v>156</v>
      </c>
      <c r="G187" s="74"/>
      <c r="H187" s="75"/>
      <c r="I187" s="76"/>
      <c r="J187" s="78">
        <f>HYPERLINK("#Структура!E149",Структура!E149)</f>
        <v>5.0000000000000001E-3</v>
      </c>
      <c r="K187" s="114" t="str">
        <f>HYPERLINK("#Структура!G149","")</f>
        <v/>
      </c>
      <c r="L187" s="120">
        <f>HYPERLINK("#Покупные_изделия!D427",Покупные_изделия!D427)</f>
        <v>155.53200000000001</v>
      </c>
      <c r="M187" s="76">
        <f t="shared" si="9"/>
        <v>0.77766000000000002</v>
      </c>
      <c r="N187" s="77"/>
      <c r="O187" s="77"/>
      <c r="P187" s="76"/>
      <c r="Q187" s="76"/>
    </row>
    <row r="188" spans="4:17" hidden="1" outlineLevel="4" x14ac:dyDescent="0.25">
      <c r="F188" s="74" t="s">
        <v>202</v>
      </c>
      <c r="G188" s="74"/>
      <c r="H188" s="75"/>
      <c r="I188" s="76"/>
      <c r="J188" s="78">
        <f>HYPERLINK("#Структура!E150",Структура!E150)</f>
        <v>1.2E-2</v>
      </c>
      <c r="K188" s="114" t="str">
        <f>HYPERLINK("#Структура!G150","")</f>
        <v/>
      </c>
      <c r="L188" s="120">
        <f>HYPERLINK("#Покупные_изделия!D521",Покупные_изделия!D521)</f>
        <v>462.99599999999998</v>
      </c>
      <c r="M188" s="76">
        <f t="shared" si="9"/>
        <v>5.5559519999999996</v>
      </c>
      <c r="N188" s="77"/>
      <c r="O188" s="77"/>
      <c r="P188" s="76"/>
      <c r="Q188" s="76"/>
    </row>
    <row r="189" spans="4:17" hidden="1" outlineLevel="3" collapsed="1" x14ac:dyDescent="0.25">
      <c r="E189" s="96" t="s">
        <v>684</v>
      </c>
      <c r="F189" s="91"/>
      <c r="G189" s="91"/>
      <c r="H189" s="92"/>
      <c r="I189" s="93"/>
      <c r="J189" s="95">
        <f>HYPERLINK("#Структура!E354",Структура!E354)</f>
        <v>1</v>
      </c>
      <c r="K189" s="116">
        <f>HYPERLINK("#Структура!G354",Структура!G354)</f>
        <v>0.31041000000000002</v>
      </c>
      <c r="L189" s="93">
        <f>M189/J189</f>
        <v>61.675733599999987</v>
      </c>
      <c r="M189" s="93">
        <f>SUMIF(F190:F199,"*",M190:M199)*J189</f>
        <v>61.675733599999987</v>
      </c>
      <c r="N189" s="125">
        <f>HYPERLINK("#Трудозатраты!B52",Трудозатраты!B52+SUMIF(F190:F199,"*",O190:O199))</f>
        <v>14.8</v>
      </c>
      <c r="O189" s="94">
        <f>N189*J189</f>
        <v>14.8</v>
      </c>
      <c r="P189" s="93">
        <f>O189/60*(1+запас_труд)*стоимость_трудочаса</f>
        <v>579.66666666666663</v>
      </c>
      <c r="Q189" s="130">
        <f>M189*(1+наценка_покупное)+P189</f>
        <v>653.67754698666658</v>
      </c>
    </row>
    <row r="190" spans="4:17" hidden="1" outlineLevel="4" collapsed="1" x14ac:dyDescent="0.25">
      <c r="F190" s="85" t="s">
        <v>683</v>
      </c>
      <c r="G190" s="86"/>
      <c r="H190" s="87"/>
      <c r="I190" s="88"/>
      <c r="J190" s="90">
        <f>HYPERLINK("#Структура!E153",Структура!E153)</f>
        <v>1</v>
      </c>
      <c r="K190" s="113">
        <f>HYPERLINK("#Структура!G153",Структура!G153)</f>
        <v>0.22647999999999999</v>
      </c>
      <c r="L190" s="88">
        <f>M190/J190</f>
        <v>36.172799999999995</v>
      </c>
      <c r="M190" s="88">
        <f>SUMIF(G191,"*",M191)*J190</f>
        <v>36.172799999999995</v>
      </c>
      <c r="N190" s="123">
        <f>HYPERLINK("#Трудозатраты!B53",Трудозатраты!B53+SUMIF(G191,"*",O191))</f>
        <v>0.5</v>
      </c>
      <c r="O190" s="89">
        <f>N190*J190</f>
        <v>0.5</v>
      </c>
      <c r="P190" s="88">
        <f>O190/60*(1+запас_труд)*стоимость_трудочаса</f>
        <v>19.583333333333332</v>
      </c>
      <c r="Q190" s="128">
        <f>M190*(1+наценка_покупное)+P190</f>
        <v>62.990693333333326</v>
      </c>
    </row>
    <row r="191" spans="4:17" hidden="1" outlineLevel="5" x14ac:dyDescent="0.25">
      <c r="G191" s="74" t="s">
        <v>116</v>
      </c>
      <c r="H191" s="75"/>
      <c r="I191" s="76"/>
      <c r="J191" s="78">
        <f>HYPERLINK("#Структура!E161",Структура!E161)</f>
        <v>0.30143999999999999</v>
      </c>
      <c r="K191" s="114" t="str">
        <f>HYPERLINK("#Структура!G161","")</f>
        <v/>
      </c>
      <c r="L191" s="120">
        <f>HYPERLINK("#Покупные_изделия!D291",Покупные_изделия!D291)</f>
        <v>120</v>
      </c>
      <c r="M191" s="76">
        <f>J191*L191</f>
        <v>36.172799999999995</v>
      </c>
      <c r="N191" s="77"/>
      <c r="O191" s="77"/>
      <c r="P191" s="76"/>
      <c r="Q191" s="76"/>
    </row>
    <row r="192" spans="4:17" hidden="1" outlineLevel="4" collapsed="1" x14ac:dyDescent="0.25">
      <c r="F192" s="84" t="s">
        <v>685</v>
      </c>
      <c r="G192" s="79"/>
      <c r="H192" s="80"/>
      <c r="I192" s="81"/>
      <c r="J192" s="83">
        <f>HYPERLINK("#Структура!E154",Структура!E154)</f>
        <v>1</v>
      </c>
      <c r="K192" s="115">
        <f>HYPERLINK("#Структура!G154",Структура!G154)</f>
        <v>8.3919999999999995E-2</v>
      </c>
      <c r="L192" s="81">
        <f>M192/J192</f>
        <v>17.599999999999998</v>
      </c>
      <c r="M192" s="81">
        <f>SUMIF(G193,"*",M193)*J192</f>
        <v>17.599999999999998</v>
      </c>
      <c r="N192" s="124">
        <f>HYPERLINK("#Трудозатраты!B54",Трудозатраты!B54+SUMIF(G193,"*",O193))</f>
        <v>12</v>
      </c>
      <c r="O192" s="82">
        <f>N192*J192</f>
        <v>12</v>
      </c>
      <c r="P192" s="81">
        <f>O192/60*(1+запас_труд)*стоимость_трудочаса</f>
        <v>470</v>
      </c>
      <c r="Q192" s="129">
        <f>M192*(1+наценка_покупное)+P192</f>
        <v>491.12</v>
      </c>
    </row>
    <row r="193" spans="5:17" hidden="1" outlineLevel="5" x14ac:dyDescent="0.25">
      <c r="G193" s="74" t="s">
        <v>95</v>
      </c>
      <c r="H193" s="75"/>
      <c r="I193" s="76"/>
      <c r="J193" s="78">
        <f>HYPERLINK("#Структура!E162",Структура!E162)</f>
        <v>0.17599999999999999</v>
      </c>
      <c r="K193" s="114" t="str">
        <f>HYPERLINK("#Структура!G162","")</f>
        <v/>
      </c>
      <c r="L193" s="120">
        <f>HYPERLINK("#Покупные_изделия!D264",Покупные_изделия!D264)</f>
        <v>100</v>
      </c>
      <c r="M193" s="76">
        <f t="shared" ref="M193:M199" si="10">J193*L193</f>
        <v>17.599999999999998</v>
      </c>
      <c r="N193" s="77"/>
      <c r="O193" s="77"/>
      <c r="P193" s="76"/>
      <c r="Q193" s="76"/>
    </row>
    <row r="194" spans="5:17" hidden="1" outlineLevel="4" x14ac:dyDescent="0.25">
      <c r="F194" s="74" t="s">
        <v>44</v>
      </c>
      <c r="G194" s="74"/>
      <c r="H194" s="75"/>
      <c r="I194" s="76"/>
      <c r="J194" s="78">
        <f>HYPERLINK("#Структура!E155",Структура!E155)</f>
        <v>5.0000000000000001E-3</v>
      </c>
      <c r="K194" s="114" t="str">
        <f>HYPERLINK("#Структура!G155","")</f>
        <v/>
      </c>
      <c r="L194" s="120">
        <f>HYPERLINK("#Покупные_изделия!D63",Покупные_изделия!D63)</f>
        <v>396.00000000000006</v>
      </c>
      <c r="M194" s="76">
        <f t="shared" si="10"/>
        <v>1.9800000000000004</v>
      </c>
      <c r="N194" s="77"/>
      <c r="O194" s="77"/>
      <c r="P194" s="76"/>
      <c r="Q194" s="76"/>
    </row>
    <row r="195" spans="5:17" hidden="1" outlineLevel="4" x14ac:dyDescent="0.25">
      <c r="F195" s="74" t="s">
        <v>67</v>
      </c>
      <c r="G195" s="74"/>
      <c r="H195" s="75"/>
      <c r="I195" s="76"/>
      <c r="J195" s="78">
        <f>HYPERLINK("#Структура!E156",Структура!E156)</f>
        <v>1.9E-2</v>
      </c>
      <c r="K195" s="114" t="str">
        <f>HYPERLINK("#Структура!G156","")</f>
        <v/>
      </c>
      <c r="L195" s="120">
        <f>HYPERLINK("#Покупные_изделия!D203",Покупные_изделия!D203)</f>
        <v>30.003600000000002</v>
      </c>
      <c r="M195" s="76">
        <f t="shared" si="10"/>
        <v>0.57006840000000003</v>
      </c>
      <c r="N195" s="77"/>
      <c r="O195" s="77"/>
      <c r="P195" s="76"/>
      <c r="Q195" s="76"/>
    </row>
    <row r="196" spans="5:17" hidden="1" outlineLevel="4" x14ac:dyDescent="0.25">
      <c r="F196" s="74" t="s">
        <v>139</v>
      </c>
      <c r="G196" s="74"/>
      <c r="H196" s="75"/>
      <c r="I196" s="76"/>
      <c r="J196" s="78">
        <f>HYPERLINK("#Структура!E157",Структура!E157)</f>
        <v>1E-3</v>
      </c>
      <c r="K196" s="114" t="str">
        <f>HYPERLINK("#Структура!G157","")</f>
        <v/>
      </c>
      <c r="L196" s="120">
        <f>HYPERLINK("#Покупные_изделия!D360",Покупные_изделия!D360)</f>
        <v>171.87720000000002</v>
      </c>
      <c r="M196" s="76">
        <f t="shared" si="10"/>
        <v>0.17187720000000001</v>
      </c>
      <c r="N196" s="77"/>
      <c r="O196" s="77"/>
      <c r="P196" s="76"/>
      <c r="Q196" s="76"/>
    </row>
    <row r="197" spans="5:17" hidden="1" outlineLevel="4" x14ac:dyDescent="0.25">
      <c r="F197" s="74" t="s">
        <v>146</v>
      </c>
      <c r="G197" s="74"/>
      <c r="H197" s="75"/>
      <c r="I197" s="76"/>
      <c r="J197" s="78">
        <f>HYPERLINK("#Структура!E158",Структура!E158)</f>
        <v>1.0999999999999999E-2</v>
      </c>
      <c r="K197" s="114" t="str">
        <f>HYPERLINK("#Структура!G158","")</f>
        <v/>
      </c>
      <c r="L197" s="120">
        <f>HYPERLINK("#Покупные_изделия!D406",Покупные_изделия!D406)</f>
        <v>105.996</v>
      </c>
      <c r="M197" s="76">
        <f t="shared" si="10"/>
        <v>1.1659559999999998</v>
      </c>
      <c r="N197" s="77"/>
      <c r="O197" s="77"/>
      <c r="P197" s="76"/>
      <c r="Q197" s="76"/>
    </row>
    <row r="198" spans="5:17" hidden="1" outlineLevel="4" x14ac:dyDescent="0.25">
      <c r="F198" s="74" t="s">
        <v>156</v>
      </c>
      <c r="G198" s="74"/>
      <c r="H198" s="75"/>
      <c r="I198" s="76"/>
      <c r="J198" s="78">
        <f>HYPERLINK("#Структура!E159",Структура!E159)</f>
        <v>2E-3</v>
      </c>
      <c r="K198" s="114" t="str">
        <f>HYPERLINK("#Структура!G159","")</f>
        <v/>
      </c>
      <c r="L198" s="120">
        <f>HYPERLINK("#Покупные_изделия!D427",Покупные_изделия!D427)</f>
        <v>155.53200000000001</v>
      </c>
      <c r="M198" s="76">
        <f t="shared" si="10"/>
        <v>0.31106400000000001</v>
      </c>
      <c r="N198" s="77"/>
      <c r="O198" s="77"/>
      <c r="P198" s="76"/>
      <c r="Q198" s="76"/>
    </row>
    <row r="199" spans="5:17" hidden="1" outlineLevel="4" x14ac:dyDescent="0.25">
      <c r="F199" s="74" t="s">
        <v>202</v>
      </c>
      <c r="G199" s="74"/>
      <c r="H199" s="75"/>
      <c r="I199" s="76"/>
      <c r="J199" s="78">
        <f>HYPERLINK("#Структура!E160",Структура!E160)</f>
        <v>8.0000000000000002E-3</v>
      </c>
      <c r="K199" s="114" t="str">
        <f>HYPERLINK("#Структура!G160","")</f>
        <v/>
      </c>
      <c r="L199" s="120">
        <f>HYPERLINK("#Покупные_изделия!D521",Покупные_изделия!D521)</f>
        <v>462.99599999999998</v>
      </c>
      <c r="M199" s="76">
        <f t="shared" si="10"/>
        <v>3.7039679999999997</v>
      </c>
      <c r="N199" s="77"/>
      <c r="O199" s="77"/>
      <c r="P199" s="76"/>
      <c r="Q199" s="76"/>
    </row>
    <row r="200" spans="5:17" hidden="1" outlineLevel="3" collapsed="1" x14ac:dyDescent="0.25">
      <c r="E200" s="96" t="s">
        <v>739</v>
      </c>
      <c r="F200" s="91"/>
      <c r="G200" s="91"/>
      <c r="H200" s="92"/>
      <c r="I200" s="93"/>
      <c r="J200" s="95">
        <f>HYPERLINK("#Структура!E355",Структура!E355)</f>
        <v>1</v>
      </c>
      <c r="K200" s="116">
        <f>HYPERLINK("#Структура!G355",Структура!G355)</f>
        <v>25.345330000000001</v>
      </c>
      <c r="L200" s="93">
        <f>M200/J200</f>
        <v>4999.9729044000014</v>
      </c>
      <c r="M200" s="93">
        <f>SUMIF(F201:F226,"*",M201:M226)*J200</f>
        <v>4999.9729044000014</v>
      </c>
      <c r="N200" s="125">
        <f>HYPERLINK("#Трудозатраты!B90",Трудозатраты!B90+SUMIF(F201:F226,"*",O201:O226))</f>
        <v>188.8</v>
      </c>
      <c r="O200" s="94">
        <f>N200*J200</f>
        <v>188.8</v>
      </c>
      <c r="P200" s="93">
        <f>O200/60*(1+запас_труд)*стоимость_трудочаса</f>
        <v>7394.666666666667</v>
      </c>
      <c r="Q200" s="130">
        <f>M200*(1+наценка_покупное)+P200</f>
        <v>13394.63415194667</v>
      </c>
    </row>
    <row r="201" spans="5:17" hidden="1" outlineLevel="4" collapsed="1" x14ac:dyDescent="0.25">
      <c r="F201" s="97" t="s">
        <v>748</v>
      </c>
      <c r="G201" s="98"/>
      <c r="H201" s="99"/>
      <c r="I201" s="100"/>
      <c r="J201" s="102">
        <f>HYPERLINK("#Структура!E374",Структура!E374)</f>
        <v>1</v>
      </c>
      <c r="K201" s="112">
        <f>HYPERLINK("#Структура!G374",Структура!G374)</f>
        <v>2.1735600000000002</v>
      </c>
      <c r="L201" s="100">
        <f>M201/J201</f>
        <v>242.490048</v>
      </c>
      <c r="M201" s="100">
        <f>SUMIF(G202:G205,"*",M202:M205)*J201</f>
        <v>242.490048</v>
      </c>
      <c r="N201" s="122">
        <f>HYPERLINK("#Трудозатраты!B851",Трудозатраты!B851+SUMIF(G202:G205,"*",O202:O205))</f>
        <v>22</v>
      </c>
      <c r="O201" s="101">
        <f>N201*J201</f>
        <v>22</v>
      </c>
      <c r="P201" s="100">
        <f>O201/60*(1+запас_труд)*стоимость_трудочаса</f>
        <v>861.66666666666663</v>
      </c>
      <c r="Q201" s="127">
        <f>M201*(1+наценка_покупное)+P201</f>
        <v>1152.6547242666666</v>
      </c>
    </row>
    <row r="202" spans="5:17" hidden="1" outlineLevel="5" collapsed="1" x14ac:dyDescent="0.25">
      <c r="G202" s="85" t="s">
        <v>1584</v>
      </c>
      <c r="H202" s="87"/>
      <c r="I202" s="88"/>
      <c r="J202" s="90">
        <f>HYPERLINK("#Структура!E3422",Структура!E3422)</f>
        <v>4</v>
      </c>
      <c r="K202" s="113">
        <f>HYPERLINK("#Структура!G3422",Структура!G3422)</f>
        <v>0.54339000000000004</v>
      </c>
      <c r="L202" s="88">
        <f>M202/J202</f>
        <v>60</v>
      </c>
      <c r="M202" s="88">
        <f>SUMIF(H203,"*",M203)*J202</f>
        <v>240</v>
      </c>
      <c r="N202" s="123">
        <f>HYPERLINK("#Трудозатраты!B852",Трудозатраты!B852+SUMIF(H203,"*",O203))</f>
        <v>1.5</v>
      </c>
      <c r="O202" s="89">
        <f>N202*J202</f>
        <v>6</v>
      </c>
      <c r="P202" s="88">
        <f>O202/60*(1+запас_труд)*стоимость_трудочаса</f>
        <v>235</v>
      </c>
      <c r="Q202" s="128">
        <f>M202*(1+наценка_покупное)+P202</f>
        <v>523</v>
      </c>
    </row>
    <row r="203" spans="5:17" hidden="1" outlineLevel="6" x14ac:dyDescent="0.25">
      <c r="H203" s="75" t="s">
        <v>187</v>
      </c>
      <c r="I203" s="76"/>
      <c r="J203" s="78">
        <f>HYPERLINK("#Структура!E3425",Структура!E3425)</f>
        <v>0.6</v>
      </c>
      <c r="K203" s="114" t="str">
        <f>HYPERLINK("#Структура!G3425","")</f>
        <v/>
      </c>
      <c r="L203" s="120">
        <f>HYPERLINK("#Покупные_изделия!D500",Покупные_изделия!D500)</f>
        <v>100</v>
      </c>
      <c r="M203" s="76">
        <f>J203*L203</f>
        <v>60</v>
      </c>
      <c r="N203" s="77"/>
      <c r="O203" s="77"/>
      <c r="P203" s="76"/>
      <c r="Q203" s="76"/>
    </row>
    <row r="204" spans="5:17" hidden="1" outlineLevel="5" x14ac:dyDescent="0.25">
      <c r="G204" s="74" t="s">
        <v>67</v>
      </c>
      <c r="H204" s="75"/>
      <c r="I204" s="76"/>
      <c r="J204" s="78">
        <f>HYPERLINK("#Структура!E3423",Структура!E3423)</f>
        <v>0.03</v>
      </c>
      <c r="K204" s="114" t="str">
        <f>HYPERLINK("#Структура!G3423","")</f>
        <v/>
      </c>
      <c r="L204" s="120">
        <f>HYPERLINK("#Покупные_изделия!D203",Покупные_изделия!D203)</f>
        <v>30.003600000000002</v>
      </c>
      <c r="M204" s="76">
        <f>J204*L204</f>
        <v>0.90010800000000002</v>
      </c>
      <c r="N204" s="77"/>
      <c r="O204" s="77"/>
      <c r="P204" s="76"/>
      <c r="Q204" s="76"/>
    </row>
    <row r="205" spans="5:17" hidden="1" outlineLevel="5" x14ac:dyDescent="0.25">
      <c r="G205" s="74" t="s">
        <v>146</v>
      </c>
      <c r="H205" s="75"/>
      <c r="I205" s="76"/>
      <c r="J205" s="78">
        <f>HYPERLINK("#Структура!E3424",Структура!E3424)</f>
        <v>1.4999999999999999E-2</v>
      </c>
      <c r="K205" s="114" t="str">
        <f>HYPERLINK("#Структура!G3424","")</f>
        <v/>
      </c>
      <c r="L205" s="120">
        <f>HYPERLINK("#Покупные_изделия!D406",Покупные_изделия!D406)</f>
        <v>105.996</v>
      </c>
      <c r="M205" s="76">
        <f>J205*L205</f>
        <v>1.5899399999999999</v>
      </c>
      <c r="N205" s="77"/>
      <c r="O205" s="77"/>
      <c r="P205" s="76"/>
      <c r="Q205" s="76"/>
    </row>
    <row r="206" spans="5:17" hidden="1" outlineLevel="4" collapsed="1" x14ac:dyDescent="0.25">
      <c r="F206" s="84" t="s">
        <v>678</v>
      </c>
      <c r="G206" s="79"/>
      <c r="H206" s="80"/>
      <c r="I206" s="81"/>
      <c r="J206" s="83">
        <f>HYPERLINK("#Структура!E375",Структура!E375)</f>
        <v>2</v>
      </c>
      <c r="K206" s="115">
        <f>HYPERLINK("#Структура!G375",Структура!G375)</f>
        <v>5.2440000000000001E-2</v>
      </c>
      <c r="L206" s="81">
        <f>M206/J206</f>
        <v>5.1599999999999993</v>
      </c>
      <c r="M206" s="81">
        <f>SUMIF(G207,"*",M207)*J206</f>
        <v>10.319999999999999</v>
      </c>
      <c r="N206" s="124">
        <f>HYPERLINK("#Трудозатраты!B47",Трудозатраты!B47+SUMIF(G207,"*",O207))</f>
        <v>4</v>
      </c>
      <c r="O206" s="82">
        <f>N206*J206</f>
        <v>8</v>
      </c>
      <c r="P206" s="81">
        <f>O206/60*(1+запас_труд)*стоимость_трудочаса</f>
        <v>313.33333333333331</v>
      </c>
      <c r="Q206" s="129">
        <f>M206*(1+наценка_покупное)+P206</f>
        <v>325.71733333333333</v>
      </c>
    </row>
    <row r="207" spans="5:17" hidden="1" outlineLevel="5" x14ac:dyDescent="0.25">
      <c r="G207" s="74" t="s">
        <v>174</v>
      </c>
      <c r="H207" s="75"/>
      <c r="I207" s="76"/>
      <c r="J207" s="78">
        <f>HYPERLINK("#Структура!E141",Структура!E141)</f>
        <v>4.2999999999999997E-2</v>
      </c>
      <c r="K207" s="114" t="str">
        <f>HYPERLINK("#Структура!G141","")</f>
        <v/>
      </c>
      <c r="L207" s="120">
        <f>HYPERLINK("#Покупные_изделия!D485",Покупные_изделия!D485)</f>
        <v>120</v>
      </c>
      <c r="M207" s="76">
        <f>J207*L207</f>
        <v>5.1599999999999993</v>
      </c>
      <c r="N207" s="77"/>
      <c r="O207" s="77"/>
      <c r="P207" s="76"/>
      <c r="Q207" s="76"/>
    </row>
    <row r="208" spans="5:17" hidden="1" outlineLevel="4" collapsed="1" x14ac:dyDescent="0.25">
      <c r="F208" s="84" t="s">
        <v>679</v>
      </c>
      <c r="G208" s="79"/>
      <c r="H208" s="80"/>
      <c r="I208" s="81"/>
      <c r="J208" s="83">
        <f>HYPERLINK("#Структура!E376",Структура!E376)</f>
        <v>1</v>
      </c>
      <c r="K208" s="115">
        <f>HYPERLINK("#Структура!G376",Структура!G376)</f>
        <v>0.31025000000000003</v>
      </c>
      <c r="L208" s="81">
        <f>M208/J208</f>
        <v>76.437600000000003</v>
      </c>
      <c r="M208" s="81">
        <f>SUMIF(G209,"*",M209)*J208</f>
        <v>76.437600000000003</v>
      </c>
      <c r="N208" s="124">
        <f>HYPERLINK("#Трудозатраты!B48",Трудозатраты!B48+SUMIF(G209,"*",O209))</f>
        <v>0.7</v>
      </c>
      <c r="O208" s="82">
        <f>N208*J208</f>
        <v>0.7</v>
      </c>
      <c r="P208" s="81">
        <f>O208/60*(1+запас_труд)*стоимость_трудочаса</f>
        <v>27.416666666666664</v>
      </c>
      <c r="Q208" s="129">
        <f>M208*(1+наценка_покупное)+P208</f>
        <v>119.14178666666666</v>
      </c>
    </row>
    <row r="209" spans="6:17" hidden="1" outlineLevel="5" x14ac:dyDescent="0.25">
      <c r="G209" s="74" t="s">
        <v>115</v>
      </c>
      <c r="H209" s="75"/>
      <c r="I209" s="76"/>
      <c r="J209" s="78">
        <f>HYPERLINK("#Структура!E142",Структура!E142)</f>
        <v>0.63697999999999999</v>
      </c>
      <c r="K209" s="114" t="str">
        <f>HYPERLINK("#Структура!G142","")</f>
        <v/>
      </c>
      <c r="L209" s="120">
        <f>HYPERLINK("#Покупные_изделия!D289",Покупные_изделия!D289)</f>
        <v>120</v>
      </c>
      <c r="M209" s="76">
        <f>J209*L209</f>
        <v>76.437600000000003</v>
      </c>
      <c r="N209" s="77"/>
      <c r="O209" s="77"/>
      <c r="P209" s="76"/>
      <c r="Q209" s="76"/>
    </row>
    <row r="210" spans="6:17" hidden="1" outlineLevel="4" collapsed="1" x14ac:dyDescent="0.25">
      <c r="F210" s="84" t="s">
        <v>749</v>
      </c>
      <c r="G210" s="79"/>
      <c r="H210" s="80"/>
      <c r="I210" s="81"/>
      <c r="J210" s="83">
        <f>HYPERLINK("#Структура!E377",Структура!E377)</f>
        <v>1</v>
      </c>
      <c r="K210" s="115">
        <f>HYPERLINK("#Структура!G377",Структура!G377)</f>
        <v>4.9977</v>
      </c>
      <c r="L210" s="81">
        <f>M210/J210</f>
        <v>763.02</v>
      </c>
      <c r="M210" s="81">
        <f>SUMIF(G211,"*",M211)*J210</f>
        <v>763.02</v>
      </c>
      <c r="N210" s="124">
        <f>HYPERLINK("#Трудозатраты!B91",Трудозатраты!B91+SUMIF(G211,"*",O211))</f>
        <v>5.9</v>
      </c>
      <c r="O210" s="82">
        <f>N210*J210</f>
        <v>5.9</v>
      </c>
      <c r="P210" s="81">
        <f>O210/60*(1+запас_труд)*стоимость_трудочаса</f>
        <v>231.08333333333334</v>
      </c>
      <c r="Q210" s="129">
        <f>M210*(1+наценка_покупное)+P210</f>
        <v>1146.7073333333333</v>
      </c>
    </row>
    <row r="211" spans="6:17" hidden="1" outlineLevel="5" x14ac:dyDescent="0.25">
      <c r="G211" s="74" t="s">
        <v>118</v>
      </c>
      <c r="H211" s="75"/>
      <c r="I211" s="76"/>
      <c r="J211" s="78">
        <f>HYPERLINK("#Структура!E390",Структура!E390)</f>
        <v>6.3585000000000003</v>
      </c>
      <c r="K211" s="114" t="str">
        <f>HYPERLINK("#Структура!G390","")</f>
        <v/>
      </c>
      <c r="L211" s="120">
        <f>HYPERLINK("#Покупные_изделия!D293",Покупные_изделия!D293)</f>
        <v>120</v>
      </c>
      <c r="M211" s="76">
        <f>J211*L211</f>
        <v>763.02</v>
      </c>
      <c r="N211" s="77"/>
      <c r="O211" s="77"/>
      <c r="P211" s="76"/>
      <c r="Q211" s="76"/>
    </row>
    <row r="212" spans="6:17" hidden="1" outlineLevel="4" collapsed="1" x14ac:dyDescent="0.25">
      <c r="F212" s="84" t="s">
        <v>750</v>
      </c>
      <c r="G212" s="79"/>
      <c r="H212" s="80"/>
      <c r="I212" s="81"/>
      <c r="J212" s="83">
        <f>HYPERLINK("#Структура!E378",Структура!E378)</f>
        <v>1</v>
      </c>
      <c r="K212" s="115">
        <f>HYPERLINK("#Структура!G378",Структура!G378)</f>
        <v>6.5901800000000001</v>
      </c>
      <c r="L212" s="81">
        <f>M212/J212</f>
        <v>1093.6619999999998</v>
      </c>
      <c r="M212" s="81">
        <f>SUMIF(G213,"*",M213)*J212</f>
        <v>1093.6619999999998</v>
      </c>
      <c r="N212" s="124">
        <f>HYPERLINK("#Трудозатраты!B92",Трудозатраты!B92+SUMIF(G213,"*",O213))</f>
        <v>7.7</v>
      </c>
      <c r="O212" s="82">
        <f>N212*J212</f>
        <v>7.7</v>
      </c>
      <c r="P212" s="81">
        <f>O212/60*(1+запас_труд)*стоимость_трудочаса</f>
        <v>301.58333333333331</v>
      </c>
      <c r="Q212" s="129">
        <f>M212*(1+наценка_покупное)+P212</f>
        <v>1613.9777333333329</v>
      </c>
    </row>
    <row r="213" spans="6:17" hidden="1" outlineLevel="5" x14ac:dyDescent="0.25">
      <c r="G213" s="74" t="s">
        <v>118</v>
      </c>
      <c r="H213" s="75"/>
      <c r="I213" s="76"/>
      <c r="J213" s="78">
        <f>HYPERLINK("#Структура!E391",Структура!E391)</f>
        <v>9.1138499999999993</v>
      </c>
      <c r="K213" s="114" t="str">
        <f>HYPERLINK("#Структура!G391","")</f>
        <v/>
      </c>
      <c r="L213" s="120">
        <f>HYPERLINK("#Покупные_изделия!D293",Покупные_изделия!D293)</f>
        <v>120</v>
      </c>
      <c r="M213" s="76">
        <f>J213*L213</f>
        <v>1093.6619999999998</v>
      </c>
      <c r="N213" s="77"/>
      <c r="O213" s="77"/>
      <c r="P213" s="76"/>
      <c r="Q213" s="76"/>
    </row>
    <row r="214" spans="6:17" hidden="1" outlineLevel="4" collapsed="1" x14ac:dyDescent="0.25">
      <c r="F214" s="84" t="s">
        <v>751</v>
      </c>
      <c r="G214" s="79"/>
      <c r="H214" s="80"/>
      <c r="I214" s="81"/>
      <c r="J214" s="83">
        <f>HYPERLINK("#Структура!E379",Структура!E379)</f>
        <v>1</v>
      </c>
      <c r="K214" s="115">
        <f>HYPERLINK("#Структура!G379",Структура!G379)</f>
        <v>5.5843800000000003</v>
      </c>
      <c r="L214" s="81">
        <f>M214/J214</f>
        <v>1201.2312000000002</v>
      </c>
      <c r="M214" s="81">
        <f>SUMIF(G215,"*",M215)*J214</f>
        <v>1201.2312000000002</v>
      </c>
      <c r="N214" s="124">
        <f>HYPERLINK("#Трудозатраты!B93",Трудозатраты!B93+SUMIF(G215,"*",O215))</f>
        <v>6</v>
      </c>
      <c r="O214" s="82">
        <f>N214*J214</f>
        <v>6</v>
      </c>
      <c r="P214" s="81">
        <f>O214/60*(1+запас_труд)*стоимость_трудочаса</f>
        <v>235</v>
      </c>
      <c r="Q214" s="129">
        <f>M214*(1+наценка_покупное)+P214</f>
        <v>1676.4774400000001</v>
      </c>
    </row>
    <row r="215" spans="6:17" hidden="1" outlineLevel="5" x14ac:dyDescent="0.25">
      <c r="G215" s="74" t="s">
        <v>115</v>
      </c>
      <c r="H215" s="75"/>
      <c r="I215" s="76"/>
      <c r="J215" s="78">
        <f>HYPERLINK("#Структура!E392",Структура!E392)</f>
        <v>10.010260000000001</v>
      </c>
      <c r="K215" s="114" t="str">
        <f>HYPERLINK("#Структура!G392","")</f>
        <v/>
      </c>
      <c r="L215" s="120">
        <f>HYPERLINK("#Покупные_изделия!D289",Покупные_изделия!D289)</f>
        <v>120</v>
      </c>
      <c r="M215" s="76">
        <f>J215*L215</f>
        <v>1201.2312000000002</v>
      </c>
      <c r="N215" s="77"/>
      <c r="O215" s="77"/>
      <c r="P215" s="76"/>
      <c r="Q215" s="76"/>
    </row>
    <row r="216" spans="6:17" hidden="1" outlineLevel="4" collapsed="1" x14ac:dyDescent="0.25">
      <c r="F216" s="84" t="s">
        <v>752</v>
      </c>
      <c r="G216" s="79"/>
      <c r="H216" s="80"/>
      <c r="I216" s="81"/>
      <c r="J216" s="83">
        <f>HYPERLINK("#Структура!E380",Структура!E380)</f>
        <v>1</v>
      </c>
      <c r="K216" s="115">
        <f>HYPERLINK("#Структура!G380",Структура!G380)</f>
        <v>5.5843800000000003</v>
      </c>
      <c r="L216" s="81">
        <f>M216/J216</f>
        <v>1201.2312000000002</v>
      </c>
      <c r="M216" s="81">
        <f>SUMIF(G217,"*",M217)*J216</f>
        <v>1201.2312000000002</v>
      </c>
      <c r="N216" s="124">
        <f>HYPERLINK("#Трудозатраты!B94",Трудозатраты!B94+SUMIF(G217,"*",O217))</f>
        <v>6</v>
      </c>
      <c r="O216" s="82">
        <f>N216*J216</f>
        <v>6</v>
      </c>
      <c r="P216" s="81">
        <f>O216/60*(1+запас_труд)*стоимость_трудочаса</f>
        <v>235</v>
      </c>
      <c r="Q216" s="129">
        <f>M216*(1+наценка_покупное)+P216</f>
        <v>1676.4774400000001</v>
      </c>
    </row>
    <row r="217" spans="6:17" hidden="1" outlineLevel="5" x14ac:dyDescent="0.25">
      <c r="G217" s="74" t="s">
        <v>115</v>
      </c>
      <c r="H217" s="75"/>
      <c r="I217" s="76"/>
      <c r="J217" s="78">
        <f>HYPERLINK("#Структура!E393",Структура!E393)</f>
        <v>10.010260000000001</v>
      </c>
      <c r="K217" s="114" t="str">
        <f>HYPERLINK("#Структура!G393","")</f>
        <v/>
      </c>
      <c r="L217" s="120">
        <f>HYPERLINK("#Покупные_изделия!D289",Покупные_изделия!D289)</f>
        <v>120</v>
      </c>
      <c r="M217" s="76">
        <f t="shared" ref="M217:M226" si="11">J217*L217</f>
        <v>1201.2312000000002</v>
      </c>
      <c r="N217" s="77"/>
      <c r="O217" s="77"/>
      <c r="P217" s="76"/>
      <c r="Q217" s="76"/>
    </row>
    <row r="218" spans="6:17" hidden="1" outlineLevel="4" x14ac:dyDescent="0.25">
      <c r="F218" s="74" t="s">
        <v>44</v>
      </c>
      <c r="G218" s="74"/>
      <c r="H218" s="75"/>
      <c r="I218" s="76"/>
      <c r="J218" s="78">
        <f>HYPERLINK("#Структура!E381",Структура!E381)</f>
        <v>0.317</v>
      </c>
      <c r="K218" s="114" t="str">
        <f>HYPERLINK("#Структура!G381","")</f>
        <v/>
      </c>
      <c r="L218" s="120">
        <f>HYPERLINK("#Покупные_изделия!D63",Покупные_изделия!D63)</f>
        <v>396.00000000000006</v>
      </c>
      <c r="M218" s="76">
        <f t="shared" si="11"/>
        <v>125.53200000000002</v>
      </c>
      <c r="N218" s="77"/>
      <c r="O218" s="77"/>
      <c r="P218" s="76"/>
      <c r="Q218" s="76"/>
    </row>
    <row r="219" spans="6:17" hidden="1" outlineLevel="4" x14ac:dyDescent="0.25">
      <c r="F219" s="74" t="s">
        <v>66</v>
      </c>
      <c r="G219" s="74"/>
      <c r="H219" s="75"/>
      <c r="I219" s="76"/>
      <c r="J219" s="78">
        <f>HYPERLINK("#Структура!E382",Структура!E382)</f>
        <v>1.9E-2</v>
      </c>
      <c r="K219" s="114" t="str">
        <f>HYPERLINK("#Структура!G382","")</f>
        <v/>
      </c>
      <c r="L219" s="120">
        <f>HYPERLINK("#Покупные_изделия!D198",Покупные_изделия!D198)</f>
        <v>268.47480000000002</v>
      </c>
      <c r="M219" s="76">
        <f t="shared" si="11"/>
        <v>5.1010211999999999</v>
      </c>
      <c r="N219" s="77"/>
      <c r="O219" s="77"/>
      <c r="P219" s="76"/>
      <c r="Q219" s="76"/>
    </row>
    <row r="220" spans="6:17" hidden="1" outlineLevel="4" x14ac:dyDescent="0.25">
      <c r="F220" s="74" t="s">
        <v>67</v>
      </c>
      <c r="G220" s="74"/>
      <c r="H220" s="75"/>
      <c r="I220" s="76"/>
      <c r="J220" s="78">
        <f>HYPERLINK("#Структура!E383",Структура!E383)</f>
        <v>0.88800000000000001</v>
      </c>
      <c r="K220" s="114" t="str">
        <f>HYPERLINK("#Структура!G383","")</f>
        <v/>
      </c>
      <c r="L220" s="120">
        <f>HYPERLINK("#Покупные_изделия!D203",Покупные_изделия!D203)</f>
        <v>30.003600000000002</v>
      </c>
      <c r="M220" s="76">
        <f t="shared" si="11"/>
        <v>26.643196800000002</v>
      </c>
      <c r="N220" s="77"/>
      <c r="O220" s="77"/>
      <c r="P220" s="76"/>
      <c r="Q220" s="76"/>
    </row>
    <row r="221" spans="6:17" hidden="1" outlineLevel="4" x14ac:dyDescent="0.25">
      <c r="F221" s="74" t="s">
        <v>139</v>
      </c>
      <c r="G221" s="74"/>
      <c r="H221" s="75"/>
      <c r="I221" s="76"/>
      <c r="J221" s="78">
        <f>HYPERLINK("#Структура!E384",Структура!E384)</f>
        <v>3.2000000000000001E-2</v>
      </c>
      <c r="K221" s="114" t="str">
        <f>HYPERLINK("#Структура!G384","")</f>
        <v/>
      </c>
      <c r="L221" s="120">
        <f>HYPERLINK("#Покупные_изделия!D360",Покупные_изделия!D360)</f>
        <v>171.87720000000002</v>
      </c>
      <c r="M221" s="76">
        <f t="shared" si="11"/>
        <v>5.5000704000000002</v>
      </c>
      <c r="N221" s="77"/>
      <c r="O221" s="77"/>
      <c r="P221" s="76"/>
      <c r="Q221" s="76"/>
    </row>
    <row r="222" spans="6:17" hidden="1" outlineLevel="4" x14ac:dyDescent="0.25">
      <c r="F222" s="74" t="s">
        <v>146</v>
      </c>
      <c r="G222" s="74"/>
      <c r="H222" s="75"/>
      <c r="I222" s="76"/>
      <c r="J222" s="78">
        <f>HYPERLINK("#Структура!E385",Структура!E385)</f>
        <v>0.52200000000000002</v>
      </c>
      <c r="K222" s="114" t="str">
        <f>HYPERLINK("#Структура!G385","")</f>
        <v/>
      </c>
      <c r="L222" s="120">
        <f>HYPERLINK("#Покупные_изделия!D406",Покупные_изделия!D406)</f>
        <v>105.996</v>
      </c>
      <c r="M222" s="76">
        <f t="shared" si="11"/>
        <v>55.329912</v>
      </c>
      <c r="N222" s="77"/>
      <c r="O222" s="77"/>
      <c r="P222" s="76"/>
      <c r="Q222" s="76"/>
    </row>
    <row r="223" spans="6:17" hidden="1" outlineLevel="4" x14ac:dyDescent="0.25">
      <c r="F223" s="74" t="s">
        <v>156</v>
      </c>
      <c r="G223" s="74"/>
      <c r="H223" s="75"/>
      <c r="I223" s="76"/>
      <c r="J223" s="78">
        <f>HYPERLINK("#Структура!E386",Структура!E386)</f>
        <v>0.19400000000000001</v>
      </c>
      <c r="K223" s="114" t="str">
        <f>HYPERLINK("#Структура!G386","")</f>
        <v/>
      </c>
      <c r="L223" s="120">
        <f>HYPERLINK("#Покупные_изделия!D427",Покупные_изделия!D427)</f>
        <v>155.53200000000001</v>
      </c>
      <c r="M223" s="76">
        <f t="shared" si="11"/>
        <v>30.173208000000002</v>
      </c>
      <c r="N223" s="77"/>
      <c r="O223" s="77"/>
      <c r="P223" s="76"/>
      <c r="Q223" s="76"/>
    </row>
    <row r="224" spans="6:17" hidden="1" outlineLevel="4" x14ac:dyDescent="0.25">
      <c r="F224" s="74" t="s">
        <v>157</v>
      </c>
      <c r="G224" s="74"/>
      <c r="H224" s="75"/>
      <c r="I224" s="76"/>
      <c r="J224" s="78">
        <f>HYPERLINK("#Структура!E387",Структура!E387)</f>
        <v>9.7000000000000003E-2</v>
      </c>
      <c r="K224" s="114" t="str">
        <f>HYPERLINK("#Структура!G387","")</f>
        <v/>
      </c>
      <c r="L224" s="120">
        <f>HYPERLINK("#Покупные_изделия!D428",Покупные_изделия!D428)</f>
        <v>138.756</v>
      </c>
      <c r="M224" s="76">
        <f t="shared" si="11"/>
        <v>13.459332</v>
      </c>
      <c r="N224" s="77"/>
      <c r="O224" s="77"/>
      <c r="P224" s="76"/>
      <c r="Q224" s="76"/>
    </row>
    <row r="225" spans="5:17" hidden="1" outlineLevel="4" x14ac:dyDescent="0.25">
      <c r="F225" s="74" t="s">
        <v>200</v>
      </c>
      <c r="G225" s="74"/>
      <c r="H225" s="75"/>
      <c r="I225" s="76"/>
      <c r="J225" s="78">
        <f>HYPERLINK("#Структура!E388",Структура!E388)</f>
        <v>0.17599999999999999</v>
      </c>
      <c r="K225" s="114" t="str">
        <f>HYPERLINK("#Структура!G388","")</f>
        <v/>
      </c>
      <c r="L225" s="120">
        <f>HYPERLINK("#Покупные_изделия!D518",Покупные_изделия!D518)</f>
        <v>270</v>
      </c>
      <c r="M225" s="76">
        <f t="shared" si="11"/>
        <v>47.519999999999996</v>
      </c>
      <c r="N225" s="77"/>
      <c r="O225" s="77"/>
      <c r="P225" s="76"/>
      <c r="Q225" s="76"/>
    </row>
    <row r="226" spans="5:17" hidden="1" outlineLevel="4" x14ac:dyDescent="0.25">
      <c r="F226" s="74" t="s">
        <v>202</v>
      </c>
      <c r="G226" s="74"/>
      <c r="H226" s="75"/>
      <c r="I226" s="76"/>
      <c r="J226" s="78">
        <f>HYPERLINK("#Структура!E389",Структура!E389)</f>
        <v>0.221</v>
      </c>
      <c r="K226" s="114" t="str">
        <f>HYPERLINK("#Структура!G389","")</f>
        <v/>
      </c>
      <c r="L226" s="120">
        <f>HYPERLINK("#Покупные_изделия!D521",Покупные_изделия!D521)</f>
        <v>462.99599999999998</v>
      </c>
      <c r="M226" s="76">
        <f t="shared" si="11"/>
        <v>102.32211599999999</v>
      </c>
      <c r="N226" s="77"/>
      <c r="O226" s="77"/>
      <c r="P226" s="76"/>
      <c r="Q226" s="76"/>
    </row>
    <row r="227" spans="5:17" hidden="1" outlineLevel="3" collapsed="1" x14ac:dyDescent="0.25">
      <c r="E227" s="96" t="s">
        <v>740</v>
      </c>
      <c r="F227" s="91"/>
      <c r="G227" s="91"/>
      <c r="H227" s="92"/>
      <c r="I227" s="93"/>
      <c r="J227" s="95">
        <f>HYPERLINK("#Структура!E356",Структура!E356)</f>
        <v>1</v>
      </c>
      <c r="K227" s="116">
        <f>HYPERLINK("#Структура!G356",Структура!G356)</f>
        <v>2.0579499999999999</v>
      </c>
      <c r="L227" s="93">
        <f>M227/J227</f>
        <v>302.15233200000006</v>
      </c>
      <c r="M227" s="93">
        <f>SUMIF(F228:F235,"*",M228:M235)*J227</f>
        <v>302.15233200000006</v>
      </c>
      <c r="N227" s="125">
        <f>HYPERLINK("#Трудозатраты!B95",Трудозатраты!B95+SUMIF(F228:F235,"*",O228:O235))</f>
        <v>9.1999999999999993</v>
      </c>
      <c r="O227" s="94">
        <f>N227*J227</f>
        <v>9.1999999999999993</v>
      </c>
      <c r="P227" s="93">
        <f>O227/60*(1+запас_труд)*стоимость_трудочаса</f>
        <v>360.33333333333331</v>
      </c>
      <c r="Q227" s="130">
        <f>M227*(1+наценка_покупное)+P227</f>
        <v>722.91613173333337</v>
      </c>
    </row>
    <row r="228" spans="5:17" hidden="1" outlineLevel="4" collapsed="1" x14ac:dyDescent="0.25">
      <c r="F228" s="85" t="s">
        <v>753</v>
      </c>
      <c r="G228" s="86"/>
      <c r="H228" s="87"/>
      <c r="I228" s="88"/>
      <c r="J228" s="90">
        <f>HYPERLINK("#Структура!E394",Структура!E394)</f>
        <v>1</v>
      </c>
      <c r="K228" s="113">
        <f>HYPERLINK("#Структура!G394",Структура!G394)</f>
        <v>0.21967999999999999</v>
      </c>
      <c r="L228" s="88">
        <f>M228/J228</f>
        <v>20.040000000000003</v>
      </c>
      <c r="M228" s="88">
        <f>SUMIF(G229,"*",M229)*J228</f>
        <v>20.040000000000003</v>
      </c>
      <c r="N228" s="123">
        <f>HYPERLINK("#Трудозатраты!B96",Трудозатраты!B96+SUMIF(G229,"*",O229))</f>
        <v>6</v>
      </c>
      <c r="O228" s="89">
        <f>N228*J228</f>
        <v>6</v>
      </c>
      <c r="P228" s="88">
        <f>O228/60*(1+запас_труд)*стоимость_трудочаса</f>
        <v>235</v>
      </c>
      <c r="Q228" s="128">
        <f>M228*(1+наценка_покупное)+P228</f>
        <v>259.048</v>
      </c>
    </row>
    <row r="229" spans="5:17" hidden="1" outlineLevel="5" x14ac:dyDescent="0.25">
      <c r="G229" s="74" t="s">
        <v>174</v>
      </c>
      <c r="H229" s="75"/>
      <c r="I229" s="76"/>
      <c r="J229" s="78">
        <f>HYPERLINK("#Структура!E400",Структура!E400)</f>
        <v>0.16700000000000001</v>
      </c>
      <c r="K229" s="114" t="str">
        <f>HYPERLINK("#Структура!G400","")</f>
        <v/>
      </c>
      <c r="L229" s="120">
        <f>HYPERLINK("#Покупные_изделия!D485",Покупные_изделия!D485)</f>
        <v>120</v>
      </c>
      <c r="M229" s="76">
        <f>J229*L229</f>
        <v>20.040000000000003</v>
      </c>
      <c r="N229" s="77"/>
      <c r="O229" s="77"/>
      <c r="P229" s="76"/>
      <c r="Q229" s="76"/>
    </row>
    <row r="230" spans="5:17" hidden="1" outlineLevel="4" collapsed="1" x14ac:dyDescent="0.25">
      <c r="F230" s="84" t="s">
        <v>754</v>
      </c>
      <c r="G230" s="79"/>
      <c r="H230" s="80"/>
      <c r="I230" s="81"/>
      <c r="J230" s="83">
        <f>HYPERLINK("#Структура!E395",Структура!E395)</f>
        <v>1</v>
      </c>
      <c r="K230" s="115">
        <f>HYPERLINK("#Структура!G395",Структура!G395)</f>
        <v>1.8382700000000001</v>
      </c>
      <c r="L230" s="81">
        <f>M230/J230</f>
        <v>271.69200000000001</v>
      </c>
      <c r="M230" s="81">
        <f>SUMIF(G231,"*",M231)*J230</f>
        <v>271.69200000000001</v>
      </c>
      <c r="N230" s="124">
        <f>HYPERLINK("#Трудозатраты!B97",Трудозатраты!B97+SUMIF(G231,"*",O231))</f>
        <v>1.1000000000000001</v>
      </c>
      <c r="O230" s="82">
        <f>N230*J230</f>
        <v>1.1000000000000001</v>
      </c>
      <c r="P230" s="81">
        <f>O230/60*(1+запас_труд)*стоимость_трудочаса</f>
        <v>43.083333333333336</v>
      </c>
      <c r="Q230" s="129">
        <f>M230*(1+наценка_покупное)+P230</f>
        <v>369.1137333333333</v>
      </c>
    </row>
    <row r="231" spans="5:17" hidden="1" outlineLevel="5" x14ac:dyDescent="0.25">
      <c r="G231" s="74" t="s">
        <v>118</v>
      </c>
      <c r="H231" s="75"/>
      <c r="I231" s="76"/>
      <c r="J231" s="78">
        <f>HYPERLINK("#Структура!E401",Структура!E401)</f>
        <v>2.2641</v>
      </c>
      <c r="K231" s="114" t="str">
        <f>HYPERLINK("#Структура!G401","")</f>
        <v/>
      </c>
      <c r="L231" s="120">
        <f>HYPERLINK("#Покупные_изделия!D293",Покупные_изделия!D293)</f>
        <v>120</v>
      </c>
      <c r="M231" s="76">
        <f>J231*L231</f>
        <v>271.69200000000001</v>
      </c>
      <c r="N231" s="77"/>
      <c r="O231" s="77"/>
      <c r="P231" s="76"/>
      <c r="Q231" s="76"/>
    </row>
    <row r="232" spans="5:17" hidden="1" outlineLevel="4" x14ac:dyDescent="0.25">
      <c r="F232" s="74" t="s">
        <v>66</v>
      </c>
      <c r="G232" s="74"/>
      <c r="H232" s="75"/>
      <c r="I232" s="76"/>
      <c r="J232" s="78">
        <f>HYPERLINK("#Структура!E396",Структура!E396)</f>
        <v>1.2999999999999999E-2</v>
      </c>
      <c r="K232" s="114" t="str">
        <f>HYPERLINK("#Структура!G396","")</f>
        <v/>
      </c>
      <c r="L232" s="120">
        <f>HYPERLINK("#Покупные_изделия!D198",Покупные_изделия!D198)</f>
        <v>268.47480000000002</v>
      </c>
      <c r="M232" s="76">
        <f>J232*L232</f>
        <v>3.4901724000000001</v>
      </c>
      <c r="N232" s="77"/>
      <c r="O232" s="77"/>
      <c r="P232" s="76"/>
      <c r="Q232" s="76"/>
    </row>
    <row r="233" spans="5:17" hidden="1" outlineLevel="4" x14ac:dyDescent="0.25">
      <c r="F233" s="74" t="s">
        <v>67</v>
      </c>
      <c r="G233" s="74"/>
      <c r="H233" s="75"/>
      <c r="I233" s="76"/>
      <c r="J233" s="78">
        <f>HYPERLINK("#Структура!E397",Структура!E397)</f>
        <v>5.0999999999999997E-2</v>
      </c>
      <c r="K233" s="114" t="str">
        <f>HYPERLINK("#Структура!G397","")</f>
        <v/>
      </c>
      <c r="L233" s="120">
        <f>HYPERLINK("#Покупные_изделия!D203",Покупные_изделия!D203)</f>
        <v>30.003600000000002</v>
      </c>
      <c r="M233" s="76">
        <f>J233*L233</f>
        <v>1.5301836</v>
      </c>
      <c r="N233" s="77"/>
      <c r="O233" s="77"/>
      <c r="P233" s="76"/>
      <c r="Q233" s="76"/>
    </row>
    <row r="234" spans="5:17" hidden="1" outlineLevel="4" x14ac:dyDescent="0.25">
      <c r="F234" s="74" t="s">
        <v>146</v>
      </c>
      <c r="G234" s="74"/>
      <c r="H234" s="75"/>
      <c r="I234" s="76"/>
      <c r="J234" s="78">
        <f>HYPERLINK("#Структура!E398",Структура!E398)</f>
        <v>0.03</v>
      </c>
      <c r="K234" s="114" t="str">
        <f>HYPERLINK("#Структура!G398","")</f>
        <v/>
      </c>
      <c r="L234" s="120">
        <f>HYPERLINK("#Покупные_изделия!D406",Покупные_изделия!D406)</f>
        <v>105.996</v>
      </c>
      <c r="M234" s="76">
        <f>J234*L234</f>
        <v>3.1798799999999998</v>
      </c>
      <c r="N234" s="77"/>
      <c r="O234" s="77"/>
      <c r="P234" s="76"/>
      <c r="Q234" s="76"/>
    </row>
    <row r="235" spans="5:17" hidden="1" outlineLevel="4" x14ac:dyDescent="0.25">
      <c r="F235" s="74" t="s">
        <v>157</v>
      </c>
      <c r="G235" s="74"/>
      <c r="H235" s="75"/>
      <c r="I235" s="76"/>
      <c r="J235" s="78">
        <f>HYPERLINK("#Структура!E399",Структура!E399)</f>
        <v>1.6E-2</v>
      </c>
      <c r="K235" s="114" t="str">
        <f>HYPERLINK("#Структура!G399","")</f>
        <v/>
      </c>
      <c r="L235" s="120">
        <f>HYPERLINK("#Покупные_изделия!D428",Покупные_изделия!D428)</f>
        <v>138.756</v>
      </c>
      <c r="M235" s="76">
        <f>J235*L235</f>
        <v>2.2200959999999998</v>
      </c>
      <c r="N235" s="77"/>
      <c r="O235" s="77"/>
      <c r="P235" s="76"/>
      <c r="Q235" s="76"/>
    </row>
    <row r="236" spans="5:17" hidden="1" outlineLevel="3" collapsed="1" x14ac:dyDescent="0.25">
      <c r="E236" s="84" t="s">
        <v>675</v>
      </c>
      <c r="F236" s="79"/>
      <c r="G236" s="79"/>
      <c r="H236" s="80"/>
      <c r="I236" s="81"/>
      <c r="J236" s="83">
        <f>HYPERLINK("#Структура!E357",Структура!E357)</f>
        <v>1</v>
      </c>
      <c r="K236" s="115">
        <f>HYPERLINK("#Структура!G357",Структура!G357)</f>
        <v>0.14871999999999999</v>
      </c>
      <c r="L236" s="81">
        <f>M236/J236</f>
        <v>33.233600000000003</v>
      </c>
      <c r="M236" s="81">
        <f>SUMIF(F237,"*",M237)*J236</f>
        <v>33.233600000000003</v>
      </c>
      <c r="N236" s="124">
        <f>HYPERLINK("#Трудозатраты!B44",Трудозатраты!B44+SUMIF(F237,"*",O237))</f>
        <v>4.7</v>
      </c>
      <c r="O236" s="82">
        <f>N236*J236</f>
        <v>4.7</v>
      </c>
      <c r="P236" s="81">
        <f>O236/60*(1+запас_труд)*стоимость_трудочаса</f>
        <v>184.08333333333334</v>
      </c>
      <c r="Q236" s="129">
        <f>M236*(1+наценка_покупное)+P236</f>
        <v>223.96365333333335</v>
      </c>
    </row>
    <row r="237" spans="5:17" hidden="1" outlineLevel="4" x14ac:dyDescent="0.25">
      <c r="F237" s="74" t="s">
        <v>128</v>
      </c>
      <c r="G237" s="74"/>
      <c r="H237" s="75"/>
      <c r="I237" s="76"/>
      <c r="J237" s="78">
        <f>HYPERLINK("#Структура!E138",Структура!E138)</f>
        <v>0.20771000000000001</v>
      </c>
      <c r="K237" s="114" t="str">
        <f>HYPERLINK("#Структура!G138","")</f>
        <v/>
      </c>
      <c r="L237" s="120">
        <f>HYPERLINK("#Покупные_изделия!D303",Покупные_изделия!D303)</f>
        <v>160</v>
      </c>
      <c r="M237" s="76">
        <f>J237*L237</f>
        <v>33.233600000000003</v>
      </c>
      <c r="N237" s="77"/>
      <c r="O237" s="77"/>
      <c r="P237" s="76"/>
      <c r="Q237" s="76"/>
    </row>
    <row r="238" spans="5:17" hidden="1" outlineLevel="3" collapsed="1" x14ac:dyDescent="0.25">
      <c r="E238" s="84" t="s">
        <v>676</v>
      </c>
      <c r="F238" s="79"/>
      <c r="G238" s="79"/>
      <c r="H238" s="80"/>
      <c r="I238" s="81"/>
      <c r="J238" s="83">
        <f>HYPERLINK("#Структура!E358",Структура!E358)</f>
        <v>1</v>
      </c>
      <c r="K238" s="115">
        <f>HYPERLINK("#Структура!G358",Структура!G358)</f>
        <v>0.71836</v>
      </c>
      <c r="L238" s="81">
        <f>M238/J238</f>
        <v>139.97120000000001</v>
      </c>
      <c r="M238" s="81">
        <f>SUMIF(F239,"*",M239)*J238</f>
        <v>139.97120000000001</v>
      </c>
      <c r="N238" s="124">
        <f>HYPERLINK("#Трудозатраты!B45",Трудозатраты!B45+SUMIF(F239,"*",O239))</f>
        <v>1.1000000000000001</v>
      </c>
      <c r="O238" s="82">
        <f>N238*J238</f>
        <v>1.1000000000000001</v>
      </c>
      <c r="P238" s="81">
        <f>O238/60*(1+запас_труд)*стоимость_трудочаса</f>
        <v>43.083333333333336</v>
      </c>
      <c r="Q238" s="129">
        <f>M238*(1+наценка_покупное)+P238</f>
        <v>211.04877333333334</v>
      </c>
    </row>
    <row r="239" spans="5:17" hidden="1" outlineLevel="4" x14ac:dyDescent="0.25">
      <c r="F239" s="74" t="s">
        <v>131</v>
      </c>
      <c r="G239" s="74"/>
      <c r="H239" s="75"/>
      <c r="I239" s="76"/>
      <c r="J239" s="78">
        <f>HYPERLINK("#Структура!E139",Структура!E139)</f>
        <v>0.87482000000000004</v>
      </c>
      <c r="K239" s="114" t="str">
        <f>HYPERLINK("#Структура!G139","")</f>
        <v/>
      </c>
      <c r="L239" s="120">
        <f>HYPERLINK("#Покупные_изделия!D306",Покупные_изделия!D306)</f>
        <v>160</v>
      </c>
      <c r="M239" s="76">
        <f>J239*L239</f>
        <v>139.97120000000001</v>
      </c>
      <c r="N239" s="77"/>
      <c r="O239" s="77"/>
      <c r="P239" s="76"/>
      <c r="Q239" s="76"/>
    </row>
    <row r="240" spans="5:17" hidden="1" outlineLevel="3" collapsed="1" x14ac:dyDescent="0.25">
      <c r="E240" s="84" t="s">
        <v>677</v>
      </c>
      <c r="F240" s="79"/>
      <c r="G240" s="79"/>
      <c r="H240" s="80"/>
      <c r="I240" s="81"/>
      <c r="J240" s="83">
        <f>HYPERLINK("#Структура!E359",Структура!E359)</f>
        <v>2</v>
      </c>
      <c r="K240" s="115">
        <f>HYPERLINK("#Структура!G359",Структура!G359)</f>
        <v>4.1180000000000001E-2</v>
      </c>
      <c r="L240" s="81">
        <f>M240/J240</f>
        <v>8.2896000000000001</v>
      </c>
      <c r="M240" s="81">
        <f>SUMIF(F241,"*",M241)*J240</f>
        <v>16.5792</v>
      </c>
      <c r="N240" s="124">
        <f>HYPERLINK("#Трудозатраты!B46",Трудозатраты!B46+SUMIF(F241,"*",O241))</f>
        <v>0.3</v>
      </c>
      <c r="O240" s="82">
        <f>N240*J240</f>
        <v>0.6</v>
      </c>
      <c r="P240" s="81">
        <f>O240/60*(1+запас_труд)*стоимость_трудочаса</f>
        <v>23.5</v>
      </c>
      <c r="Q240" s="129">
        <f>M240*(1+наценка_покупное)+P240</f>
        <v>43.395039999999995</v>
      </c>
    </row>
    <row r="241" spans="4:17" hidden="1" outlineLevel="4" x14ac:dyDescent="0.25">
      <c r="F241" s="74" t="s">
        <v>130</v>
      </c>
      <c r="G241" s="74"/>
      <c r="H241" s="75"/>
      <c r="I241" s="76"/>
      <c r="J241" s="78">
        <f>HYPERLINK("#Структура!E140",Структура!E140)</f>
        <v>5.1810000000000002E-2</v>
      </c>
      <c r="K241" s="114" t="str">
        <f>HYPERLINK("#Структура!G140","")</f>
        <v/>
      </c>
      <c r="L241" s="120">
        <f>HYPERLINK("#Покупные_изделия!D305",Покупные_изделия!D305)</f>
        <v>160</v>
      </c>
      <c r="M241" s="76">
        <f>J241*L241</f>
        <v>8.2896000000000001</v>
      </c>
      <c r="N241" s="77"/>
      <c r="O241" s="77"/>
      <c r="P241" s="76"/>
      <c r="Q241" s="76"/>
    </row>
    <row r="242" spans="4:17" hidden="1" outlineLevel="3" collapsed="1" x14ac:dyDescent="0.25">
      <c r="E242" s="84" t="s">
        <v>741</v>
      </c>
      <c r="F242" s="79"/>
      <c r="G242" s="79"/>
      <c r="H242" s="80"/>
      <c r="I242" s="81"/>
      <c r="J242" s="83">
        <f>HYPERLINK("#Структура!E360",Структура!E360)</f>
        <v>1</v>
      </c>
      <c r="K242" s="115">
        <f>HYPERLINK("#Структура!G360",Структура!G360)</f>
        <v>0.70713999999999999</v>
      </c>
      <c r="L242" s="81">
        <f>M242/J242</f>
        <v>75.8</v>
      </c>
      <c r="M242" s="81">
        <f>SUMIF(F243,"*",M243)*J242</f>
        <v>75.8</v>
      </c>
      <c r="N242" s="124">
        <f>HYPERLINK("#Трудозатраты!B89",Трудозатраты!B89+SUMIF(F243,"*",O243))</f>
        <v>13</v>
      </c>
      <c r="O242" s="82">
        <f>N242*J242</f>
        <v>13</v>
      </c>
      <c r="P242" s="81">
        <f>O242/60*(1+запас_труд)*стоимость_трудочаса</f>
        <v>509.16666666666669</v>
      </c>
      <c r="Q242" s="129">
        <f>M242*(1+наценка_покупное)+P242</f>
        <v>600.12666666666667</v>
      </c>
    </row>
    <row r="243" spans="4:17" hidden="1" outlineLevel="4" x14ac:dyDescent="0.25">
      <c r="F243" s="74" t="s">
        <v>85</v>
      </c>
      <c r="G243" s="74"/>
      <c r="H243" s="75"/>
      <c r="I243" s="76"/>
      <c r="J243" s="78">
        <f>HYPERLINK("#Структура!E373",Структура!E373)</f>
        <v>0.75800000000000001</v>
      </c>
      <c r="K243" s="114" t="str">
        <f>HYPERLINK("#Структура!G373","")</f>
        <v/>
      </c>
      <c r="L243" s="120">
        <f>HYPERLINK("#Покупные_изделия!D254",Покупные_изделия!D254)</f>
        <v>100</v>
      </c>
      <c r="M243" s="76">
        <f t="shared" ref="M243:M255" si="12">J243*L243</f>
        <v>75.8</v>
      </c>
      <c r="N243" s="77"/>
      <c r="O243" s="77"/>
      <c r="P243" s="76"/>
      <c r="Q243" s="76"/>
    </row>
    <row r="244" spans="4:17" hidden="1" outlineLevel="3" x14ac:dyDescent="0.25">
      <c r="E244" s="74" t="s">
        <v>671</v>
      </c>
      <c r="F244" s="74"/>
      <c r="G244" s="74"/>
      <c r="H244" s="75"/>
      <c r="I244" s="76"/>
      <c r="J244" s="78">
        <f>HYPERLINK("#Структура!E361",Структура!E361)</f>
        <v>1</v>
      </c>
      <c r="K244" s="114">
        <f>HYPERLINK("#Структура!G361",Структура!G361)</f>
        <v>1.5699999999999999E-2</v>
      </c>
      <c r="L244" s="120">
        <f>HYPERLINK("#Покупные_изделия!D105",Покупные_изделия!D105)</f>
        <v>5.0999999999999996</v>
      </c>
      <c r="M244" s="76">
        <f t="shared" si="12"/>
        <v>5.0999999999999996</v>
      </c>
      <c r="N244" s="77"/>
      <c r="O244" s="77"/>
      <c r="P244" s="76"/>
      <c r="Q244" s="76"/>
    </row>
    <row r="245" spans="4:17" hidden="1" outlineLevel="3" x14ac:dyDescent="0.25">
      <c r="E245" s="74" t="s">
        <v>742</v>
      </c>
      <c r="F245" s="74"/>
      <c r="G245" s="74"/>
      <c r="H245" s="75"/>
      <c r="I245" s="76"/>
      <c r="J245" s="78">
        <f>HYPERLINK("#Структура!E362",Структура!E362)</f>
        <v>2</v>
      </c>
      <c r="K245" s="114">
        <f>HYPERLINK("#Структура!G362",Структура!G362)</f>
        <v>2.1299999999999999E-2</v>
      </c>
      <c r="L245" s="120">
        <f>HYPERLINK("#Покупные_изделия!D108",Покупные_изделия!D108)</f>
        <v>6.5159999999999991</v>
      </c>
      <c r="M245" s="76">
        <f t="shared" si="12"/>
        <v>13.031999999999998</v>
      </c>
      <c r="N245" s="77"/>
      <c r="O245" s="77"/>
      <c r="P245" s="76"/>
      <c r="Q245" s="76"/>
    </row>
    <row r="246" spans="4:17" hidden="1" outlineLevel="3" x14ac:dyDescent="0.25">
      <c r="E246" s="74" t="s">
        <v>743</v>
      </c>
      <c r="F246" s="74"/>
      <c r="G246" s="74"/>
      <c r="H246" s="75"/>
      <c r="I246" s="76"/>
      <c r="J246" s="78">
        <f>HYPERLINK("#Структура!E363",Структура!E363)</f>
        <v>1</v>
      </c>
      <c r="K246" s="114">
        <f>HYPERLINK("#Структура!G363",Структура!G363)</f>
        <v>1.1939999999999999E-2</v>
      </c>
      <c r="L246" s="120">
        <f>HYPERLINK("#Покупные_изделия!D113",Покупные_изделия!D113)</f>
        <v>102.75599999999999</v>
      </c>
      <c r="M246" s="76">
        <f t="shared" si="12"/>
        <v>102.75599999999999</v>
      </c>
      <c r="N246" s="77"/>
      <c r="O246" s="77"/>
      <c r="P246" s="76"/>
      <c r="Q246" s="76"/>
    </row>
    <row r="247" spans="4:17" hidden="1" outlineLevel="3" x14ac:dyDescent="0.25">
      <c r="E247" s="74" t="s">
        <v>50</v>
      </c>
      <c r="F247" s="74"/>
      <c r="G247" s="74"/>
      <c r="H247" s="75"/>
      <c r="I247" s="76"/>
      <c r="J247" s="78">
        <f>HYPERLINK("#Структура!E364",Структура!E364)</f>
        <v>4</v>
      </c>
      <c r="K247" s="114">
        <f>HYPERLINK("#Структура!G364",Структура!G364)</f>
        <v>2.2899999999999999E-3</v>
      </c>
      <c r="L247" s="120">
        <f>HYPERLINK("#Покупные_изделия!D138",Покупные_изделия!D138)</f>
        <v>31.627200000000002</v>
      </c>
      <c r="M247" s="76">
        <f t="shared" si="12"/>
        <v>126.50880000000001</v>
      </c>
      <c r="N247" s="77"/>
      <c r="O247" s="77"/>
      <c r="P247" s="76"/>
      <c r="Q247" s="76"/>
    </row>
    <row r="248" spans="4:17" hidden="1" outlineLevel="3" x14ac:dyDescent="0.25">
      <c r="E248" s="74" t="s">
        <v>56</v>
      </c>
      <c r="F248" s="74"/>
      <c r="G248" s="74"/>
      <c r="H248" s="75"/>
      <c r="I248" s="76"/>
      <c r="J248" s="78">
        <f>HYPERLINK("#Структура!E365",Структура!E365)</f>
        <v>4</v>
      </c>
      <c r="K248" s="114">
        <f>HYPERLINK("#Структура!G365",Структура!G365)</f>
        <v>9.6200000000000001E-3</v>
      </c>
      <c r="L248" s="120">
        <f>HYPERLINK("#Покупные_изделия!D145",Покупные_изделия!D145)</f>
        <v>9.4919999999999991</v>
      </c>
      <c r="M248" s="76">
        <f t="shared" si="12"/>
        <v>37.967999999999996</v>
      </c>
      <c r="N248" s="77"/>
      <c r="O248" s="77"/>
      <c r="P248" s="76"/>
      <c r="Q248" s="76"/>
    </row>
    <row r="249" spans="4:17" hidden="1" outlineLevel="3" x14ac:dyDescent="0.25">
      <c r="E249" s="74" t="s">
        <v>744</v>
      </c>
      <c r="F249" s="74"/>
      <c r="G249" s="74"/>
      <c r="H249" s="75"/>
      <c r="I249" s="76"/>
      <c r="J249" s="78">
        <f>HYPERLINK("#Структура!E366",Структура!E366)</f>
        <v>1</v>
      </c>
      <c r="K249" s="114">
        <f>HYPERLINK("#Структура!G366",Структура!G366)</f>
        <v>2.3500000000000001E-3</v>
      </c>
      <c r="L249" s="120">
        <f>HYPERLINK("#Покупные_изделия!D131",Покупные_изделия!D131)</f>
        <v>13.873200000000001</v>
      </c>
      <c r="M249" s="76">
        <f t="shared" si="12"/>
        <v>13.873200000000001</v>
      </c>
      <c r="N249" s="77"/>
      <c r="O249" s="77"/>
      <c r="P249" s="76"/>
      <c r="Q249" s="76"/>
    </row>
    <row r="250" spans="4:17" hidden="1" outlineLevel="3" x14ac:dyDescent="0.25">
      <c r="E250" s="74" t="s">
        <v>745</v>
      </c>
      <c r="F250" s="74"/>
      <c r="G250" s="74"/>
      <c r="H250" s="75"/>
      <c r="I250" s="76"/>
      <c r="J250" s="78">
        <f>HYPERLINK("#Структура!E367",Структура!E367)</f>
        <v>4</v>
      </c>
      <c r="K250" s="114">
        <f>HYPERLINK("#Структура!G367",Структура!G367)</f>
        <v>1.022E-2</v>
      </c>
      <c r="L250" s="120">
        <f>HYPERLINK("#Покупные_изделия!D174",Покупные_изделия!D174)</f>
        <v>4.7160000000000002</v>
      </c>
      <c r="M250" s="76">
        <f t="shared" si="12"/>
        <v>18.864000000000001</v>
      </c>
      <c r="N250" s="77"/>
      <c r="O250" s="77"/>
      <c r="P250" s="76"/>
      <c r="Q250" s="76"/>
    </row>
    <row r="251" spans="4:17" hidden="1" outlineLevel="3" x14ac:dyDescent="0.25">
      <c r="E251" s="74" t="s">
        <v>709</v>
      </c>
      <c r="F251" s="74"/>
      <c r="G251" s="74"/>
      <c r="H251" s="75"/>
      <c r="I251" s="76"/>
      <c r="J251" s="78">
        <f>HYPERLINK("#Структура!E368",Структура!E368)</f>
        <v>1</v>
      </c>
      <c r="K251" s="114">
        <f>HYPERLINK("#Структура!G368",Структура!G368)</f>
        <v>1.49E-2</v>
      </c>
      <c r="L251" s="120">
        <f>HYPERLINK("#Покупные_изделия!D191",Покупные_изделия!D191)</f>
        <v>2.3079818181818181</v>
      </c>
      <c r="M251" s="76">
        <f t="shared" si="12"/>
        <v>2.3079818181818181</v>
      </c>
      <c r="N251" s="77"/>
      <c r="O251" s="77"/>
      <c r="P251" s="76"/>
      <c r="Q251" s="76"/>
    </row>
    <row r="252" spans="4:17" hidden="1" outlineLevel="3" x14ac:dyDescent="0.25">
      <c r="E252" s="74" t="s">
        <v>746</v>
      </c>
      <c r="F252" s="74"/>
      <c r="G252" s="74"/>
      <c r="H252" s="75"/>
      <c r="I252" s="76"/>
      <c r="J252" s="78">
        <f>HYPERLINK("#Структура!E369",Структура!E369)</f>
        <v>4</v>
      </c>
      <c r="K252" s="114">
        <f>HYPERLINK("#Структура!G369",Структура!G369)</f>
        <v>5.5500000000000002E-3</v>
      </c>
      <c r="L252" s="120">
        <f>HYPERLINK("#Покупные_изделия!D192",Покупные_изделия!D192)</f>
        <v>1.9799999999999998</v>
      </c>
      <c r="M252" s="76">
        <f t="shared" si="12"/>
        <v>7.919999999999999</v>
      </c>
      <c r="N252" s="77"/>
      <c r="O252" s="77"/>
      <c r="P252" s="76"/>
      <c r="Q252" s="76"/>
    </row>
    <row r="253" spans="4:17" hidden="1" outlineLevel="3" x14ac:dyDescent="0.25">
      <c r="E253" s="74" t="s">
        <v>625</v>
      </c>
      <c r="F253" s="74"/>
      <c r="G253" s="74"/>
      <c r="H253" s="75"/>
      <c r="I253" s="76"/>
      <c r="J253" s="78">
        <f>HYPERLINK("#Структура!E370",Структура!E370)</f>
        <v>2</v>
      </c>
      <c r="K253" s="114">
        <f>HYPERLINK("#Структура!G370",Структура!G370)</f>
        <v>7.1399999999999996E-3</v>
      </c>
      <c r="L253" s="120">
        <f>HYPERLINK("#Покупные_изделия!D168",Покупные_изделия!D168)</f>
        <v>1.9715672368421051</v>
      </c>
      <c r="M253" s="76">
        <f t="shared" si="12"/>
        <v>3.9431344736842102</v>
      </c>
      <c r="N253" s="77"/>
      <c r="O253" s="77"/>
      <c r="P253" s="76"/>
      <c r="Q253" s="76"/>
    </row>
    <row r="254" spans="4:17" hidden="1" outlineLevel="3" x14ac:dyDescent="0.25">
      <c r="E254" s="74" t="s">
        <v>747</v>
      </c>
      <c r="F254" s="74"/>
      <c r="G254" s="74"/>
      <c r="H254" s="75"/>
      <c r="I254" s="76"/>
      <c r="J254" s="78">
        <f>HYPERLINK("#Структура!E371",Структура!E371)</f>
        <v>1</v>
      </c>
      <c r="K254" s="114">
        <f>HYPERLINK("#Структура!G371",Структура!G371)</f>
        <v>6.13E-3</v>
      </c>
      <c r="L254" s="120">
        <f>HYPERLINK("#Покупные_изделия!D537",Покупные_изделия!D537)</f>
        <v>2.8559999999999999</v>
      </c>
      <c r="M254" s="76">
        <f t="shared" si="12"/>
        <v>2.8559999999999999</v>
      </c>
      <c r="N254" s="77"/>
      <c r="O254" s="77"/>
      <c r="P254" s="76"/>
      <c r="Q254" s="76"/>
    </row>
    <row r="255" spans="4:17" hidden="1" outlineLevel="3" x14ac:dyDescent="0.25">
      <c r="E255" s="74" t="s">
        <v>737</v>
      </c>
      <c r="F255" s="74"/>
      <c r="G255" s="74"/>
      <c r="H255" s="75"/>
      <c r="I255" s="76"/>
      <c r="J255" s="78">
        <f>HYPERLINK("#Структура!E372",Структура!E372)</f>
        <v>1</v>
      </c>
      <c r="K255" s="114">
        <f>HYPERLINK("#Структура!G372",Структура!G372)</f>
        <v>1.73E-3</v>
      </c>
      <c r="L255" s="120">
        <f>HYPERLINK("#Покупные_изделия!D547",Покупные_изделия!D547)</f>
        <v>1.0415213493975914</v>
      </c>
      <c r="M255" s="76">
        <f t="shared" si="12"/>
        <v>1.0415213493975914</v>
      </c>
      <c r="N255" s="77"/>
      <c r="O255" s="77"/>
      <c r="P255" s="76"/>
      <c r="Q255" s="76"/>
    </row>
    <row r="256" spans="4:17" hidden="1" outlineLevel="2" collapsed="1" x14ac:dyDescent="0.25">
      <c r="D256" s="96" t="s">
        <v>756</v>
      </c>
      <c r="E256" s="91"/>
      <c r="F256" s="91"/>
      <c r="G256" s="91"/>
      <c r="H256" s="92"/>
      <c r="I256" s="93"/>
      <c r="J256" s="95">
        <f>HYPERLINK("#Структура!E406",Структура!E406)</f>
        <v>1</v>
      </c>
      <c r="K256" s="116">
        <f>HYPERLINK("#Структура!G406",Структура!G406)</f>
        <v>235.64962</v>
      </c>
      <c r="L256" s="93">
        <f>M256/J256</f>
        <v>132103.49144734486</v>
      </c>
      <c r="M256" s="93">
        <f>SUMIF(E257:E492,"*",M257:M492)*J256</f>
        <v>132103.49144734486</v>
      </c>
      <c r="N256" s="125">
        <f>HYPERLINK("#Трудозатраты!B99",Трудозатраты!B99+SUMIF(E257:E492,"*",O257:O492))</f>
        <v>1507.46</v>
      </c>
      <c r="O256" s="94">
        <f>N256*J256</f>
        <v>1507.46</v>
      </c>
      <c r="P256" s="93">
        <f>O256/60*(1+запас_труд)*стоимость_трудочаса</f>
        <v>59042.183333333334</v>
      </c>
      <c r="Q256" s="130">
        <f>M256*(1+наценка_покупное)+P256</f>
        <v>217566.37307014718</v>
      </c>
    </row>
    <row r="257" spans="5:17" hidden="1" outlineLevel="3" collapsed="1" x14ac:dyDescent="0.25">
      <c r="E257" s="97" t="s">
        <v>596</v>
      </c>
      <c r="F257" s="98"/>
      <c r="G257" s="98"/>
      <c r="H257" s="99"/>
      <c r="I257" s="100"/>
      <c r="J257" s="102">
        <f>HYPERLINK("#Структура!E416",Структура!E416)</f>
        <v>1</v>
      </c>
      <c r="K257" s="112">
        <f>HYPERLINK("#Структура!G416",Структура!G416)</f>
        <v>13.637930000000001</v>
      </c>
      <c r="L257" s="100">
        <f>M257/J257</f>
        <v>3178.4705483999996</v>
      </c>
      <c r="M257" s="100">
        <f>SUMIF(F258:F263,"*",M258:M263)*J257</f>
        <v>3178.4705483999996</v>
      </c>
      <c r="N257" s="122">
        <f>HYPERLINK("#Трудозатраты!B10",Трудозатраты!B10+SUMIF(F258:F263,"*",O258:O263))</f>
        <v>192</v>
      </c>
      <c r="O257" s="101">
        <f>N257*J257</f>
        <v>192</v>
      </c>
      <c r="P257" s="100">
        <f>O257/60*(1+запас_труд)*стоимость_трудочаса</f>
        <v>7520</v>
      </c>
      <c r="Q257" s="127">
        <f>M257*(1+наценка_покупное)+P257</f>
        <v>11334.164658079999</v>
      </c>
    </row>
    <row r="258" spans="5:17" hidden="1" outlineLevel="4" collapsed="1" x14ac:dyDescent="0.25">
      <c r="F258" s="85" t="s">
        <v>593</v>
      </c>
      <c r="G258" s="86"/>
      <c r="H258" s="87"/>
      <c r="I258" s="88"/>
      <c r="J258" s="90">
        <f>HYPERLINK("#Структура!E10",Структура!E10)</f>
        <v>1</v>
      </c>
      <c r="K258" s="113">
        <f>HYPERLINK("#Структура!G10",Структура!G10)</f>
        <v>10.563599999999999</v>
      </c>
      <c r="L258" s="88">
        <f>M258/J258</f>
        <v>2580.3804</v>
      </c>
      <c r="M258" s="88">
        <f>SUMIF(G259,"*",M259)*J258</f>
        <v>2580.3804</v>
      </c>
      <c r="N258" s="123">
        <f>HYPERLINK("#Трудозатраты!B8",Трудозатраты!B8+SUMIF(G259,"*",O259))</f>
        <v>40</v>
      </c>
      <c r="O258" s="89">
        <f>N258*J258</f>
        <v>40</v>
      </c>
      <c r="P258" s="88">
        <f>O258/60*(1+запас_труд)*стоимость_трудочаса</f>
        <v>1566.6666666666665</v>
      </c>
      <c r="Q258" s="128">
        <f>M258*(1+наценка_покупное)+P258</f>
        <v>4663.1231466666668</v>
      </c>
    </row>
    <row r="259" spans="5:17" hidden="1" outlineLevel="5" x14ac:dyDescent="0.25">
      <c r="G259" s="74" t="s">
        <v>592</v>
      </c>
      <c r="H259" s="75"/>
      <c r="I259" s="76"/>
      <c r="J259" s="78">
        <f>HYPERLINK("#Структура!E8",Структура!E8)</f>
        <v>21.503170000000001</v>
      </c>
      <c r="K259" s="114" t="str">
        <f>HYPERLINK("#Структура!G8","")</f>
        <v/>
      </c>
      <c r="L259" s="120">
        <f>HYPERLINK("#Покупные_изделия!D288",Покупные_изделия!D288)</f>
        <v>120</v>
      </c>
      <c r="M259" s="76">
        <f>J259*L259</f>
        <v>2580.3804</v>
      </c>
      <c r="N259" s="77"/>
      <c r="O259" s="77"/>
      <c r="P259" s="76"/>
      <c r="Q259" s="76"/>
    </row>
    <row r="260" spans="5:17" hidden="1" outlineLevel="4" collapsed="1" x14ac:dyDescent="0.25">
      <c r="F260" s="84" t="s">
        <v>594</v>
      </c>
      <c r="G260" s="79"/>
      <c r="H260" s="80"/>
      <c r="I260" s="81"/>
      <c r="J260" s="83">
        <f>HYPERLINK("#Структура!E11",Структура!E11)</f>
        <v>1</v>
      </c>
      <c r="K260" s="115">
        <f>HYPERLINK("#Структура!G11",Структура!G11)</f>
        <v>3.0743299999999998</v>
      </c>
      <c r="L260" s="81">
        <f>M260/J260</f>
        <v>587.1</v>
      </c>
      <c r="M260" s="81">
        <f>SUMIF(G261,"*",M261)*J260</f>
        <v>587.1</v>
      </c>
      <c r="N260" s="124">
        <f>HYPERLINK("#Трудозатраты!B9",Трудозатраты!B9+SUMIF(G261,"*",O261))</f>
        <v>42</v>
      </c>
      <c r="O260" s="82">
        <f>N260*J260</f>
        <v>42</v>
      </c>
      <c r="P260" s="81">
        <f>O260/60*(1+запас_труд)*стоимость_трудочаса</f>
        <v>1645</v>
      </c>
      <c r="Q260" s="129">
        <f>M260*(1+наценка_покупное)+P260</f>
        <v>2349.52</v>
      </c>
    </row>
    <row r="261" spans="5:17" hidden="1" outlineLevel="5" x14ac:dyDescent="0.25">
      <c r="G261" s="74" t="s">
        <v>77</v>
      </c>
      <c r="H261" s="75"/>
      <c r="I261" s="76"/>
      <c r="J261" s="78">
        <f>HYPERLINK("#Структура!E9",Структура!E9)</f>
        <v>5.8710000000000004</v>
      </c>
      <c r="K261" s="114" t="str">
        <f>HYPERLINK("#Структура!G9","")</f>
        <v/>
      </c>
      <c r="L261" s="120">
        <f>HYPERLINK("#Покупные_изделия!D246",Покупные_изделия!D246)</f>
        <v>100</v>
      </c>
      <c r="M261" s="76">
        <f>J261*L261</f>
        <v>587.1</v>
      </c>
      <c r="N261" s="77"/>
      <c r="O261" s="77"/>
      <c r="P261" s="76"/>
      <c r="Q261" s="76"/>
    </row>
    <row r="262" spans="5:17" hidden="1" outlineLevel="4" x14ac:dyDescent="0.25">
      <c r="F262" s="74" t="s">
        <v>67</v>
      </c>
      <c r="G262" s="74"/>
      <c r="H262" s="75"/>
      <c r="I262" s="76"/>
      <c r="J262" s="78">
        <f>HYPERLINK("#Структура!E12",Структура!E12)</f>
        <v>0.11899999999999999</v>
      </c>
      <c r="K262" s="114" t="str">
        <f>HYPERLINK("#Структура!G12","")</f>
        <v/>
      </c>
      <c r="L262" s="120">
        <f>HYPERLINK("#Покупные_изделия!D203",Покупные_изделия!D203)</f>
        <v>30.003600000000002</v>
      </c>
      <c r="M262" s="76">
        <f>J262*L262</f>
        <v>3.5704283999999999</v>
      </c>
      <c r="N262" s="77"/>
      <c r="O262" s="77"/>
      <c r="P262" s="76"/>
      <c r="Q262" s="76"/>
    </row>
    <row r="263" spans="5:17" hidden="1" outlineLevel="4" x14ac:dyDescent="0.25">
      <c r="F263" s="74" t="s">
        <v>146</v>
      </c>
      <c r="G263" s="74"/>
      <c r="H263" s="75"/>
      <c r="I263" s="76"/>
      <c r="J263" s="78">
        <f>HYPERLINK("#Структура!E13",Структура!E13)</f>
        <v>7.0000000000000007E-2</v>
      </c>
      <c r="K263" s="114" t="str">
        <f>HYPERLINK("#Структура!G13","")</f>
        <v/>
      </c>
      <c r="L263" s="120">
        <f>HYPERLINK("#Покупные_изделия!D406",Покупные_изделия!D406)</f>
        <v>105.996</v>
      </c>
      <c r="M263" s="76">
        <f>J263*L263</f>
        <v>7.4197200000000008</v>
      </c>
      <c r="N263" s="77"/>
      <c r="O263" s="77"/>
      <c r="P263" s="76"/>
      <c r="Q263" s="76"/>
    </row>
    <row r="264" spans="5:17" hidden="1" outlineLevel="3" collapsed="1" x14ac:dyDescent="0.25">
      <c r="E264" s="96" t="s">
        <v>646</v>
      </c>
      <c r="F264" s="91"/>
      <c r="G264" s="91"/>
      <c r="H264" s="92"/>
      <c r="I264" s="93"/>
      <c r="J264" s="95">
        <f>HYPERLINK("#Структура!E417",Структура!E417)</f>
        <v>1</v>
      </c>
      <c r="K264" s="116">
        <f>HYPERLINK("#Структура!G417",Структура!G417)</f>
        <v>5.0446999999999997</v>
      </c>
      <c r="L264" s="93">
        <f>M264/J264</f>
        <v>1257.9789378947366</v>
      </c>
      <c r="M264" s="93">
        <f>SUMIF(F265:F270,"*",M265:M270)*J264</f>
        <v>1257.9789378947366</v>
      </c>
      <c r="N264" s="125">
        <f>HYPERLINK("#Трудозатраты!B19",Трудозатраты!B19+SUMIF(F265:F270,"*",O265:O270))</f>
        <v>43.6</v>
      </c>
      <c r="O264" s="94">
        <f>N264*J264</f>
        <v>43.6</v>
      </c>
      <c r="P264" s="93">
        <f>O264/60*(1+запас_труд)*стоимость_трудочаса</f>
        <v>1707.6666666666667</v>
      </c>
      <c r="Q264" s="130">
        <f>M264*(1+наценка_покупное)+P264</f>
        <v>3217.2413921403504</v>
      </c>
    </row>
    <row r="265" spans="5:17" hidden="1" outlineLevel="4" collapsed="1" x14ac:dyDescent="0.25">
      <c r="F265" s="85" t="s">
        <v>645</v>
      </c>
      <c r="G265" s="86"/>
      <c r="H265" s="87"/>
      <c r="I265" s="88"/>
      <c r="J265" s="90">
        <f>HYPERLINK("#Структура!E69",Структура!E69)</f>
        <v>1</v>
      </c>
      <c r="K265" s="113">
        <f>HYPERLINK("#Структура!G69",Структура!G69)</f>
        <v>4.21028</v>
      </c>
      <c r="L265" s="88">
        <f>M265/J265</f>
        <v>1068.2287999999999</v>
      </c>
      <c r="M265" s="88">
        <f>SUMIF(G266,"*",M266)*J265</f>
        <v>1068.2287999999999</v>
      </c>
      <c r="N265" s="123">
        <f>HYPERLINK("#Трудозатраты!B20",Трудозатраты!B20+SUMIF(G266,"*",O266))</f>
        <v>7.5</v>
      </c>
      <c r="O265" s="89">
        <f>N265*J265</f>
        <v>7.5</v>
      </c>
      <c r="P265" s="88">
        <f>O265/60*(1+запас_труд)*стоимость_трудочаса</f>
        <v>293.75</v>
      </c>
      <c r="Q265" s="128">
        <f>M265*(1+наценка_покупное)+P265</f>
        <v>1575.6245599999997</v>
      </c>
    </row>
    <row r="266" spans="5:17" hidden="1" outlineLevel="5" x14ac:dyDescent="0.25">
      <c r="G266" s="74" t="s">
        <v>128</v>
      </c>
      <c r="H266" s="75"/>
      <c r="I266" s="76"/>
      <c r="J266" s="78">
        <f>HYPERLINK("#Структура!E73",Структура!E73)</f>
        <v>6.6764299999999999</v>
      </c>
      <c r="K266" s="114" t="str">
        <f>HYPERLINK("#Структура!G73","")</f>
        <v/>
      </c>
      <c r="L266" s="120">
        <f>HYPERLINK("#Покупные_изделия!D303",Покупные_изделия!D303)</f>
        <v>160</v>
      </c>
      <c r="M266" s="76">
        <f>J266*L266</f>
        <v>1068.2287999999999</v>
      </c>
      <c r="N266" s="77"/>
      <c r="O266" s="77"/>
      <c r="P266" s="76"/>
      <c r="Q266" s="76"/>
    </row>
    <row r="267" spans="5:17" hidden="1" outlineLevel="4" collapsed="1" x14ac:dyDescent="0.25">
      <c r="F267" s="84" t="s">
        <v>647</v>
      </c>
      <c r="G267" s="79"/>
      <c r="H267" s="80"/>
      <c r="I267" s="81"/>
      <c r="J267" s="83">
        <f>HYPERLINK("#Структура!E70",Структура!E70)</f>
        <v>2</v>
      </c>
      <c r="K267" s="115">
        <f>HYPERLINK("#Структура!G70",Структура!G70)</f>
        <v>0.36120000000000002</v>
      </c>
      <c r="L267" s="81">
        <f>M267/J267</f>
        <v>69.948800000000006</v>
      </c>
      <c r="M267" s="81">
        <f>SUMIF(G268,"*",M268)*J267</f>
        <v>139.89760000000001</v>
      </c>
      <c r="N267" s="124">
        <f>HYPERLINK("#Трудозатраты!B21",Трудозатраты!B21+SUMIF(G268,"*",O268))</f>
        <v>13.05</v>
      </c>
      <c r="O267" s="82">
        <f>N267*J267</f>
        <v>26.1</v>
      </c>
      <c r="P267" s="81">
        <f>O267/60*(1+запас_труд)*стоимость_трудочаса</f>
        <v>1022.25</v>
      </c>
      <c r="Q267" s="129">
        <f>M267*(1+наценка_покупное)+P267</f>
        <v>1190.1271200000001</v>
      </c>
    </row>
    <row r="268" spans="5:17" hidden="1" outlineLevel="5" x14ac:dyDescent="0.25">
      <c r="G268" s="74" t="s">
        <v>128</v>
      </c>
      <c r="H268" s="75"/>
      <c r="I268" s="76"/>
      <c r="J268" s="78">
        <f>HYPERLINK("#Структура!E74",Структура!E74)</f>
        <v>0.43718000000000001</v>
      </c>
      <c r="K268" s="114" t="str">
        <f>HYPERLINK("#Структура!G74","")</f>
        <v/>
      </c>
      <c r="L268" s="120">
        <f>HYPERLINK("#Покупные_изделия!D303",Покупные_изделия!D303)</f>
        <v>160</v>
      </c>
      <c r="M268" s="76">
        <f>J268*L268</f>
        <v>69.948800000000006</v>
      </c>
      <c r="N268" s="77"/>
      <c r="O268" s="77"/>
      <c r="P268" s="76"/>
      <c r="Q268" s="76"/>
    </row>
    <row r="269" spans="5:17" hidden="1" outlineLevel="4" x14ac:dyDescent="0.25">
      <c r="F269" s="74" t="s">
        <v>648</v>
      </c>
      <c r="G269" s="74"/>
      <c r="H269" s="75"/>
      <c r="I269" s="76"/>
      <c r="J269" s="78">
        <f>HYPERLINK("#Структура!E71",Структура!E71)</f>
        <v>8</v>
      </c>
      <c r="K269" s="114">
        <f>HYPERLINK("#Структура!G71",Структура!G71)</f>
        <v>1.325E-2</v>
      </c>
      <c r="L269" s="120">
        <f>HYPERLINK("#Покупные_изделия!D103",Покупные_изделия!D103)</f>
        <v>4.26</v>
      </c>
      <c r="M269" s="76">
        <f>J269*L269</f>
        <v>34.08</v>
      </c>
      <c r="N269" s="77"/>
      <c r="O269" s="77"/>
      <c r="P269" s="76"/>
      <c r="Q269" s="76"/>
    </row>
    <row r="270" spans="5:17" hidden="1" outlineLevel="4" x14ac:dyDescent="0.25">
      <c r="F270" s="74" t="s">
        <v>625</v>
      </c>
      <c r="G270" s="74"/>
      <c r="H270" s="75"/>
      <c r="I270" s="76"/>
      <c r="J270" s="78">
        <f>HYPERLINK("#Структура!E72",Структура!E72)</f>
        <v>8</v>
      </c>
      <c r="K270" s="114">
        <f>HYPERLINK("#Структура!G72",Структура!G72)</f>
        <v>7.1399999999999996E-3</v>
      </c>
      <c r="L270" s="120">
        <f>HYPERLINK("#Покупные_изделия!D168",Покупные_изделия!D168)</f>
        <v>1.9715672368421051</v>
      </c>
      <c r="M270" s="76">
        <f>J270*L270</f>
        <v>15.772537894736841</v>
      </c>
      <c r="N270" s="77"/>
      <c r="O270" s="77"/>
      <c r="P270" s="76"/>
      <c r="Q270" s="76"/>
    </row>
    <row r="271" spans="5:17" hidden="1" outlineLevel="3" collapsed="1" x14ac:dyDescent="0.25">
      <c r="E271" s="96" t="s">
        <v>661</v>
      </c>
      <c r="F271" s="91"/>
      <c r="G271" s="91"/>
      <c r="H271" s="92"/>
      <c r="I271" s="93"/>
      <c r="J271" s="95">
        <f>HYPERLINK("#Структура!E418",Структура!E418)</f>
        <v>2</v>
      </c>
      <c r="K271" s="116">
        <f>HYPERLINK("#Структура!G418",Структура!G418)</f>
        <v>0.53744000000000003</v>
      </c>
      <c r="L271" s="93">
        <f>M271/J271</f>
        <v>183.87073599999999</v>
      </c>
      <c r="M271" s="93">
        <f>SUMIF(F272:F276,"*",M272:M276)*J271</f>
        <v>367.74147199999999</v>
      </c>
      <c r="N271" s="125">
        <f>HYPERLINK("#Трудозатраты!B32",Трудозатраты!B32+SUMIF(F272:F276,"*",O272:O276))</f>
        <v>29.7</v>
      </c>
      <c r="O271" s="94">
        <f>N271*J271</f>
        <v>59.4</v>
      </c>
      <c r="P271" s="93">
        <f>O271/60*(1+запас_труд)*стоимость_трудочаса</f>
        <v>2326.5</v>
      </c>
      <c r="Q271" s="130">
        <f>M271*(1+наценка_покупное)+P271</f>
        <v>2767.7897664000002</v>
      </c>
    </row>
    <row r="272" spans="5:17" hidden="1" outlineLevel="4" collapsed="1" x14ac:dyDescent="0.25">
      <c r="F272" s="85" t="s">
        <v>660</v>
      </c>
      <c r="G272" s="86"/>
      <c r="H272" s="87"/>
      <c r="I272" s="88"/>
      <c r="J272" s="90">
        <f>HYPERLINK("#Структура!E97",Структура!E97)</f>
        <v>1</v>
      </c>
      <c r="K272" s="113">
        <f>HYPERLINK("#Структура!G97",Структура!G97)</f>
        <v>0.34733999999999998</v>
      </c>
      <c r="L272" s="88">
        <f>M272/J272</f>
        <v>37.799999999999997</v>
      </c>
      <c r="M272" s="88">
        <f>SUMIF(G273,"*",M273)*J272</f>
        <v>37.799999999999997</v>
      </c>
      <c r="N272" s="123">
        <f>HYPERLINK("#Трудозатраты!B33",Трудозатраты!B33+SUMIF(G273,"*",O273))</f>
        <v>19.7</v>
      </c>
      <c r="O272" s="89">
        <f>N272*J272</f>
        <v>19.7</v>
      </c>
      <c r="P272" s="88">
        <f>O272/60*(1+запас_труд)*стоимость_трудочаса</f>
        <v>771.58333333333326</v>
      </c>
      <c r="Q272" s="128">
        <f>M272*(1+наценка_покупное)+P272</f>
        <v>816.94333333333327</v>
      </c>
    </row>
    <row r="273" spans="5:17" hidden="1" outlineLevel="5" x14ac:dyDescent="0.25">
      <c r="G273" s="74" t="s">
        <v>83</v>
      </c>
      <c r="H273" s="75"/>
      <c r="I273" s="76"/>
      <c r="J273" s="78">
        <f>HYPERLINK("#Структура!E101",Структура!E101)</f>
        <v>0.378</v>
      </c>
      <c r="K273" s="114" t="str">
        <f>HYPERLINK("#Структура!G101","")</f>
        <v/>
      </c>
      <c r="L273" s="120">
        <f>HYPERLINK("#Покупные_изделия!D252",Покупные_изделия!D252)</f>
        <v>100</v>
      </c>
      <c r="M273" s="76">
        <f>J273*L273</f>
        <v>37.799999999999997</v>
      </c>
      <c r="N273" s="77"/>
      <c r="O273" s="77"/>
      <c r="P273" s="76"/>
      <c r="Q273" s="76"/>
    </row>
    <row r="274" spans="5:17" hidden="1" outlineLevel="4" x14ac:dyDescent="0.25">
      <c r="F274" s="74" t="s">
        <v>662</v>
      </c>
      <c r="G274" s="74"/>
      <c r="H274" s="75"/>
      <c r="I274" s="76"/>
      <c r="J274" s="78">
        <f>HYPERLINK("#Структура!E98",Структура!E98)</f>
        <v>2</v>
      </c>
      <c r="K274" s="114">
        <f>HYPERLINK("#Структура!G98",Структура!G98)</f>
        <v>1.098E-2</v>
      </c>
      <c r="L274" s="120">
        <f>HYPERLINK("#Покупные_изделия!D541",Покупные_изделия!D541)</f>
        <v>1.713367999999998</v>
      </c>
      <c r="M274" s="76">
        <f>J274*L274</f>
        <v>3.426735999999996</v>
      </c>
      <c r="N274" s="77"/>
      <c r="O274" s="77"/>
      <c r="P274" s="76"/>
      <c r="Q274" s="76"/>
    </row>
    <row r="275" spans="5:17" hidden="1" outlineLevel="4" x14ac:dyDescent="0.25">
      <c r="F275" s="74" t="s">
        <v>214</v>
      </c>
      <c r="G275" s="74"/>
      <c r="H275" s="75"/>
      <c r="I275" s="76"/>
      <c r="J275" s="78">
        <f>HYPERLINK("#Структура!E99",Структура!E99)</f>
        <v>2</v>
      </c>
      <c r="K275" s="114">
        <f>HYPERLINK("#Структура!G99",Структура!G99)</f>
        <v>4.9300000000000004E-3</v>
      </c>
      <c r="L275" s="120">
        <f>HYPERLINK("#Покупные_изделия!D564",Покупные_изделия!D564)</f>
        <v>1.32</v>
      </c>
      <c r="M275" s="76">
        <f>J275*L275</f>
        <v>2.64</v>
      </c>
      <c r="N275" s="77"/>
      <c r="O275" s="77"/>
      <c r="P275" s="76"/>
      <c r="Q275" s="76"/>
    </row>
    <row r="276" spans="5:17" hidden="1" outlineLevel="4" x14ac:dyDescent="0.25">
      <c r="F276" s="74" t="s">
        <v>160</v>
      </c>
      <c r="G276" s="74"/>
      <c r="H276" s="75"/>
      <c r="I276" s="76"/>
      <c r="J276" s="78">
        <f>HYPERLINK("#Структура!E100",Структура!E100)</f>
        <v>1</v>
      </c>
      <c r="K276" s="114">
        <f>HYPERLINK("#Структура!G100",Структура!G100)</f>
        <v>0.15828999999999999</v>
      </c>
      <c r="L276" s="120">
        <f>HYPERLINK("#Покупные_изделия!D433",Покупные_изделия!D433)</f>
        <v>140.00399999999999</v>
      </c>
      <c r="M276" s="76">
        <f>J276*L276</f>
        <v>140.00399999999999</v>
      </c>
      <c r="N276" s="77"/>
      <c r="O276" s="77"/>
      <c r="P276" s="76"/>
      <c r="Q276" s="76"/>
    </row>
    <row r="277" spans="5:17" hidden="1" outlineLevel="3" collapsed="1" x14ac:dyDescent="0.25">
      <c r="E277" s="96" t="s">
        <v>719</v>
      </c>
      <c r="F277" s="91"/>
      <c r="G277" s="91"/>
      <c r="H277" s="92"/>
      <c r="I277" s="93"/>
      <c r="J277" s="95">
        <f>HYPERLINK("#Структура!E419",Структура!E419)</f>
        <v>2</v>
      </c>
      <c r="K277" s="116">
        <f>HYPERLINK("#Структура!G419",Структура!G419)</f>
        <v>12.01554</v>
      </c>
      <c r="L277" s="93">
        <f>M277/J277</f>
        <v>2706.8852132680854</v>
      </c>
      <c r="M277" s="93">
        <f>SUMIF(F278:F294,"*",M278:M294)*J277</f>
        <v>5413.7704265361708</v>
      </c>
      <c r="N277" s="125">
        <f>HYPERLINK("#Трудозатраты!B75",Трудозатраты!B75+SUMIF(F278:F294,"*",O278:O294))</f>
        <v>35.4</v>
      </c>
      <c r="O277" s="94">
        <f>N277*J277</f>
        <v>70.8</v>
      </c>
      <c r="P277" s="93">
        <f>O277/60*(1+запас_труд)*стоимость_трудочаса</f>
        <v>2773</v>
      </c>
      <c r="Q277" s="130">
        <f>M277*(1+наценка_покупное)+P277</f>
        <v>9269.524511843405</v>
      </c>
    </row>
    <row r="278" spans="5:17" hidden="1" outlineLevel="4" collapsed="1" x14ac:dyDescent="0.25">
      <c r="F278" s="97" t="s">
        <v>718</v>
      </c>
      <c r="G278" s="98"/>
      <c r="H278" s="99"/>
      <c r="I278" s="100"/>
      <c r="J278" s="102">
        <f>HYPERLINK("#Структура!E278",Структура!E278)</f>
        <v>1</v>
      </c>
      <c r="K278" s="112">
        <f>HYPERLINK("#Структура!G278",Структура!G278)</f>
        <v>9.3714099999999991</v>
      </c>
      <c r="L278" s="100">
        <f>M278/J278</f>
        <v>1550.2591428000001</v>
      </c>
      <c r="M278" s="100">
        <f>SUMIF(G279:G289,"*",M279:M289)*J278</f>
        <v>1550.2591428000001</v>
      </c>
      <c r="N278" s="122">
        <f>HYPERLINK("#Трудозатраты!B76",Трудозатраты!B76+SUMIF(G279:G289,"*",O279:O289))</f>
        <v>25.4</v>
      </c>
      <c r="O278" s="101">
        <f>N278*J278</f>
        <v>25.4</v>
      </c>
      <c r="P278" s="100">
        <f>O278/60*(1+запас_труд)*стоимость_трудочаса</f>
        <v>994.83333333333326</v>
      </c>
      <c r="Q278" s="127">
        <f>M278*(1+наценка_покупное)+P278</f>
        <v>2855.1443046933332</v>
      </c>
    </row>
    <row r="279" spans="5:17" hidden="1" outlineLevel="5" collapsed="1" x14ac:dyDescent="0.25">
      <c r="G279" s="85" t="s">
        <v>724</v>
      </c>
      <c r="H279" s="87"/>
      <c r="I279" s="88"/>
      <c r="J279" s="90">
        <f>HYPERLINK("#Структура!E284",Структура!E284)</f>
        <v>1</v>
      </c>
      <c r="K279" s="113">
        <f>HYPERLINK("#Структура!G284",Структура!G284)</f>
        <v>6.7651300000000001</v>
      </c>
      <c r="L279" s="88">
        <f>M279/J279</f>
        <v>1022.7864000000001</v>
      </c>
      <c r="M279" s="88">
        <f>SUMIF(H280,"*",M280)*J279</f>
        <v>1022.7864000000001</v>
      </c>
      <c r="N279" s="123">
        <f>HYPERLINK("#Трудозатраты!B77",Трудозатраты!B77+SUMIF(H280,"*",O280))</f>
        <v>2.4</v>
      </c>
      <c r="O279" s="89">
        <f>N279*J279</f>
        <v>2.4</v>
      </c>
      <c r="P279" s="88">
        <f>O279/60*(1+запас_труд)*стоимость_трудочаса</f>
        <v>94</v>
      </c>
      <c r="Q279" s="128">
        <f>M279*(1+наценка_покупное)+P279</f>
        <v>1321.3436799999999</v>
      </c>
    </row>
    <row r="280" spans="5:17" hidden="1" outlineLevel="6" x14ac:dyDescent="0.25">
      <c r="H280" s="75" t="s">
        <v>120</v>
      </c>
      <c r="I280" s="76"/>
      <c r="J280" s="78">
        <f>HYPERLINK("#Структура!E293",Структура!E293)</f>
        <v>8.5232200000000002</v>
      </c>
      <c r="K280" s="114" t="str">
        <f>HYPERLINK("#Структура!G293","")</f>
        <v/>
      </c>
      <c r="L280" s="120">
        <f>HYPERLINK("#Покупные_изделия!D295",Покупные_изделия!D295)</f>
        <v>120</v>
      </c>
      <c r="M280" s="76">
        <f>J280*L280</f>
        <v>1022.7864000000001</v>
      </c>
      <c r="N280" s="77"/>
      <c r="O280" s="77"/>
      <c r="P280" s="76"/>
      <c r="Q280" s="76"/>
    </row>
    <row r="281" spans="5:17" hidden="1" outlineLevel="5" collapsed="1" x14ac:dyDescent="0.25">
      <c r="G281" s="84" t="s">
        <v>725</v>
      </c>
      <c r="H281" s="80"/>
      <c r="I281" s="81"/>
      <c r="J281" s="83">
        <f>HYPERLINK("#Структура!E285",Структура!E285)</f>
        <v>1</v>
      </c>
      <c r="K281" s="115">
        <f>HYPERLINK("#Структура!G285",Структура!G285)</f>
        <v>2.6062799999999999</v>
      </c>
      <c r="L281" s="81">
        <f>M281/J281</f>
        <v>393.108</v>
      </c>
      <c r="M281" s="81">
        <f>SUMIF(H282,"*",M282)*J281</f>
        <v>393.108</v>
      </c>
      <c r="N281" s="124">
        <f>HYPERLINK("#Трудозатраты!B78",Трудозатраты!B78+SUMIF(H282,"*",O282))</f>
        <v>2.5</v>
      </c>
      <c r="O281" s="82">
        <f>N281*J281</f>
        <v>2.5</v>
      </c>
      <c r="P281" s="81">
        <f>O281/60*(1+запас_труд)*стоимость_трудочаса</f>
        <v>97.916666666666657</v>
      </c>
      <c r="Q281" s="129">
        <f>M281*(1+наценка_покупное)+P281</f>
        <v>569.64626666666663</v>
      </c>
    </row>
    <row r="282" spans="5:17" hidden="1" outlineLevel="6" x14ac:dyDescent="0.25">
      <c r="H282" s="75" t="s">
        <v>120</v>
      </c>
      <c r="I282" s="76"/>
      <c r="J282" s="78">
        <f>HYPERLINK("#Структура!E294",Структура!E294)</f>
        <v>3.2759</v>
      </c>
      <c r="K282" s="114" t="str">
        <f>HYPERLINK("#Структура!G294","")</f>
        <v/>
      </c>
      <c r="L282" s="120">
        <f>HYPERLINK("#Покупные_изделия!D295",Покупные_изделия!D295)</f>
        <v>120</v>
      </c>
      <c r="M282" s="76">
        <f t="shared" ref="M282:M294" si="13">J282*L282</f>
        <v>393.108</v>
      </c>
      <c r="N282" s="77"/>
      <c r="O282" s="77"/>
      <c r="P282" s="76"/>
      <c r="Q282" s="76"/>
    </row>
    <row r="283" spans="5:17" hidden="1" outlineLevel="5" x14ac:dyDescent="0.25">
      <c r="G283" s="74" t="s">
        <v>44</v>
      </c>
      <c r="H283" s="75"/>
      <c r="I283" s="76"/>
      <c r="J283" s="78">
        <f>HYPERLINK("#Структура!E286",Структура!E286)</f>
        <v>0.152</v>
      </c>
      <c r="K283" s="114" t="str">
        <f>HYPERLINK("#Структура!G286","")</f>
        <v/>
      </c>
      <c r="L283" s="120">
        <f>HYPERLINK("#Покупные_изделия!D63",Покупные_изделия!D63)</f>
        <v>396.00000000000006</v>
      </c>
      <c r="M283" s="76">
        <f t="shared" si="13"/>
        <v>60.192000000000007</v>
      </c>
      <c r="N283" s="77"/>
      <c r="O283" s="77"/>
      <c r="P283" s="76"/>
      <c r="Q283" s="76"/>
    </row>
    <row r="284" spans="5:17" hidden="1" outlineLevel="5" x14ac:dyDescent="0.25">
      <c r="G284" s="74" t="s">
        <v>67</v>
      </c>
      <c r="H284" s="75"/>
      <c r="I284" s="76"/>
      <c r="J284" s="78">
        <f>HYPERLINK("#Структура!E287",Структура!E287)</f>
        <v>8.7999999999999995E-2</v>
      </c>
      <c r="K284" s="114" t="str">
        <f>HYPERLINK("#Структура!G287","")</f>
        <v/>
      </c>
      <c r="L284" s="120">
        <f>HYPERLINK("#Покупные_изделия!D203",Покупные_изделия!D203)</f>
        <v>30.003600000000002</v>
      </c>
      <c r="M284" s="76">
        <f t="shared" si="13"/>
        <v>2.6403167999999999</v>
      </c>
      <c r="N284" s="77"/>
      <c r="O284" s="77"/>
      <c r="P284" s="76"/>
      <c r="Q284" s="76"/>
    </row>
    <row r="285" spans="5:17" hidden="1" outlineLevel="5" x14ac:dyDescent="0.25">
      <c r="G285" s="74" t="s">
        <v>139</v>
      </c>
      <c r="H285" s="75"/>
      <c r="I285" s="76"/>
      <c r="J285" s="78">
        <f>HYPERLINK("#Структура!E288",Структура!E288)</f>
        <v>1.4999999999999999E-2</v>
      </c>
      <c r="K285" s="114" t="str">
        <f>HYPERLINK("#Структура!G288","")</f>
        <v/>
      </c>
      <c r="L285" s="120">
        <f>HYPERLINK("#Покупные_изделия!D360",Покупные_изделия!D360)</f>
        <v>171.87720000000002</v>
      </c>
      <c r="M285" s="76">
        <f t="shared" si="13"/>
        <v>2.5781580000000002</v>
      </c>
      <c r="N285" s="77"/>
      <c r="O285" s="77"/>
      <c r="P285" s="76"/>
      <c r="Q285" s="76"/>
    </row>
    <row r="286" spans="5:17" hidden="1" outlineLevel="5" x14ac:dyDescent="0.25">
      <c r="G286" s="74" t="s">
        <v>146</v>
      </c>
      <c r="H286" s="75"/>
      <c r="I286" s="76"/>
      <c r="J286" s="78">
        <f>HYPERLINK("#Структура!E289",Структура!E289)</f>
        <v>5.1999999999999998E-2</v>
      </c>
      <c r="K286" s="114" t="str">
        <f>HYPERLINK("#Структура!G289","")</f>
        <v/>
      </c>
      <c r="L286" s="120">
        <f>HYPERLINK("#Покупные_изделия!D406",Покупные_изделия!D406)</f>
        <v>105.996</v>
      </c>
      <c r="M286" s="76">
        <f t="shared" si="13"/>
        <v>5.5117919999999998</v>
      </c>
      <c r="N286" s="77"/>
      <c r="O286" s="77"/>
      <c r="P286" s="76"/>
      <c r="Q286" s="76"/>
    </row>
    <row r="287" spans="5:17" hidden="1" outlineLevel="5" x14ac:dyDescent="0.25">
      <c r="G287" s="74" t="s">
        <v>156</v>
      </c>
      <c r="H287" s="75"/>
      <c r="I287" s="76"/>
      <c r="J287" s="78">
        <f>HYPERLINK("#Структура!E290",Структура!E290)</f>
        <v>7.4999999999999997E-2</v>
      </c>
      <c r="K287" s="114" t="str">
        <f>HYPERLINK("#Структура!G290","")</f>
        <v/>
      </c>
      <c r="L287" s="120">
        <f>HYPERLINK("#Покупные_изделия!D427",Покупные_изделия!D427)</f>
        <v>155.53200000000001</v>
      </c>
      <c r="M287" s="76">
        <f t="shared" si="13"/>
        <v>11.664900000000001</v>
      </c>
      <c r="N287" s="77"/>
      <c r="O287" s="77"/>
      <c r="P287" s="76"/>
      <c r="Q287" s="76"/>
    </row>
    <row r="288" spans="5:17" hidden="1" outlineLevel="5" x14ac:dyDescent="0.25">
      <c r="G288" s="74" t="s">
        <v>200</v>
      </c>
      <c r="H288" s="75"/>
      <c r="I288" s="76"/>
      <c r="J288" s="78">
        <f>HYPERLINK("#Структура!E291",Структура!E291)</f>
        <v>0.01</v>
      </c>
      <c r="K288" s="114" t="str">
        <f>HYPERLINK("#Структура!G291","")</f>
        <v/>
      </c>
      <c r="L288" s="120">
        <f>HYPERLINK("#Покупные_изделия!D518",Покупные_изделия!D518)</f>
        <v>270</v>
      </c>
      <c r="M288" s="76">
        <f t="shared" si="13"/>
        <v>2.7</v>
      </c>
      <c r="N288" s="77"/>
      <c r="O288" s="77"/>
      <c r="P288" s="76"/>
      <c r="Q288" s="76"/>
    </row>
    <row r="289" spans="5:17" hidden="1" outlineLevel="5" x14ac:dyDescent="0.25">
      <c r="G289" s="74" t="s">
        <v>202</v>
      </c>
      <c r="H289" s="75"/>
      <c r="I289" s="76"/>
      <c r="J289" s="78">
        <f>HYPERLINK("#Структура!E292",Структура!E292)</f>
        <v>0.106</v>
      </c>
      <c r="K289" s="114" t="str">
        <f>HYPERLINK("#Структура!G292","")</f>
        <v/>
      </c>
      <c r="L289" s="120">
        <f>HYPERLINK("#Покупные_изделия!D521",Покупные_изделия!D521)</f>
        <v>462.99599999999998</v>
      </c>
      <c r="M289" s="76">
        <f t="shared" si="13"/>
        <v>49.077575999999993</v>
      </c>
      <c r="N289" s="77"/>
      <c r="O289" s="77"/>
      <c r="P289" s="76"/>
      <c r="Q289" s="76"/>
    </row>
    <row r="290" spans="5:17" hidden="1" outlineLevel="4" x14ac:dyDescent="0.25">
      <c r="F290" s="74" t="s">
        <v>720</v>
      </c>
      <c r="G290" s="74"/>
      <c r="H290" s="75"/>
      <c r="I290" s="76"/>
      <c r="J290" s="78">
        <f>HYPERLINK("#Структура!E279",Структура!E279)</f>
        <v>4</v>
      </c>
      <c r="K290" s="114">
        <f>HYPERLINK("#Структура!G279",Структура!G279)</f>
        <v>8.6550000000000002E-2</v>
      </c>
      <c r="L290" s="120">
        <f>HYPERLINK("#Покупные_изделия!D93",Покупные_изделия!D93)</f>
        <v>24.023999999999997</v>
      </c>
      <c r="M290" s="76">
        <f t="shared" si="13"/>
        <v>96.095999999999989</v>
      </c>
      <c r="N290" s="77"/>
      <c r="O290" s="77"/>
      <c r="P290" s="76"/>
      <c r="Q290" s="76"/>
    </row>
    <row r="291" spans="5:17" hidden="1" outlineLevel="4" x14ac:dyDescent="0.25">
      <c r="F291" s="74" t="s">
        <v>721</v>
      </c>
      <c r="G291" s="74"/>
      <c r="H291" s="75"/>
      <c r="I291" s="76"/>
      <c r="J291" s="78">
        <f>HYPERLINK("#Структура!E280",Структура!E280)</f>
        <v>4</v>
      </c>
      <c r="K291" s="114">
        <f>HYPERLINK("#Структура!G280",Структура!G280)</f>
        <v>2.5329999999999998E-2</v>
      </c>
      <c r="L291" s="120">
        <f>HYPERLINK("#Покупные_изделия!D176",Покупные_изделия!D176)</f>
        <v>9.5879999999999992</v>
      </c>
      <c r="M291" s="76">
        <f t="shared" si="13"/>
        <v>38.351999999999997</v>
      </c>
      <c r="N291" s="77"/>
      <c r="O291" s="77"/>
      <c r="P291" s="76"/>
      <c r="Q291" s="76"/>
    </row>
    <row r="292" spans="5:17" hidden="1" outlineLevel="4" x14ac:dyDescent="0.25">
      <c r="F292" s="74" t="s">
        <v>722</v>
      </c>
      <c r="G292" s="74"/>
      <c r="H292" s="75"/>
      <c r="I292" s="76"/>
      <c r="J292" s="78">
        <f>HYPERLINK("#Структура!E281",Структура!E281)</f>
        <v>4</v>
      </c>
      <c r="K292" s="114">
        <f>HYPERLINK("#Структура!G281",Структура!G281)</f>
        <v>4.4799999999999996E-3</v>
      </c>
      <c r="L292" s="120">
        <f>HYPERLINK("#Покупные_изделия!D524",Покупные_изделия!D524)</f>
        <v>1.788</v>
      </c>
      <c r="M292" s="76">
        <f t="shared" si="13"/>
        <v>7.1520000000000001</v>
      </c>
      <c r="N292" s="77"/>
      <c r="O292" s="77"/>
      <c r="P292" s="76"/>
      <c r="Q292" s="76"/>
    </row>
    <row r="293" spans="5:17" hidden="1" outlineLevel="4" x14ac:dyDescent="0.25">
      <c r="F293" s="74" t="s">
        <v>723</v>
      </c>
      <c r="G293" s="74"/>
      <c r="H293" s="75"/>
      <c r="I293" s="76"/>
      <c r="J293" s="78">
        <f>HYPERLINK("#Структура!E282",Структура!E282)</f>
        <v>8</v>
      </c>
      <c r="K293" s="114">
        <f>HYPERLINK("#Структура!G282",Структура!G282)</f>
        <v>8.3800000000000003E-3</v>
      </c>
      <c r="L293" s="120">
        <f>HYPERLINK("#Покупные_изделия!D540",Покупные_изделия!D540)</f>
        <v>1.8787588085106388</v>
      </c>
      <c r="M293" s="76">
        <f t="shared" si="13"/>
        <v>15.03007046808511</v>
      </c>
      <c r="N293" s="77"/>
      <c r="O293" s="77"/>
      <c r="P293" s="76"/>
      <c r="Q293" s="76"/>
    </row>
    <row r="294" spans="5:17" hidden="1" outlineLevel="4" x14ac:dyDescent="0.25">
      <c r="F294" s="74" t="s">
        <v>38</v>
      </c>
      <c r="G294" s="74"/>
      <c r="H294" s="75"/>
      <c r="I294" s="76"/>
      <c r="J294" s="78">
        <f>HYPERLINK("#Структура!E283",Структура!E283)</f>
        <v>1</v>
      </c>
      <c r="K294" s="114">
        <f>HYPERLINK("#Структура!G283",Структура!G283)</f>
        <v>3.1515599999999999</v>
      </c>
      <c r="L294" s="120">
        <f>HYPERLINK("#Покупные_изделия!D49",Покупные_изделия!D49)</f>
        <v>999.99599999999998</v>
      </c>
      <c r="M294" s="76">
        <f t="shared" si="13"/>
        <v>999.99599999999998</v>
      </c>
      <c r="N294" s="77"/>
      <c r="O294" s="77"/>
      <c r="P294" s="76"/>
      <c r="Q294" s="76"/>
    </row>
    <row r="295" spans="5:17" hidden="1" outlineLevel="3" collapsed="1" x14ac:dyDescent="0.25">
      <c r="E295" s="96" t="s">
        <v>729</v>
      </c>
      <c r="F295" s="91"/>
      <c r="G295" s="91"/>
      <c r="H295" s="92"/>
      <c r="I295" s="93"/>
      <c r="J295" s="95">
        <f>HYPERLINK("#Структура!E420",Структура!E420)</f>
        <v>1</v>
      </c>
      <c r="K295" s="116">
        <f>HYPERLINK("#Структура!G420",Структура!G420)</f>
        <v>30.15624</v>
      </c>
      <c r="L295" s="93">
        <f>M295/J295</f>
        <v>6958.6095649587178</v>
      </c>
      <c r="M295" s="93">
        <f>SUMIF(F296:F335,"*",M296:M335)*J295</f>
        <v>6958.6095649587178</v>
      </c>
      <c r="N295" s="125">
        <f>HYPERLINK("#Трудозатраты!B87",Трудозатраты!B87+SUMIF(F296:F335,"*",O296:O335))</f>
        <v>71.599999999999994</v>
      </c>
      <c r="O295" s="94">
        <f>N295*J295</f>
        <v>71.599999999999994</v>
      </c>
      <c r="P295" s="93">
        <f>O295/60*(1+запас_труд)*стоимость_трудочаса</f>
        <v>2804.333333333333</v>
      </c>
      <c r="Q295" s="130">
        <f>M295*(1+наценка_покупное)+P295</f>
        <v>11154.664811283794</v>
      </c>
    </row>
    <row r="296" spans="5:17" hidden="1" outlineLevel="4" collapsed="1" x14ac:dyDescent="0.25">
      <c r="F296" s="85" t="s">
        <v>663</v>
      </c>
      <c r="G296" s="86"/>
      <c r="H296" s="87"/>
      <c r="I296" s="88"/>
      <c r="J296" s="90">
        <f>HYPERLINK("#Структура!E338",Структура!E338)</f>
        <v>1</v>
      </c>
      <c r="K296" s="113">
        <f>HYPERLINK("#Структура!G338",Структура!G338)</f>
        <v>10.666309999999999</v>
      </c>
      <c r="L296" s="88">
        <f>M296/J296</f>
        <v>1630.3689083999998</v>
      </c>
      <c r="M296" s="88">
        <f>SUMIF(G297:G302,"*",M297:M302)*J296</f>
        <v>1630.3689083999998</v>
      </c>
      <c r="N296" s="123">
        <f>HYPERLINK("#Трудозатраты!B34",Трудозатраты!B34+SUMIF(G297:G302,"*",O297:O302))</f>
        <v>14.600000000000001</v>
      </c>
      <c r="O296" s="89">
        <f>N296*J296</f>
        <v>14.600000000000001</v>
      </c>
      <c r="P296" s="88">
        <f>O296/60*(1+запас_труд)*стоимость_трудочаса</f>
        <v>571.83333333333337</v>
      </c>
      <c r="Q296" s="128">
        <f>M296*(1+наценка_покупное)+P296</f>
        <v>2528.276023413333</v>
      </c>
    </row>
    <row r="297" spans="5:17" hidden="1" outlineLevel="5" x14ac:dyDescent="0.25">
      <c r="G297" s="74" t="s">
        <v>44</v>
      </c>
      <c r="H297" s="75"/>
      <c r="I297" s="76"/>
      <c r="J297" s="78">
        <f>HYPERLINK("#Структура!E102",Структура!E102)</f>
        <v>0.1</v>
      </c>
      <c r="K297" s="114" t="str">
        <f>HYPERLINK("#Структура!G102","")</f>
        <v/>
      </c>
      <c r="L297" s="120">
        <f>HYPERLINK("#Покупные_изделия!D63",Покупные_изделия!D63)</f>
        <v>396.00000000000006</v>
      </c>
      <c r="M297" s="76">
        <f t="shared" ref="M297:M302" si="14">J297*L297</f>
        <v>39.600000000000009</v>
      </c>
      <c r="N297" s="77"/>
      <c r="O297" s="77"/>
      <c r="P297" s="76"/>
      <c r="Q297" s="76"/>
    </row>
    <row r="298" spans="5:17" hidden="1" outlineLevel="5" x14ac:dyDescent="0.25">
      <c r="G298" s="74" t="s">
        <v>122</v>
      </c>
      <c r="H298" s="75"/>
      <c r="I298" s="76"/>
      <c r="J298" s="78">
        <f>HYPERLINK("#Структура!E103",Структура!E103)</f>
        <v>12.88204</v>
      </c>
      <c r="K298" s="114" t="str">
        <f>HYPERLINK("#Структура!G103","")</f>
        <v/>
      </c>
      <c r="L298" s="120">
        <f>HYPERLINK("#Покупные_изделия!D297",Покупные_изделия!D297)</f>
        <v>120</v>
      </c>
      <c r="M298" s="76">
        <f t="shared" si="14"/>
        <v>1545.8448000000001</v>
      </c>
      <c r="N298" s="77"/>
      <c r="O298" s="77"/>
      <c r="P298" s="76"/>
      <c r="Q298" s="76"/>
    </row>
    <row r="299" spans="5:17" hidden="1" outlineLevel="5" x14ac:dyDescent="0.25">
      <c r="G299" s="74" t="s">
        <v>139</v>
      </c>
      <c r="H299" s="75"/>
      <c r="I299" s="76"/>
      <c r="J299" s="78">
        <f>HYPERLINK("#Структура!E104",Структура!E104)</f>
        <v>7.0000000000000001E-3</v>
      </c>
      <c r="K299" s="114" t="str">
        <f>HYPERLINK("#Структура!G104","")</f>
        <v/>
      </c>
      <c r="L299" s="120">
        <f>HYPERLINK("#Покупные_изделия!D360",Покупные_изделия!D360)</f>
        <v>171.87720000000002</v>
      </c>
      <c r="M299" s="76">
        <f t="shared" si="14"/>
        <v>1.2031404000000001</v>
      </c>
      <c r="N299" s="77"/>
      <c r="O299" s="77"/>
      <c r="P299" s="76"/>
      <c r="Q299" s="76"/>
    </row>
    <row r="300" spans="5:17" hidden="1" outlineLevel="5" x14ac:dyDescent="0.25">
      <c r="G300" s="74" t="s">
        <v>156</v>
      </c>
      <c r="H300" s="75"/>
      <c r="I300" s="76"/>
      <c r="J300" s="78">
        <f>HYPERLINK("#Структура!E105",Структура!E105)</f>
        <v>7.0000000000000007E-2</v>
      </c>
      <c r="K300" s="114" t="str">
        <f>HYPERLINK("#Структура!G105","")</f>
        <v/>
      </c>
      <c r="L300" s="120">
        <f>HYPERLINK("#Покупные_изделия!D427",Покупные_изделия!D427)</f>
        <v>155.53200000000001</v>
      </c>
      <c r="M300" s="76">
        <f t="shared" si="14"/>
        <v>10.887240000000002</v>
      </c>
      <c r="N300" s="77"/>
      <c r="O300" s="77"/>
      <c r="P300" s="76"/>
      <c r="Q300" s="76"/>
    </row>
    <row r="301" spans="5:17" hidden="1" outlineLevel="5" x14ac:dyDescent="0.25">
      <c r="G301" s="74" t="s">
        <v>200</v>
      </c>
      <c r="H301" s="75"/>
      <c r="I301" s="76"/>
      <c r="J301" s="78">
        <f>HYPERLINK("#Структура!E106",Структура!E106)</f>
        <v>5.0000000000000001E-3</v>
      </c>
      <c r="K301" s="114" t="str">
        <f>HYPERLINK("#Структура!G106","")</f>
        <v/>
      </c>
      <c r="L301" s="120">
        <f>HYPERLINK("#Покупные_изделия!D518",Покупные_изделия!D518)</f>
        <v>270</v>
      </c>
      <c r="M301" s="76">
        <f t="shared" si="14"/>
        <v>1.35</v>
      </c>
      <c r="N301" s="77"/>
      <c r="O301" s="77"/>
      <c r="P301" s="76"/>
      <c r="Q301" s="76"/>
    </row>
    <row r="302" spans="5:17" hidden="1" outlineLevel="5" x14ac:dyDescent="0.25">
      <c r="G302" s="74" t="s">
        <v>202</v>
      </c>
      <c r="H302" s="75"/>
      <c r="I302" s="76"/>
      <c r="J302" s="78">
        <f>HYPERLINK("#Структура!E107",Структура!E107)</f>
        <v>6.8000000000000005E-2</v>
      </c>
      <c r="K302" s="114" t="str">
        <f>HYPERLINK("#Структура!G107","")</f>
        <v/>
      </c>
      <c r="L302" s="120">
        <f>HYPERLINK("#Покупные_изделия!D521",Покупные_изделия!D521)</f>
        <v>462.99599999999998</v>
      </c>
      <c r="M302" s="76">
        <f t="shared" si="14"/>
        <v>31.483727999999999</v>
      </c>
      <c r="N302" s="77"/>
      <c r="O302" s="77"/>
      <c r="P302" s="76"/>
      <c r="Q302" s="76"/>
    </row>
    <row r="303" spans="5:17" hidden="1" outlineLevel="4" collapsed="1" x14ac:dyDescent="0.25">
      <c r="F303" s="84" t="s">
        <v>664</v>
      </c>
      <c r="G303" s="79"/>
      <c r="H303" s="80"/>
      <c r="I303" s="81"/>
      <c r="J303" s="83">
        <f>HYPERLINK("#Структура!E339",Структура!E339)</f>
        <v>1</v>
      </c>
      <c r="K303" s="115">
        <f>HYPERLINK("#Структура!G339",Структура!G339)</f>
        <v>8.3243399999999994</v>
      </c>
      <c r="L303" s="81">
        <f>M303/J303</f>
        <v>1296.1132043999999</v>
      </c>
      <c r="M303" s="81">
        <f>SUMIF(G304:G309,"*",M304:M309)*J303</f>
        <v>1296.1132043999999</v>
      </c>
      <c r="N303" s="124">
        <f>HYPERLINK("#Трудозатраты!B35",Трудозатраты!B35+SUMIF(G304:G309,"*",O304:O309))</f>
        <v>17</v>
      </c>
      <c r="O303" s="82">
        <f>N303*J303</f>
        <v>17</v>
      </c>
      <c r="P303" s="81">
        <f>O303/60*(1+запас_труд)*стоимость_трудочаса</f>
        <v>665.83333333333337</v>
      </c>
      <c r="Q303" s="129">
        <f>M303*(1+наценка_покупное)+P303</f>
        <v>2221.1691786133333</v>
      </c>
    </row>
    <row r="304" spans="5:17" hidden="1" outlineLevel="5" x14ac:dyDescent="0.25">
      <c r="G304" s="74" t="s">
        <v>44</v>
      </c>
      <c r="H304" s="75"/>
      <c r="I304" s="76"/>
      <c r="J304" s="78">
        <f>HYPERLINK("#Структура!E108",Структура!E108)</f>
        <v>0.11</v>
      </c>
      <c r="K304" s="114" t="str">
        <f>HYPERLINK("#Структура!G108","")</f>
        <v/>
      </c>
      <c r="L304" s="120">
        <f>HYPERLINK("#Покупные_изделия!D63",Покупные_изделия!D63)</f>
        <v>396.00000000000006</v>
      </c>
      <c r="M304" s="76">
        <f t="shared" ref="M304:M309" si="15">J304*L304</f>
        <v>43.560000000000009</v>
      </c>
      <c r="N304" s="77"/>
      <c r="O304" s="77"/>
      <c r="P304" s="76"/>
      <c r="Q304" s="76"/>
    </row>
    <row r="305" spans="6:17" hidden="1" outlineLevel="5" x14ac:dyDescent="0.25">
      <c r="G305" s="74" t="s">
        <v>120</v>
      </c>
      <c r="H305" s="75"/>
      <c r="I305" s="76"/>
      <c r="J305" s="78">
        <f>HYPERLINK("#Структура!E109",Структура!E109)</f>
        <v>10.09221</v>
      </c>
      <c r="K305" s="114" t="str">
        <f>HYPERLINK("#Структура!G109","")</f>
        <v/>
      </c>
      <c r="L305" s="120">
        <f>HYPERLINK("#Покупные_изделия!D295",Покупные_изделия!D295)</f>
        <v>120</v>
      </c>
      <c r="M305" s="76">
        <f t="shared" si="15"/>
        <v>1211.0652</v>
      </c>
      <c r="N305" s="77"/>
      <c r="O305" s="77"/>
      <c r="P305" s="76"/>
      <c r="Q305" s="76"/>
    </row>
    <row r="306" spans="6:17" hidden="1" outlineLevel="5" x14ac:dyDescent="0.25">
      <c r="G306" s="74" t="s">
        <v>139</v>
      </c>
      <c r="H306" s="75"/>
      <c r="I306" s="76"/>
      <c r="J306" s="78">
        <f>HYPERLINK("#Структура!E110",Структура!E110)</f>
        <v>7.0000000000000001E-3</v>
      </c>
      <c r="K306" s="114" t="str">
        <f>HYPERLINK("#Структура!G110","")</f>
        <v/>
      </c>
      <c r="L306" s="120">
        <f>HYPERLINK("#Покупные_изделия!D360",Покупные_изделия!D360)</f>
        <v>171.87720000000002</v>
      </c>
      <c r="M306" s="76">
        <f t="shared" si="15"/>
        <v>1.2031404000000001</v>
      </c>
      <c r="N306" s="77"/>
      <c r="O306" s="77"/>
      <c r="P306" s="76"/>
      <c r="Q306" s="76"/>
    </row>
    <row r="307" spans="6:17" hidden="1" outlineLevel="5" x14ac:dyDescent="0.25">
      <c r="G307" s="74" t="s">
        <v>156</v>
      </c>
      <c r="H307" s="75"/>
      <c r="I307" s="76"/>
      <c r="J307" s="78">
        <f>HYPERLINK("#Структура!E111",Структура!E111)</f>
        <v>3.5999999999999997E-2</v>
      </c>
      <c r="K307" s="114" t="str">
        <f>HYPERLINK("#Структура!G111","")</f>
        <v/>
      </c>
      <c r="L307" s="120">
        <f>HYPERLINK("#Покупные_изделия!D427",Покупные_изделия!D427)</f>
        <v>155.53200000000001</v>
      </c>
      <c r="M307" s="76">
        <f t="shared" si="15"/>
        <v>5.5991520000000001</v>
      </c>
      <c r="N307" s="77"/>
      <c r="O307" s="77"/>
      <c r="P307" s="76"/>
      <c r="Q307" s="76"/>
    </row>
    <row r="308" spans="6:17" hidden="1" outlineLevel="5" x14ac:dyDescent="0.25">
      <c r="G308" s="74" t="s">
        <v>200</v>
      </c>
      <c r="H308" s="75"/>
      <c r="I308" s="76"/>
      <c r="J308" s="78">
        <f>HYPERLINK("#Структура!E112",Структура!E112)</f>
        <v>5.0000000000000001E-3</v>
      </c>
      <c r="K308" s="114" t="str">
        <f>HYPERLINK("#Структура!G112","")</f>
        <v/>
      </c>
      <c r="L308" s="120">
        <f>HYPERLINK("#Покупные_изделия!D518",Покупные_изделия!D518)</f>
        <v>270</v>
      </c>
      <c r="M308" s="76">
        <f t="shared" si="15"/>
        <v>1.35</v>
      </c>
      <c r="N308" s="77"/>
      <c r="O308" s="77"/>
      <c r="P308" s="76"/>
      <c r="Q308" s="76"/>
    </row>
    <row r="309" spans="6:17" hidden="1" outlineLevel="5" x14ac:dyDescent="0.25">
      <c r="G309" s="74" t="s">
        <v>202</v>
      </c>
      <c r="H309" s="75"/>
      <c r="I309" s="76"/>
      <c r="J309" s="78">
        <f>HYPERLINK("#Структура!E113",Структура!E113)</f>
        <v>7.1999999999999995E-2</v>
      </c>
      <c r="K309" s="114" t="str">
        <f>HYPERLINK("#Структура!G113","")</f>
        <v/>
      </c>
      <c r="L309" s="120">
        <f>HYPERLINK("#Покупные_изделия!D521",Покупные_изделия!D521)</f>
        <v>462.99599999999998</v>
      </c>
      <c r="M309" s="76">
        <f t="shared" si="15"/>
        <v>33.335711999999994</v>
      </c>
      <c r="N309" s="77"/>
      <c r="O309" s="77"/>
      <c r="P309" s="76"/>
      <c r="Q309" s="76"/>
    </row>
    <row r="310" spans="6:17" hidden="1" outlineLevel="4" collapsed="1" x14ac:dyDescent="0.25">
      <c r="F310" s="84" t="s">
        <v>665</v>
      </c>
      <c r="G310" s="79"/>
      <c r="H310" s="80"/>
      <c r="I310" s="81"/>
      <c r="J310" s="83">
        <f>HYPERLINK("#Структура!E340",Структура!E340)</f>
        <v>1</v>
      </c>
      <c r="K310" s="115">
        <f>HYPERLINK("#Структура!G340",Структура!G340)</f>
        <v>2.4807800000000002</v>
      </c>
      <c r="L310" s="81">
        <f>M310/J310</f>
        <v>892.60310880000009</v>
      </c>
      <c r="M310" s="81">
        <f>SUMIF(G311:G316,"*",M311:M316)*J310</f>
        <v>892.60310880000009</v>
      </c>
      <c r="N310" s="124">
        <f>HYPERLINK("#Трудозатраты!B36",Трудозатраты!B36+SUMIF(G311:G316,"*",O311:O316))</f>
        <v>9.8000000000000007</v>
      </c>
      <c r="O310" s="82">
        <f>N310*J310</f>
        <v>9.8000000000000007</v>
      </c>
      <c r="P310" s="81">
        <f>O310/60*(1+запас_труд)*стоимость_трудочаса</f>
        <v>383.83333333333337</v>
      </c>
      <c r="Q310" s="129">
        <f>M310*(1+наценка_покупное)+P310</f>
        <v>1454.9570638933333</v>
      </c>
    </row>
    <row r="311" spans="6:17" hidden="1" outlineLevel="5" x14ac:dyDescent="0.25">
      <c r="G311" s="74" t="s">
        <v>44</v>
      </c>
      <c r="H311" s="75"/>
      <c r="I311" s="76"/>
      <c r="J311" s="78">
        <f>HYPERLINK("#Структура!E114",Структура!E114)</f>
        <v>3.5000000000000003E-2</v>
      </c>
      <c r="K311" s="114" t="str">
        <f>HYPERLINK("#Структура!G114","")</f>
        <v/>
      </c>
      <c r="L311" s="120">
        <f>HYPERLINK("#Покупные_изделия!D63",Покупные_изделия!D63)</f>
        <v>396.00000000000006</v>
      </c>
      <c r="M311" s="76">
        <f t="shared" ref="M311:M316" si="16">J311*L311</f>
        <v>13.860000000000003</v>
      </c>
      <c r="N311" s="77"/>
      <c r="O311" s="77"/>
      <c r="P311" s="76"/>
      <c r="Q311" s="76"/>
    </row>
    <row r="312" spans="6:17" hidden="1" outlineLevel="5" x14ac:dyDescent="0.25">
      <c r="G312" s="74" t="s">
        <v>120</v>
      </c>
      <c r="H312" s="75"/>
      <c r="I312" s="76"/>
      <c r="J312" s="78">
        <f>HYPERLINK("#Структура!E115",Структура!E115)</f>
        <v>7.1771399999999996</v>
      </c>
      <c r="K312" s="114" t="str">
        <f>HYPERLINK("#Структура!G115","")</f>
        <v/>
      </c>
      <c r="L312" s="120">
        <f>HYPERLINK("#Покупные_изделия!D295",Покупные_изделия!D295)</f>
        <v>120</v>
      </c>
      <c r="M312" s="76">
        <f t="shared" si="16"/>
        <v>861.2568</v>
      </c>
      <c r="N312" s="77"/>
      <c r="O312" s="77"/>
      <c r="P312" s="76"/>
      <c r="Q312" s="76"/>
    </row>
    <row r="313" spans="6:17" hidden="1" outlineLevel="5" x14ac:dyDescent="0.25">
      <c r="G313" s="74" t="s">
        <v>139</v>
      </c>
      <c r="H313" s="75"/>
      <c r="I313" s="76"/>
      <c r="J313" s="78">
        <f>HYPERLINK("#Структура!E116",Структура!E116)</f>
        <v>4.0000000000000001E-3</v>
      </c>
      <c r="K313" s="114" t="str">
        <f>HYPERLINK("#Структура!G116","")</f>
        <v/>
      </c>
      <c r="L313" s="120">
        <f>HYPERLINK("#Покупные_изделия!D360",Покупные_изделия!D360)</f>
        <v>171.87720000000002</v>
      </c>
      <c r="M313" s="76">
        <f t="shared" si="16"/>
        <v>0.68750880000000003</v>
      </c>
      <c r="N313" s="77"/>
      <c r="O313" s="77"/>
      <c r="P313" s="76"/>
      <c r="Q313" s="76"/>
    </row>
    <row r="314" spans="6:17" hidden="1" outlineLevel="5" x14ac:dyDescent="0.25">
      <c r="G314" s="74" t="s">
        <v>156</v>
      </c>
      <c r="H314" s="75"/>
      <c r="I314" s="76"/>
      <c r="J314" s="78">
        <f>HYPERLINK("#Структура!E117",Структура!E117)</f>
        <v>1.2999999999999999E-2</v>
      </c>
      <c r="K314" s="114" t="str">
        <f>HYPERLINK("#Структура!G117","")</f>
        <v/>
      </c>
      <c r="L314" s="120">
        <f>HYPERLINK("#Покупные_изделия!D427",Покупные_изделия!D427)</f>
        <v>155.53200000000001</v>
      </c>
      <c r="M314" s="76">
        <f t="shared" si="16"/>
        <v>2.021916</v>
      </c>
      <c r="N314" s="77"/>
      <c r="O314" s="77"/>
      <c r="P314" s="76"/>
      <c r="Q314" s="76"/>
    </row>
    <row r="315" spans="6:17" hidden="1" outlineLevel="5" x14ac:dyDescent="0.25">
      <c r="G315" s="74" t="s">
        <v>200</v>
      </c>
      <c r="H315" s="75"/>
      <c r="I315" s="76"/>
      <c r="J315" s="78">
        <f>HYPERLINK("#Структура!E118",Структура!E118)</f>
        <v>5.0000000000000001E-3</v>
      </c>
      <c r="K315" s="114" t="str">
        <f>HYPERLINK("#Структура!G118","")</f>
        <v/>
      </c>
      <c r="L315" s="120">
        <f>HYPERLINK("#Покупные_изделия!D518",Покупные_изделия!D518)</f>
        <v>270</v>
      </c>
      <c r="M315" s="76">
        <f t="shared" si="16"/>
        <v>1.35</v>
      </c>
      <c r="N315" s="77"/>
      <c r="O315" s="77"/>
      <c r="P315" s="76"/>
      <c r="Q315" s="76"/>
    </row>
    <row r="316" spans="6:17" hidden="1" outlineLevel="5" x14ac:dyDescent="0.25">
      <c r="G316" s="74" t="s">
        <v>202</v>
      </c>
      <c r="H316" s="75"/>
      <c r="I316" s="76"/>
      <c r="J316" s="78">
        <f>HYPERLINK("#Структура!E119",Структура!E119)</f>
        <v>2.9000000000000001E-2</v>
      </c>
      <c r="K316" s="114" t="str">
        <f>HYPERLINK("#Структура!G119","")</f>
        <v/>
      </c>
      <c r="L316" s="120">
        <f>HYPERLINK("#Покупные_изделия!D521",Покупные_изделия!D521)</f>
        <v>462.99599999999998</v>
      </c>
      <c r="M316" s="76">
        <f t="shared" si="16"/>
        <v>13.426883999999999</v>
      </c>
      <c r="N316" s="77"/>
      <c r="O316" s="77"/>
      <c r="P316" s="76"/>
      <c r="Q316" s="76"/>
    </row>
    <row r="317" spans="6:17" hidden="1" outlineLevel="4" collapsed="1" x14ac:dyDescent="0.25">
      <c r="F317" s="84" t="s">
        <v>666</v>
      </c>
      <c r="G317" s="79"/>
      <c r="H317" s="80"/>
      <c r="I317" s="81"/>
      <c r="J317" s="83">
        <f>HYPERLINK("#Структура!E341",Структура!E341)</f>
        <v>1</v>
      </c>
      <c r="K317" s="115">
        <f>HYPERLINK("#Структура!G341",Структура!G341)</f>
        <v>2.4807800000000002</v>
      </c>
      <c r="L317" s="81">
        <f>M317/J317</f>
        <v>891.11803439999994</v>
      </c>
      <c r="M317" s="81">
        <f>SUMIF(G318:G323,"*",M318:M323)*J317</f>
        <v>891.11803439999994</v>
      </c>
      <c r="N317" s="124">
        <f>HYPERLINK("#Трудозатраты!B37",Трудозатраты!B37+SUMIF(G318:G323,"*",O318:O323))</f>
        <v>9.8000000000000007</v>
      </c>
      <c r="O317" s="82">
        <f>N317*J317</f>
        <v>9.8000000000000007</v>
      </c>
      <c r="P317" s="81">
        <f>O317/60*(1+запас_труд)*стоимость_трудочаса</f>
        <v>383.83333333333337</v>
      </c>
      <c r="Q317" s="129">
        <f>M317*(1+наценка_покупное)+P317</f>
        <v>1453.1749746133332</v>
      </c>
    </row>
    <row r="318" spans="6:17" hidden="1" outlineLevel="5" x14ac:dyDescent="0.25">
      <c r="G318" s="74" t="s">
        <v>44</v>
      </c>
      <c r="H318" s="75"/>
      <c r="I318" s="76"/>
      <c r="J318" s="78">
        <f>HYPERLINK("#Структура!E120",Структура!E120)</f>
        <v>3.5999999999999997E-2</v>
      </c>
      <c r="K318" s="114" t="str">
        <f>HYPERLINK("#Структура!G120","")</f>
        <v/>
      </c>
      <c r="L318" s="120">
        <f>HYPERLINK("#Покупные_изделия!D63",Покупные_изделия!D63)</f>
        <v>396.00000000000006</v>
      </c>
      <c r="M318" s="76">
        <f t="shared" ref="M318:M323" si="17">J318*L318</f>
        <v>14.256</v>
      </c>
      <c r="N318" s="77"/>
      <c r="O318" s="77"/>
      <c r="P318" s="76"/>
      <c r="Q318" s="76"/>
    </row>
    <row r="319" spans="6:17" hidden="1" outlineLevel="5" x14ac:dyDescent="0.25">
      <c r="G319" s="74" t="s">
        <v>120</v>
      </c>
      <c r="H319" s="75"/>
      <c r="I319" s="76"/>
      <c r="J319" s="78">
        <f>HYPERLINK("#Структура!E121",Структура!E121)</f>
        <v>7.1771399999999996</v>
      </c>
      <c r="K319" s="114" t="str">
        <f>HYPERLINK("#Структура!G121","")</f>
        <v/>
      </c>
      <c r="L319" s="120">
        <f>HYPERLINK("#Покупные_изделия!D295",Покупные_изделия!D295)</f>
        <v>120</v>
      </c>
      <c r="M319" s="76">
        <f t="shared" si="17"/>
        <v>861.2568</v>
      </c>
      <c r="N319" s="77"/>
      <c r="O319" s="77"/>
      <c r="P319" s="76"/>
      <c r="Q319" s="76"/>
    </row>
    <row r="320" spans="6:17" hidden="1" outlineLevel="5" x14ac:dyDescent="0.25">
      <c r="G320" s="74" t="s">
        <v>139</v>
      </c>
      <c r="H320" s="75"/>
      <c r="I320" s="76"/>
      <c r="J320" s="78">
        <f>HYPERLINK("#Структура!E122",Структура!E122)</f>
        <v>2E-3</v>
      </c>
      <c r="K320" s="114" t="str">
        <f>HYPERLINK("#Структура!G122","")</f>
        <v/>
      </c>
      <c r="L320" s="120">
        <f>HYPERLINK("#Покупные_изделия!D360",Покупные_изделия!D360)</f>
        <v>171.87720000000002</v>
      </c>
      <c r="M320" s="76">
        <f t="shared" si="17"/>
        <v>0.34375440000000002</v>
      </c>
      <c r="N320" s="77"/>
      <c r="O320" s="77"/>
      <c r="P320" s="76"/>
      <c r="Q320" s="76"/>
    </row>
    <row r="321" spans="5:17" hidden="1" outlineLevel="5" x14ac:dyDescent="0.25">
      <c r="G321" s="74" t="s">
        <v>156</v>
      </c>
      <c r="H321" s="75"/>
      <c r="I321" s="76"/>
      <c r="J321" s="78">
        <f>HYPERLINK("#Структура!E123",Структура!E123)</f>
        <v>1.7999999999999999E-2</v>
      </c>
      <c r="K321" s="114" t="str">
        <f>HYPERLINK("#Структура!G123","")</f>
        <v/>
      </c>
      <c r="L321" s="120">
        <f>HYPERLINK("#Покупные_изделия!D427",Покупные_изделия!D427)</f>
        <v>155.53200000000001</v>
      </c>
      <c r="M321" s="76">
        <f t="shared" si="17"/>
        <v>2.7995760000000001</v>
      </c>
      <c r="N321" s="77"/>
      <c r="O321" s="77"/>
      <c r="P321" s="76"/>
      <c r="Q321" s="76"/>
    </row>
    <row r="322" spans="5:17" hidden="1" outlineLevel="5" x14ac:dyDescent="0.25">
      <c r="G322" s="74" t="s">
        <v>200</v>
      </c>
      <c r="H322" s="75"/>
      <c r="I322" s="76"/>
      <c r="J322" s="78">
        <f>HYPERLINK("#Структура!E124",Структура!E124)</f>
        <v>5.0000000000000001E-3</v>
      </c>
      <c r="K322" s="114" t="str">
        <f>HYPERLINK("#Структура!G124","")</f>
        <v/>
      </c>
      <c r="L322" s="120">
        <f>HYPERLINK("#Покупные_изделия!D518",Покупные_изделия!D518)</f>
        <v>270</v>
      </c>
      <c r="M322" s="76">
        <f t="shared" si="17"/>
        <v>1.35</v>
      </c>
      <c r="N322" s="77"/>
      <c r="O322" s="77"/>
      <c r="P322" s="76"/>
      <c r="Q322" s="76"/>
    </row>
    <row r="323" spans="5:17" hidden="1" outlineLevel="5" x14ac:dyDescent="0.25">
      <c r="G323" s="74" t="s">
        <v>202</v>
      </c>
      <c r="H323" s="75"/>
      <c r="I323" s="76"/>
      <c r="J323" s="78">
        <f>HYPERLINK("#Структура!E125",Структура!E125)</f>
        <v>2.4E-2</v>
      </c>
      <c r="K323" s="114" t="str">
        <f>HYPERLINK("#Структура!G125","")</f>
        <v/>
      </c>
      <c r="L323" s="120">
        <f>HYPERLINK("#Покупные_изделия!D521",Покупные_изделия!D521)</f>
        <v>462.99599999999998</v>
      </c>
      <c r="M323" s="76">
        <f t="shared" si="17"/>
        <v>11.111903999999999</v>
      </c>
      <c r="N323" s="77"/>
      <c r="O323" s="77"/>
      <c r="P323" s="76"/>
      <c r="Q323" s="76"/>
    </row>
    <row r="324" spans="5:17" hidden="1" outlineLevel="4" collapsed="1" x14ac:dyDescent="0.25">
      <c r="F324" s="84" t="s">
        <v>667</v>
      </c>
      <c r="G324" s="79"/>
      <c r="H324" s="80"/>
      <c r="I324" s="81"/>
      <c r="J324" s="83">
        <f>HYPERLINK("#Структура!E342",Структура!E342)</f>
        <v>2</v>
      </c>
      <c r="K324" s="115">
        <f>HYPERLINK("#Структура!G342",Структура!G342)</f>
        <v>1.0778399999999999</v>
      </c>
      <c r="L324" s="81">
        <f>M324/J324</f>
        <v>299.68</v>
      </c>
      <c r="M324" s="81">
        <f>SUMIF(G325,"*",M325)*J324</f>
        <v>599.36</v>
      </c>
      <c r="N324" s="124">
        <f>HYPERLINK("#Трудозатраты!B38",Трудозатраты!B38+SUMIF(G325,"*",O325))</f>
        <v>2.7</v>
      </c>
      <c r="O324" s="82">
        <f>N324*J324</f>
        <v>5.4</v>
      </c>
      <c r="P324" s="81">
        <f>O324/60*(1+запас_труд)*стоимость_трудочаса</f>
        <v>211.50000000000003</v>
      </c>
      <c r="Q324" s="129">
        <f>M324*(1+наценка_покупное)+P324</f>
        <v>930.73199999999997</v>
      </c>
    </row>
    <row r="325" spans="5:17" hidden="1" outlineLevel="5" x14ac:dyDescent="0.25">
      <c r="G325" s="74" t="s">
        <v>131</v>
      </c>
      <c r="H325" s="75"/>
      <c r="I325" s="76"/>
      <c r="J325" s="78">
        <f>HYPERLINK("#Структура!E126",Структура!E126)</f>
        <v>1.873</v>
      </c>
      <c r="K325" s="114" t="str">
        <f>HYPERLINK("#Структура!G126","")</f>
        <v/>
      </c>
      <c r="L325" s="120">
        <f>HYPERLINK("#Покупные_изделия!D306",Покупные_изделия!D306)</f>
        <v>160</v>
      </c>
      <c r="M325" s="76">
        <f t="shared" ref="M325:M335" si="18">J325*L325</f>
        <v>299.68</v>
      </c>
      <c r="N325" s="77"/>
      <c r="O325" s="77"/>
      <c r="P325" s="76"/>
      <c r="Q325" s="76"/>
    </row>
    <row r="326" spans="5:17" hidden="1" outlineLevel="4" x14ac:dyDescent="0.25">
      <c r="F326" s="74" t="s">
        <v>730</v>
      </c>
      <c r="G326" s="74"/>
      <c r="H326" s="75"/>
      <c r="I326" s="76"/>
      <c r="J326" s="78">
        <f>HYPERLINK("#Структура!E343",Структура!E343)</f>
        <v>4</v>
      </c>
      <c r="K326" s="114">
        <f>HYPERLINK("#Структура!G343",Структура!G343)</f>
        <v>9.7989999999999994E-2</v>
      </c>
      <c r="L326" s="120">
        <f>HYPERLINK("#Покупные_изделия!D96",Покупные_изделия!D96)</f>
        <v>21.563999999999997</v>
      </c>
      <c r="M326" s="76">
        <f t="shared" si="18"/>
        <v>86.255999999999986</v>
      </c>
      <c r="N326" s="77"/>
      <c r="O326" s="77"/>
      <c r="P326" s="76"/>
      <c r="Q326" s="76"/>
    </row>
    <row r="327" spans="5:17" hidden="1" outlineLevel="4" x14ac:dyDescent="0.25">
      <c r="F327" s="74" t="s">
        <v>731</v>
      </c>
      <c r="G327" s="74"/>
      <c r="H327" s="75"/>
      <c r="I327" s="76"/>
      <c r="J327" s="78">
        <f>HYPERLINK("#Структура!E344",Структура!E344)</f>
        <v>4</v>
      </c>
      <c r="K327" s="114">
        <f>HYPERLINK("#Структура!G344",Структура!G344)</f>
        <v>0.58909999999999996</v>
      </c>
      <c r="L327" s="120">
        <f>HYPERLINK("#Покупные_изделия!D88",Покупные_изделия!D88)</f>
        <v>305.86799999999999</v>
      </c>
      <c r="M327" s="76">
        <f t="shared" si="18"/>
        <v>1223.472</v>
      </c>
      <c r="N327" s="77"/>
      <c r="O327" s="77"/>
      <c r="P327" s="76"/>
      <c r="Q327" s="76"/>
    </row>
    <row r="328" spans="5:17" hidden="1" outlineLevel="4" x14ac:dyDescent="0.25">
      <c r="F328" s="74" t="s">
        <v>732</v>
      </c>
      <c r="G328" s="74"/>
      <c r="H328" s="75"/>
      <c r="I328" s="76"/>
      <c r="J328" s="78">
        <f>HYPERLINK("#Структура!E345",Структура!E345)</f>
        <v>3</v>
      </c>
      <c r="K328" s="114">
        <f>HYPERLINK("#Структура!G345",Структура!G345)</f>
        <v>1.7350000000000001E-2</v>
      </c>
      <c r="L328" s="120">
        <f>HYPERLINK("#Покупные_изделия!D106",Покупные_изделия!D106)</f>
        <v>5.4119999999999999</v>
      </c>
      <c r="M328" s="76">
        <f t="shared" si="18"/>
        <v>16.236000000000001</v>
      </c>
      <c r="N328" s="77"/>
      <c r="O328" s="77"/>
      <c r="P328" s="76"/>
      <c r="Q328" s="76"/>
    </row>
    <row r="329" spans="5:17" hidden="1" outlineLevel="4" x14ac:dyDescent="0.25">
      <c r="F329" s="74" t="s">
        <v>733</v>
      </c>
      <c r="G329" s="74"/>
      <c r="H329" s="75"/>
      <c r="I329" s="76"/>
      <c r="J329" s="78">
        <f>HYPERLINK("#Структура!E346",Структура!E346)</f>
        <v>12</v>
      </c>
      <c r="K329" s="114">
        <f>HYPERLINK("#Структура!G346",Структура!G346)</f>
        <v>7.1440000000000003E-2</v>
      </c>
      <c r="L329" s="120">
        <f>HYPERLINK("#Покупные_изделия!D181",Покупные_изделия!D181)</f>
        <v>15.227999999999998</v>
      </c>
      <c r="M329" s="76">
        <f t="shared" si="18"/>
        <v>182.73599999999999</v>
      </c>
      <c r="N329" s="77"/>
      <c r="O329" s="77"/>
      <c r="P329" s="76"/>
      <c r="Q329" s="76"/>
    </row>
    <row r="330" spans="5:17" hidden="1" outlineLevel="4" x14ac:dyDescent="0.25">
      <c r="F330" s="74" t="s">
        <v>734</v>
      </c>
      <c r="G330" s="74"/>
      <c r="H330" s="75"/>
      <c r="I330" s="76"/>
      <c r="J330" s="78">
        <f>HYPERLINK("#Структура!E347",Структура!E347)</f>
        <v>4</v>
      </c>
      <c r="K330" s="114">
        <f>HYPERLINK("#Структура!G347",Структура!G347)</f>
        <v>4.65E-2</v>
      </c>
      <c r="L330" s="120">
        <f>HYPERLINK("#Покупные_изделия!D165",Покупные_изделия!D165)</f>
        <v>14.226544799999999</v>
      </c>
      <c r="M330" s="76">
        <f t="shared" si="18"/>
        <v>56.906179199999997</v>
      </c>
      <c r="N330" s="77"/>
      <c r="O330" s="77"/>
      <c r="P330" s="76"/>
      <c r="Q330" s="76"/>
    </row>
    <row r="331" spans="5:17" hidden="1" outlineLevel="4" x14ac:dyDescent="0.25">
      <c r="F331" s="74" t="s">
        <v>625</v>
      </c>
      <c r="G331" s="74"/>
      <c r="H331" s="75"/>
      <c r="I331" s="76"/>
      <c r="J331" s="78">
        <f>HYPERLINK("#Структура!E348",Структура!E348)</f>
        <v>3</v>
      </c>
      <c r="K331" s="114">
        <f>HYPERLINK("#Структура!G348",Структура!G348)</f>
        <v>7.1399999999999996E-3</v>
      </c>
      <c r="L331" s="120">
        <f>HYPERLINK("#Покупные_изделия!D168",Покупные_изделия!D168)</f>
        <v>1.9715672368421051</v>
      </c>
      <c r="M331" s="76">
        <f t="shared" si="18"/>
        <v>5.9147017105263151</v>
      </c>
      <c r="N331" s="77"/>
      <c r="O331" s="77"/>
      <c r="P331" s="76"/>
      <c r="Q331" s="76"/>
    </row>
    <row r="332" spans="5:17" hidden="1" outlineLevel="4" x14ac:dyDescent="0.25">
      <c r="F332" s="74" t="s">
        <v>735</v>
      </c>
      <c r="G332" s="74"/>
      <c r="H332" s="75"/>
      <c r="I332" s="76"/>
      <c r="J332" s="78">
        <f>HYPERLINK("#Структура!E349",Структура!E349)</f>
        <v>4</v>
      </c>
      <c r="K332" s="114">
        <f>HYPERLINK("#Структура!G349",Структура!G349)</f>
        <v>1.289E-2</v>
      </c>
      <c r="L332" s="120">
        <f>HYPERLINK("#Покупные_изделия!D527",Покупные_изделия!D527)</f>
        <v>5.5</v>
      </c>
      <c r="M332" s="76">
        <f t="shared" si="18"/>
        <v>22</v>
      </c>
      <c r="N332" s="77"/>
      <c r="O332" s="77"/>
      <c r="P332" s="76"/>
      <c r="Q332" s="76"/>
    </row>
    <row r="333" spans="5:17" hidden="1" outlineLevel="4" x14ac:dyDescent="0.25">
      <c r="F333" s="74" t="s">
        <v>662</v>
      </c>
      <c r="G333" s="74"/>
      <c r="H333" s="75"/>
      <c r="I333" s="76"/>
      <c r="J333" s="78">
        <f>HYPERLINK("#Структура!E350",Структура!E350)</f>
        <v>4</v>
      </c>
      <c r="K333" s="114">
        <f>HYPERLINK("#Структура!G350",Структура!G350)</f>
        <v>1.098E-2</v>
      </c>
      <c r="L333" s="120">
        <f>HYPERLINK("#Покупные_изделия!D541",Покупные_изделия!D541)</f>
        <v>1.713367999999998</v>
      </c>
      <c r="M333" s="76">
        <f t="shared" si="18"/>
        <v>6.853471999999992</v>
      </c>
      <c r="N333" s="77"/>
      <c r="O333" s="77"/>
      <c r="P333" s="76"/>
      <c r="Q333" s="76"/>
    </row>
    <row r="334" spans="5:17" hidden="1" outlineLevel="4" x14ac:dyDescent="0.25">
      <c r="F334" s="74" t="s">
        <v>736</v>
      </c>
      <c r="G334" s="74"/>
      <c r="H334" s="75"/>
      <c r="I334" s="76"/>
      <c r="J334" s="78">
        <f>HYPERLINK("#Структура!E351",Структура!E351)</f>
        <v>16</v>
      </c>
      <c r="K334" s="114">
        <f>HYPERLINK("#Структура!G351",Структура!G351)</f>
        <v>1.636E-2</v>
      </c>
      <c r="L334" s="120">
        <f>HYPERLINK("#Покупные_изделия!D542",Покупные_изделия!D542)</f>
        <v>2.8467119999999975</v>
      </c>
      <c r="M334" s="76">
        <f t="shared" si="18"/>
        <v>45.547391999999959</v>
      </c>
      <c r="N334" s="77"/>
      <c r="O334" s="77"/>
      <c r="P334" s="76"/>
      <c r="Q334" s="76"/>
    </row>
    <row r="335" spans="5:17" hidden="1" outlineLevel="4" x14ac:dyDescent="0.25">
      <c r="F335" s="74" t="s">
        <v>737</v>
      </c>
      <c r="G335" s="74"/>
      <c r="H335" s="75"/>
      <c r="I335" s="76"/>
      <c r="J335" s="78">
        <f>HYPERLINK("#Структура!E352",Структура!E352)</f>
        <v>3</v>
      </c>
      <c r="K335" s="114">
        <f>HYPERLINK("#Структура!G352",Структура!G352)</f>
        <v>1.73E-3</v>
      </c>
      <c r="L335" s="120">
        <f>HYPERLINK("#Покупные_изделия!D547",Покупные_изделия!D547)</f>
        <v>1.0415213493975914</v>
      </c>
      <c r="M335" s="76">
        <f t="shared" si="18"/>
        <v>3.1245640481927746</v>
      </c>
      <c r="N335" s="77"/>
      <c r="O335" s="77"/>
      <c r="P335" s="76"/>
      <c r="Q335" s="76"/>
    </row>
    <row r="336" spans="5:17" hidden="1" outlineLevel="3" collapsed="1" x14ac:dyDescent="0.25">
      <c r="E336" s="96" t="s">
        <v>758</v>
      </c>
      <c r="F336" s="91"/>
      <c r="G336" s="91"/>
      <c r="H336" s="92"/>
      <c r="I336" s="93"/>
      <c r="J336" s="95">
        <f>HYPERLINK("#Структура!E421",Структура!E421)</f>
        <v>1</v>
      </c>
      <c r="K336" s="116">
        <f>HYPERLINK("#Структура!G421",Структура!G421)</f>
        <v>3.4358599999999999</v>
      </c>
      <c r="L336" s="93">
        <f>M336/J336</f>
        <v>774.37975439999991</v>
      </c>
      <c r="M336" s="93">
        <f>SUMIF(F337:F375,"*",M337:M375)*J336</f>
        <v>774.37975439999991</v>
      </c>
      <c r="N336" s="125">
        <f>HYPERLINK("#Трудозатраты!B866",Трудозатраты!B866+SUMIF(F337:F375,"*",O337:O375))</f>
        <v>126.7</v>
      </c>
      <c r="O336" s="94">
        <f>N336*J336</f>
        <v>126.7</v>
      </c>
      <c r="P336" s="93">
        <f>O336/60*(1+запас_труд)*стоимость_трудочаса</f>
        <v>4962.416666666667</v>
      </c>
      <c r="Q336" s="130">
        <f>M336*(1+наценка_покупное)+P336</f>
        <v>5891.6723719466663</v>
      </c>
    </row>
    <row r="337" spans="6:17" hidden="1" outlineLevel="4" collapsed="1" x14ac:dyDescent="0.25">
      <c r="F337" s="97" t="s">
        <v>1587</v>
      </c>
      <c r="G337" s="98"/>
      <c r="H337" s="99"/>
      <c r="I337" s="100"/>
      <c r="J337" s="102">
        <f>HYPERLINK("#Структура!E3452",Структура!E3452)</f>
        <v>1</v>
      </c>
      <c r="K337" s="112">
        <f>HYPERLINK("#Структура!G3452",Структура!G3452)</f>
        <v>1.1055999999999999</v>
      </c>
      <c r="L337" s="100">
        <f>M337/J337</f>
        <v>172.08410280000001</v>
      </c>
      <c r="M337" s="100">
        <f>SUMIF(G338:G345,"*",M338:M345)*J337</f>
        <v>172.08410280000001</v>
      </c>
      <c r="N337" s="122">
        <f>HYPERLINK("#Трудозатраты!B854",Трудозатраты!B854+SUMIF(G338:G345,"*",O338:O345))</f>
        <v>22.6</v>
      </c>
      <c r="O337" s="101">
        <f>N337*J337</f>
        <v>22.6</v>
      </c>
      <c r="P337" s="100">
        <f>O337/60*(1+запас_труд)*стоимость_трудочаса</f>
        <v>885.16666666666674</v>
      </c>
      <c r="Q337" s="127">
        <f>M337*(1+наценка_покупное)+P337</f>
        <v>1091.6675900266669</v>
      </c>
    </row>
    <row r="338" spans="6:17" hidden="1" outlineLevel="5" collapsed="1" x14ac:dyDescent="0.25">
      <c r="G338" s="85" t="s">
        <v>1586</v>
      </c>
      <c r="H338" s="87"/>
      <c r="I338" s="88"/>
      <c r="J338" s="90">
        <f>HYPERLINK("#Структура!E3427",Структура!E3427)</f>
        <v>2</v>
      </c>
      <c r="K338" s="113">
        <f>HYPERLINK("#Структура!G3427",Структура!G3427)</f>
        <v>0.37680000000000002</v>
      </c>
      <c r="L338" s="88">
        <f>M338/J338</f>
        <v>54.24</v>
      </c>
      <c r="M338" s="88">
        <f>SUMIF(H339,"*",M339)*J338</f>
        <v>108.48</v>
      </c>
      <c r="N338" s="123">
        <f>HYPERLINK("#Трудозатраты!B855",Трудозатраты!B855+SUMIF(H339,"*",O339))</f>
        <v>0.8</v>
      </c>
      <c r="O338" s="89">
        <f>N338*J338</f>
        <v>1.6</v>
      </c>
      <c r="P338" s="88">
        <f>O338/60*(1+запас_труд)*стоимость_трудочаса</f>
        <v>62.666666666666671</v>
      </c>
      <c r="Q338" s="128">
        <f>M338*(1+наценка_покупное)+P338</f>
        <v>192.84266666666667</v>
      </c>
    </row>
    <row r="339" spans="6:17" hidden="1" outlineLevel="6" x14ac:dyDescent="0.25">
      <c r="H339" s="75" t="s">
        <v>110</v>
      </c>
      <c r="I339" s="76"/>
      <c r="J339" s="78">
        <f>HYPERLINK("#Структура!E3432",Структура!E3432)</f>
        <v>0.45200000000000001</v>
      </c>
      <c r="K339" s="114" t="str">
        <f>HYPERLINK("#Структура!G3432","")</f>
        <v/>
      </c>
      <c r="L339" s="120">
        <f>HYPERLINK("#Покупные_изделия!D282",Покупные_изделия!D282)</f>
        <v>120</v>
      </c>
      <c r="M339" s="76">
        <f>J339*L339</f>
        <v>54.24</v>
      </c>
      <c r="N339" s="77"/>
      <c r="O339" s="77"/>
      <c r="P339" s="76"/>
      <c r="Q339" s="76"/>
    </row>
    <row r="340" spans="6:17" hidden="1" outlineLevel="5" collapsed="1" x14ac:dyDescent="0.25">
      <c r="G340" s="84" t="s">
        <v>1588</v>
      </c>
      <c r="H340" s="80"/>
      <c r="I340" s="81"/>
      <c r="J340" s="83">
        <f>HYPERLINK("#Структура!E3428",Структура!E3428)</f>
        <v>1</v>
      </c>
      <c r="K340" s="115">
        <f>HYPERLINK("#Структура!G3428",Структура!G3428)</f>
        <v>0.17599999999999999</v>
      </c>
      <c r="L340" s="81">
        <f>M340/J340</f>
        <v>27.96</v>
      </c>
      <c r="M340" s="81">
        <f>SUMIF(H341,"*",M341)*J340</f>
        <v>27.96</v>
      </c>
      <c r="N340" s="124">
        <f>HYPERLINK("#Трудозатраты!B856",Трудозатраты!B856+SUMIF(H341,"*",O341))</f>
        <v>7.5</v>
      </c>
      <c r="O340" s="82">
        <f>N340*J340</f>
        <v>7.5</v>
      </c>
      <c r="P340" s="81">
        <f>O340/60*(1+запас_труд)*стоимость_трудочаса</f>
        <v>293.75</v>
      </c>
      <c r="Q340" s="129">
        <f>M340*(1+наценка_покупное)+P340</f>
        <v>327.30200000000002</v>
      </c>
    </row>
    <row r="341" spans="6:17" hidden="1" outlineLevel="6" x14ac:dyDescent="0.25">
      <c r="H341" s="75" t="s">
        <v>72</v>
      </c>
      <c r="I341" s="76"/>
      <c r="J341" s="78">
        <f>HYPERLINK("#Структура!E3433",Структура!E3433)</f>
        <v>0.23300000000000001</v>
      </c>
      <c r="K341" s="114" t="str">
        <f>HYPERLINK("#Структура!G3433","")</f>
        <v/>
      </c>
      <c r="L341" s="120">
        <f>HYPERLINK("#Покупные_изделия!D223",Покупные_изделия!D223)</f>
        <v>120</v>
      </c>
      <c r="M341" s="76">
        <f>J341*L341</f>
        <v>27.96</v>
      </c>
      <c r="N341" s="77"/>
      <c r="O341" s="77"/>
      <c r="P341" s="76"/>
      <c r="Q341" s="76"/>
    </row>
    <row r="342" spans="6:17" hidden="1" outlineLevel="5" collapsed="1" x14ac:dyDescent="0.25">
      <c r="G342" s="84" t="s">
        <v>1589</v>
      </c>
      <c r="H342" s="80"/>
      <c r="I342" s="81"/>
      <c r="J342" s="83">
        <f>HYPERLINK("#Структура!E3429",Структура!E3429)</f>
        <v>1</v>
      </c>
      <c r="K342" s="115">
        <f>HYPERLINK("#Структура!G3429",Структура!G3429)</f>
        <v>0.17599999999999999</v>
      </c>
      <c r="L342" s="81">
        <f>M342/J342</f>
        <v>27.96</v>
      </c>
      <c r="M342" s="81">
        <f>SUMIF(H343,"*",M343)*J342</f>
        <v>27.96</v>
      </c>
      <c r="N342" s="124">
        <f>HYPERLINK("#Трудозатраты!B857",Трудозатраты!B857+SUMIF(H343,"*",O343))</f>
        <v>7.5</v>
      </c>
      <c r="O342" s="82">
        <f>N342*J342</f>
        <v>7.5</v>
      </c>
      <c r="P342" s="81">
        <f>O342/60*(1+запас_труд)*стоимость_трудочаса</f>
        <v>293.75</v>
      </c>
      <c r="Q342" s="129">
        <f>M342*(1+наценка_покупное)+P342</f>
        <v>327.30200000000002</v>
      </c>
    </row>
    <row r="343" spans="6:17" hidden="1" outlineLevel="6" x14ac:dyDescent="0.25">
      <c r="H343" s="75" t="s">
        <v>72</v>
      </c>
      <c r="I343" s="76"/>
      <c r="J343" s="78">
        <f>HYPERLINK("#Структура!E3434",Структура!E3434)</f>
        <v>0.23300000000000001</v>
      </c>
      <c r="K343" s="114" t="str">
        <f>HYPERLINK("#Структура!G3434","")</f>
        <v/>
      </c>
      <c r="L343" s="120">
        <f>HYPERLINK("#Покупные_изделия!D223",Покупные_изделия!D223)</f>
        <v>120</v>
      </c>
      <c r="M343" s="76">
        <f>J343*L343</f>
        <v>27.96</v>
      </c>
      <c r="N343" s="77"/>
      <c r="O343" s="77"/>
      <c r="P343" s="76"/>
      <c r="Q343" s="76"/>
    </row>
    <row r="344" spans="6:17" hidden="1" outlineLevel="5" x14ac:dyDescent="0.25">
      <c r="G344" s="74" t="s">
        <v>67</v>
      </c>
      <c r="H344" s="75"/>
      <c r="I344" s="76"/>
      <c r="J344" s="78">
        <f>HYPERLINK("#Структура!E3430",Структура!E3430)</f>
        <v>8.3000000000000004E-2</v>
      </c>
      <c r="K344" s="114" t="str">
        <f>HYPERLINK("#Структура!G3430","")</f>
        <v/>
      </c>
      <c r="L344" s="120">
        <f>HYPERLINK("#Покупные_изделия!D203",Покупные_изделия!D203)</f>
        <v>30.003600000000002</v>
      </c>
      <c r="M344" s="76">
        <f>J344*L344</f>
        <v>2.4902988000000001</v>
      </c>
      <c r="N344" s="77"/>
      <c r="O344" s="77"/>
      <c r="P344" s="76"/>
      <c r="Q344" s="76"/>
    </row>
    <row r="345" spans="6:17" hidden="1" outlineLevel="5" x14ac:dyDescent="0.25">
      <c r="G345" s="74" t="s">
        <v>146</v>
      </c>
      <c r="H345" s="75"/>
      <c r="I345" s="76"/>
      <c r="J345" s="78">
        <f>HYPERLINK("#Структура!E3431",Структура!E3431)</f>
        <v>4.9000000000000002E-2</v>
      </c>
      <c r="K345" s="114" t="str">
        <f>HYPERLINK("#Структура!G3431","")</f>
        <v/>
      </c>
      <c r="L345" s="120">
        <f>HYPERLINK("#Покупные_изделия!D406",Покупные_изделия!D406)</f>
        <v>105.996</v>
      </c>
      <c r="M345" s="76">
        <f>J345*L345</f>
        <v>5.1938040000000001</v>
      </c>
      <c r="N345" s="77"/>
      <c r="O345" s="77"/>
      <c r="P345" s="76"/>
      <c r="Q345" s="76"/>
    </row>
    <row r="346" spans="6:17" hidden="1" outlineLevel="4" collapsed="1" x14ac:dyDescent="0.25">
      <c r="F346" s="96" t="s">
        <v>1591</v>
      </c>
      <c r="G346" s="91"/>
      <c r="H346" s="92"/>
      <c r="I346" s="93"/>
      <c r="J346" s="95">
        <f>HYPERLINK("#Структура!E3453",Структура!E3453)</f>
        <v>1</v>
      </c>
      <c r="K346" s="116">
        <f>HYPERLINK("#Структура!G3453",Структура!G3453)</f>
        <v>0.67678000000000005</v>
      </c>
      <c r="L346" s="93">
        <f>M346/J346</f>
        <v>93.310033599999997</v>
      </c>
      <c r="M346" s="93">
        <f>SUMIF(G347:G352,"*",M347:M352)*J346</f>
        <v>93.310033599999997</v>
      </c>
      <c r="N346" s="125">
        <f>HYPERLINK("#Трудозатраты!B858",Трудозатраты!B858+SUMIF(G347:G352,"*",O347:O352))</f>
        <v>10.4</v>
      </c>
      <c r="O346" s="94">
        <f>N346*J346</f>
        <v>10.4</v>
      </c>
      <c r="P346" s="93">
        <f>O346/60*(1+запас_труд)*стоимость_трудочаса</f>
        <v>407.33333333333337</v>
      </c>
      <c r="Q346" s="130">
        <f>M346*(1+наценка_покупное)+P346</f>
        <v>519.30537365333339</v>
      </c>
    </row>
    <row r="347" spans="6:17" hidden="1" outlineLevel="5" collapsed="1" x14ac:dyDescent="0.25">
      <c r="G347" s="85" t="s">
        <v>1590</v>
      </c>
      <c r="H347" s="87"/>
      <c r="I347" s="88"/>
      <c r="J347" s="90">
        <f>HYPERLINK("#Структура!E3435",Структура!E3435)</f>
        <v>1</v>
      </c>
      <c r="K347" s="113">
        <f>HYPERLINK("#Структура!G3435",Структура!G3435)</f>
        <v>0.24296000000000001</v>
      </c>
      <c r="L347" s="88">
        <f>M347/J347</f>
        <v>47.04</v>
      </c>
      <c r="M347" s="88">
        <f>SUMIF(H348,"*",M348)*J347</f>
        <v>47.04</v>
      </c>
      <c r="N347" s="123">
        <f>HYPERLINK("#Трудозатраты!B860",Трудозатраты!B860+SUMIF(H348,"*",O348))</f>
        <v>3.5</v>
      </c>
      <c r="O347" s="89">
        <f>N347*J347</f>
        <v>3.5</v>
      </c>
      <c r="P347" s="88">
        <f>O347/60*(1+запас_труд)*стоимость_трудочаса</f>
        <v>137.08333333333334</v>
      </c>
      <c r="Q347" s="128">
        <f>M347*(1+наценка_покупное)+P347</f>
        <v>193.53133333333335</v>
      </c>
    </row>
    <row r="348" spans="6:17" hidden="1" outlineLevel="6" x14ac:dyDescent="0.25">
      <c r="H348" s="75" t="s">
        <v>811</v>
      </c>
      <c r="I348" s="76"/>
      <c r="J348" s="78">
        <f>HYPERLINK("#Структура!E3443",Структура!E3443)</f>
        <v>0.39200000000000002</v>
      </c>
      <c r="K348" s="114" t="str">
        <f>HYPERLINK("#Структура!G3443","")</f>
        <v/>
      </c>
      <c r="L348" s="120">
        <f>HYPERLINK("#Покупные_изделия!D284",Покупные_изделия!D284)</f>
        <v>120</v>
      </c>
      <c r="M348" s="76">
        <f>J348*L348</f>
        <v>47.04</v>
      </c>
      <c r="N348" s="77"/>
      <c r="O348" s="77"/>
      <c r="P348" s="76"/>
      <c r="Q348" s="76"/>
    </row>
    <row r="349" spans="6:17" hidden="1" outlineLevel="5" collapsed="1" x14ac:dyDescent="0.25">
      <c r="G349" s="84" t="s">
        <v>1592</v>
      </c>
      <c r="H349" s="80"/>
      <c r="I349" s="81"/>
      <c r="J349" s="83">
        <f>HYPERLINK("#Структура!E3436",Структура!E3436)</f>
        <v>1</v>
      </c>
      <c r="K349" s="115">
        <f>HYPERLINK("#Структура!G3436",Структура!G3436)</f>
        <v>0.43381999999999998</v>
      </c>
      <c r="L349" s="81">
        <f>M349/J349</f>
        <v>43.9</v>
      </c>
      <c r="M349" s="81">
        <f>SUMIF(H350,"*",M350)*J349</f>
        <v>43.9</v>
      </c>
      <c r="N349" s="124">
        <f>HYPERLINK("#Трудозатраты!B861",Трудозатраты!B861+SUMIF(H350,"*",O350))</f>
        <v>2.9</v>
      </c>
      <c r="O349" s="82">
        <f>N349*J349</f>
        <v>2.9</v>
      </c>
      <c r="P349" s="81">
        <f>O349/60*(1+запас_труд)*стоимость_трудочаса</f>
        <v>113.58333333333333</v>
      </c>
      <c r="Q349" s="129">
        <f>M349*(1+наценка_покупное)+P349</f>
        <v>166.26333333333332</v>
      </c>
    </row>
    <row r="350" spans="6:17" hidden="1" outlineLevel="6" x14ac:dyDescent="0.25">
      <c r="H350" s="75" t="s">
        <v>82</v>
      </c>
      <c r="I350" s="76"/>
      <c r="J350" s="78">
        <f>HYPERLINK("#Структура!E3444",Структура!E3444)</f>
        <v>0.439</v>
      </c>
      <c r="K350" s="114" t="str">
        <f>HYPERLINK("#Структура!G3444","")</f>
        <v/>
      </c>
      <c r="L350" s="120">
        <f>HYPERLINK("#Покупные_изделия!D251",Покупные_изделия!D251)</f>
        <v>100</v>
      </c>
      <c r="M350" s="76">
        <f>J350*L350</f>
        <v>43.9</v>
      </c>
      <c r="N350" s="77"/>
      <c r="O350" s="77"/>
      <c r="P350" s="76"/>
      <c r="Q350" s="76"/>
    </row>
    <row r="351" spans="6:17" hidden="1" outlineLevel="5" x14ac:dyDescent="0.25">
      <c r="G351" s="74" t="s">
        <v>67</v>
      </c>
      <c r="H351" s="75"/>
      <c r="I351" s="76"/>
      <c r="J351" s="78">
        <f>HYPERLINK("#Структура!E3437",Структура!E3437)</f>
        <v>2.5999999999999999E-2</v>
      </c>
      <c r="K351" s="114" t="str">
        <f>HYPERLINK("#Структура!G3437","")</f>
        <v/>
      </c>
      <c r="L351" s="120">
        <f>HYPERLINK("#Покупные_изделия!D203",Покупные_изделия!D203)</f>
        <v>30.003600000000002</v>
      </c>
      <c r="M351" s="76">
        <f>J351*L351</f>
        <v>0.78009360000000005</v>
      </c>
      <c r="N351" s="77"/>
      <c r="O351" s="77"/>
      <c r="P351" s="76"/>
      <c r="Q351" s="76"/>
    </row>
    <row r="352" spans="6:17" hidden="1" outlineLevel="5" x14ac:dyDescent="0.25">
      <c r="G352" s="74" t="s">
        <v>146</v>
      </c>
      <c r="H352" s="75"/>
      <c r="I352" s="76"/>
      <c r="J352" s="78">
        <f>HYPERLINK("#Структура!E3438",Структура!E3438)</f>
        <v>1.4999999999999999E-2</v>
      </c>
      <c r="K352" s="114" t="str">
        <f>HYPERLINK("#Структура!G3438","")</f>
        <v/>
      </c>
      <c r="L352" s="120">
        <f>HYPERLINK("#Покупные_изделия!D406",Покупные_изделия!D406)</f>
        <v>105.996</v>
      </c>
      <c r="M352" s="76">
        <f>J352*L352</f>
        <v>1.5899399999999999</v>
      </c>
      <c r="N352" s="77"/>
      <c r="O352" s="77"/>
      <c r="P352" s="76"/>
      <c r="Q352" s="76"/>
    </row>
    <row r="353" spans="6:17" hidden="1" outlineLevel="4" collapsed="1" x14ac:dyDescent="0.25">
      <c r="F353" s="96" t="s">
        <v>1593</v>
      </c>
      <c r="G353" s="91"/>
      <c r="H353" s="92"/>
      <c r="I353" s="93"/>
      <c r="J353" s="95">
        <f>HYPERLINK("#Структура!E3454",Структура!E3454)</f>
        <v>1</v>
      </c>
      <c r="K353" s="116">
        <f>HYPERLINK("#Структура!G3454",Структура!G3454)</f>
        <v>0.67678000000000005</v>
      </c>
      <c r="L353" s="93">
        <f>M353/J353</f>
        <v>93.310033599999997</v>
      </c>
      <c r="M353" s="93">
        <f>SUMIF(G354:G359,"*",M354:M359)*J353</f>
        <v>93.310033599999997</v>
      </c>
      <c r="N353" s="125">
        <f>HYPERLINK("#Трудозатраты!B859",Трудозатраты!B859+SUMIF(G354:G359,"*",O354:O359))</f>
        <v>10.4</v>
      </c>
      <c r="O353" s="94">
        <f>N353*J353</f>
        <v>10.4</v>
      </c>
      <c r="P353" s="93">
        <f>O353/60*(1+запас_труд)*стоимость_трудочаса</f>
        <v>407.33333333333337</v>
      </c>
      <c r="Q353" s="130">
        <f>M353*(1+наценка_покупное)+P353</f>
        <v>519.30537365333339</v>
      </c>
    </row>
    <row r="354" spans="6:17" hidden="1" outlineLevel="5" collapsed="1" x14ac:dyDescent="0.25">
      <c r="G354" s="85" t="s">
        <v>1590</v>
      </c>
      <c r="H354" s="87"/>
      <c r="I354" s="88"/>
      <c r="J354" s="90">
        <f>HYPERLINK("#Структура!E3439",Структура!E3439)</f>
        <v>1</v>
      </c>
      <c r="K354" s="113">
        <f>HYPERLINK("#Структура!G3439",Структура!G3439)</f>
        <v>0.24296000000000001</v>
      </c>
      <c r="L354" s="88">
        <f>M354/J354</f>
        <v>47.04</v>
      </c>
      <c r="M354" s="88">
        <f>SUMIF(H355,"*",M355)*J354</f>
        <v>47.04</v>
      </c>
      <c r="N354" s="123">
        <f>HYPERLINK("#Трудозатраты!B860",Трудозатраты!B860+SUMIF(H355,"*",O355))</f>
        <v>3.5</v>
      </c>
      <c r="O354" s="89">
        <f>N354*J354</f>
        <v>3.5</v>
      </c>
      <c r="P354" s="88">
        <f>O354/60*(1+запас_труд)*стоимость_трудочаса</f>
        <v>137.08333333333334</v>
      </c>
      <c r="Q354" s="128">
        <f>M354*(1+наценка_покупное)+P354</f>
        <v>193.53133333333335</v>
      </c>
    </row>
    <row r="355" spans="6:17" hidden="1" outlineLevel="6" x14ac:dyDescent="0.25">
      <c r="H355" s="75" t="s">
        <v>811</v>
      </c>
      <c r="I355" s="76"/>
      <c r="J355" s="78">
        <f>HYPERLINK("#Структура!E3443",Структура!E3443)</f>
        <v>0.39200000000000002</v>
      </c>
      <c r="K355" s="114" t="str">
        <f>HYPERLINK("#Структура!G3443","")</f>
        <v/>
      </c>
      <c r="L355" s="120">
        <f>HYPERLINK("#Покупные_изделия!D284",Покупные_изделия!D284)</f>
        <v>120</v>
      </c>
      <c r="M355" s="76">
        <f>J355*L355</f>
        <v>47.04</v>
      </c>
      <c r="N355" s="77"/>
      <c r="O355" s="77"/>
      <c r="P355" s="76"/>
      <c r="Q355" s="76"/>
    </row>
    <row r="356" spans="6:17" hidden="1" outlineLevel="5" collapsed="1" x14ac:dyDescent="0.25">
      <c r="G356" s="84" t="s">
        <v>1594</v>
      </c>
      <c r="H356" s="80"/>
      <c r="I356" s="81"/>
      <c r="J356" s="83">
        <f>HYPERLINK("#Структура!E3440",Структура!E3440)</f>
        <v>1</v>
      </c>
      <c r="K356" s="115">
        <f>HYPERLINK("#Структура!G3440",Структура!G3440)</f>
        <v>0.43381999999999998</v>
      </c>
      <c r="L356" s="81">
        <f>M356/J356</f>
        <v>43.9</v>
      </c>
      <c r="M356" s="81">
        <f>SUMIF(H357,"*",M357)*J356</f>
        <v>43.9</v>
      </c>
      <c r="N356" s="124">
        <f>HYPERLINK("#Трудозатраты!B862",Трудозатраты!B862+SUMIF(H357,"*",O357))</f>
        <v>2.9</v>
      </c>
      <c r="O356" s="82">
        <f>N356*J356</f>
        <v>2.9</v>
      </c>
      <c r="P356" s="81">
        <f>O356/60*(1+запас_труд)*стоимость_трудочаса</f>
        <v>113.58333333333333</v>
      </c>
      <c r="Q356" s="129">
        <f>M356*(1+наценка_покупное)+P356</f>
        <v>166.26333333333332</v>
      </c>
    </row>
    <row r="357" spans="6:17" hidden="1" outlineLevel="6" x14ac:dyDescent="0.25">
      <c r="H357" s="75" t="s">
        <v>82</v>
      </c>
      <c r="I357" s="76"/>
      <c r="J357" s="78">
        <f>HYPERLINK("#Структура!E3445",Структура!E3445)</f>
        <v>0.439</v>
      </c>
      <c r="K357" s="114" t="str">
        <f>HYPERLINK("#Структура!G3445","")</f>
        <v/>
      </c>
      <c r="L357" s="120">
        <f>HYPERLINK("#Покупные_изделия!D251",Покупные_изделия!D251)</f>
        <v>100</v>
      </c>
      <c r="M357" s="76">
        <f>J357*L357</f>
        <v>43.9</v>
      </c>
      <c r="N357" s="77"/>
      <c r="O357" s="77"/>
      <c r="P357" s="76"/>
      <c r="Q357" s="76"/>
    </row>
    <row r="358" spans="6:17" hidden="1" outlineLevel="5" x14ac:dyDescent="0.25">
      <c r="G358" s="74" t="s">
        <v>67</v>
      </c>
      <c r="H358" s="75"/>
      <c r="I358" s="76"/>
      <c r="J358" s="78">
        <f>HYPERLINK("#Структура!E3441",Структура!E3441)</f>
        <v>2.5999999999999999E-2</v>
      </c>
      <c r="K358" s="114" t="str">
        <f>HYPERLINK("#Структура!G3441","")</f>
        <v/>
      </c>
      <c r="L358" s="120">
        <f>HYPERLINK("#Покупные_изделия!D203",Покупные_изделия!D203)</f>
        <v>30.003600000000002</v>
      </c>
      <c r="M358" s="76">
        <f>J358*L358</f>
        <v>0.78009360000000005</v>
      </c>
      <c r="N358" s="77"/>
      <c r="O358" s="77"/>
      <c r="P358" s="76"/>
      <c r="Q358" s="76"/>
    </row>
    <row r="359" spans="6:17" hidden="1" outlineLevel="5" x14ac:dyDescent="0.25">
      <c r="G359" s="74" t="s">
        <v>146</v>
      </c>
      <c r="H359" s="75"/>
      <c r="I359" s="76"/>
      <c r="J359" s="78">
        <f>HYPERLINK("#Структура!E3442",Структура!E3442)</f>
        <v>1.4999999999999999E-2</v>
      </c>
      <c r="K359" s="114" t="str">
        <f>HYPERLINK("#Структура!G3442","")</f>
        <v/>
      </c>
      <c r="L359" s="120">
        <f>HYPERLINK("#Покупные_изделия!D406",Покупные_изделия!D406)</f>
        <v>105.996</v>
      </c>
      <c r="M359" s="76">
        <f>J359*L359</f>
        <v>1.5899399999999999</v>
      </c>
      <c r="N359" s="77"/>
      <c r="O359" s="77"/>
      <c r="P359" s="76"/>
      <c r="Q359" s="76"/>
    </row>
    <row r="360" spans="6:17" hidden="1" outlineLevel="4" collapsed="1" x14ac:dyDescent="0.25">
      <c r="F360" s="96" t="s">
        <v>1596</v>
      </c>
      <c r="G360" s="91"/>
      <c r="H360" s="92"/>
      <c r="I360" s="93"/>
      <c r="J360" s="95">
        <f>HYPERLINK("#Структура!E3455",Структура!E3455)</f>
        <v>1</v>
      </c>
      <c r="K360" s="116">
        <f>HYPERLINK("#Структура!G3455",Структура!G3455)</f>
        <v>0.25341000000000002</v>
      </c>
      <c r="L360" s="93">
        <f>M360/J360</f>
        <v>63.128048399999997</v>
      </c>
      <c r="M360" s="93">
        <f>SUMIF(G361:G366,"*",M361:M366)*J360</f>
        <v>63.128048399999997</v>
      </c>
      <c r="N360" s="125">
        <f>HYPERLINK("#Трудозатраты!B863",Трудозатраты!B863+SUMIF(G361:G366,"*",O361:O366))</f>
        <v>13.3</v>
      </c>
      <c r="O360" s="94">
        <f>N360*J360</f>
        <v>13.3</v>
      </c>
      <c r="P360" s="93">
        <f>O360/60*(1+запас_труд)*стоимость_трудочаса</f>
        <v>520.91666666666674</v>
      </c>
      <c r="Q360" s="130">
        <f>M360*(1+наценка_покупное)+P360</f>
        <v>596.67032474666678</v>
      </c>
    </row>
    <row r="361" spans="6:17" hidden="1" outlineLevel="5" collapsed="1" x14ac:dyDescent="0.25">
      <c r="G361" s="85" t="s">
        <v>1595</v>
      </c>
      <c r="H361" s="87"/>
      <c r="I361" s="88"/>
      <c r="J361" s="90">
        <f>HYPERLINK("#Структура!E3446",Структура!E3446)</f>
        <v>1</v>
      </c>
      <c r="K361" s="113">
        <f>HYPERLINK("#Структура!G3446",Структура!G3446)</f>
        <v>0.13643</v>
      </c>
      <c r="L361" s="88">
        <f>M361/J361</f>
        <v>27.84</v>
      </c>
      <c r="M361" s="88">
        <f>SUMIF(H362,"*",M362)*J361</f>
        <v>27.84</v>
      </c>
      <c r="N361" s="123">
        <f>HYPERLINK("#Трудозатраты!B864",Трудозатраты!B864+SUMIF(H362,"*",O362))</f>
        <v>0.7</v>
      </c>
      <c r="O361" s="89">
        <f>N361*J361</f>
        <v>0.7</v>
      </c>
      <c r="P361" s="88">
        <f>O361/60*(1+запас_труд)*стоимость_трудочаса</f>
        <v>27.416666666666664</v>
      </c>
      <c r="Q361" s="128">
        <f>M361*(1+наценка_покупное)+P361</f>
        <v>60.824666666666666</v>
      </c>
    </row>
    <row r="362" spans="6:17" hidden="1" outlineLevel="6" x14ac:dyDescent="0.25">
      <c r="H362" s="75" t="s">
        <v>118</v>
      </c>
      <c r="I362" s="76"/>
      <c r="J362" s="78">
        <f>HYPERLINK("#Структура!E3450",Структура!E3450)</f>
        <v>0.23200000000000001</v>
      </c>
      <c r="K362" s="114" t="str">
        <f>HYPERLINK("#Структура!G3450","")</f>
        <v/>
      </c>
      <c r="L362" s="120">
        <f>HYPERLINK("#Покупные_изделия!D293",Покупные_изделия!D293)</f>
        <v>120</v>
      </c>
      <c r="M362" s="76">
        <f>J362*L362</f>
        <v>27.84</v>
      </c>
      <c r="N362" s="77"/>
      <c r="O362" s="77"/>
      <c r="P362" s="76"/>
      <c r="Q362" s="76"/>
    </row>
    <row r="363" spans="6:17" hidden="1" outlineLevel="5" collapsed="1" x14ac:dyDescent="0.25">
      <c r="G363" s="84" t="s">
        <v>1597</v>
      </c>
      <c r="H363" s="80"/>
      <c r="I363" s="81"/>
      <c r="J363" s="83">
        <f>HYPERLINK("#Структура!E3447",Структура!E3447)</f>
        <v>2</v>
      </c>
      <c r="K363" s="115">
        <f>HYPERLINK("#Структура!G3447",Структура!G3447)</f>
        <v>5.849E-2</v>
      </c>
      <c r="L363" s="81">
        <f>M363/J363</f>
        <v>15.84</v>
      </c>
      <c r="M363" s="81">
        <f>SUMIF(H364,"*",M364)*J363</f>
        <v>31.68</v>
      </c>
      <c r="N363" s="124">
        <f>HYPERLINK("#Трудозатраты!B865",Трудозатраты!B865+SUMIF(H364,"*",O364))</f>
        <v>2.2999999999999998</v>
      </c>
      <c r="O363" s="82">
        <f>N363*J363</f>
        <v>4.5999999999999996</v>
      </c>
      <c r="P363" s="81">
        <f>O363/60*(1+запас_труд)*стоимость_трудочаса</f>
        <v>180.16666666666666</v>
      </c>
      <c r="Q363" s="129">
        <f>M363*(1+наценка_покупное)+P363</f>
        <v>218.18266666666665</v>
      </c>
    </row>
    <row r="364" spans="6:17" hidden="1" outlineLevel="6" x14ac:dyDescent="0.25">
      <c r="H364" s="75" t="s">
        <v>118</v>
      </c>
      <c r="I364" s="76"/>
      <c r="J364" s="78">
        <f>HYPERLINK("#Структура!E3451",Структура!E3451)</f>
        <v>0.13200000000000001</v>
      </c>
      <c r="K364" s="114" t="str">
        <f>HYPERLINK("#Структура!G3451","")</f>
        <v/>
      </c>
      <c r="L364" s="120">
        <f>HYPERLINK("#Покупные_изделия!D293",Покупные_изделия!D293)</f>
        <v>120</v>
      </c>
      <c r="M364" s="76">
        <f>J364*L364</f>
        <v>15.84</v>
      </c>
      <c r="N364" s="77"/>
      <c r="O364" s="77"/>
      <c r="P364" s="76"/>
      <c r="Q364" s="76"/>
    </row>
    <row r="365" spans="6:17" hidden="1" outlineLevel="5" x14ac:dyDescent="0.25">
      <c r="G365" s="74" t="s">
        <v>67</v>
      </c>
      <c r="H365" s="75"/>
      <c r="I365" s="76"/>
      <c r="J365" s="78">
        <f>HYPERLINK("#Структура!E3448",Структура!E3448)</f>
        <v>3.9E-2</v>
      </c>
      <c r="K365" s="114" t="str">
        <f>HYPERLINK("#Структура!G3448","")</f>
        <v/>
      </c>
      <c r="L365" s="120">
        <f>HYPERLINK("#Покупные_изделия!D203",Покупные_изделия!D203)</f>
        <v>30.003600000000002</v>
      </c>
      <c r="M365" s="76">
        <f>J365*L365</f>
        <v>1.1701404000000002</v>
      </c>
      <c r="N365" s="77"/>
      <c r="O365" s="77"/>
      <c r="P365" s="76"/>
      <c r="Q365" s="76"/>
    </row>
    <row r="366" spans="6:17" hidden="1" outlineLevel="5" x14ac:dyDescent="0.25">
      <c r="G366" s="74" t="s">
        <v>146</v>
      </c>
      <c r="H366" s="75"/>
      <c r="I366" s="76"/>
      <c r="J366" s="78">
        <f>HYPERLINK("#Структура!E3449",Структура!E3449)</f>
        <v>2.3E-2</v>
      </c>
      <c r="K366" s="114" t="str">
        <f>HYPERLINK("#Структура!G3449","")</f>
        <v/>
      </c>
      <c r="L366" s="120">
        <f>HYPERLINK("#Покупные_изделия!D406",Покупные_изделия!D406)</f>
        <v>105.996</v>
      </c>
      <c r="M366" s="76">
        <f>J366*L366</f>
        <v>2.4379079999999997</v>
      </c>
      <c r="N366" s="77"/>
      <c r="O366" s="77"/>
      <c r="P366" s="76"/>
      <c r="Q366" s="76"/>
    </row>
    <row r="367" spans="6:17" hidden="1" outlineLevel="4" collapsed="1" x14ac:dyDescent="0.25">
      <c r="F367" s="84" t="s">
        <v>1585</v>
      </c>
      <c r="G367" s="79"/>
      <c r="H367" s="80"/>
      <c r="I367" s="81"/>
      <c r="J367" s="83">
        <f>HYPERLINK("#Структура!E3456",Структура!E3456)</f>
        <v>2</v>
      </c>
      <c r="K367" s="115">
        <f>HYPERLINK("#Структура!G3456",Структура!G3456)</f>
        <v>6.3969999999999999E-2</v>
      </c>
      <c r="L367" s="81">
        <f>M367/J367</f>
        <v>19.600000000000001</v>
      </c>
      <c r="M367" s="81">
        <f>SUMIF(G368,"*",M368)*J367</f>
        <v>39.200000000000003</v>
      </c>
      <c r="N367" s="124">
        <f>HYPERLINK("#Трудозатраты!B853",Трудозатраты!B853+SUMIF(G368,"*",O368))</f>
        <v>21</v>
      </c>
      <c r="O367" s="82">
        <f>N367*J367</f>
        <v>42</v>
      </c>
      <c r="P367" s="81">
        <f>O367/60*(1+запас_труд)*стоимость_трудочаса</f>
        <v>1645</v>
      </c>
      <c r="Q367" s="129">
        <f>M367*(1+наценка_покупное)+P367</f>
        <v>1692.04</v>
      </c>
    </row>
    <row r="368" spans="6:17" hidden="1" outlineLevel="5" x14ac:dyDescent="0.25">
      <c r="G368" s="74" t="s">
        <v>86</v>
      </c>
      <c r="H368" s="75"/>
      <c r="I368" s="76"/>
      <c r="J368" s="78">
        <f>HYPERLINK("#Структура!E3426",Структура!E3426)</f>
        <v>0.19600000000000001</v>
      </c>
      <c r="K368" s="114" t="str">
        <f>HYPERLINK("#Структура!G3426","")</f>
        <v/>
      </c>
      <c r="L368" s="120">
        <f>HYPERLINK("#Покупные_изделия!D255",Покупные_изделия!D255)</f>
        <v>100</v>
      </c>
      <c r="M368" s="76">
        <f>J368*L368</f>
        <v>19.600000000000001</v>
      </c>
      <c r="N368" s="77"/>
      <c r="O368" s="77"/>
      <c r="P368" s="76"/>
      <c r="Q368" s="76"/>
    </row>
    <row r="369" spans="5:17" hidden="1" outlineLevel="4" collapsed="1" x14ac:dyDescent="0.25">
      <c r="F369" s="84" t="s">
        <v>1598</v>
      </c>
      <c r="G369" s="79"/>
      <c r="H369" s="80"/>
      <c r="I369" s="81"/>
      <c r="J369" s="83">
        <f>HYPERLINK("#Структура!E3457",Структура!E3457)</f>
        <v>2</v>
      </c>
      <c r="K369" s="115">
        <f>HYPERLINK("#Структура!G3457",Структура!G3457)</f>
        <v>0.23215</v>
      </c>
      <c r="L369" s="81">
        <f>M369/J369</f>
        <v>67.679999999999993</v>
      </c>
      <c r="M369" s="81">
        <f>SUMIF(G370,"*",M370)*J369</f>
        <v>135.35999999999999</v>
      </c>
      <c r="N369" s="124">
        <f>HYPERLINK("#Трудозатраты!B867",Трудозатраты!B867+SUMIF(G370,"*",O370))</f>
        <v>9</v>
      </c>
      <c r="O369" s="82">
        <f>N369*J369</f>
        <v>18</v>
      </c>
      <c r="P369" s="81">
        <f>O369/60*(1+запас_труд)*стоимость_трудочаса</f>
        <v>705</v>
      </c>
      <c r="Q369" s="129">
        <f>M369*(1+наценка_покупное)+P369</f>
        <v>867.43200000000002</v>
      </c>
    </row>
    <row r="370" spans="5:17" hidden="1" outlineLevel="5" x14ac:dyDescent="0.25">
      <c r="G370" s="74" t="s">
        <v>122</v>
      </c>
      <c r="H370" s="75"/>
      <c r="I370" s="76"/>
      <c r="J370" s="78">
        <f>HYPERLINK("#Структура!E3463",Структура!E3463)</f>
        <v>0.56399999999999995</v>
      </c>
      <c r="K370" s="114" t="str">
        <f>HYPERLINK("#Структура!G3463","")</f>
        <v/>
      </c>
      <c r="L370" s="120">
        <f>HYPERLINK("#Покупные_изделия!D297",Покупные_изделия!D297)</f>
        <v>120</v>
      </c>
      <c r="M370" s="76">
        <f t="shared" ref="M370:M375" si="19">J370*L370</f>
        <v>67.679999999999993</v>
      </c>
      <c r="N370" s="77"/>
      <c r="O370" s="77"/>
      <c r="P370" s="76"/>
      <c r="Q370" s="76"/>
    </row>
    <row r="371" spans="5:17" hidden="1" outlineLevel="4" x14ac:dyDescent="0.25">
      <c r="F371" s="74" t="s">
        <v>864</v>
      </c>
      <c r="G371" s="74"/>
      <c r="H371" s="75"/>
      <c r="I371" s="76"/>
      <c r="J371" s="78">
        <f>HYPERLINK("#Структура!E3458",Структура!E3458)</f>
        <v>2</v>
      </c>
      <c r="K371" s="114">
        <f>HYPERLINK("#Структура!G3458",Структура!G3458)</f>
        <v>1.567E-2</v>
      </c>
      <c r="L371" s="120">
        <f>HYPERLINK("#Покупные_изделия!D175",Покупные_изделия!D175)</f>
        <v>3.3659999999999997</v>
      </c>
      <c r="M371" s="76">
        <f t="shared" si="19"/>
        <v>6.7319999999999993</v>
      </c>
      <c r="N371" s="77"/>
      <c r="O371" s="77"/>
      <c r="P371" s="76"/>
      <c r="Q371" s="76"/>
    </row>
    <row r="372" spans="5:17" hidden="1" outlineLevel="4" x14ac:dyDescent="0.25">
      <c r="F372" s="74" t="s">
        <v>818</v>
      </c>
      <c r="G372" s="74"/>
      <c r="H372" s="75"/>
      <c r="I372" s="76"/>
      <c r="J372" s="78">
        <f>HYPERLINK("#Структура!E3459",Структура!E3459)</f>
        <v>1</v>
      </c>
      <c r="K372" s="114">
        <f>HYPERLINK("#Структура!G3459",Структура!G3459)</f>
        <v>3.7609999999999998E-2</v>
      </c>
      <c r="L372" s="120">
        <f>HYPERLINK("#Покупные_изделия!D177",Покупные_изделия!D177)</f>
        <v>9.4320000000000004</v>
      </c>
      <c r="M372" s="76">
        <f t="shared" si="19"/>
        <v>9.4320000000000004</v>
      </c>
      <c r="N372" s="77"/>
      <c r="O372" s="77"/>
      <c r="P372" s="76"/>
      <c r="Q372" s="76"/>
    </row>
    <row r="373" spans="5:17" hidden="1" outlineLevel="4" x14ac:dyDescent="0.25">
      <c r="F373" s="74" t="s">
        <v>1599</v>
      </c>
      <c r="G373" s="74"/>
      <c r="H373" s="75"/>
      <c r="I373" s="76"/>
      <c r="J373" s="78">
        <f>HYPERLINK("#Структура!E3460",Структура!E3460)</f>
        <v>1</v>
      </c>
      <c r="K373" s="114">
        <f>HYPERLINK("#Структура!G3460",Структура!G3460)</f>
        <v>3.7609999999999998E-2</v>
      </c>
      <c r="L373" s="120">
        <f>HYPERLINK("#Покупные_изделия!D179",Покупные_изделия!D179)</f>
        <v>154.22880000000001</v>
      </c>
      <c r="M373" s="76">
        <f t="shared" si="19"/>
        <v>154.22880000000001</v>
      </c>
      <c r="N373" s="77"/>
      <c r="O373" s="77"/>
      <c r="P373" s="76"/>
      <c r="Q373" s="76"/>
    </row>
    <row r="374" spans="5:17" hidden="1" outlineLevel="4" x14ac:dyDescent="0.25">
      <c r="F374" s="74" t="s">
        <v>865</v>
      </c>
      <c r="G374" s="74"/>
      <c r="H374" s="75"/>
      <c r="I374" s="76"/>
      <c r="J374" s="78">
        <f>HYPERLINK("#Структура!E3461",Структура!E3461)</f>
        <v>2</v>
      </c>
      <c r="K374" s="114">
        <f>HYPERLINK("#Структура!G3461",Структура!G3461)</f>
        <v>3.4499999999999999E-3</v>
      </c>
      <c r="L374" s="120">
        <f>HYPERLINK("#Покупные_изделия!D523",Покупные_изделия!D523)</f>
        <v>1.5973680000000001</v>
      </c>
      <c r="M374" s="76">
        <f t="shared" si="19"/>
        <v>3.1947360000000002</v>
      </c>
      <c r="N374" s="77"/>
      <c r="O374" s="77"/>
      <c r="P374" s="76"/>
      <c r="Q374" s="76"/>
    </row>
    <row r="375" spans="5:17" hidden="1" outlineLevel="4" x14ac:dyDescent="0.25">
      <c r="F375" s="74" t="s">
        <v>866</v>
      </c>
      <c r="G375" s="74"/>
      <c r="H375" s="75"/>
      <c r="I375" s="76"/>
      <c r="J375" s="78">
        <f>HYPERLINK("#Структура!E3462",Структура!E3462)</f>
        <v>2</v>
      </c>
      <c r="K375" s="114">
        <f>HYPERLINK("#Структура!G3462",Структура!G3462)</f>
        <v>6.0699999999999999E-3</v>
      </c>
      <c r="L375" s="120">
        <f>HYPERLINK("#Покупные_изделия!D539",Покупные_изделия!D539)</f>
        <v>2.2000000000000002</v>
      </c>
      <c r="M375" s="76">
        <f t="shared" si="19"/>
        <v>4.4000000000000004</v>
      </c>
      <c r="N375" s="77"/>
      <c r="O375" s="77"/>
      <c r="P375" s="76"/>
      <c r="Q375" s="76"/>
    </row>
    <row r="376" spans="5:17" hidden="1" outlineLevel="3" collapsed="1" x14ac:dyDescent="0.25">
      <c r="E376" s="96" t="s">
        <v>759</v>
      </c>
      <c r="F376" s="91"/>
      <c r="G376" s="91"/>
      <c r="H376" s="92"/>
      <c r="I376" s="93"/>
      <c r="J376" s="95">
        <f>HYPERLINK("#Структура!E422",Структура!E422)</f>
        <v>1</v>
      </c>
      <c r="K376" s="116">
        <f>HYPERLINK("#Структура!G422",Структура!G422)</f>
        <v>1.54573</v>
      </c>
      <c r="L376" s="93">
        <f>M376/J376</f>
        <v>2480.1371823157897</v>
      </c>
      <c r="M376" s="93">
        <f>SUMIF(F377:F385,"*",M377:M385)*J376</f>
        <v>2480.1371823157897</v>
      </c>
      <c r="N376" s="125">
        <f>HYPERLINK("#Трудозатраты!B869",Трудозатраты!B869+SUMIF(F377:F385,"*",O377:O385))</f>
        <v>435.5</v>
      </c>
      <c r="O376" s="94">
        <f>N376*J376</f>
        <v>435.5</v>
      </c>
      <c r="P376" s="93">
        <f>O376/60*(1+запас_труд)*стоимость_трудочаса</f>
        <v>17057.083333333336</v>
      </c>
      <c r="Q376" s="130">
        <f>M376*(1+наценка_покупное)+P376</f>
        <v>20033.247952112284</v>
      </c>
    </row>
    <row r="377" spans="5:17" hidden="1" outlineLevel="4" collapsed="1" x14ac:dyDescent="0.25">
      <c r="F377" s="85" t="s">
        <v>589</v>
      </c>
      <c r="G377" s="86"/>
      <c r="H377" s="87"/>
      <c r="I377" s="88"/>
      <c r="J377" s="90">
        <f>HYPERLINK("#Структура!E3465",Структура!E3465)</f>
        <v>1</v>
      </c>
      <c r="K377" s="113">
        <f>HYPERLINK("#Структура!G3465",Структура!G3465)</f>
        <v>0.13364999999999999</v>
      </c>
      <c r="L377" s="88">
        <f>M377/J377</f>
        <v>43.56</v>
      </c>
      <c r="M377" s="88">
        <f>SUMIF(G378,"*",M378)*J377</f>
        <v>43.56</v>
      </c>
      <c r="N377" s="123">
        <f>HYPERLINK("#Трудозатраты!B5",Трудозатраты!B5+SUMIF(G378,"*",O378))</f>
        <v>81.5</v>
      </c>
      <c r="O377" s="89">
        <f>N377*J377</f>
        <v>81.5</v>
      </c>
      <c r="P377" s="88">
        <f>O377/60*(1+запас_труд)*стоимость_трудочаса</f>
        <v>3192.0833333333335</v>
      </c>
      <c r="Q377" s="128">
        <f>M377*(1+наценка_покупное)+P377</f>
        <v>3244.3553333333334</v>
      </c>
    </row>
    <row r="378" spans="5:17" hidden="1" outlineLevel="5" x14ac:dyDescent="0.25">
      <c r="G378" s="74" t="s">
        <v>71</v>
      </c>
      <c r="H378" s="75"/>
      <c r="I378" s="76"/>
      <c r="J378" s="78">
        <f>HYPERLINK("#Структура!E5",Структура!E5)</f>
        <v>0.36299999999999999</v>
      </c>
      <c r="K378" s="114" t="str">
        <f>HYPERLINK("#Структура!G5","")</f>
        <v/>
      </c>
      <c r="L378" s="120">
        <f>HYPERLINK("#Покупные_изделия!D222",Покупные_изделия!D222)</f>
        <v>120</v>
      </c>
      <c r="M378" s="76">
        <f>J378*L378</f>
        <v>43.56</v>
      </c>
      <c r="N378" s="77"/>
      <c r="O378" s="77"/>
      <c r="P378" s="76"/>
      <c r="Q378" s="76"/>
    </row>
    <row r="379" spans="5:17" hidden="1" outlineLevel="4" collapsed="1" x14ac:dyDescent="0.25">
      <c r="F379" s="84" t="s">
        <v>1600</v>
      </c>
      <c r="G379" s="79"/>
      <c r="H379" s="80"/>
      <c r="I379" s="81"/>
      <c r="J379" s="83">
        <f>HYPERLINK("#Структура!E3466",Структура!E3466)</f>
        <v>2</v>
      </c>
      <c r="K379" s="115">
        <f>HYPERLINK("#Структура!G3466",Структура!G3466)</f>
        <v>0.23632</v>
      </c>
      <c r="L379" s="81">
        <f>M379/J379</f>
        <v>155</v>
      </c>
      <c r="M379" s="81">
        <f>SUMIF(G380,"*",M380)*J379</f>
        <v>310</v>
      </c>
      <c r="N379" s="124">
        <f>HYPERLINK("#Трудозатраты!B868",Трудозатраты!B868+SUMIF(G380,"*",O380))</f>
        <v>67</v>
      </c>
      <c r="O379" s="82">
        <f>N379*J379</f>
        <v>134</v>
      </c>
      <c r="P379" s="81">
        <f>O379/60*(1+запас_труд)*стоимость_трудочаса</f>
        <v>5248.333333333333</v>
      </c>
      <c r="Q379" s="129">
        <f>M379*(1+наценка_покупное)+P379</f>
        <v>5620.333333333333</v>
      </c>
    </row>
    <row r="380" spans="5:17" hidden="1" outlineLevel="5" x14ac:dyDescent="0.25">
      <c r="G380" s="74" t="s">
        <v>76</v>
      </c>
      <c r="H380" s="75"/>
      <c r="I380" s="76"/>
      <c r="J380" s="78">
        <f>HYPERLINK("#Структура!E3464",Структура!E3464)</f>
        <v>1.55</v>
      </c>
      <c r="K380" s="114" t="str">
        <f>HYPERLINK("#Структура!G3464","")</f>
        <v/>
      </c>
      <c r="L380" s="120">
        <f>HYPERLINK("#Покупные_изделия!D245",Покупные_изделия!D245)</f>
        <v>100</v>
      </c>
      <c r="M380" s="76">
        <f>J380*L380</f>
        <v>155</v>
      </c>
      <c r="N380" s="77"/>
      <c r="O380" s="77"/>
      <c r="P380" s="76"/>
      <c r="Q380" s="76"/>
    </row>
    <row r="381" spans="5:17" hidden="1" outlineLevel="4" collapsed="1" x14ac:dyDescent="0.25">
      <c r="F381" s="84" t="s">
        <v>1601</v>
      </c>
      <c r="G381" s="79"/>
      <c r="H381" s="80"/>
      <c r="I381" s="81"/>
      <c r="J381" s="83">
        <f>HYPERLINK("#Структура!E3467",Структура!E3467)</f>
        <v>2</v>
      </c>
      <c r="K381" s="115">
        <f>HYPERLINK("#Структура!G3467",Структура!G3467)</f>
        <v>0.41228999999999999</v>
      </c>
      <c r="L381" s="81">
        <f>M381/J381</f>
        <v>252.99999999999997</v>
      </c>
      <c r="M381" s="81">
        <f>SUMIF(G382,"*",M382)*J381</f>
        <v>505.99999999999994</v>
      </c>
      <c r="N381" s="124">
        <f>HYPERLINK("#Трудозатраты!B870",Трудозатраты!B870+SUMIF(G382,"*",O382))</f>
        <v>107</v>
      </c>
      <c r="O381" s="82">
        <f>N381*J381</f>
        <v>214</v>
      </c>
      <c r="P381" s="81">
        <f>O381/60*(1+запас_труд)*стоимость_трудочаса</f>
        <v>8381.6666666666679</v>
      </c>
      <c r="Q381" s="129">
        <f>M381*(1+наценка_покупное)+P381</f>
        <v>8988.8666666666686</v>
      </c>
    </row>
    <row r="382" spans="5:17" hidden="1" outlineLevel="5" x14ac:dyDescent="0.25">
      <c r="G382" s="74" t="s">
        <v>76</v>
      </c>
      <c r="H382" s="75"/>
      <c r="I382" s="76"/>
      <c r="J382" s="78">
        <f>HYPERLINK("#Структура!E3471",Структура!E3471)</f>
        <v>2.5299999999999998</v>
      </c>
      <c r="K382" s="114" t="str">
        <f>HYPERLINK("#Структура!G3471","")</f>
        <v/>
      </c>
      <c r="L382" s="120">
        <f>HYPERLINK("#Покупные_изделия!D245",Покупные_изделия!D245)</f>
        <v>100</v>
      </c>
      <c r="M382" s="76">
        <f>J382*L382</f>
        <v>252.99999999999997</v>
      </c>
      <c r="N382" s="77"/>
      <c r="O382" s="77"/>
      <c r="P382" s="76"/>
      <c r="Q382" s="76"/>
    </row>
    <row r="383" spans="5:17" hidden="1" outlineLevel="4" x14ac:dyDescent="0.25">
      <c r="F383" s="74" t="s">
        <v>671</v>
      </c>
      <c r="G383" s="74"/>
      <c r="H383" s="75"/>
      <c r="I383" s="76"/>
      <c r="J383" s="78">
        <f>HYPERLINK("#Структура!E3468",Структура!E3468)</f>
        <v>6</v>
      </c>
      <c r="K383" s="114">
        <f>HYPERLINK("#Структура!G3468",Структура!G3468)</f>
        <v>1.5699999999999999E-2</v>
      </c>
      <c r="L383" s="120">
        <f>HYPERLINK("#Покупные_изделия!D105",Покупные_изделия!D105)</f>
        <v>5.0999999999999996</v>
      </c>
      <c r="M383" s="76">
        <f>J383*L383</f>
        <v>30.599999999999998</v>
      </c>
      <c r="N383" s="77"/>
      <c r="O383" s="77"/>
      <c r="P383" s="76"/>
      <c r="Q383" s="76"/>
    </row>
    <row r="384" spans="5:17" hidden="1" outlineLevel="4" x14ac:dyDescent="0.25">
      <c r="F384" s="74" t="s">
        <v>710</v>
      </c>
      <c r="G384" s="74"/>
      <c r="H384" s="75"/>
      <c r="I384" s="76"/>
      <c r="J384" s="78">
        <f>HYPERLINK("#Структура!E3469",Структура!E3469)</f>
        <v>6</v>
      </c>
      <c r="K384" s="114">
        <f>HYPERLINK("#Структура!G3469",Структура!G3469)</f>
        <v>1.0300000000000001E-3</v>
      </c>
      <c r="L384" s="120">
        <f>HYPERLINK("#Покупные_изделия!D530",Покупные_изделия!D530)</f>
        <v>1.6033970526315791</v>
      </c>
      <c r="M384" s="76">
        <f>J384*L384</f>
        <v>9.6203823157894739</v>
      </c>
      <c r="N384" s="77"/>
      <c r="O384" s="77"/>
      <c r="P384" s="76"/>
      <c r="Q384" s="76"/>
    </row>
    <row r="385" spans="5:17" hidden="1" outlineLevel="4" x14ac:dyDescent="0.25">
      <c r="F385" s="74" t="s">
        <v>8</v>
      </c>
      <c r="G385" s="74"/>
      <c r="H385" s="75"/>
      <c r="I385" s="76"/>
      <c r="J385" s="78">
        <f>HYPERLINK("#Структура!E3470",Структура!E3470)</f>
        <v>2</v>
      </c>
      <c r="K385" s="114">
        <f>HYPERLINK("#Структура!G3470",Структура!G3470)</f>
        <v>9.7999999999999997E-3</v>
      </c>
      <c r="L385" s="120">
        <f>HYPERLINK("#Покупные_изделия!D11",Покупные_изделия!D11)</f>
        <v>790.17840000000001</v>
      </c>
      <c r="M385" s="76">
        <f>J385*L385</f>
        <v>1580.3568</v>
      </c>
      <c r="N385" s="77"/>
      <c r="O385" s="77"/>
      <c r="P385" s="76"/>
      <c r="Q385" s="76"/>
    </row>
    <row r="386" spans="5:17" hidden="1" outlineLevel="3" collapsed="1" x14ac:dyDescent="0.25">
      <c r="E386" s="84" t="s">
        <v>591</v>
      </c>
      <c r="F386" s="79"/>
      <c r="G386" s="79"/>
      <c r="H386" s="80"/>
      <c r="I386" s="81"/>
      <c r="J386" s="83">
        <f>HYPERLINK("#Структура!E423",Структура!E423)</f>
        <v>1</v>
      </c>
      <c r="K386" s="115">
        <f>HYPERLINK("#Структура!G423",Структура!G423)</f>
        <v>8.3947900000000004</v>
      </c>
      <c r="L386" s="81">
        <f>M386/J386</f>
        <v>1475.6</v>
      </c>
      <c r="M386" s="81">
        <f>SUMIF(F387,"*",M387)*J386</f>
        <v>1475.6</v>
      </c>
      <c r="N386" s="124">
        <f>HYPERLINK("#Трудозатраты!B7",Трудозатраты!B7+SUMIF(F387,"*",O387))</f>
        <v>78</v>
      </c>
      <c r="O386" s="82">
        <f>N386*J386</f>
        <v>78</v>
      </c>
      <c r="P386" s="81">
        <f>O386/60*(1+запас_труд)*стоимость_трудочаса</f>
        <v>3055</v>
      </c>
      <c r="Q386" s="129">
        <f>M386*(1+наценка_покупное)+P386</f>
        <v>4825.7199999999993</v>
      </c>
    </row>
    <row r="387" spans="5:17" hidden="1" outlineLevel="4" x14ac:dyDescent="0.25">
      <c r="F387" s="74" t="s">
        <v>101</v>
      </c>
      <c r="G387" s="74"/>
      <c r="H387" s="75"/>
      <c r="I387" s="76"/>
      <c r="J387" s="78">
        <f>HYPERLINK("#Структура!E7",Структура!E7)</f>
        <v>14.756</v>
      </c>
      <c r="K387" s="114" t="str">
        <f>HYPERLINK("#Структура!G7","")</f>
        <v/>
      </c>
      <c r="L387" s="120">
        <f>HYPERLINK("#Покупные_изделия!D270",Покупные_изделия!D270)</f>
        <v>100</v>
      </c>
      <c r="M387" s="76">
        <f>J387*L387</f>
        <v>1475.6</v>
      </c>
      <c r="N387" s="77"/>
      <c r="O387" s="77"/>
      <c r="P387" s="76"/>
      <c r="Q387" s="76"/>
    </row>
    <row r="388" spans="5:17" hidden="1" outlineLevel="3" collapsed="1" x14ac:dyDescent="0.25">
      <c r="E388" s="84" t="s">
        <v>649</v>
      </c>
      <c r="F388" s="79"/>
      <c r="G388" s="79"/>
      <c r="H388" s="80"/>
      <c r="I388" s="81"/>
      <c r="J388" s="83">
        <f>HYPERLINK("#Структура!E424",Структура!E424)</f>
        <v>1</v>
      </c>
      <c r="K388" s="115">
        <f>HYPERLINK("#Структура!G424",Структура!G424)</f>
        <v>4.2145200000000003</v>
      </c>
      <c r="L388" s="81">
        <f>M388/J388</f>
        <v>482.78860039999995</v>
      </c>
      <c r="M388" s="81">
        <f>SUMIF(F389:F394,"*",M389:M394)*J388</f>
        <v>482.78860039999995</v>
      </c>
      <c r="N388" s="124">
        <f>HYPERLINK("#Трудозатраты!B22",Трудозатраты!B22+SUMIF(F389:F394,"*",O389:O394))</f>
        <v>11.8</v>
      </c>
      <c r="O388" s="82">
        <f>N388*J388</f>
        <v>11.8</v>
      </c>
      <c r="P388" s="81">
        <f>O388/60*(1+запас_труд)*стоимость_трудочаса</f>
        <v>462.16666666666669</v>
      </c>
      <c r="Q388" s="129">
        <f>M388*(1+наценка_покупное)+P388</f>
        <v>1041.5129871466665</v>
      </c>
    </row>
    <row r="389" spans="5:17" hidden="1" outlineLevel="4" x14ac:dyDescent="0.25">
      <c r="F389" s="74" t="s">
        <v>44</v>
      </c>
      <c r="G389" s="74"/>
      <c r="H389" s="75"/>
      <c r="I389" s="76"/>
      <c r="J389" s="78">
        <f>HYPERLINK("#Структура!E75",Структура!E75)</f>
        <v>6.5000000000000002E-2</v>
      </c>
      <c r="K389" s="114" t="str">
        <f>HYPERLINK("#Структура!G75","")</f>
        <v/>
      </c>
      <c r="L389" s="120">
        <f>HYPERLINK("#Покупные_изделия!D63",Покупные_изделия!D63)</f>
        <v>396.00000000000006</v>
      </c>
      <c r="M389" s="76">
        <f t="shared" ref="M389:M394" si="20">J389*L389</f>
        <v>25.740000000000006</v>
      </c>
      <c r="N389" s="77"/>
      <c r="O389" s="77"/>
      <c r="P389" s="76"/>
      <c r="Q389" s="76"/>
    </row>
    <row r="390" spans="5:17" hidden="1" outlineLevel="4" x14ac:dyDescent="0.25">
      <c r="F390" s="74" t="s">
        <v>139</v>
      </c>
      <c r="G390" s="74"/>
      <c r="H390" s="75"/>
      <c r="I390" s="76"/>
      <c r="J390" s="78">
        <f>HYPERLINK("#Структура!E76",Структура!E76)</f>
        <v>7.0000000000000001E-3</v>
      </c>
      <c r="K390" s="114" t="str">
        <f>HYPERLINK("#Структура!G76","")</f>
        <v/>
      </c>
      <c r="L390" s="120">
        <f>HYPERLINK("#Покупные_изделия!D360",Покупные_изделия!D360)</f>
        <v>171.87720000000002</v>
      </c>
      <c r="M390" s="76">
        <f t="shared" si="20"/>
        <v>1.2031404000000001</v>
      </c>
      <c r="N390" s="77"/>
      <c r="O390" s="77"/>
      <c r="P390" s="76"/>
      <c r="Q390" s="76"/>
    </row>
    <row r="391" spans="5:17" hidden="1" outlineLevel="4" x14ac:dyDescent="0.25">
      <c r="F391" s="74" t="s">
        <v>156</v>
      </c>
      <c r="G391" s="74"/>
      <c r="H391" s="75"/>
      <c r="I391" s="76"/>
      <c r="J391" s="78">
        <f>HYPERLINK("#Структура!E77",Структура!E77)</f>
        <v>0.02</v>
      </c>
      <c r="K391" s="114" t="str">
        <f>HYPERLINK("#Структура!G77","")</f>
        <v/>
      </c>
      <c r="L391" s="120">
        <f>HYPERLINK("#Покупные_изделия!D427",Покупные_изделия!D427)</f>
        <v>155.53200000000001</v>
      </c>
      <c r="M391" s="76">
        <f t="shared" si="20"/>
        <v>3.1106400000000001</v>
      </c>
      <c r="N391" s="77"/>
      <c r="O391" s="77"/>
      <c r="P391" s="76"/>
      <c r="Q391" s="76"/>
    </row>
    <row r="392" spans="5:17" hidden="1" outlineLevel="4" x14ac:dyDescent="0.25">
      <c r="F392" s="74" t="s">
        <v>200</v>
      </c>
      <c r="G392" s="74"/>
      <c r="H392" s="75"/>
      <c r="I392" s="76"/>
      <c r="J392" s="78">
        <f>HYPERLINK("#Структура!E78",Структура!E78)</f>
        <v>0.02</v>
      </c>
      <c r="K392" s="114" t="str">
        <f>HYPERLINK("#Структура!G78","")</f>
        <v/>
      </c>
      <c r="L392" s="120">
        <f>HYPERLINK("#Покупные_изделия!D518",Покупные_изделия!D518)</f>
        <v>270</v>
      </c>
      <c r="M392" s="76">
        <f t="shared" si="20"/>
        <v>5.4</v>
      </c>
      <c r="N392" s="77"/>
      <c r="O392" s="77"/>
      <c r="P392" s="76"/>
      <c r="Q392" s="76"/>
    </row>
    <row r="393" spans="5:17" hidden="1" outlineLevel="4" x14ac:dyDescent="0.25">
      <c r="F393" s="74" t="s">
        <v>202</v>
      </c>
      <c r="G393" s="74"/>
      <c r="H393" s="75"/>
      <c r="I393" s="76"/>
      <c r="J393" s="78">
        <f>HYPERLINK("#Структура!E79",Структура!E79)</f>
        <v>4.4999999999999998E-2</v>
      </c>
      <c r="K393" s="114" t="str">
        <f>HYPERLINK("#Структура!G79","")</f>
        <v/>
      </c>
      <c r="L393" s="120">
        <f>HYPERLINK("#Покупные_изделия!D521",Покупные_изделия!D521)</f>
        <v>462.99599999999998</v>
      </c>
      <c r="M393" s="76">
        <f t="shared" si="20"/>
        <v>20.834819999999997</v>
      </c>
      <c r="N393" s="77"/>
      <c r="O393" s="77"/>
      <c r="P393" s="76"/>
      <c r="Q393" s="76"/>
    </row>
    <row r="394" spans="5:17" hidden="1" outlineLevel="4" x14ac:dyDescent="0.25">
      <c r="F394" s="74" t="s">
        <v>207</v>
      </c>
      <c r="G394" s="74"/>
      <c r="H394" s="75"/>
      <c r="I394" s="76"/>
      <c r="J394" s="78">
        <f>HYPERLINK("#Структура!E80",Структура!E80)</f>
        <v>4.2649999999999997</v>
      </c>
      <c r="K394" s="114" t="str">
        <f>HYPERLINK("#Структура!G80","")</f>
        <v/>
      </c>
      <c r="L394" s="120">
        <f>HYPERLINK("#Покупные_изделия!D552",Покупные_изделия!D552)</f>
        <v>100</v>
      </c>
      <c r="M394" s="76">
        <f t="shared" si="20"/>
        <v>426.49999999999994</v>
      </c>
      <c r="N394" s="77"/>
      <c r="O394" s="77"/>
      <c r="P394" s="76"/>
      <c r="Q394" s="76"/>
    </row>
    <row r="395" spans="5:17" hidden="1" outlineLevel="3" collapsed="1" x14ac:dyDescent="0.25">
      <c r="E395" s="84" t="s">
        <v>650</v>
      </c>
      <c r="F395" s="79"/>
      <c r="G395" s="79"/>
      <c r="H395" s="80"/>
      <c r="I395" s="81"/>
      <c r="J395" s="83">
        <f>HYPERLINK("#Структура!E425",Структура!E425)</f>
        <v>2</v>
      </c>
      <c r="K395" s="115">
        <f>HYPERLINK("#Структура!G425",Структура!G425)</f>
        <v>0.17573</v>
      </c>
      <c r="L395" s="81">
        <f>M395/J395</f>
        <v>19.641401200000001</v>
      </c>
      <c r="M395" s="81">
        <f>SUMIF(F396:F400,"*",M396:M400)*J395</f>
        <v>39.282802400000001</v>
      </c>
      <c r="N395" s="124">
        <f>HYPERLINK("#Трудозатраты!B23",Трудозатраты!B23+SUMIF(F396:F400,"*",O396:O400))</f>
        <v>18</v>
      </c>
      <c r="O395" s="82">
        <f>N395*J395</f>
        <v>36</v>
      </c>
      <c r="P395" s="81">
        <f>O395/60*(1+запас_труд)*стоимость_трудочаса</f>
        <v>1410</v>
      </c>
      <c r="Q395" s="129">
        <f>M395*(1+наценка_покупное)+P395</f>
        <v>1457.1393628799999</v>
      </c>
    </row>
    <row r="396" spans="5:17" hidden="1" outlineLevel="4" x14ac:dyDescent="0.25">
      <c r="F396" s="74" t="s">
        <v>44</v>
      </c>
      <c r="G396" s="74"/>
      <c r="H396" s="75"/>
      <c r="I396" s="76"/>
      <c r="J396" s="78">
        <f>HYPERLINK("#Структура!E81",Структура!E81)</f>
        <v>3.0000000000000001E-3</v>
      </c>
      <c r="K396" s="114" t="str">
        <f>HYPERLINK("#Структура!G81","")</f>
        <v/>
      </c>
      <c r="L396" s="120">
        <f>HYPERLINK("#Покупные_изделия!D63",Покупные_изделия!D63)</f>
        <v>396.00000000000006</v>
      </c>
      <c r="M396" s="76">
        <f>J396*L396</f>
        <v>1.1880000000000002</v>
      </c>
      <c r="N396" s="77"/>
      <c r="O396" s="77"/>
      <c r="P396" s="76"/>
      <c r="Q396" s="76"/>
    </row>
    <row r="397" spans="5:17" hidden="1" outlineLevel="4" x14ac:dyDescent="0.25">
      <c r="F397" s="74" t="s">
        <v>75</v>
      </c>
      <c r="G397" s="74"/>
      <c r="H397" s="75"/>
      <c r="I397" s="76"/>
      <c r="J397" s="78">
        <f>HYPERLINK("#Структура!E82",Структура!E82)</f>
        <v>0.17199999999999999</v>
      </c>
      <c r="K397" s="114" t="str">
        <f>HYPERLINK("#Структура!G82","")</f>
        <v/>
      </c>
      <c r="L397" s="120">
        <f>HYPERLINK("#Покупные_изделия!D244",Покупные_изделия!D244)</f>
        <v>100</v>
      </c>
      <c r="M397" s="76">
        <f>J397*L397</f>
        <v>17.2</v>
      </c>
      <c r="N397" s="77"/>
      <c r="O397" s="77"/>
      <c r="P397" s="76"/>
      <c r="Q397" s="76"/>
    </row>
    <row r="398" spans="5:17" hidden="1" outlineLevel="4" x14ac:dyDescent="0.25">
      <c r="F398" s="74" t="s">
        <v>139</v>
      </c>
      <c r="G398" s="74"/>
      <c r="H398" s="75"/>
      <c r="I398" s="76"/>
      <c r="J398" s="78">
        <f>HYPERLINK("#Структура!E83",Структура!E83)</f>
        <v>1E-3</v>
      </c>
      <c r="K398" s="114" t="str">
        <f>HYPERLINK("#Структура!G83","")</f>
        <v/>
      </c>
      <c r="L398" s="120">
        <f>HYPERLINK("#Покупные_изделия!D360",Покупные_изделия!D360)</f>
        <v>171.87720000000002</v>
      </c>
      <c r="M398" s="76">
        <f>J398*L398</f>
        <v>0.17187720000000001</v>
      </c>
      <c r="N398" s="77"/>
      <c r="O398" s="77"/>
      <c r="P398" s="76"/>
      <c r="Q398" s="76"/>
    </row>
    <row r="399" spans="5:17" hidden="1" outlineLevel="4" x14ac:dyDescent="0.25">
      <c r="F399" s="74" t="s">
        <v>156</v>
      </c>
      <c r="G399" s="74"/>
      <c r="H399" s="75"/>
      <c r="I399" s="76"/>
      <c r="J399" s="78">
        <f>HYPERLINK("#Структура!E84",Структура!E84)</f>
        <v>1E-3</v>
      </c>
      <c r="K399" s="114" t="str">
        <f>HYPERLINK("#Структура!G84","")</f>
        <v/>
      </c>
      <c r="L399" s="120">
        <f>HYPERLINK("#Покупные_изделия!D427",Покупные_изделия!D427)</f>
        <v>155.53200000000001</v>
      </c>
      <c r="M399" s="76">
        <f>J399*L399</f>
        <v>0.155532</v>
      </c>
      <c r="N399" s="77"/>
      <c r="O399" s="77"/>
      <c r="P399" s="76"/>
      <c r="Q399" s="76"/>
    </row>
    <row r="400" spans="5:17" hidden="1" outlineLevel="4" x14ac:dyDescent="0.25">
      <c r="F400" s="74" t="s">
        <v>202</v>
      </c>
      <c r="G400" s="74"/>
      <c r="H400" s="75"/>
      <c r="I400" s="76"/>
      <c r="J400" s="78">
        <f>HYPERLINK("#Структура!E85",Структура!E85)</f>
        <v>2E-3</v>
      </c>
      <c r="K400" s="114" t="str">
        <f>HYPERLINK("#Структура!G85","")</f>
        <v/>
      </c>
      <c r="L400" s="120">
        <f>HYPERLINK("#Покупные_изделия!D521",Покупные_изделия!D521)</f>
        <v>462.99599999999998</v>
      </c>
      <c r="M400" s="76">
        <f>J400*L400</f>
        <v>0.92599199999999993</v>
      </c>
      <c r="N400" s="77"/>
      <c r="O400" s="77"/>
      <c r="P400" s="76"/>
      <c r="Q400" s="76"/>
    </row>
    <row r="401" spans="5:17" hidden="1" outlineLevel="3" collapsed="1" x14ac:dyDescent="0.25">
      <c r="E401" s="84" t="s">
        <v>651</v>
      </c>
      <c r="F401" s="79"/>
      <c r="G401" s="79"/>
      <c r="H401" s="80"/>
      <c r="I401" s="81"/>
      <c r="J401" s="83">
        <f>HYPERLINK("#Структура!E426",Структура!E426)</f>
        <v>1</v>
      </c>
      <c r="K401" s="115">
        <f>HYPERLINK("#Структура!G426",Структура!G426)</f>
        <v>4.8840000000000001E-2</v>
      </c>
      <c r="L401" s="81">
        <f>M401/J401</f>
        <v>9.6</v>
      </c>
      <c r="M401" s="81">
        <f>SUMIF(F402,"*",M402)*J401</f>
        <v>9.6</v>
      </c>
      <c r="N401" s="124">
        <f>HYPERLINK("#Трудозатраты!B24",Трудозатраты!B24+SUMIF(F402,"*",O402))</f>
        <v>0.5</v>
      </c>
      <c r="O401" s="82">
        <f>N401*J401</f>
        <v>0.5</v>
      </c>
      <c r="P401" s="81">
        <f>O401/60*(1+запас_труд)*стоимость_трудочаса</f>
        <v>19.583333333333332</v>
      </c>
      <c r="Q401" s="129">
        <f>M401*(1+наценка_покупное)+P401</f>
        <v>31.103333333333332</v>
      </c>
    </row>
    <row r="402" spans="5:17" hidden="1" outlineLevel="4" x14ac:dyDescent="0.25">
      <c r="F402" s="74" t="s">
        <v>130</v>
      </c>
      <c r="G402" s="74"/>
      <c r="H402" s="75"/>
      <c r="I402" s="76"/>
      <c r="J402" s="78">
        <f>HYPERLINK("#Структура!E86",Структура!E86)</f>
        <v>0.06</v>
      </c>
      <c r="K402" s="114" t="str">
        <f>HYPERLINK("#Структура!G86","")</f>
        <v/>
      </c>
      <c r="L402" s="120">
        <f>HYPERLINK("#Покупные_изделия!D305",Покупные_изделия!D305)</f>
        <v>160</v>
      </c>
      <c r="M402" s="76">
        <f>J402*L402</f>
        <v>9.6</v>
      </c>
      <c r="N402" s="77"/>
      <c r="O402" s="77"/>
      <c r="P402" s="76"/>
      <c r="Q402" s="76"/>
    </row>
    <row r="403" spans="5:17" hidden="1" outlineLevel="3" collapsed="1" x14ac:dyDescent="0.25">
      <c r="E403" s="84" t="s">
        <v>686</v>
      </c>
      <c r="F403" s="79"/>
      <c r="G403" s="79"/>
      <c r="H403" s="80"/>
      <c r="I403" s="81"/>
      <c r="J403" s="83">
        <f>HYPERLINK("#Структура!E427",Структура!E427)</f>
        <v>1</v>
      </c>
      <c r="K403" s="115">
        <f>HYPERLINK("#Структура!G427",Структура!G427)</f>
        <v>5.5543899999999997</v>
      </c>
      <c r="L403" s="81">
        <f>M403/J403</f>
        <v>1069.4208000000001</v>
      </c>
      <c r="M403" s="81">
        <f>SUMIF(F404,"*",M404)*J403</f>
        <v>1069.4208000000001</v>
      </c>
      <c r="N403" s="124">
        <f>HYPERLINK("#Трудозатраты!B55",Трудозатраты!B55+SUMIF(F404,"*",O404))</f>
        <v>30.5</v>
      </c>
      <c r="O403" s="82">
        <f>N403*J403</f>
        <v>30.5</v>
      </c>
      <c r="P403" s="81">
        <f>O403/60*(1+запас_труд)*стоимость_трудочаса</f>
        <v>1194.5833333333333</v>
      </c>
      <c r="Q403" s="129">
        <f>M403*(1+наценка_покупное)+P403</f>
        <v>2477.8882933333334</v>
      </c>
    </row>
    <row r="404" spans="5:17" hidden="1" outlineLevel="4" x14ac:dyDescent="0.25">
      <c r="F404" s="74" t="s">
        <v>128</v>
      </c>
      <c r="G404" s="74"/>
      <c r="H404" s="75"/>
      <c r="I404" s="76"/>
      <c r="J404" s="78">
        <f>HYPERLINK("#Структура!E163",Структура!E163)</f>
        <v>6.6838800000000003</v>
      </c>
      <c r="K404" s="114" t="str">
        <f>HYPERLINK("#Структура!G163","")</f>
        <v/>
      </c>
      <c r="L404" s="120">
        <f>HYPERLINK("#Покупные_изделия!D303",Покупные_изделия!D303)</f>
        <v>160</v>
      </c>
      <c r="M404" s="76">
        <f>J404*L404</f>
        <v>1069.4208000000001</v>
      </c>
      <c r="N404" s="77"/>
      <c r="O404" s="77"/>
      <c r="P404" s="76"/>
      <c r="Q404" s="76"/>
    </row>
    <row r="405" spans="5:17" hidden="1" outlineLevel="3" collapsed="1" x14ac:dyDescent="0.25">
      <c r="E405" s="84" t="s">
        <v>687</v>
      </c>
      <c r="F405" s="79"/>
      <c r="G405" s="79"/>
      <c r="H405" s="80"/>
      <c r="I405" s="81"/>
      <c r="J405" s="83">
        <f>HYPERLINK("#Структура!E428",Структура!E428)</f>
        <v>1</v>
      </c>
      <c r="K405" s="115">
        <f>HYPERLINK("#Структура!G428",Структура!G428)</f>
        <v>4.8349999999999997E-2</v>
      </c>
      <c r="L405" s="81">
        <f>M405/J405</f>
        <v>9.2800000000000011</v>
      </c>
      <c r="M405" s="81">
        <f>SUMIF(F406,"*",M406)*J405</f>
        <v>9.2800000000000011</v>
      </c>
      <c r="N405" s="124">
        <f>HYPERLINK("#Трудозатраты!B56",Трудозатраты!B56+SUMIF(F406,"*",O406))</f>
        <v>0.3</v>
      </c>
      <c r="O405" s="82">
        <f>N405*J405</f>
        <v>0.3</v>
      </c>
      <c r="P405" s="81">
        <f>O405/60*(1+запас_труд)*стоимость_трудочаса</f>
        <v>11.75</v>
      </c>
      <c r="Q405" s="129">
        <f>M405*(1+наценка_покупное)+P405</f>
        <v>22.886000000000003</v>
      </c>
    </row>
    <row r="406" spans="5:17" hidden="1" outlineLevel="4" x14ac:dyDescent="0.25">
      <c r="F406" s="74" t="s">
        <v>130</v>
      </c>
      <c r="G406" s="74"/>
      <c r="H406" s="75"/>
      <c r="I406" s="76"/>
      <c r="J406" s="78">
        <f>HYPERLINK("#Структура!E164",Структура!E164)</f>
        <v>5.8000000000000003E-2</v>
      </c>
      <c r="K406" s="114" t="str">
        <f>HYPERLINK("#Структура!G164","")</f>
        <v/>
      </c>
      <c r="L406" s="120">
        <f>HYPERLINK("#Покупные_изделия!D305",Покупные_изделия!D305)</f>
        <v>160</v>
      </c>
      <c r="M406" s="76">
        <f>J406*L406</f>
        <v>9.2800000000000011</v>
      </c>
      <c r="N406" s="77"/>
      <c r="O406" s="77"/>
      <c r="P406" s="76"/>
      <c r="Q406" s="76"/>
    </row>
    <row r="407" spans="5:17" hidden="1" outlineLevel="3" collapsed="1" x14ac:dyDescent="0.25">
      <c r="E407" s="84" t="s">
        <v>692</v>
      </c>
      <c r="F407" s="79"/>
      <c r="G407" s="79"/>
      <c r="H407" s="80"/>
      <c r="I407" s="81"/>
      <c r="J407" s="83">
        <f>HYPERLINK("#Структура!E429",Структура!E429)</f>
        <v>1</v>
      </c>
      <c r="K407" s="115">
        <f>HYPERLINK("#Структура!G429",Структура!G429)</f>
        <v>20.491440000000001</v>
      </c>
      <c r="L407" s="81">
        <f>M407/J407</f>
        <v>3296.8626936000001</v>
      </c>
      <c r="M407" s="81">
        <f>SUMIF(F408:F415,"*",M408:M415)*J407</f>
        <v>3296.8626936000001</v>
      </c>
      <c r="N407" s="124">
        <f>HYPERLINK("#Трудозатраты!B61",Трудозатраты!B61+SUMIF(F408:F415,"*",O408:O415))</f>
        <v>32.230000000000004</v>
      </c>
      <c r="O407" s="82">
        <f>N407*J407</f>
        <v>32.230000000000004</v>
      </c>
      <c r="P407" s="81">
        <f>O407/60*(1+запас_труд)*стоимость_трудочаса</f>
        <v>1262.3416666666667</v>
      </c>
      <c r="Q407" s="129">
        <f>M407*(1+наценка_покупное)+P407</f>
        <v>5218.5768989866665</v>
      </c>
    </row>
    <row r="408" spans="5:17" hidden="1" outlineLevel="4" x14ac:dyDescent="0.25">
      <c r="F408" s="74" t="s">
        <v>44</v>
      </c>
      <c r="G408" s="74"/>
      <c r="H408" s="75"/>
      <c r="I408" s="76"/>
      <c r="J408" s="78">
        <f>HYPERLINK("#Структура!E181",Структура!E181)</f>
        <v>0.16</v>
      </c>
      <c r="K408" s="114" t="str">
        <f>HYPERLINK("#Структура!G181","")</f>
        <v/>
      </c>
      <c r="L408" s="120">
        <f>HYPERLINK("#Покупные_изделия!D63",Покупные_изделия!D63)</f>
        <v>396.00000000000006</v>
      </c>
      <c r="M408" s="76">
        <f t="shared" ref="M408:M415" si="21">J408*L408</f>
        <v>63.360000000000014</v>
      </c>
      <c r="N408" s="77"/>
      <c r="O408" s="77"/>
      <c r="P408" s="76"/>
      <c r="Q408" s="76"/>
    </row>
    <row r="409" spans="5:17" hidden="1" outlineLevel="4" x14ac:dyDescent="0.25">
      <c r="F409" s="74" t="s">
        <v>66</v>
      </c>
      <c r="G409" s="74"/>
      <c r="H409" s="75"/>
      <c r="I409" s="76"/>
      <c r="J409" s="78">
        <f>HYPERLINK("#Структура!E182",Структура!E182)</f>
        <v>1.2E-2</v>
      </c>
      <c r="K409" s="114" t="str">
        <f>HYPERLINK("#Структура!G182","")</f>
        <v/>
      </c>
      <c r="L409" s="120">
        <f>HYPERLINK("#Покупные_изделия!D198",Покупные_изделия!D198)</f>
        <v>268.47480000000002</v>
      </c>
      <c r="M409" s="76">
        <f t="shared" si="21"/>
        <v>3.2216976000000002</v>
      </c>
      <c r="N409" s="77"/>
      <c r="O409" s="77"/>
      <c r="P409" s="76"/>
      <c r="Q409" s="76"/>
    </row>
    <row r="410" spans="5:17" hidden="1" outlineLevel="4" x14ac:dyDescent="0.25">
      <c r="F410" s="74" t="s">
        <v>118</v>
      </c>
      <c r="G410" s="74"/>
      <c r="H410" s="75"/>
      <c r="I410" s="76"/>
      <c r="J410" s="78">
        <f>HYPERLINK("#Структура!E183",Структура!E183)</f>
        <v>26.11224</v>
      </c>
      <c r="K410" s="114" t="str">
        <f>HYPERLINK("#Структура!G183","")</f>
        <v/>
      </c>
      <c r="L410" s="120">
        <f>HYPERLINK("#Покупные_изделия!D293",Покупные_изделия!D293)</f>
        <v>120</v>
      </c>
      <c r="M410" s="76">
        <f t="shared" si="21"/>
        <v>3133.4688000000001</v>
      </c>
      <c r="N410" s="77"/>
      <c r="O410" s="77"/>
      <c r="P410" s="76"/>
      <c r="Q410" s="76"/>
    </row>
    <row r="411" spans="5:17" hidden="1" outlineLevel="4" x14ac:dyDescent="0.25">
      <c r="F411" s="74" t="s">
        <v>139</v>
      </c>
      <c r="G411" s="74"/>
      <c r="H411" s="75"/>
      <c r="I411" s="76"/>
      <c r="J411" s="78">
        <f>HYPERLINK("#Структура!E184",Структура!E184)</f>
        <v>0.02</v>
      </c>
      <c r="K411" s="114" t="str">
        <f>HYPERLINK("#Структура!G184","")</f>
        <v/>
      </c>
      <c r="L411" s="120">
        <f>HYPERLINK("#Покупные_изделия!D360",Покупные_изделия!D360)</f>
        <v>171.87720000000002</v>
      </c>
      <c r="M411" s="76">
        <f t="shared" si="21"/>
        <v>3.4375440000000004</v>
      </c>
      <c r="N411" s="77"/>
      <c r="O411" s="77"/>
      <c r="P411" s="76"/>
      <c r="Q411" s="76"/>
    </row>
    <row r="412" spans="5:17" hidden="1" outlineLevel="4" x14ac:dyDescent="0.25">
      <c r="F412" s="74" t="s">
        <v>156</v>
      </c>
      <c r="G412" s="74"/>
      <c r="H412" s="75"/>
      <c r="I412" s="76"/>
      <c r="J412" s="78">
        <f>HYPERLINK("#Структура!E185",Структура!E185)</f>
        <v>6.5000000000000002E-2</v>
      </c>
      <c r="K412" s="114" t="str">
        <f>HYPERLINK("#Структура!G185","")</f>
        <v/>
      </c>
      <c r="L412" s="120">
        <f>HYPERLINK("#Покупные_изделия!D427",Покупные_изделия!D427)</f>
        <v>155.53200000000001</v>
      </c>
      <c r="M412" s="76">
        <f t="shared" si="21"/>
        <v>10.109580000000001</v>
      </c>
      <c r="N412" s="77"/>
      <c r="O412" s="77"/>
      <c r="P412" s="76"/>
      <c r="Q412" s="76"/>
    </row>
    <row r="413" spans="5:17" hidden="1" outlineLevel="4" x14ac:dyDescent="0.25">
      <c r="F413" s="74" t="s">
        <v>157</v>
      </c>
      <c r="G413" s="74"/>
      <c r="H413" s="75"/>
      <c r="I413" s="76"/>
      <c r="J413" s="78">
        <f>HYPERLINK("#Структура!E186",Структура!E186)</f>
        <v>5.8999999999999997E-2</v>
      </c>
      <c r="K413" s="114" t="str">
        <f>HYPERLINK("#Структура!G186","")</f>
        <v/>
      </c>
      <c r="L413" s="120">
        <f>HYPERLINK("#Покупные_изделия!D428",Покупные_изделия!D428)</f>
        <v>138.756</v>
      </c>
      <c r="M413" s="76">
        <f t="shared" si="21"/>
        <v>8.1866039999999991</v>
      </c>
      <c r="N413" s="77"/>
      <c r="O413" s="77"/>
      <c r="P413" s="76"/>
      <c r="Q413" s="76"/>
    </row>
    <row r="414" spans="5:17" hidden="1" outlineLevel="4" x14ac:dyDescent="0.25">
      <c r="F414" s="74" t="s">
        <v>200</v>
      </c>
      <c r="G414" s="74"/>
      <c r="H414" s="75"/>
      <c r="I414" s="76"/>
      <c r="J414" s="78">
        <f>HYPERLINK("#Структура!E187",Структура!E187)</f>
        <v>0.05</v>
      </c>
      <c r="K414" s="114" t="str">
        <f>HYPERLINK("#Структура!G187","")</f>
        <v/>
      </c>
      <c r="L414" s="120">
        <f>HYPERLINK("#Покупные_изделия!D518",Покупные_изделия!D518)</f>
        <v>270</v>
      </c>
      <c r="M414" s="76">
        <f t="shared" si="21"/>
        <v>13.5</v>
      </c>
      <c r="N414" s="77"/>
      <c r="O414" s="77"/>
      <c r="P414" s="76"/>
      <c r="Q414" s="76"/>
    </row>
    <row r="415" spans="5:17" hidden="1" outlineLevel="4" x14ac:dyDescent="0.25">
      <c r="F415" s="74" t="s">
        <v>202</v>
      </c>
      <c r="G415" s="74"/>
      <c r="H415" s="75"/>
      <c r="I415" s="76"/>
      <c r="J415" s="78">
        <f>HYPERLINK("#Структура!E188",Структура!E188)</f>
        <v>0.13300000000000001</v>
      </c>
      <c r="K415" s="114" t="str">
        <f>HYPERLINK("#Структура!G188","")</f>
        <v/>
      </c>
      <c r="L415" s="120">
        <f>HYPERLINK("#Покупные_изделия!D521",Покупные_изделия!D521)</f>
        <v>462.99599999999998</v>
      </c>
      <c r="M415" s="76">
        <f t="shared" si="21"/>
        <v>61.578468000000001</v>
      </c>
      <c r="N415" s="77"/>
      <c r="O415" s="77"/>
      <c r="P415" s="76"/>
      <c r="Q415" s="76"/>
    </row>
    <row r="416" spans="5:17" hidden="1" outlineLevel="3" collapsed="1" x14ac:dyDescent="0.25">
      <c r="E416" s="84" t="s">
        <v>693</v>
      </c>
      <c r="F416" s="79"/>
      <c r="G416" s="79"/>
      <c r="H416" s="80"/>
      <c r="I416" s="81"/>
      <c r="J416" s="83">
        <f>HYPERLINK("#Структура!E430",Структура!E430)</f>
        <v>1</v>
      </c>
      <c r="K416" s="115">
        <f>HYPERLINK("#Структура!G430",Структура!G430)</f>
        <v>20.491440000000001</v>
      </c>
      <c r="L416" s="81">
        <f>M416/J416</f>
        <v>3309.5346936000001</v>
      </c>
      <c r="M416" s="81">
        <f>SUMIF(F417:F424,"*",M417:M424)*J416</f>
        <v>3309.5346936000001</v>
      </c>
      <c r="N416" s="124">
        <f>HYPERLINK("#Трудозатраты!B62",Трудозатраты!B62+SUMIF(F417:F424,"*",O417:O424))</f>
        <v>32.230000000000004</v>
      </c>
      <c r="O416" s="82">
        <f>N416*J416</f>
        <v>32.230000000000004</v>
      </c>
      <c r="P416" s="81">
        <f>O416/60*(1+запас_труд)*стоимость_трудочаса</f>
        <v>1262.3416666666667</v>
      </c>
      <c r="Q416" s="129">
        <f>M416*(1+наценка_покупное)+P416</f>
        <v>5233.7832989866665</v>
      </c>
    </row>
    <row r="417" spans="5:17" hidden="1" outlineLevel="4" x14ac:dyDescent="0.25">
      <c r="F417" s="74" t="s">
        <v>44</v>
      </c>
      <c r="G417" s="74"/>
      <c r="H417" s="75"/>
      <c r="I417" s="76"/>
      <c r="J417" s="78">
        <f>HYPERLINK("#Структура!E189",Структура!E189)</f>
        <v>0.192</v>
      </c>
      <c r="K417" s="114" t="str">
        <f>HYPERLINK("#Структура!G189","")</f>
        <v/>
      </c>
      <c r="L417" s="120">
        <f>HYPERLINK("#Покупные_изделия!D63",Покупные_изделия!D63)</f>
        <v>396.00000000000006</v>
      </c>
      <c r="M417" s="76">
        <f t="shared" ref="M417:M424" si="22">J417*L417</f>
        <v>76.032000000000011</v>
      </c>
      <c r="N417" s="77"/>
      <c r="O417" s="77"/>
      <c r="P417" s="76"/>
      <c r="Q417" s="76"/>
    </row>
    <row r="418" spans="5:17" hidden="1" outlineLevel="4" x14ac:dyDescent="0.25">
      <c r="F418" s="74" t="s">
        <v>66</v>
      </c>
      <c r="G418" s="74"/>
      <c r="H418" s="75"/>
      <c r="I418" s="76"/>
      <c r="J418" s="78">
        <f>HYPERLINK("#Структура!E190",Структура!E190)</f>
        <v>1.2E-2</v>
      </c>
      <c r="K418" s="114" t="str">
        <f>HYPERLINK("#Структура!G190","")</f>
        <v/>
      </c>
      <c r="L418" s="120">
        <f>HYPERLINK("#Покупные_изделия!D198",Покупные_изделия!D198)</f>
        <v>268.47480000000002</v>
      </c>
      <c r="M418" s="76">
        <f t="shared" si="22"/>
        <v>3.2216976000000002</v>
      </c>
      <c r="N418" s="77"/>
      <c r="O418" s="77"/>
      <c r="P418" s="76"/>
      <c r="Q418" s="76"/>
    </row>
    <row r="419" spans="5:17" hidden="1" outlineLevel="4" x14ac:dyDescent="0.25">
      <c r="F419" s="74" t="s">
        <v>118</v>
      </c>
      <c r="G419" s="74"/>
      <c r="H419" s="75"/>
      <c r="I419" s="76"/>
      <c r="J419" s="78">
        <f>HYPERLINK("#Структура!E191",Структура!E191)</f>
        <v>26.11224</v>
      </c>
      <c r="K419" s="114" t="str">
        <f>HYPERLINK("#Структура!G191","")</f>
        <v/>
      </c>
      <c r="L419" s="120">
        <f>HYPERLINK("#Покупные_изделия!D293",Покупные_изделия!D293)</f>
        <v>120</v>
      </c>
      <c r="M419" s="76">
        <f t="shared" si="22"/>
        <v>3133.4688000000001</v>
      </c>
      <c r="N419" s="77"/>
      <c r="O419" s="77"/>
      <c r="P419" s="76"/>
      <c r="Q419" s="76"/>
    </row>
    <row r="420" spans="5:17" hidden="1" outlineLevel="4" x14ac:dyDescent="0.25">
      <c r="F420" s="74" t="s">
        <v>139</v>
      </c>
      <c r="G420" s="74"/>
      <c r="H420" s="75"/>
      <c r="I420" s="76"/>
      <c r="J420" s="78">
        <f>HYPERLINK("#Структура!E192",Структура!E192)</f>
        <v>0.02</v>
      </c>
      <c r="K420" s="114" t="str">
        <f>HYPERLINK("#Структура!G192","")</f>
        <v/>
      </c>
      <c r="L420" s="120">
        <f>HYPERLINK("#Покупные_изделия!D360",Покупные_изделия!D360)</f>
        <v>171.87720000000002</v>
      </c>
      <c r="M420" s="76">
        <f t="shared" si="22"/>
        <v>3.4375440000000004</v>
      </c>
      <c r="N420" s="77"/>
      <c r="O420" s="77"/>
      <c r="P420" s="76"/>
      <c r="Q420" s="76"/>
    </row>
    <row r="421" spans="5:17" hidden="1" outlineLevel="4" x14ac:dyDescent="0.25">
      <c r="F421" s="74" t="s">
        <v>156</v>
      </c>
      <c r="G421" s="74"/>
      <c r="H421" s="75"/>
      <c r="I421" s="76"/>
      <c r="J421" s="78">
        <f>HYPERLINK("#Структура!E193",Структура!E193)</f>
        <v>6.5000000000000002E-2</v>
      </c>
      <c r="K421" s="114" t="str">
        <f>HYPERLINK("#Структура!G193","")</f>
        <v/>
      </c>
      <c r="L421" s="120">
        <f>HYPERLINK("#Покупные_изделия!D427",Покупные_изделия!D427)</f>
        <v>155.53200000000001</v>
      </c>
      <c r="M421" s="76">
        <f t="shared" si="22"/>
        <v>10.109580000000001</v>
      </c>
      <c r="N421" s="77"/>
      <c r="O421" s="77"/>
      <c r="P421" s="76"/>
      <c r="Q421" s="76"/>
    </row>
    <row r="422" spans="5:17" hidden="1" outlineLevel="4" x14ac:dyDescent="0.25">
      <c r="F422" s="74" t="s">
        <v>157</v>
      </c>
      <c r="G422" s="74"/>
      <c r="H422" s="75"/>
      <c r="I422" s="76"/>
      <c r="J422" s="78">
        <f>HYPERLINK("#Структура!E194",Структура!E194)</f>
        <v>5.8999999999999997E-2</v>
      </c>
      <c r="K422" s="114" t="str">
        <f>HYPERLINK("#Структура!G194","")</f>
        <v/>
      </c>
      <c r="L422" s="120">
        <f>HYPERLINK("#Покупные_изделия!D428",Покупные_изделия!D428)</f>
        <v>138.756</v>
      </c>
      <c r="M422" s="76">
        <f t="shared" si="22"/>
        <v>8.1866039999999991</v>
      </c>
      <c r="N422" s="77"/>
      <c r="O422" s="77"/>
      <c r="P422" s="76"/>
      <c r="Q422" s="76"/>
    </row>
    <row r="423" spans="5:17" hidden="1" outlineLevel="4" x14ac:dyDescent="0.25">
      <c r="F423" s="74" t="s">
        <v>200</v>
      </c>
      <c r="G423" s="74"/>
      <c r="H423" s="75"/>
      <c r="I423" s="76"/>
      <c r="J423" s="78">
        <f>HYPERLINK("#Структура!E195",Структура!E195)</f>
        <v>0.05</v>
      </c>
      <c r="K423" s="114" t="str">
        <f>HYPERLINK("#Структура!G195","")</f>
        <v/>
      </c>
      <c r="L423" s="120">
        <f>HYPERLINK("#Покупные_изделия!D518",Покупные_изделия!D518)</f>
        <v>270</v>
      </c>
      <c r="M423" s="76">
        <f t="shared" si="22"/>
        <v>13.5</v>
      </c>
      <c r="N423" s="77"/>
      <c r="O423" s="77"/>
      <c r="P423" s="76"/>
      <c r="Q423" s="76"/>
    </row>
    <row r="424" spans="5:17" hidden="1" outlineLevel="4" x14ac:dyDescent="0.25">
      <c r="F424" s="74" t="s">
        <v>202</v>
      </c>
      <c r="G424" s="74"/>
      <c r="H424" s="75"/>
      <c r="I424" s="76"/>
      <c r="J424" s="78">
        <f>HYPERLINK("#Структура!E196",Структура!E196)</f>
        <v>0.13300000000000001</v>
      </c>
      <c r="K424" s="114" t="str">
        <f>HYPERLINK("#Структура!G196","")</f>
        <v/>
      </c>
      <c r="L424" s="120">
        <f>HYPERLINK("#Покупные_изделия!D521",Покупные_изделия!D521)</f>
        <v>462.99599999999998</v>
      </c>
      <c r="M424" s="76">
        <f t="shared" si="22"/>
        <v>61.578468000000001</v>
      </c>
      <c r="N424" s="77"/>
      <c r="O424" s="77"/>
      <c r="P424" s="76"/>
      <c r="Q424" s="76"/>
    </row>
    <row r="425" spans="5:17" hidden="1" outlineLevel="3" collapsed="1" x14ac:dyDescent="0.25">
      <c r="E425" s="84" t="s">
        <v>694</v>
      </c>
      <c r="F425" s="79"/>
      <c r="G425" s="79"/>
      <c r="H425" s="80"/>
      <c r="I425" s="81"/>
      <c r="J425" s="83">
        <f>HYPERLINK("#Структура!E431",Структура!E431)</f>
        <v>1</v>
      </c>
      <c r="K425" s="115">
        <f>HYPERLINK("#Структура!G431",Структура!G431)</f>
        <v>4.3318700000000003</v>
      </c>
      <c r="L425" s="81">
        <f>M425/J425</f>
        <v>642.28500359999987</v>
      </c>
      <c r="M425" s="81">
        <f>SUMIF(F426:F428,"*",M426:M428)*J425</f>
        <v>642.28500359999987</v>
      </c>
      <c r="N425" s="124">
        <f>HYPERLINK("#Трудозатраты!B63",Трудозатраты!B63+SUMIF(F426:F428,"*",O426:O428))</f>
        <v>3.2</v>
      </c>
      <c r="O425" s="82">
        <f>N425*J425</f>
        <v>3.2</v>
      </c>
      <c r="P425" s="81">
        <f>O425/60*(1+запас_труд)*стоимость_трудочаса</f>
        <v>125.33333333333334</v>
      </c>
      <c r="Q425" s="129">
        <f>M425*(1+наценка_покупное)+P425</f>
        <v>896.07533765333324</v>
      </c>
    </row>
    <row r="426" spans="5:17" hidden="1" outlineLevel="4" x14ac:dyDescent="0.25">
      <c r="F426" s="74" t="s">
        <v>66</v>
      </c>
      <c r="G426" s="74"/>
      <c r="H426" s="75"/>
      <c r="I426" s="76"/>
      <c r="J426" s="78">
        <f>HYPERLINK("#Структура!E197",Структура!E197)</f>
        <v>3.6999999999999998E-2</v>
      </c>
      <c r="K426" s="114" t="str">
        <f>HYPERLINK("#Структура!G197","")</f>
        <v/>
      </c>
      <c r="L426" s="120">
        <f>HYPERLINK("#Покупные_изделия!D198",Покупные_изделия!D198)</f>
        <v>268.47480000000002</v>
      </c>
      <c r="M426" s="76">
        <f>J426*L426</f>
        <v>9.9335675999999999</v>
      </c>
      <c r="N426" s="77"/>
      <c r="O426" s="77"/>
      <c r="P426" s="76"/>
      <c r="Q426" s="76"/>
    </row>
    <row r="427" spans="5:17" hidden="1" outlineLevel="4" x14ac:dyDescent="0.25">
      <c r="F427" s="74" t="s">
        <v>116</v>
      </c>
      <c r="G427" s="74"/>
      <c r="H427" s="75"/>
      <c r="I427" s="76"/>
      <c r="J427" s="78">
        <f>HYPERLINK("#Структура!E198",Структура!E198)</f>
        <v>5.2337499999999997</v>
      </c>
      <c r="K427" s="114" t="str">
        <f>HYPERLINK("#Структура!G198","")</f>
        <v/>
      </c>
      <c r="L427" s="120">
        <f>HYPERLINK("#Покупные_изделия!D291",Покупные_изделия!D291)</f>
        <v>120</v>
      </c>
      <c r="M427" s="76">
        <f>J427*L427</f>
        <v>628.04999999999995</v>
      </c>
      <c r="N427" s="77"/>
      <c r="O427" s="77"/>
      <c r="P427" s="76"/>
      <c r="Q427" s="76"/>
    </row>
    <row r="428" spans="5:17" hidden="1" outlineLevel="4" x14ac:dyDescent="0.25">
      <c r="F428" s="74" t="s">
        <v>157</v>
      </c>
      <c r="G428" s="74"/>
      <c r="H428" s="75"/>
      <c r="I428" s="76"/>
      <c r="J428" s="78">
        <f>HYPERLINK("#Структура!E199",Структура!E199)</f>
        <v>3.1E-2</v>
      </c>
      <c r="K428" s="114" t="str">
        <f>HYPERLINK("#Структура!G199","")</f>
        <v/>
      </c>
      <c r="L428" s="120">
        <f>HYPERLINK("#Покупные_изделия!D428",Покупные_изделия!D428)</f>
        <v>138.756</v>
      </c>
      <c r="M428" s="76">
        <f>J428*L428</f>
        <v>4.3014359999999998</v>
      </c>
      <c r="N428" s="77"/>
      <c r="O428" s="77"/>
      <c r="P428" s="76"/>
      <c r="Q428" s="76"/>
    </row>
    <row r="429" spans="5:17" hidden="1" outlineLevel="3" collapsed="1" x14ac:dyDescent="0.25">
      <c r="E429" s="84" t="s">
        <v>713</v>
      </c>
      <c r="F429" s="79"/>
      <c r="G429" s="79"/>
      <c r="H429" s="80"/>
      <c r="I429" s="81"/>
      <c r="J429" s="83">
        <f>HYPERLINK("#Структура!E432",Структура!E432)</f>
        <v>2</v>
      </c>
      <c r="K429" s="115">
        <f>HYPERLINK("#Структура!G432",Структура!G432)</f>
        <v>1.27</v>
      </c>
      <c r="L429" s="81">
        <f>M429/J429</f>
        <v>409.495</v>
      </c>
      <c r="M429" s="81">
        <f>SUMIF(F430,"*",M430)*J429</f>
        <v>818.99</v>
      </c>
      <c r="N429" s="124">
        <f>HYPERLINK("#Трудозатраты!B70",Трудозатраты!B70+SUMIF(F430,"*",O430))</f>
        <v>5.2</v>
      </c>
      <c r="O429" s="82">
        <f>N429*J429</f>
        <v>10.4</v>
      </c>
      <c r="P429" s="81">
        <f>O429/60*(1+запас_труд)*стоимость_трудочаса</f>
        <v>407.33333333333337</v>
      </c>
      <c r="Q429" s="129">
        <f>M429*(1+наценка_покупное)+P429</f>
        <v>1390.1213333333335</v>
      </c>
    </row>
    <row r="430" spans="5:17" hidden="1" outlineLevel="4" x14ac:dyDescent="0.25">
      <c r="F430" s="74" t="s">
        <v>132</v>
      </c>
      <c r="G430" s="74"/>
      <c r="H430" s="75"/>
      <c r="I430" s="76"/>
      <c r="J430" s="78">
        <f>HYPERLINK("#Структура!E262",Структура!E262)</f>
        <v>1.63798</v>
      </c>
      <c r="K430" s="114" t="str">
        <f>HYPERLINK("#Структура!G262","")</f>
        <v/>
      </c>
      <c r="L430" s="120">
        <f>HYPERLINK("#Покупные_изделия!D307",Покупные_изделия!D307)</f>
        <v>250</v>
      </c>
      <c r="M430" s="76">
        <f>J430*L430</f>
        <v>409.495</v>
      </c>
      <c r="N430" s="77"/>
      <c r="O430" s="77"/>
      <c r="P430" s="76"/>
      <c r="Q430" s="76"/>
    </row>
    <row r="431" spans="5:17" hidden="1" outlineLevel="3" collapsed="1" x14ac:dyDescent="0.25">
      <c r="E431" s="84" t="s">
        <v>714</v>
      </c>
      <c r="F431" s="79"/>
      <c r="G431" s="79"/>
      <c r="H431" s="80"/>
      <c r="I431" s="81"/>
      <c r="J431" s="83">
        <f>HYPERLINK("#Структура!E433",Структура!E433)</f>
        <v>1</v>
      </c>
      <c r="K431" s="115">
        <f>HYPERLINK("#Структура!G433",Структура!G433)</f>
        <v>1.6226799999999999</v>
      </c>
      <c r="L431" s="81">
        <f>M431/J431</f>
        <v>314.0256</v>
      </c>
      <c r="M431" s="81">
        <f>SUMIF(F432,"*",M432)*J431</f>
        <v>314.0256</v>
      </c>
      <c r="N431" s="124">
        <f>HYPERLINK("#Трудозатраты!B71",Трудозатраты!B71+SUMIF(F432,"*",O432))</f>
        <v>12.25</v>
      </c>
      <c r="O431" s="82">
        <f>N431*J431</f>
        <v>12.25</v>
      </c>
      <c r="P431" s="81">
        <f>O431/60*(1+запас_труд)*стоимость_трудочаса</f>
        <v>479.79166666666669</v>
      </c>
      <c r="Q431" s="129">
        <f>M431*(1+наценка_покупное)+P431</f>
        <v>856.62238666666667</v>
      </c>
    </row>
    <row r="432" spans="5:17" hidden="1" outlineLevel="4" x14ac:dyDescent="0.25">
      <c r="F432" s="74" t="s">
        <v>128</v>
      </c>
      <c r="G432" s="74"/>
      <c r="H432" s="75"/>
      <c r="I432" s="76"/>
      <c r="J432" s="78">
        <f>HYPERLINK("#Структура!E263",Структура!E263)</f>
        <v>1.9626600000000001</v>
      </c>
      <c r="K432" s="114" t="str">
        <f>HYPERLINK("#Структура!G263","")</f>
        <v/>
      </c>
      <c r="L432" s="120">
        <f>HYPERLINK("#Покупные_изделия!D303",Покупные_изделия!D303)</f>
        <v>160</v>
      </c>
      <c r="M432" s="76">
        <f>J432*L432</f>
        <v>314.0256</v>
      </c>
      <c r="N432" s="77"/>
      <c r="O432" s="77"/>
      <c r="P432" s="76"/>
      <c r="Q432" s="76"/>
    </row>
    <row r="433" spans="5:17" hidden="1" outlineLevel="3" collapsed="1" x14ac:dyDescent="0.25">
      <c r="E433" s="84" t="s">
        <v>715</v>
      </c>
      <c r="F433" s="79"/>
      <c r="G433" s="79"/>
      <c r="H433" s="80"/>
      <c r="I433" s="81"/>
      <c r="J433" s="83">
        <f>HYPERLINK("#Структура!E434",Структура!E434)</f>
        <v>2</v>
      </c>
      <c r="K433" s="115">
        <f>HYPERLINK("#Структура!G434",Структура!G434)</f>
        <v>1.13869</v>
      </c>
      <c r="L433" s="81">
        <f>M433/J433</f>
        <v>935.25300000000016</v>
      </c>
      <c r="M433" s="81">
        <f>SUMIF(F434,"*",M434)*J433</f>
        <v>1870.5060000000003</v>
      </c>
      <c r="N433" s="124">
        <f>HYPERLINK("#Трудозатраты!B72",Трудозатраты!B72+SUMIF(F434,"*",O434))</f>
        <v>9</v>
      </c>
      <c r="O433" s="82">
        <f>N433*J433</f>
        <v>18</v>
      </c>
      <c r="P433" s="81">
        <f>O433/60*(1+запас_труд)*стоимость_трудочаса</f>
        <v>705</v>
      </c>
      <c r="Q433" s="129">
        <f>M433*(1+наценка_покупное)+P433</f>
        <v>2949.6072000000004</v>
      </c>
    </row>
    <row r="434" spans="5:17" hidden="1" outlineLevel="4" x14ac:dyDescent="0.25">
      <c r="F434" s="74" t="s">
        <v>144</v>
      </c>
      <c r="G434" s="74"/>
      <c r="H434" s="75"/>
      <c r="I434" s="76"/>
      <c r="J434" s="78">
        <f>HYPERLINK("#Структура!E264",Структура!E264)</f>
        <v>1.375</v>
      </c>
      <c r="K434" s="114" t="str">
        <f>HYPERLINK("#Структура!G264","")</f>
        <v/>
      </c>
      <c r="L434" s="120">
        <f>HYPERLINK("#Покупные_изделия!D385",Покупные_изделия!D385)</f>
        <v>680.18400000000008</v>
      </c>
      <c r="M434" s="76">
        <f>J434*L434</f>
        <v>935.25300000000016</v>
      </c>
      <c r="N434" s="77"/>
      <c r="O434" s="77"/>
      <c r="P434" s="76"/>
      <c r="Q434" s="76"/>
    </row>
    <row r="435" spans="5:17" hidden="1" outlineLevel="3" collapsed="1" x14ac:dyDescent="0.25">
      <c r="E435" s="84" t="s">
        <v>716</v>
      </c>
      <c r="F435" s="79"/>
      <c r="G435" s="79"/>
      <c r="H435" s="80"/>
      <c r="I435" s="81"/>
      <c r="J435" s="83">
        <f>HYPERLINK("#Структура!E435",Структура!E435)</f>
        <v>2</v>
      </c>
      <c r="K435" s="115">
        <f>HYPERLINK("#Структура!G435",Структура!G435)</f>
        <v>0.18207999999999999</v>
      </c>
      <c r="L435" s="81">
        <f>M435/J435</f>
        <v>30.407197200000002</v>
      </c>
      <c r="M435" s="81">
        <f>SUMIF(F436:F440,"*",M436:M440)*J435</f>
        <v>60.814394400000005</v>
      </c>
      <c r="N435" s="124">
        <f>HYPERLINK("#Трудозатраты!B73",Трудозатраты!B73+SUMIF(F436:F440,"*",O436:O440))</f>
        <v>1</v>
      </c>
      <c r="O435" s="82">
        <f>N435*J435</f>
        <v>2</v>
      </c>
      <c r="P435" s="81">
        <f>O435/60*(1+запас_труд)*стоимость_трудочаса</f>
        <v>78.333333333333329</v>
      </c>
      <c r="Q435" s="129">
        <f>M435*(1+наценка_покупное)+P435</f>
        <v>151.31060661333333</v>
      </c>
    </row>
    <row r="436" spans="5:17" hidden="1" outlineLevel="4" x14ac:dyDescent="0.25">
      <c r="F436" s="74" t="s">
        <v>44</v>
      </c>
      <c r="G436" s="74"/>
      <c r="H436" s="75"/>
      <c r="I436" s="76"/>
      <c r="J436" s="78">
        <f>HYPERLINK("#Структура!E265",Структура!E265)</f>
        <v>4.0000000000000001E-3</v>
      </c>
      <c r="K436" s="114" t="str">
        <f>HYPERLINK("#Структура!G265","")</f>
        <v/>
      </c>
      <c r="L436" s="120">
        <f>HYPERLINK("#Покупные_изделия!D63",Покупные_изделия!D63)</f>
        <v>396.00000000000006</v>
      </c>
      <c r="M436" s="76">
        <f>J436*L436</f>
        <v>1.5840000000000003</v>
      </c>
      <c r="N436" s="77"/>
      <c r="O436" s="77"/>
      <c r="P436" s="76"/>
      <c r="Q436" s="76"/>
    </row>
    <row r="437" spans="5:17" hidden="1" outlineLevel="4" x14ac:dyDescent="0.25">
      <c r="F437" s="74" t="s">
        <v>118</v>
      </c>
      <c r="G437" s="74"/>
      <c r="H437" s="75"/>
      <c r="I437" s="76"/>
      <c r="J437" s="78">
        <f>HYPERLINK("#Структура!E266",Структура!E266)</f>
        <v>0.22589000000000001</v>
      </c>
      <c r="K437" s="114" t="str">
        <f>HYPERLINK("#Структура!G266","")</f>
        <v/>
      </c>
      <c r="L437" s="120">
        <f>HYPERLINK("#Покупные_изделия!D293",Покупные_изделия!D293)</f>
        <v>120</v>
      </c>
      <c r="M437" s="76">
        <f>J437*L437</f>
        <v>27.1068</v>
      </c>
      <c r="N437" s="77"/>
      <c r="O437" s="77"/>
      <c r="P437" s="76"/>
      <c r="Q437" s="76"/>
    </row>
    <row r="438" spans="5:17" hidden="1" outlineLevel="4" x14ac:dyDescent="0.25">
      <c r="F438" s="74" t="s">
        <v>139</v>
      </c>
      <c r="G438" s="74"/>
      <c r="H438" s="75"/>
      <c r="I438" s="76"/>
      <c r="J438" s="78">
        <f>HYPERLINK("#Структура!E267",Структура!E267)</f>
        <v>1E-3</v>
      </c>
      <c r="K438" s="114" t="str">
        <f>HYPERLINK("#Структура!G267","")</f>
        <v/>
      </c>
      <c r="L438" s="120">
        <f>HYPERLINK("#Покупные_изделия!D360",Покупные_изделия!D360)</f>
        <v>171.87720000000002</v>
      </c>
      <c r="M438" s="76">
        <f>J438*L438</f>
        <v>0.17187720000000001</v>
      </c>
      <c r="N438" s="77"/>
      <c r="O438" s="77"/>
      <c r="P438" s="76"/>
      <c r="Q438" s="76"/>
    </row>
    <row r="439" spans="5:17" hidden="1" outlineLevel="4" x14ac:dyDescent="0.25">
      <c r="F439" s="74" t="s">
        <v>156</v>
      </c>
      <c r="G439" s="74"/>
      <c r="H439" s="75"/>
      <c r="I439" s="76"/>
      <c r="J439" s="78">
        <f>HYPERLINK("#Структура!E268",Структура!E268)</f>
        <v>1E-3</v>
      </c>
      <c r="K439" s="114" t="str">
        <f>HYPERLINK("#Структура!G268","")</f>
        <v/>
      </c>
      <c r="L439" s="120">
        <f>HYPERLINK("#Покупные_изделия!D427",Покупные_изделия!D427)</f>
        <v>155.53200000000001</v>
      </c>
      <c r="M439" s="76">
        <f>J439*L439</f>
        <v>0.155532</v>
      </c>
      <c r="N439" s="77"/>
      <c r="O439" s="77"/>
      <c r="P439" s="76"/>
      <c r="Q439" s="76"/>
    </row>
    <row r="440" spans="5:17" hidden="1" outlineLevel="4" x14ac:dyDescent="0.25">
      <c r="F440" s="74" t="s">
        <v>202</v>
      </c>
      <c r="G440" s="74"/>
      <c r="H440" s="75"/>
      <c r="I440" s="76"/>
      <c r="J440" s="78">
        <f>HYPERLINK("#Структура!E269",Структура!E269)</f>
        <v>3.0000000000000001E-3</v>
      </c>
      <c r="K440" s="114" t="str">
        <f>HYPERLINK("#Структура!G269","")</f>
        <v/>
      </c>
      <c r="L440" s="120">
        <f>HYPERLINK("#Покупные_изделия!D521",Покупные_изделия!D521)</f>
        <v>462.99599999999998</v>
      </c>
      <c r="M440" s="76">
        <f>J440*L440</f>
        <v>1.3889879999999999</v>
      </c>
      <c r="N440" s="77"/>
      <c r="O440" s="77"/>
      <c r="P440" s="76"/>
      <c r="Q440" s="76"/>
    </row>
    <row r="441" spans="5:17" hidden="1" outlineLevel="3" collapsed="1" x14ac:dyDescent="0.25">
      <c r="E441" s="84" t="s">
        <v>717</v>
      </c>
      <c r="F441" s="79"/>
      <c r="G441" s="79"/>
      <c r="H441" s="80"/>
      <c r="I441" s="81"/>
      <c r="J441" s="83">
        <f>HYPERLINK("#Структура!E436",Структура!E436)</f>
        <v>1</v>
      </c>
      <c r="K441" s="115">
        <f>HYPERLINK("#Структура!G436",Структура!G436)</f>
        <v>4.9437499999999996</v>
      </c>
      <c r="L441" s="81">
        <f>M441/J441</f>
        <v>807.8414904</v>
      </c>
      <c r="M441" s="81">
        <f>SUMIF(F442:F449,"*",M442:M449)*J441</f>
        <v>807.8414904</v>
      </c>
      <c r="N441" s="124">
        <f>HYPERLINK("#Трудозатраты!B74",Трудозатраты!B74+SUMIF(F442:F449,"*",O442:O449))</f>
        <v>13.149999999999999</v>
      </c>
      <c r="O441" s="82">
        <f>N441*J441</f>
        <v>13.149999999999999</v>
      </c>
      <c r="P441" s="81">
        <f>O441/60*(1+запас_труд)*стоимость_трудочаса</f>
        <v>515.04166666666663</v>
      </c>
      <c r="Q441" s="129">
        <f>M441*(1+наценка_покупное)+P441</f>
        <v>1484.4514551466666</v>
      </c>
    </row>
    <row r="442" spans="5:17" hidden="1" outlineLevel="4" x14ac:dyDescent="0.25">
      <c r="F442" s="74" t="s">
        <v>44</v>
      </c>
      <c r="G442" s="74"/>
      <c r="H442" s="75"/>
      <c r="I442" s="76"/>
      <c r="J442" s="78">
        <f>HYPERLINK("#Структура!E270",Структура!E270)</f>
        <v>4.7E-2</v>
      </c>
      <c r="K442" s="114" t="str">
        <f>HYPERLINK("#Структура!G270","")</f>
        <v/>
      </c>
      <c r="L442" s="120">
        <f>HYPERLINK("#Покупные_изделия!D63",Покупные_изделия!D63)</f>
        <v>396.00000000000006</v>
      </c>
      <c r="M442" s="76">
        <f t="shared" ref="M442:M449" si="23">J442*L442</f>
        <v>18.612000000000002</v>
      </c>
      <c r="N442" s="77"/>
      <c r="O442" s="77"/>
      <c r="P442" s="76"/>
      <c r="Q442" s="76"/>
    </row>
    <row r="443" spans="5:17" hidden="1" outlineLevel="4" x14ac:dyDescent="0.25">
      <c r="F443" s="74" t="s">
        <v>66</v>
      </c>
      <c r="G443" s="74"/>
      <c r="H443" s="75"/>
      <c r="I443" s="76"/>
      <c r="J443" s="78">
        <f>HYPERLINK("#Структура!E271",Структура!E271)</f>
        <v>3.0000000000000001E-3</v>
      </c>
      <c r="K443" s="114" t="str">
        <f>HYPERLINK("#Структура!G271","")</f>
        <v/>
      </c>
      <c r="L443" s="120">
        <f>HYPERLINK("#Покупные_изделия!D198",Покупные_изделия!D198)</f>
        <v>268.47480000000002</v>
      </c>
      <c r="M443" s="76">
        <f t="shared" si="23"/>
        <v>0.80542440000000004</v>
      </c>
      <c r="N443" s="77"/>
      <c r="O443" s="77"/>
      <c r="P443" s="76"/>
      <c r="Q443" s="76"/>
    </row>
    <row r="444" spans="5:17" hidden="1" outlineLevel="4" x14ac:dyDescent="0.25">
      <c r="F444" s="74" t="s">
        <v>118</v>
      </c>
      <c r="G444" s="74"/>
      <c r="H444" s="75"/>
      <c r="I444" s="76"/>
      <c r="J444" s="78">
        <f>HYPERLINK("#Структура!E272",Структура!E272)</f>
        <v>6.3594400000000002</v>
      </c>
      <c r="K444" s="114" t="str">
        <f>HYPERLINK("#Структура!G272","")</f>
        <v/>
      </c>
      <c r="L444" s="120">
        <f>HYPERLINK("#Покупные_изделия!D293",Покупные_изделия!D293)</f>
        <v>120</v>
      </c>
      <c r="M444" s="76">
        <f t="shared" si="23"/>
        <v>763.13279999999997</v>
      </c>
      <c r="N444" s="77"/>
      <c r="O444" s="77"/>
      <c r="P444" s="76"/>
      <c r="Q444" s="76"/>
    </row>
    <row r="445" spans="5:17" hidden="1" outlineLevel="4" x14ac:dyDescent="0.25">
      <c r="F445" s="74" t="s">
        <v>139</v>
      </c>
      <c r="G445" s="74"/>
      <c r="H445" s="75"/>
      <c r="I445" s="76"/>
      <c r="J445" s="78">
        <f>HYPERLINK("#Структура!E273",Структура!E273)</f>
        <v>5.0000000000000001E-3</v>
      </c>
      <c r="K445" s="114" t="str">
        <f>HYPERLINK("#Структура!G273","")</f>
        <v/>
      </c>
      <c r="L445" s="120">
        <f>HYPERLINK("#Покупные_изделия!D360",Покупные_изделия!D360)</f>
        <v>171.87720000000002</v>
      </c>
      <c r="M445" s="76">
        <f t="shared" si="23"/>
        <v>0.85938600000000009</v>
      </c>
      <c r="N445" s="77"/>
      <c r="O445" s="77"/>
      <c r="P445" s="76"/>
      <c r="Q445" s="76"/>
    </row>
    <row r="446" spans="5:17" hidden="1" outlineLevel="4" x14ac:dyDescent="0.25">
      <c r="F446" s="74" t="s">
        <v>156</v>
      </c>
      <c r="G446" s="74"/>
      <c r="H446" s="75"/>
      <c r="I446" s="76"/>
      <c r="J446" s="78">
        <f>HYPERLINK("#Структура!E274",Структура!E274)</f>
        <v>2.9000000000000001E-2</v>
      </c>
      <c r="K446" s="114" t="str">
        <f>HYPERLINK("#Структура!G274","")</f>
        <v/>
      </c>
      <c r="L446" s="120">
        <f>HYPERLINK("#Покупные_изделия!D427",Покупные_изделия!D427)</f>
        <v>155.53200000000001</v>
      </c>
      <c r="M446" s="76">
        <f t="shared" si="23"/>
        <v>4.5104280000000001</v>
      </c>
      <c r="N446" s="77"/>
      <c r="O446" s="77"/>
      <c r="P446" s="76"/>
      <c r="Q446" s="76"/>
    </row>
    <row r="447" spans="5:17" hidden="1" outlineLevel="4" x14ac:dyDescent="0.25">
      <c r="F447" s="74" t="s">
        <v>157</v>
      </c>
      <c r="G447" s="74"/>
      <c r="H447" s="75"/>
      <c r="I447" s="76"/>
      <c r="J447" s="78">
        <f>HYPERLINK("#Структура!E275",Структура!E275)</f>
        <v>1.4E-2</v>
      </c>
      <c r="K447" s="114" t="str">
        <f>HYPERLINK("#Структура!G275","")</f>
        <v/>
      </c>
      <c r="L447" s="120">
        <f>HYPERLINK("#Покупные_изделия!D428",Покупные_изделия!D428)</f>
        <v>138.756</v>
      </c>
      <c r="M447" s="76">
        <f t="shared" si="23"/>
        <v>1.9425840000000001</v>
      </c>
      <c r="N447" s="77"/>
      <c r="O447" s="77"/>
      <c r="P447" s="76"/>
      <c r="Q447" s="76"/>
    </row>
    <row r="448" spans="5:17" hidden="1" outlineLevel="4" x14ac:dyDescent="0.25">
      <c r="F448" s="74" t="s">
        <v>200</v>
      </c>
      <c r="G448" s="74"/>
      <c r="H448" s="75"/>
      <c r="I448" s="76"/>
      <c r="J448" s="78">
        <f>HYPERLINK("#Структура!E276",Структура!E276)</f>
        <v>0.01</v>
      </c>
      <c r="K448" s="114" t="str">
        <f>HYPERLINK("#Структура!G276","")</f>
        <v/>
      </c>
      <c r="L448" s="120">
        <f>HYPERLINK("#Покупные_изделия!D518",Покупные_изделия!D518)</f>
        <v>270</v>
      </c>
      <c r="M448" s="76">
        <f t="shared" si="23"/>
        <v>2.7</v>
      </c>
      <c r="N448" s="77"/>
      <c r="O448" s="77"/>
      <c r="P448" s="76"/>
      <c r="Q448" s="76"/>
    </row>
    <row r="449" spans="5:17" hidden="1" outlineLevel="4" x14ac:dyDescent="0.25">
      <c r="F449" s="74" t="s">
        <v>202</v>
      </c>
      <c r="G449" s="74"/>
      <c r="H449" s="75"/>
      <c r="I449" s="76"/>
      <c r="J449" s="78">
        <f>HYPERLINK("#Структура!E277",Структура!E277)</f>
        <v>3.3000000000000002E-2</v>
      </c>
      <c r="K449" s="114" t="str">
        <f>HYPERLINK("#Структура!G277","")</f>
        <v/>
      </c>
      <c r="L449" s="120">
        <f>HYPERLINK("#Покупные_изделия!D521",Покупные_изделия!D521)</f>
        <v>462.99599999999998</v>
      </c>
      <c r="M449" s="76">
        <f t="shared" si="23"/>
        <v>15.278867999999999</v>
      </c>
      <c r="N449" s="77"/>
      <c r="O449" s="77"/>
      <c r="P449" s="76"/>
      <c r="Q449" s="76"/>
    </row>
    <row r="450" spans="5:17" hidden="1" outlineLevel="3" collapsed="1" x14ac:dyDescent="0.25">
      <c r="E450" s="84" t="s">
        <v>760</v>
      </c>
      <c r="F450" s="79"/>
      <c r="G450" s="79"/>
      <c r="H450" s="80"/>
      <c r="I450" s="81"/>
      <c r="J450" s="83">
        <f>HYPERLINK("#Структура!E437",Структура!E437)</f>
        <v>1</v>
      </c>
      <c r="K450" s="115">
        <f>HYPERLINK("#Структура!G437",Структура!G437)</f>
        <v>1.5533399999999999</v>
      </c>
      <c r="L450" s="81">
        <f>M450/J450</f>
        <v>248.99833559999999</v>
      </c>
      <c r="M450" s="81">
        <f>SUMIF(F451:F455,"*",M451:M455)*J450</f>
        <v>248.99833559999999</v>
      </c>
      <c r="N450" s="124">
        <f>HYPERLINK("#Трудозатраты!B104",Трудозатраты!B104+SUMIF(F451:F455,"*",O451:O455))</f>
        <v>3.8</v>
      </c>
      <c r="O450" s="82">
        <f>N450*J450</f>
        <v>3.8</v>
      </c>
      <c r="P450" s="81">
        <f>O450/60*(1+запас_труд)*стоимость_трудочаса</f>
        <v>148.83333333333331</v>
      </c>
      <c r="Q450" s="129">
        <f>M450*(1+наценка_покупное)+P450</f>
        <v>447.63133605333331</v>
      </c>
    </row>
    <row r="451" spans="5:17" hidden="1" outlineLevel="4" x14ac:dyDescent="0.25">
      <c r="F451" s="74" t="s">
        <v>44</v>
      </c>
      <c r="G451" s="74"/>
      <c r="H451" s="75"/>
      <c r="I451" s="76"/>
      <c r="J451" s="78">
        <f>HYPERLINK("#Структура!E489",Структура!E489)</f>
        <v>0.03</v>
      </c>
      <c r="K451" s="114" t="str">
        <f>HYPERLINK("#Структура!G489","")</f>
        <v/>
      </c>
      <c r="L451" s="120">
        <f>HYPERLINK("#Покупные_изделия!D63",Покупные_изделия!D63)</f>
        <v>396.00000000000006</v>
      </c>
      <c r="M451" s="76">
        <f>J451*L451</f>
        <v>11.88</v>
      </c>
      <c r="N451" s="77"/>
      <c r="O451" s="77"/>
      <c r="P451" s="76"/>
      <c r="Q451" s="76"/>
    </row>
    <row r="452" spans="5:17" hidden="1" outlineLevel="4" x14ac:dyDescent="0.25">
      <c r="F452" s="74" t="s">
        <v>118</v>
      </c>
      <c r="G452" s="74"/>
      <c r="H452" s="75"/>
      <c r="I452" s="76"/>
      <c r="J452" s="78">
        <f>HYPERLINK("#Структура!E490",Структура!E490)</f>
        <v>1.879</v>
      </c>
      <c r="K452" s="114" t="str">
        <f>HYPERLINK("#Структура!G490","")</f>
        <v/>
      </c>
      <c r="L452" s="120">
        <f>HYPERLINK("#Покупные_изделия!D293",Покупные_изделия!D293)</f>
        <v>120</v>
      </c>
      <c r="M452" s="76">
        <f>J452*L452</f>
        <v>225.48</v>
      </c>
      <c r="N452" s="77"/>
      <c r="O452" s="77"/>
      <c r="P452" s="76"/>
      <c r="Q452" s="76"/>
    </row>
    <row r="453" spans="5:17" hidden="1" outlineLevel="4" x14ac:dyDescent="0.25">
      <c r="F453" s="74" t="s">
        <v>139</v>
      </c>
      <c r="G453" s="74"/>
      <c r="H453" s="75"/>
      <c r="I453" s="76"/>
      <c r="J453" s="78">
        <f>HYPERLINK("#Структура!E491",Структура!E491)</f>
        <v>3.0000000000000001E-3</v>
      </c>
      <c r="K453" s="114" t="str">
        <f>HYPERLINK("#Структура!G491","")</f>
        <v/>
      </c>
      <c r="L453" s="120">
        <f>HYPERLINK("#Покупные_изделия!D360",Покупные_изделия!D360)</f>
        <v>171.87720000000002</v>
      </c>
      <c r="M453" s="76">
        <f>J453*L453</f>
        <v>0.51563160000000008</v>
      </c>
      <c r="N453" s="77"/>
      <c r="O453" s="77"/>
      <c r="P453" s="76"/>
      <c r="Q453" s="76"/>
    </row>
    <row r="454" spans="5:17" hidden="1" outlineLevel="4" x14ac:dyDescent="0.25">
      <c r="F454" s="74" t="s">
        <v>156</v>
      </c>
      <c r="G454" s="74"/>
      <c r="H454" s="75"/>
      <c r="I454" s="76"/>
      <c r="J454" s="78">
        <f>HYPERLINK("#Структура!E492",Структура!E492)</f>
        <v>8.9999999999999993E-3</v>
      </c>
      <c r="K454" s="114" t="str">
        <f>HYPERLINK("#Структура!G492","")</f>
        <v/>
      </c>
      <c r="L454" s="120">
        <f>HYPERLINK("#Покупные_изделия!D427",Покупные_изделия!D427)</f>
        <v>155.53200000000001</v>
      </c>
      <c r="M454" s="76">
        <f>J454*L454</f>
        <v>1.399788</v>
      </c>
      <c r="N454" s="77"/>
      <c r="O454" s="77"/>
      <c r="P454" s="76"/>
      <c r="Q454" s="76"/>
    </row>
    <row r="455" spans="5:17" hidden="1" outlineLevel="4" x14ac:dyDescent="0.25">
      <c r="F455" s="74" t="s">
        <v>202</v>
      </c>
      <c r="G455" s="74"/>
      <c r="H455" s="75"/>
      <c r="I455" s="76"/>
      <c r="J455" s="78">
        <f>HYPERLINK("#Структура!E493",Структура!E493)</f>
        <v>2.1000000000000001E-2</v>
      </c>
      <c r="K455" s="114" t="str">
        <f>HYPERLINK("#Структура!G493","")</f>
        <v/>
      </c>
      <c r="L455" s="120">
        <f>HYPERLINK("#Покупные_изделия!D521",Покупные_изделия!D521)</f>
        <v>462.99599999999998</v>
      </c>
      <c r="M455" s="76">
        <f>J455*L455</f>
        <v>9.7229159999999997</v>
      </c>
      <c r="N455" s="77"/>
      <c r="O455" s="77"/>
      <c r="P455" s="76"/>
      <c r="Q455" s="76"/>
    </row>
    <row r="456" spans="5:17" hidden="1" outlineLevel="3" collapsed="1" x14ac:dyDescent="0.25">
      <c r="E456" s="84" t="s">
        <v>705</v>
      </c>
      <c r="F456" s="79"/>
      <c r="G456" s="79"/>
      <c r="H456" s="80"/>
      <c r="I456" s="81"/>
      <c r="J456" s="83">
        <f>HYPERLINK("#Структура!E438",Структура!E438)</f>
        <v>1</v>
      </c>
      <c r="K456" s="115">
        <f>HYPERLINK("#Структура!G438",Структура!G438)</f>
        <v>7.4569999999999997E-2</v>
      </c>
      <c r="L456" s="81">
        <f>M456/J456</f>
        <v>97.332206400000018</v>
      </c>
      <c r="M456" s="81">
        <f>SUMIF(F457,"*",M457)*J456</f>
        <v>97.332206400000018</v>
      </c>
      <c r="N456" s="124">
        <f>HYPERLINK("#Трудозатраты!B883",Трудозатраты!B883+SUMIF(F457,"*",O457))</f>
        <v>5.5</v>
      </c>
      <c r="O456" s="82">
        <f>N456*J456</f>
        <v>5.5</v>
      </c>
      <c r="P456" s="81">
        <f>O456/60*(1+запас_труд)*стоимость_трудочаса</f>
        <v>215.41666666666666</v>
      </c>
      <c r="Q456" s="129">
        <f>M456*(1+наценка_покупное)+P456</f>
        <v>332.21531434666667</v>
      </c>
    </row>
    <row r="457" spans="5:17" hidden="1" outlineLevel="4" x14ac:dyDescent="0.25">
      <c r="F457" s="74" t="s">
        <v>166</v>
      </c>
      <c r="G457" s="74"/>
      <c r="H457" s="75"/>
      <c r="I457" s="76"/>
      <c r="J457" s="78">
        <f>HYPERLINK("#Структура!E3754",Структура!E3754)</f>
        <v>6.6000000000000003E-2</v>
      </c>
      <c r="K457" s="114" t="str">
        <f>HYPERLINK("#Структура!G3754","")</f>
        <v/>
      </c>
      <c r="L457" s="120">
        <f>HYPERLINK("#Покупные_изделия!D451",Покупные_изделия!D451)</f>
        <v>1474.7304000000001</v>
      </c>
      <c r="M457" s="76">
        <f t="shared" ref="M457:M492" si="24">J457*L457</f>
        <v>97.332206400000018</v>
      </c>
      <c r="N457" s="77"/>
      <c r="O457" s="77"/>
      <c r="P457" s="76"/>
      <c r="Q457" s="76"/>
    </row>
    <row r="458" spans="5:17" hidden="1" outlineLevel="3" x14ac:dyDescent="0.25">
      <c r="E458" s="74" t="s">
        <v>622</v>
      </c>
      <c r="F458" s="74"/>
      <c r="G458" s="74"/>
      <c r="H458" s="75"/>
      <c r="I458" s="76"/>
      <c r="J458" s="78">
        <f>HYPERLINK("#Структура!E439",Структура!E439)</f>
        <v>4</v>
      </c>
      <c r="K458" s="114">
        <f>HYPERLINK("#Структура!G439",Структура!G439)</f>
        <v>1.52E-2</v>
      </c>
      <c r="L458" s="120">
        <f>HYPERLINK("#Покупные_изделия!D85",Покупные_изделия!D85)</f>
        <v>8.6999999999999993</v>
      </c>
      <c r="M458" s="76">
        <f t="shared" si="24"/>
        <v>34.799999999999997</v>
      </c>
      <c r="N458" s="77"/>
      <c r="O458" s="77"/>
      <c r="P458" s="76"/>
      <c r="Q458" s="76"/>
    </row>
    <row r="459" spans="5:17" hidden="1" outlineLevel="3" x14ac:dyDescent="0.25">
      <c r="E459" s="74" t="s">
        <v>761</v>
      </c>
      <c r="F459" s="74"/>
      <c r="G459" s="74"/>
      <c r="H459" s="75"/>
      <c r="I459" s="76"/>
      <c r="J459" s="78">
        <f>HYPERLINK("#Структура!E440",Структура!E440)</f>
        <v>2</v>
      </c>
      <c r="K459" s="114">
        <f>HYPERLINK("#Структура!G440",Структура!G440)</f>
        <v>3.696E-2</v>
      </c>
      <c r="L459" s="120">
        <f>HYPERLINK("#Покупные_изделия!D91",Покупные_изделия!D91)</f>
        <v>13.452</v>
      </c>
      <c r="M459" s="76">
        <f t="shared" si="24"/>
        <v>26.904</v>
      </c>
      <c r="N459" s="77"/>
      <c r="O459" s="77"/>
      <c r="P459" s="76"/>
      <c r="Q459" s="76"/>
    </row>
    <row r="460" spans="5:17" hidden="1" outlineLevel="3" x14ac:dyDescent="0.25">
      <c r="E460" s="74" t="s">
        <v>648</v>
      </c>
      <c r="F460" s="74"/>
      <c r="G460" s="74"/>
      <c r="H460" s="75"/>
      <c r="I460" s="76"/>
      <c r="J460" s="78">
        <f>HYPERLINK("#Структура!E441",Структура!E441)</f>
        <v>2</v>
      </c>
      <c r="K460" s="114">
        <f>HYPERLINK("#Структура!G441",Структура!G441)</f>
        <v>1.325E-2</v>
      </c>
      <c r="L460" s="120">
        <f>HYPERLINK("#Покупные_изделия!D103",Покупные_изделия!D103)</f>
        <v>4.26</v>
      </c>
      <c r="M460" s="76">
        <f t="shared" si="24"/>
        <v>8.52</v>
      </c>
      <c r="N460" s="77"/>
      <c r="O460" s="77"/>
      <c r="P460" s="76"/>
      <c r="Q460" s="76"/>
    </row>
    <row r="461" spans="5:17" hidden="1" outlineLevel="3" x14ac:dyDescent="0.25">
      <c r="E461" s="74" t="s">
        <v>671</v>
      </c>
      <c r="F461" s="74"/>
      <c r="G461" s="74"/>
      <c r="H461" s="75"/>
      <c r="I461" s="76"/>
      <c r="J461" s="78">
        <f>HYPERLINK("#Структура!E442",Структура!E442)</f>
        <v>12</v>
      </c>
      <c r="K461" s="114">
        <f>HYPERLINK("#Структура!G442",Структура!G442)</f>
        <v>1.5699999999999999E-2</v>
      </c>
      <c r="L461" s="120">
        <f>HYPERLINK("#Покупные_изделия!D105",Покупные_изделия!D105)</f>
        <v>5.0999999999999996</v>
      </c>
      <c r="M461" s="76">
        <f t="shared" si="24"/>
        <v>61.199999999999996</v>
      </c>
      <c r="N461" s="77"/>
      <c r="O461" s="77"/>
      <c r="P461" s="76"/>
      <c r="Q461" s="76"/>
    </row>
    <row r="462" spans="5:17" hidden="1" outlineLevel="3" x14ac:dyDescent="0.25">
      <c r="E462" s="74" t="s">
        <v>732</v>
      </c>
      <c r="F462" s="74"/>
      <c r="G462" s="74"/>
      <c r="H462" s="75"/>
      <c r="I462" s="76"/>
      <c r="J462" s="78">
        <f>HYPERLINK("#Структура!E443",Структура!E443)</f>
        <v>4</v>
      </c>
      <c r="K462" s="114">
        <f>HYPERLINK("#Структура!G443",Структура!G443)</f>
        <v>1.7350000000000001E-2</v>
      </c>
      <c r="L462" s="120">
        <f>HYPERLINK("#Покупные_изделия!D106",Покупные_изделия!D106)</f>
        <v>5.4119999999999999</v>
      </c>
      <c r="M462" s="76">
        <f t="shared" si="24"/>
        <v>21.648</v>
      </c>
      <c r="N462" s="77"/>
      <c r="O462" s="77"/>
      <c r="P462" s="76"/>
      <c r="Q462" s="76"/>
    </row>
    <row r="463" spans="5:17" hidden="1" outlineLevel="3" x14ac:dyDescent="0.25">
      <c r="E463" s="74" t="s">
        <v>762</v>
      </c>
      <c r="F463" s="74"/>
      <c r="G463" s="74"/>
      <c r="H463" s="75"/>
      <c r="I463" s="76"/>
      <c r="J463" s="78">
        <f>HYPERLINK("#Структура!E444",Структура!E444)</f>
        <v>4</v>
      </c>
      <c r="K463" s="114">
        <f>HYPERLINK("#Структура!G444",Структура!G444)</f>
        <v>1.9089999999999999E-2</v>
      </c>
      <c r="L463" s="120">
        <f>HYPERLINK("#Покупные_изделия!D107",Покупные_изделия!D107)</f>
        <v>5.976</v>
      </c>
      <c r="M463" s="76">
        <f t="shared" si="24"/>
        <v>23.904</v>
      </c>
      <c r="N463" s="77"/>
      <c r="O463" s="77"/>
      <c r="P463" s="76"/>
      <c r="Q463" s="76"/>
    </row>
    <row r="464" spans="5:17" hidden="1" outlineLevel="3" x14ac:dyDescent="0.25">
      <c r="E464" s="74" t="s">
        <v>742</v>
      </c>
      <c r="F464" s="74"/>
      <c r="G464" s="74"/>
      <c r="H464" s="75"/>
      <c r="I464" s="76"/>
      <c r="J464" s="78">
        <f>HYPERLINK("#Структура!E445",Структура!E445)</f>
        <v>12</v>
      </c>
      <c r="K464" s="114">
        <f>HYPERLINK("#Структура!G445",Структура!G445)</f>
        <v>2.1299999999999999E-2</v>
      </c>
      <c r="L464" s="120">
        <f>HYPERLINK("#Покупные_изделия!D108",Покупные_изделия!D108)</f>
        <v>6.5159999999999991</v>
      </c>
      <c r="M464" s="76">
        <f t="shared" si="24"/>
        <v>78.191999999999993</v>
      </c>
      <c r="N464" s="77"/>
      <c r="O464" s="77"/>
      <c r="P464" s="76"/>
      <c r="Q464" s="76"/>
    </row>
    <row r="465" spans="5:17" hidden="1" outlineLevel="3" x14ac:dyDescent="0.25">
      <c r="E465" s="74" t="s">
        <v>52</v>
      </c>
      <c r="F465" s="74"/>
      <c r="G465" s="74"/>
      <c r="H465" s="75"/>
      <c r="I465" s="76"/>
      <c r="J465" s="78">
        <f>HYPERLINK("#Структура!E446",Структура!E446)</f>
        <v>2</v>
      </c>
      <c r="K465" s="114">
        <f>HYPERLINK("#Структура!G446",Структура!G446)</f>
        <v>6.4000000000000005E-4</v>
      </c>
      <c r="L465" s="120">
        <f>HYPERLINK("#Покупные_изделия!D141",Покупные_изделия!D141)</f>
        <v>2.76</v>
      </c>
      <c r="M465" s="76">
        <f t="shared" si="24"/>
        <v>5.52</v>
      </c>
      <c r="N465" s="77"/>
      <c r="O465" s="77"/>
      <c r="P465" s="76"/>
      <c r="Q465" s="76"/>
    </row>
    <row r="466" spans="5:17" hidden="1" outlineLevel="3" x14ac:dyDescent="0.25">
      <c r="E466" s="74" t="s">
        <v>54</v>
      </c>
      <c r="F466" s="74"/>
      <c r="G466" s="74"/>
      <c r="H466" s="75"/>
      <c r="I466" s="76"/>
      <c r="J466" s="78">
        <f>HYPERLINK("#Структура!E447",Структура!E447)</f>
        <v>2</v>
      </c>
      <c r="K466" s="114">
        <f>HYPERLINK("#Структура!G447",Структура!G447)</f>
        <v>2.2499999999999998E-3</v>
      </c>
      <c r="L466" s="120">
        <f>HYPERLINK("#Покупные_изделия!D143",Покупные_изделия!D143)</f>
        <v>3.8759999999999999</v>
      </c>
      <c r="M466" s="76">
        <f t="shared" si="24"/>
        <v>7.7519999999999998</v>
      </c>
      <c r="N466" s="77"/>
      <c r="O466" s="77"/>
      <c r="P466" s="76"/>
      <c r="Q466" s="76"/>
    </row>
    <row r="467" spans="5:17" hidden="1" outlineLevel="3" x14ac:dyDescent="0.25">
      <c r="E467" s="74" t="s">
        <v>56</v>
      </c>
      <c r="F467" s="74"/>
      <c r="G467" s="74"/>
      <c r="H467" s="75"/>
      <c r="I467" s="76"/>
      <c r="J467" s="78">
        <f>HYPERLINK("#Структура!E448",Структура!E448)</f>
        <v>6</v>
      </c>
      <c r="K467" s="114">
        <f>HYPERLINK("#Структура!G448",Структура!G448)</f>
        <v>9.6200000000000001E-3</v>
      </c>
      <c r="L467" s="120">
        <f>HYPERLINK("#Покупные_изделия!D145",Покупные_изделия!D145)</f>
        <v>9.4919999999999991</v>
      </c>
      <c r="M467" s="76">
        <f t="shared" si="24"/>
        <v>56.951999999999998</v>
      </c>
      <c r="N467" s="77"/>
      <c r="O467" s="77"/>
      <c r="P467" s="76"/>
      <c r="Q467" s="76"/>
    </row>
    <row r="468" spans="5:17" hidden="1" outlineLevel="3" x14ac:dyDescent="0.25">
      <c r="E468" s="74" t="s">
        <v>58</v>
      </c>
      <c r="F468" s="74"/>
      <c r="G468" s="74"/>
      <c r="H468" s="75"/>
      <c r="I468" s="76"/>
      <c r="J468" s="78">
        <f>HYPERLINK("#Структура!E449",Структура!E449)</f>
        <v>12</v>
      </c>
      <c r="K468" s="114">
        <f>HYPERLINK("#Структура!G449",Структура!G449)</f>
        <v>1.413E-2</v>
      </c>
      <c r="L468" s="120">
        <f>HYPERLINK("#Покупные_изделия!D147",Покупные_изделия!D147)</f>
        <v>10.752000000000001</v>
      </c>
      <c r="M468" s="76">
        <f t="shared" si="24"/>
        <v>129.024</v>
      </c>
      <c r="N468" s="77"/>
      <c r="O468" s="77"/>
      <c r="P468" s="76"/>
      <c r="Q468" s="76"/>
    </row>
    <row r="469" spans="5:17" hidden="1" outlineLevel="3" x14ac:dyDescent="0.25">
      <c r="E469" s="74" t="s">
        <v>763</v>
      </c>
      <c r="F469" s="74"/>
      <c r="G469" s="74"/>
      <c r="H469" s="75"/>
      <c r="I469" s="76"/>
      <c r="J469" s="78">
        <f>HYPERLINK("#Структура!E450",Структура!E450)</f>
        <v>2</v>
      </c>
      <c r="K469" s="114">
        <f>HYPERLINK("#Структура!G450",Структура!G450)</f>
        <v>1.09E-2</v>
      </c>
      <c r="L469" s="120">
        <f>HYPERLINK("#Покупные_изделия!D126",Покупные_изделия!D126)</f>
        <v>31.451999999999998</v>
      </c>
      <c r="M469" s="76">
        <f t="shared" si="24"/>
        <v>62.903999999999996</v>
      </c>
      <c r="N469" s="77"/>
      <c r="O469" s="77"/>
      <c r="P469" s="76"/>
      <c r="Q469" s="76"/>
    </row>
    <row r="470" spans="5:17" hidden="1" outlineLevel="3" x14ac:dyDescent="0.25">
      <c r="E470" s="74" t="s">
        <v>745</v>
      </c>
      <c r="F470" s="74"/>
      <c r="G470" s="74"/>
      <c r="H470" s="75"/>
      <c r="I470" s="76"/>
      <c r="J470" s="78">
        <f>HYPERLINK("#Структура!E451",Структура!E451)</f>
        <v>4</v>
      </c>
      <c r="K470" s="114">
        <f>HYPERLINK("#Структура!G451",Структура!G451)</f>
        <v>1.022E-2</v>
      </c>
      <c r="L470" s="120">
        <f>HYPERLINK("#Покупные_изделия!D174",Покупные_изделия!D174)</f>
        <v>4.7160000000000002</v>
      </c>
      <c r="M470" s="76">
        <f t="shared" si="24"/>
        <v>18.864000000000001</v>
      </c>
      <c r="N470" s="77"/>
      <c r="O470" s="77"/>
      <c r="P470" s="76"/>
      <c r="Q470" s="76"/>
    </row>
    <row r="471" spans="5:17" hidden="1" outlineLevel="3" x14ac:dyDescent="0.25">
      <c r="E471" s="74" t="s">
        <v>764</v>
      </c>
      <c r="F471" s="74"/>
      <c r="G471" s="74"/>
      <c r="H471" s="75"/>
      <c r="I471" s="76"/>
      <c r="J471" s="78">
        <f>HYPERLINK("#Структура!E452",Структура!E452)</f>
        <v>2</v>
      </c>
      <c r="K471" s="114">
        <f>HYPERLINK("#Структура!G452",Структура!G452)</f>
        <v>3.8000000000000002E-4</v>
      </c>
      <c r="L471" s="120">
        <f>HYPERLINK("#Покупные_изделия!D184",Покупные_изделия!D184)</f>
        <v>0.55000000000000004</v>
      </c>
      <c r="M471" s="76">
        <f t="shared" si="24"/>
        <v>1.1000000000000001</v>
      </c>
      <c r="N471" s="77"/>
      <c r="O471" s="77"/>
      <c r="P471" s="76"/>
      <c r="Q471" s="76"/>
    </row>
    <row r="472" spans="5:17" hidden="1" outlineLevel="3" x14ac:dyDescent="0.25">
      <c r="E472" s="74" t="s">
        <v>765</v>
      </c>
      <c r="F472" s="74"/>
      <c r="G472" s="74"/>
      <c r="H472" s="75"/>
      <c r="I472" s="76"/>
      <c r="J472" s="78">
        <f>HYPERLINK("#Структура!E453",Структура!E453)</f>
        <v>2</v>
      </c>
      <c r="K472" s="114">
        <f>HYPERLINK("#Структура!G453",Структура!G453)</f>
        <v>1.4400000000000001E-3</v>
      </c>
      <c r="L472" s="120">
        <f>HYPERLINK("#Покупные_изделия!D187",Покупные_изделия!D187)</f>
        <v>0.5544</v>
      </c>
      <c r="M472" s="76">
        <f t="shared" si="24"/>
        <v>1.1088</v>
      </c>
      <c r="N472" s="77"/>
      <c r="O472" s="77"/>
      <c r="P472" s="76"/>
      <c r="Q472" s="76"/>
    </row>
    <row r="473" spans="5:17" hidden="1" outlineLevel="3" x14ac:dyDescent="0.25">
      <c r="E473" s="74" t="s">
        <v>709</v>
      </c>
      <c r="F473" s="74"/>
      <c r="G473" s="74"/>
      <c r="H473" s="75"/>
      <c r="I473" s="76"/>
      <c r="J473" s="78">
        <f>HYPERLINK("#Структура!E454",Структура!E454)</f>
        <v>4</v>
      </c>
      <c r="K473" s="114">
        <f>HYPERLINK("#Структура!G454",Структура!G454)</f>
        <v>1.49E-2</v>
      </c>
      <c r="L473" s="120">
        <f>HYPERLINK("#Покупные_изделия!D191",Покупные_изделия!D191)</f>
        <v>2.3079818181818181</v>
      </c>
      <c r="M473" s="76">
        <f t="shared" si="24"/>
        <v>9.2319272727272725</v>
      </c>
      <c r="N473" s="77"/>
      <c r="O473" s="77"/>
      <c r="P473" s="76"/>
      <c r="Q473" s="76"/>
    </row>
    <row r="474" spans="5:17" hidden="1" outlineLevel="3" x14ac:dyDescent="0.25">
      <c r="E474" s="74" t="s">
        <v>746</v>
      </c>
      <c r="F474" s="74"/>
      <c r="G474" s="74"/>
      <c r="H474" s="75"/>
      <c r="I474" s="76"/>
      <c r="J474" s="78">
        <f>HYPERLINK("#Структура!E455",Структура!E455)</f>
        <v>4</v>
      </c>
      <c r="K474" s="114">
        <f>HYPERLINK("#Структура!G455",Структура!G455)</f>
        <v>5.5500000000000002E-3</v>
      </c>
      <c r="L474" s="120">
        <f>HYPERLINK("#Покупные_изделия!D192",Покупные_изделия!D192)</f>
        <v>1.9799999999999998</v>
      </c>
      <c r="M474" s="76">
        <f t="shared" si="24"/>
        <v>7.919999999999999</v>
      </c>
      <c r="N474" s="77"/>
      <c r="O474" s="77"/>
      <c r="P474" s="76"/>
      <c r="Q474" s="76"/>
    </row>
    <row r="475" spans="5:17" hidden="1" outlineLevel="3" x14ac:dyDescent="0.25">
      <c r="E475" s="74" t="s">
        <v>766</v>
      </c>
      <c r="F475" s="74"/>
      <c r="G475" s="74"/>
      <c r="H475" s="75"/>
      <c r="I475" s="76"/>
      <c r="J475" s="78">
        <f>HYPERLINK("#Структура!E456",Структура!E456)</f>
        <v>4</v>
      </c>
      <c r="K475" s="114">
        <f>HYPERLINK("#Структура!G456",Структура!G456)</f>
        <v>1.1299999999999999E-2</v>
      </c>
      <c r="L475" s="120">
        <f>HYPERLINK("#Покупные_изделия!D163",Покупные_изделия!D163)</f>
        <v>4.1525058823529415</v>
      </c>
      <c r="M475" s="76">
        <f t="shared" si="24"/>
        <v>16.610023529411766</v>
      </c>
      <c r="N475" s="77"/>
      <c r="O475" s="77"/>
      <c r="P475" s="76"/>
      <c r="Q475" s="76"/>
    </row>
    <row r="476" spans="5:17" hidden="1" outlineLevel="3" x14ac:dyDescent="0.25">
      <c r="E476" s="74" t="s">
        <v>625</v>
      </c>
      <c r="F476" s="74"/>
      <c r="G476" s="74"/>
      <c r="H476" s="75"/>
      <c r="I476" s="76"/>
      <c r="J476" s="78">
        <f>HYPERLINK("#Структура!E457",Структура!E457)</f>
        <v>44</v>
      </c>
      <c r="K476" s="114">
        <f>HYPERLINK("#Структура!G457",Структура!G457)</f>
        <v>7.1399999999999996E-3</v>
      </c>
      <c r="L476" s="120">
        <f>HYPERLINK("#Покупные_изделия!D168",Покупные_изделия!D168)</f>
        <v>1.9715672368421051</v>
      </c>
      <c r="M476" s="76">
        <f t="shared" si="24"/>
        <v>86.74895842105262</v>
      </c>
      <c r="N476" s="77"/>
      <c r="O476" s="77"/>
      <c r="P476" s="76"/>
      <c r="Q476" s="76"/>
    </row>
    <row r="477" spans="5:17" hidden="1" outlineLevel="3" x14ac:dyDescent="0.25">
      <c r="E477" s="74" t="s">
        <v>767</v>
      </c>
      <c r="F477" s="74"/>
      <c r="G477" s="74"/>
      <c r="H477" s="75"/>
      <c r="I477" s="76"/>
      <c r="J477" s="78">
        <f>HYPERLINK("#Структура!E458",Структура!E458)</f>
        <v>2</v>
      </c>
      <c r="K477" s="114">
        <f>HYPERLINK("#Структура!G458",Структура!G458)</f>
        <v>2.0100000000000001E-3</v>
      </c>
      <c r="L477" s="120">
        <f>HYPERLINK("#Покупные_изделия!D522",Покупные_изделия!D522)</f>
        <v>1.6500000000000001</v>
      </c>
      <c r="M477" s="76">
        <f t="shared" si="24"/>
        <v>3.3000000000000003</v>
      </c>
      <c r="N477" s="77"/>
      <c r="O477" s="77"/>
      <c r="P477" s="76"/>
      <c r="Q477" s="76"/>
    </row>
    <row r="478" spans="5:17" hidden="1" outlineLevel="3" x14ac:dyDescent="0.25">
      <c r="E478" s="74" t="s">
        <v>710</v>
      </c>
      <c r="F478" s="74"/>
      <c r="G478" s="74"/>
      <c r="H478" s="75"/>
      <c r="I478" s="76"/>
      <c r="J478" s="78">
        <f>HYPERLINK("#Структура!E459",Структура!E459)</f>
        <v>8</v>
      </c>
      <c r="K478" s="114">
        <f>HYPERLINK("#Структура!G459",Структура!G459)</f>
        <v>1.0300000000000001E-3</v>
      </c>
      <c r="L478" s="120">
        <f>HYPERLINK("#Покупные_изделия!D530",Покупные_изделия!D530)</f>
        <v>1.6033970526315791</v>
      </c>
      <c r="M478" s="76">
        <f t="shared" si="24"/>
        <v>12.827176421052632</v>
      </c>
      <c r="N478" s="77"/>
      <c r="O478" s="77"/>
      <c r="P478" s="76"/>
      <c r="Q478" s="76"/>
    </row>
    <row r="479" spans="5:17" hidden="1" outlineLevel="3" x14ac:dyDescent="0.25">
      <c r="E479" s="74" t="s">
        <v>768</v>
      </c>
      <c r="F479" s="74"/>
      <c r="G479" s="74"/>
      <c r="H479" s="75"/>
      <c r="I479" s="76"/>
      <c r="J479" s="78">
        <f>HYPERLINK("#Структура!E460",Структура!E460)</f>
        <v>4</v>
      </c>
      <c r="K479" s="114">
        <f>HYPERLINK("#Структура!G460",Структура!G460)</f>
        <v>3.4399999999999999E-3</v>
      </c>
      <c r="L479" s="120">
        <f>HYPERLINK("#Покупные_изделия!D538",Покупные_изделия!D538)</f>
        <v>1.68</v>
      </c>
      <c r="M479" s="76">
        <f t="shared" si="24"/>
        <v>6.72</v>
      </c>
      <c r="N479" s="77"/>
      <c r="O479" s="77"/>
      <c r="P479" s="76"/>
      <c r="Q479" s="76"/>
    </row>
    <row r="480" spans="5:17" hidden="1" outlineLevel="3" x14ac:dyDescent="0.25">
      <c r="E480" s="74" t="s">
        <v>737</v>
      </c>
      <c r="F480" s="74"/>
      <c r="G480" s="74"/>
      <c r="H480" s="75"/>
      <c r="I480" s="76"/>
      <c r="J480" s="78">
        <f>HYPERLINK("#Структура!E461",Структура!E461)</f>
        <v>8</v>
      </c>
      <c r="K480" s="114">
        <f>HYPERLINK("#Структура!G461",Структура!G461)</f>
        <v>1.73E-3</v>
      </c>
      <c r="L480" s="120">
        <f>HYPERLINK("#Покупные_изделия!D547",Покупные_изделия!D547)</f>
        <v>1.0415213493975914</v>
      </c>
      <c r="M480" s="76">
        <f t="shared" si="24"/>
        <v>8.3321707951807316</v>
      </c>
      <c r="N480" s="77"/>
      <c r="O480" s="77"/>
      <c r="P480" s="76"/>
      <c r="Q480" s="76"/>
    </row>
    <row r="481" spans="4:17" hidden="1" outlineLevel="3" x14ac:dyDescent="0.25">
      <c r="E481" s="74" t="s">
        <v>19</v>
      </c>
      <c r="F481" s="74"/>
      <c r="G481" s="74"/>
      <c r="H481" s="75"/>
      <c r="I481" s="76"/>
      <c r="J481" s="78">
        <f>HYPERLINK("#Структура!E462",Структура!E462)</f>
        <v>1</v>
      </c>
      <c r="K481" s="114">
        <f>HYPERLINK("#Структура!G462",Структура!G462)</f>
        <v>0.36473</v>
      </c>
      <c r="L481" s="120">
        <f>HYPERLINK("#Покупные_изделия!D28",Покупные_изделия!D28)</f>
        <v>392.01600000000002</v>
      </c>
      <c r="M481" s="76">
        <f t="shared" si="24"/>
        <v>392.01600000000002</v>
      </c>
      <c r="N481" s="77"/>
      <c r="O481" s="77"/>
      <c r="P481" s="76"/>
      <c r="Q481" s="76"/>
    </row>
    <row r="482" spans="4:17" hidden="1" outlineLevel="3" x14ac:dyDescent="0.25">
      <c r="E482" s="74" t="s">
        <v>20</v>
      </c>
      <c r="F482" s="74"/>
      <c r="G482" s="74"/>
      <c r="H482" s="75"/>
      <c r="I482" s="76"/>
      <c r="J482" s="78">
        <f>HYPERLINK("#Структура!E463",Структура!E463)</f>
        <v>1</v>
      </c>
      <c r="K482" s="114">
        <f>HYPERLINK("#Структура!G463",Структура!G463)</f>
        <v>0.35725000000000001</v>
      </c>
      <c r="L482" s="120">
        <f>HYPERLINK("#Покупные_изделия!D29",Покупные_изделия!D29)</f>
        <v>392.01600000000002</v>
      </c>
      <c r="M482" s="76">
        <f t="shared" si="24"/>
        <v>392.01600000000002</v>
      </c>
      <c r="N482" s="77"/>
      <c r="O482" s="77"/>
      <c r="P482" s="76"/>
      <c r="Q482" s="76"/>
    </row>
    <row r="483" spans="4:17" hidden="1" outlineLevel="3" x14ac:dyDescent="0.25">
      <c r="E483" s="74" t="s">
        <v>25</v>
      </c>
      <c r="F483" s="74"/>
      <c r="G483" s="74"/>
      <c r="H483" s="75"/>
      <c r="I483" s="76"/>
      <c r="J483" s="78">
        <f>HYPERLINK("#Структура!E464",Структура!E464)</f>
        <v>1</v>
      </c>
      <c r="K483" s="114">
        <f>HYPERLINK("#Структура!G464",Структура!G464)</f>
        <v>1.20261</v>
      </c>
      <c r="L483" s="120">
        <f>HYPERLINK("#Покупные_изделия!D34",Покупные_изделия!D34)</f>
        <v>708.024</v>
      </c>
      <c r="M483" s="76">
        <f t="shared" si="24"/>
        <v>708.024</v>
      </c>
      <c r="N483" s="77"/>
      <c r="O483" s="77"/>
      <c r="P483" s="76"/>
      <c r="Q483" s="76"/>
    </row>
    <row r="484" spans="4:17" hidden="1" outlineLevel="3" x14ac:dyDescent="0.25">
      <c r="E484" s="74" t="s">
        <v>26</v>
      </c>
      <c r="F484" s="74"/>
      <c r="G484" s="74"/>
      <c r="H484" s="75"/>
      <c r="I484" s="76"/>
      <c r="J484" s="78">
        <f>HYPERLINK("#Структура!E465",Структура!E465)</f>
        <v>1</v>
      </c>
      <c r="K484" s="114">
        <f>HYPERLINK("#Структура!G465",Структура!G465)</f>
        <v>1.36381</v>
      </c>
      <c r="L484" s="120">
        <f>HYPERLINK("#Покупные_изделия!D35",Покупные_изделия!D35)</f>
        <v>810.37199999999996</v>
      </c>
      <c r="M484" s="76">
        <f t="shared" si="24"/>
        <v>810.37199999999996</v>
      </c>
      <c r="N484" s="77"/>
      <c r="O484" s="77"/>
      <c r="P484" s="76"/>
      <c r="Q484" s="76"/>
    </row>
    <row r="485" spans="4:17" hidden="1" outlineLevel="3" x14ac:dyDescent="0.25">
      <c r="E485" s="74" t="s">
        <v>35</v>
      </c>
      <c r="F485" s="74"/>
      <c r="G485" s="74"/>
      <c r="H485" s="75"/>
      <c r="I485" s="76"/>
      <c r="J485" s="78">
        <f>HYPERLINK("#Структура!E466",Структура!E466)</f>
        <v>1</v>
      </c>
      <c r="K485" s="114">
        <f>HYPERLINK("#Структура!G466",Структура!G466)</f>
        <v>0.123</v>
      </c>
      <c r="L485" s="120">
        <f>HYPERLINK("#Покупные_изделия!D46",Покупные_изделия!D46)</f>
        <v>444.74399999999997</v>
      </c>
      <c r="M485" s="76">
        <f t="shared" si="24"/>
        <v>444.74399999999997</v>
      </c>
      <c r="N485" s="77"/>
      <c r="O485" s="77"/>
      <c r="P485" s="76"/>
      <c r="Q485" s="76"/>
    </row>
    <row r="486" spans="4:17" hidden="1" outlineLevel="3" x14ac:dyDescent="0.25">
      <c r="E486" s="74" t="s">
        <v>36</v>
      </c>
      <c r="F486" s="74"/>
      <c r="G486" s="74"/>
      <c r="H486" s="75"/>
      <c r="I486" s="76"/>
      <c r="J486" s="78">
        <f>HYPERLINK("#Структура!E467",Структура!E467)</f>
        <v>1</v>
      </c>
      <c r="K486" s="114">
        <f>HYPERLINK("#Структура!G467",Структура!G467)</f>
        <v>54.619109999999999</v>
      </c>
      <c r="L486" s="120">
        <f>HYPERLINK("#Покупные_изделия!D47",Покупные_изделия!D47)</f>
        <v>87063.292799999996</v>
      </c>
      <c r="M486" s="76">
        <f t="shared" si="24"/>
        <v>87063.292799999996</v>
      </c>
      <c r="N486" s="77"/>
      <c r="O486" s="77"/>
      <c r="P486" s="76"/>
      <c r="Q486" s="76"/>
    </row>
    <row r="487" spans="4:17" hidden="1" outlineLevel="3" x14ac:dyDescent="0.25">
      <c r="E487" s="74" t="s">
        <v>43</v>
      </c>
      <c r="F487" s="74"/>
      <c r="G487" s="74"/>
      <c r="H487" s="75"/>
      <c r="I487" s="76"/>
      <c r="J487" s="78">
        <f>HYPERLINK("#Структура!E468",Структура!E468)</f>
        <v>1</v>
      </c>
      <c r="K487" s="114">
        <f>HYPERLINK("#Структура!G468",Структура!G468)</f>
        <v>19.7</v>
      </c>
      <c r="L487" s="120">
        <f>HYPERLINK("#Покупные_изделия!D62",Покупные_изделия!D62)</f>
        <v>6480</v>
      </c>
      <c r="M487" s="76">
        <f t="shared" si="24"/>
        <v>6480</v>
      </c>
      <c r="N487" s="77"/>
      <c r="O487" s="77"/>
      <c r="P487" s="76"/>
      <c r="Q487" s="76"/>
    </row>
    <row r="488" spans="4:17" hidden="1" outlineLevel="3" x14ac:dyDescent="0.25">
      <c r="E488" s="74" t="s">
        <v>17</v>
      </c>
      <c r="F488" s="74"/>
      <c r="G488" s="74"/>
      <c r="H488" s="75"/>
      <c r="I488" s="76"/>
      <c r="J488" s="78">
        <f>HYPERLINK("#Структура!E469",Структура!E469)</f>
        <v>2E-3</v>
      </c>
      <c r="K488" s="114" t="str">
        <f>HYPERLINK("#Структура!G469","")</f>
        <v/>
      </c>
      <c r="L488" s="120">
        <f>HYPERLINK("#Покупные_изделия!D25",Покупные_изделия!D25)</f>
        <v>48916.992000000006</v>
      </c>
      <c r="M488" s="76">
        <f t="shared" si="24"/>
        <v>97.833984000000015</v>
      </c>
      <c r="N488" s="77"/>
      <c r="O488" s="77"/>
      <c r="P488" s="76"/>
      <c r="Q488" s="76"/>
    </row>
    <row r="489" spans="4:17" hidden="1" outlineLevel="3" x14ac:dyDescent="0.25">
      <c r="E489" s="74" t="s">
        <v>64</v>
      </c>
      <c r="F489" s="74"/>
      <c r="G489" s="74"/>
      <c r="H489" s="75"/>
      <c r="I489" s="76"/>
      <c r="J489" s="78">
        <f>HYPERLINK("#Структура!E470",Структура!E470)</f>
        <v>0.05</v>
      </c>
      <c r="K489" s="114" t="str">
        <f>HYPERLINK("#Структура!G470","")</f>
        <v/>
      </c>
      <c r="L489" s="120">
        <f>HYPERLINK("#Покупные_изделия!D196",Покупные_изделия!D196)</f>
        <v>187.92840000000001</v>
      </c>
      <c r="M489" s="76">
        <f t="shared" si="24"/>
        <v>9.3964200000000009</v>
      </c>
      <c r="N489" s="77"/>
      <c r="O489" s="77"/>
      <c r="P489" s="76"/>
      <c r="Q489" s="76"/>
    </row>
    <row r="490" spans="4:17" hidden="1" outlineLevel="3" x14ac:dyDescent="0.25">
      <c r="E490" s="74" t="s">
        <v>133</v>
      </c>
      <c r="F490" s="74"/>
      <c r="G490" s="74"/>
      <c r="H490" s="75"/>
      <c r="I490" s="76"/>
      <c r="J490" s="78">
        <f>HYPERLINK("#Структура!E471",Структура!E471)</f>
        <v>0.1</v>
      </c>
      <c r="K490" s="114" t="str">
        <f>HYPERLINK("#Структура!G471","")</f>
        <v/>
      </c>
      <c r="L490" s="120">
        <f>HYPERLINK("#Покупные_изделия!D308",Покупные_изделия!D308)</f>
        <v>240</v>
      </c>
      <c r="M490" s="76">
        <f t="shared" si="24"/>
        <v>24</v>
      </c>
      <c r="N490" s="77"/>
      <c r="O490" s="77"/>
      <c r="P490" s="76"/>
      <c r="Q490" s="76"/>
    </row>
    <row r="491" spans="4:17" hidden="1" outlineLevel="3" x14ac:dyDescent="0.25">
      <c r="E491" s="74" t="s">
        <v>157</v>
      </c>
      <c r="F491" s="74"/>
      <c r="G491" s="74"/>
      <c r="H491" s="75"/>
      <c r="I491" s="76"/>
      <c r="J491" s="78">
        <f>HYPERLINK("#Структура!E472",Структура!E472)</f>
        <v>0.03</v>
      </c>
      <c r="K491" s="114" t="str">
        <f>HYPERLINK("#Структура!G472","")</f>
        <v/>
      </c>
      <c r="L491" s="120">
        <f>HYPERLINK("#Покупные_изделия!D428",Покупные_изделия!D428)</f>
        <v>138.756</v>
      </c>
      <c r="M491" s="76">
        <f t="shared" si="24"/>
        <v>4.1626799999999999</v>
      </c>
      <c r="N491" s="77"/>
      <c r="O491" s="77"/>
      <c r="P491" s="76"/>
      <c r="Q491" s="76"/>
    </row>
    <row r="492" spans="4:17" hidden="1" outlineLevel="3" x14ac:dyDescent="0.25">
      <c r="E492" s="74" t="s">
        <v>162</v>
      </c>
      <c r="F492" s="74"/>
      <c r="G492" s="74"/>
      <c r="H492" s="75"/>
      <c r="I492" s="76"/>
      <c r="J492" s="78">
        <f>HYPERLINK("#Структура!E473",Структура!E473)</f>
        <v>0.02</v>
      </c>
      <c r="K492" s="114" t="str">
        <f>HYPERLINK("#Структура!G473","")</f>
        <v/>
      </c>
      <c r="L492" s="120">
        <f>HYPERLINK("#Покупные_изделия!D447",Покупные_изделия!D447)</f>
        <v>165</v>
      </c>
      <c r="M492" s="76">
        <f t="shared" si="24"/>
        <v>3.3000000000000003</v>
      </c>
      <c r="N492" s="77"/>
      <c r="O492" s="77"/>
      <c r="P492" s="76"/>
      <c r="Q492" s="76"/>
    </row>
    <row r="493" spans="4:17" hidden="1" outlineLevel="2" collapsed="1" x14ac:dyDescent="0.25">
      <c r="D493" s="96" t="s">
        <v>757</v>
      </c>
      <c r="E493" s="91"/>
      <c r="F493" s="91"/>
      <c r="G493" s="91"/>
      <c r="H493" s="92"/>
      <c r="I493" s="93"/>
      <c r="J493" s="95">
        <f>HYPERLINK("#Структура!E407",Структура!E407)</f>
        <v>3</v>
      </c>
      <c r="K493" s="116">
        <f>HYPERLINK("#Структура!G407",Структура!G407)</f>
        <v>84.87585</v>
      </c>
      <c r="L493" s="93">
        <f>M493/J493</f>
        <v>16342.35189090526</v>
      </c>
      <c r="M493" s="93">
        <f>SUMIF(E494:E515,"*",M494:M515)*J493</f>
        <v>49027.055672715782</v>
      </c>
      <c r="N493" s="125">
        <f>HYPERLINK("#Трудозатраты!B100",Трудозатраты!B100+SUMIF(E494:E515,"*",O494:O515))</f>
        <v>339.8</v>
      </c>
      <c r="O493" s="94">
        <f>N493*J493</f>
        <v>1019.4000000000001</v>
      </c>
      <c r="P493" s="93">
        <f>O493/60*(1+запас_труд)*стоимость_трудочаса</f>
        <v>39926.500000000007</v>
      </c>
      <c r="Q493" s="130">
        <f>M493*(1+наценка_покупное)+P493</f>
        <v>98758.966807258941</v>
      </c>
    </row>
    <row r="494" spans="4:17" hidden="1" outlineLevel="3" collapsed="1" x14ac:dyDescent="0.25">
      <c r="E494" s="97" t="s">
        <v>661</v>
      </c>
      <c r="F494" s="98"/>
      <c r="G494" s="98"/>
      <c r="H494" s="99"/>
      <c r="I494" s="100"/>
      <c r="J494" s="102">
        <f>HYPERLINK("#Структура!E474",Структура!E474)</f>
        <v>5</v>
      </c>
      <c r="K494" s="112">
        <f>HYPERLINK("#Структура!G474",Структура!G474)</f>
        <v>0.53744000000000003</v>
      </c>
      <c r="L494" s="100">
        <f>M494/J494</f>
        <v>183.87073599999999</v>
      </c>
      <c r="M494" s="100">
        <f>SUMIF(F495:F499,"*",M495:M499)*J494</f>
        <v>919.35367999999994</v>
      </c>
      <c r="N494" s="122">
        <f>HYPERLINK("#Трудозатраты!B32",Трудозатраты!B32+SUMIF(F495:F499,"*",O495:O499))</f>
        <v>29.7</v>
      </c>
      <c r="O494" s="101">
        <f>N494*J494</f>
        <v>148.5</v>
      </c>
      <c r="P494" s="100">
        <f>O494/60*(1+запас_труд)*стоимость_трудочаса</f>
        <v>5816.25</v>
      </c>
      <c r="Q494" s="127">
        <f>M494*(1+наценка_покупное)+P494</f>
        <v>6919.474416</v>
      </c>
    </row>
    <row r="495" spans="4:17" hidden="1" outlineLevel="4" collapsed="1" x14ac:dyDescent="0.25">
      <c r="F495" s="85" t="s">
        <v>660</v>
      </c>
      <c r="G495" s="86"/>
      <c r="H495" s="87"/>
      <c r="I495" s="88"/>
      <c r="J495" s="90">
        <f>HYPERLINK("#Структура!E97",Структура!E97)</f>
        <v>1</v>
      </c>
      <c r="K495" s="113">
        <f>HYPERLINK("#Структура!G97",Структура!G97)</f>
        <v>0.34733999999999998</v>
      </c>
      <c r="L495" s="88">
        <f>M495/J495</f>
        <v>37.799999999999997</v>
      </c>
      <c r="M495" s="88">
        <f>SUMIF(G496,"*",M496)*J495</f>
        <v>37.799999999999997</v>
      </c>
      <c r="N495" s="123">
        <f>HYPERLINK("#Трудозатраты!B33",Трудозатраты!B33+SUMIF(G496,"*",O496))</f>
        <v>19.7</v>
      </c>
      <c r="O495" s="89">
        <f>N495*J495</f>
        <v>19.7</v>
      </c>
      <c r="P495" s="88">
        <f>O495/60*(1+запас_труд)*стоимость_трудочаса</f>
        <v>771.58333333333326</v>
      </c>
      <c r="Q495" s="128">
        <f>M495*(1+наценка_покупное)+P495</f>
        <v>816.94333333333327</v>
      </c>
    </row>
    <row r="496" spans="4:17" hidden="1" outlineLevel="5" x14ac:dyDescent="0.25">
      <c r="G496" s="74" t="s">
        <v>83</v>
      </c>
      <c r="H496" s="75"/>
      <c r="I496" s="76"/>
      <c r="J496" s="78">
        <f>HYPERLINK("#Структура!E101",Структура!E101)</f>
        <v>0.378</v>
      </c>
      <c r="K496" s="114" t="str">
        <f>HYPERLINK("#Структура!G101","")</f>
        <v/>
      </c>
      <c r="L496" s="120">
        <f>HYPERLINK("#Покупные_изделия!D252",Покупные_изделия!D252)</f>
        <v>100</v>
      </c>
      <c r="M496" s="76">
        <f>J496*L496</f>
        <v>37.799999999999997</v>
      </c>
      <c r="N496" s="77"/>
      <c r="O496" s="77"/>
      <c r="P496" s="76"/>
      <c r="Q496" s="76"/>
    </row>
    <row r="497" spans="5:17" hidden="1" outlineLevel="4" x14ac:dyDescent="0.25">
      <c r="F497" s="74" t="s">
        <v>662</v>
      </c>
      <c r="G497" s="74"/>
      <c r="H497" s="75"/>
      <c r="I497" s="76"/>
      <c r="J497" s="78">
        <f>HYPERLINK("#Структура!E98",Структура!E98)</f>
        <v>2</v>
      </c>
      <c r="K497" s="114">
        <f>HYPERLINK("#Структура!G98",Структура!G98)</f>
        <v>1.098E-2</v>
      </c>
      <c r="L497" s="120">
        <f>HYPERLINK("#Покупные_изделия!D541",Покупные_изделия!D541)</f>
        <v>1.713367999999998</v>
      </c>
      <c r="M497" s="76">
        <f>J497*L497</f>
        <v>3.426735999999996</v>
      </c>
      <c r="N497" s="77"/>
      <c r="O497" s="77"/>
      <c r="P497" s="76"/>
      <c r="Q497" s="76"/>
    </row>
    <row r="498" spans="5:17" hidden="1" outlineLevel="4" x14ac:dyDescent="0.25">
      <c r="F498" s="74" t="s">
        <v>214</v>
      </c>
      <c r="G498" s="74"/>
      <c r="H498" s="75"/>
      <c r="I498" s="76"/>
      <c r="J498" s="78">
        <f>HYPERLINK("#Структура!E99",Структура!E99)</f>
        <v>2</v>
      </c>
      <c r="K498" s="114">
        <f>HYPERLINK("#Структура!G99",Структура!G99)</f>
        <v>4.9300000000000004E-3</v>
      </c>
      <c r="L498" s="120">
        <f>HYPERLINK("#Покупные_изделия!D564",Покупные_изделия!D564)</f>
        <v>1.32</v>
      </c>
      <c r="M498" s="76">
        <f>J498*L498</f>
        <v>2.64</v>
      </c>
      <c r="N498" s="77"/>
      <c r="O498" s="77"/>
      <c r="P498" s="76"/>
      <c r="Q498" s="76"/>
    </row>
    <row r="499" spans="5:17" hidden="1" outlineLevel="4" x14ac:dyDescent="0.25">
      <c r="F499" s="74" t="s">
        <v>160</v>
      </c>
      <c r="G499" s="74"/>
      <c r="H499" s="75"/>
      <c r="I499" s="76"/>
      <c r="J499" s="78">
        <f>HYPERLINK("#Структура!E100",Структура!E100)</f>
        <v>1</v>
      </c>
      <c r="K499" s="114">
        <f>HYPERLINK("#Структура!G100",Структура!G100)</f>
        <v>0.15828999999999999</v>
      </c>
      <c r="L499" s="120">
        <f>HYPERLINK("#Покупные_изделия!D433",Покупные_изделия!D433)</f>
        <v>140.00399999999999</v>
      </c>
      <c r="M499" s="76">
        <f>J499*L499</f>
        <v>140.00399999999999</v>
      </c>
      <c r="N499" s="77"/>
      <c r="O499" s="77"/>
      <c r="P499" s="76"/>
      <c r="Q499" s="76"/>
    </row>
    <row r="500" spans="5:17" hidden="1" outlineLevel="3" collapsed="1" x14ac:dyDescent="0.25">
      <c r="E500" s="84" t="s">
        <v>659</v>
      </c>
      <c r="F500" s="79"/>
      <c r="G500" s="79"/>
      <c r="H500" s="80"/>
      <c r="I500" s="81"/>
      <c r="J500" s="83">
        <f>HYPERLINK("#Структура!E475",Структура!E475)</f>
        <v>1</v>
      </c>
      <c r="K500" s="115">
        <f>HYPERLINK("#Структура!G475",Структура!G475)</f>
        <v>1.0603899999999999</v>
      </c>
      <c r="L500" s="81">
        <f>M500/J500</f>
        <v>317.92500000000001</v>
      </c>
      <c r="M500" s="81">
        <f>SUMIF(F501,"*",M501)*J500</f>
        <v>317.92500000000001</v>
      </c>
      <c r="N500" s="124">
        <f>HYPERLINK("#Трудозатраты!B31",Трудозатраты!B31+SUMIF(F501,"*",O501))</f>
        <v>3.1</v>
      </c>
      <c r="O500" s="82">
        <f>N500*J500</f>
        <v>3.1</v>
      </c>
      <c r="P500" s="81">
        <f>O500/60*(1+запас_труд)*стоимость_трудочаса</f>
        <v>121.41666666666667</v>
      </c>
      <c r="Q500" s="129">
        <f>M500*(1+наценка_покупное)+P500</f>
        <v>502.92666666666668</v>
      </c>
    </row>
    <row r="501" spans="5:17" hidden="1" outlineLevel="4" x14ac:dyDescent="0.25">
      <c r="F501" s="74" t="s">
        <v>132</v>
      </c>
      <c r="G501" s="74"/>
      <c r="H501" s="75"/>
      <c r="I501" s="76"/>
      <c r="J501" s="78">
        <f>HYPERLINK("#Структура!E96",Структура!E96)</f>
        <v>1.2717000000000001</v>
      </c>
      <c r="K501" s="114" t="str">
        <f>HYPERLINK("#Структура!G96","")</f>
        <v/>
      </c>
      <c r="L501" s="120">
        <f>HYPERLINK("#Покупные_изделия!D307",Покупные_изделия!D307)</f>
        <v>250</v>
      </c>
      <c r="M501" s="76">
        <f>J501*L501</f>
        <v>317.92500000000001</v>
      </c>
      <c r="N501" s="77"/>
      <c r="O501" s="77"/>
      <c r="P501" s="76"/>
      <c r="Q501" s="76"/>
    </row>
    <row r="502" spans="5:17" hidden="1" outlineLevel="3" collapsed="1" x14ac:dyDescent="0.25">
      <c r="E502" s="84" t="s">
        <v>713</v>
      </c>
      <c r="F502" s="79"/>
      <c r="G502" s="79"/>
      <c r="H502" s="80"/>
      <c r="I502" s="81"/>
      <c r="J502" s="83">
        <f>HYPERLINK("#Структура!E476",Структура!E476)</f>
        <v>2</v>
      </c>
      <c r="K502" s="115">
        <f>HYPERLINK("#Структура!G476",Структура!G476)</f>
        <v>1.27</v>
      </c>
      <c r="L502" s="81">
        <f>M502/J502</f>
        <v>409.495</v>
      </c>
      <c r="M502" s="81">
        <f>SUMIF(F503,"*",M503)*J502</f>
        <v>818.99</v>
      </c>
      <c r="N502" s="124">
        <f>HYPERLINK("#Трудозатраты!B70",Трудозатраты!B70+SUMIF(F503,"*",O503))</f>
        <v>5.2</v>
      </c>
      <c r="O502" s="82">
        <f>N502*J502</f>
        <v>10.4</v>
      </c>
      <c r="P502" s="81">
        <f>O502/60*(1+запас_труд)*стоимость_трудочаса</f>
        <v>407.33333333333337</v>
      </c>
      <c r="Q502" s="129">
        <f>M502*(1+наценка_покупное)+P502</f>
        <v>1390.1213333333335</v>
      </c>
    </row>
    <row r="503" spans="5:17" hidden="1" outlineLevel="4" x14ac:dyDescent="0.25">
      <c r="F503" s="74" t="s">
        <v>132</v>
      </c>
      <c r="G503" s="74"/>
      <c r="H503" s="75"/>
      <c r="I503" s="76"/>
      <c r="J503" s="78">
        <f>HYPERLINK("#Структура!E262",Структура!E262)</f>
        <v>1.63798</v>
      </c>
      <c r="K503" s="114" t="str">
        <f>HYPERLINK("#Структура!G262","")</f>
        <v/>
      </c>
      <c r="L503" s="120">
        <f>HYPERLINK("#Покупные_изделия!D307",Покупные_изделия!D307)</f>
        <v>250</v>
      </c>
      <c r="M503" s="76">
        <f>J503*L503</f>
        <v>409.495</v>
      </c>
      <c r="N503" s="77"/>
      <c r="O503" s="77"/>
      <c r="P503" s="76"/>
      <c r="Q503" s="76"/>
    </row>
    <row r="504" spans="5:17" hidden="1" outlineLevel="3" collapsed="1" x14ac:dyDescent="0.25">
      <c r="E504" s="84" t="s">
        <v>769</v>
      </c>
      <c r="F504" s="79"/>
      <c r="G504" s="79"/>
      <c r="H504" s="80"/>
      <c r="I504" s="81"/>
      <c r="J504" s="83">
        <f>HYPERLINK("#Структура!E477",Структура!E477)</f>
        <v>2</v>
      </c>
      <c r="K504" s="115">
        <f>HYPERLINK("#Структура!G477",Структура!G477)</f>
        <v>23.25544</v>
      </c>
      <c r="L504" s="81">
        <f>M504/J504</f>
        <v>4464.5824000000002</v>
      </c>
      <c r="M504" s="81">
        <f>SUMIF(F505,"*",M505)*J504</f>
        <v>8929.1648000000005</v>
      </c>
      <c r="N504" s="124">
        <f>HYPERLINK("#Трудозатраты!B101",Трудозатраты!B101+SUMIF(F505,"*",O505))</f>
        <v>33</v>
      </c>
      <c r="O504" s="82">
        <f>N504*J504</f>
        <v>66</v>
      </c>
      <c r="P504" s="81">
        <f>O504/60*(1+запас_труд)*стоимость_трудочаса</f>
        <v>2585</v>
      </c>
      <c r="Q504" s="129">
        <f>M504*(1+наценка_покупное)+P504</f>
        <v>13299.99776</v>
      </c>
    </row>
    <row r="505" spans="5:17" hidden="1" outlineLevel="4" x14ac:dyDescent="0.25">
      <c r="F505" s="74" t="s">
        <v>131</v>
      </c>
      <c r="G505" s="74"/>
      <c r="H505" s="75"/>
      <c r="I505" s="76"/>
      <c r="J505" s="78">
        <f>HYPERLINK("#Структура!E484",Структура!E484)</f>
        <v>27.903639999999999</v>
      </c>
      <c r="K505" s="114" t="str">
        <f>HYPERLINK("#Структура!G484","")</f>
        <v/>
      </c>
      <c r="L505" s="120">
        <f>HYPERLINK("#Покупные_изделия!D306",Покупные_изделия!D306)</f>
        <v>160</v>
      </c>
      <c r="M505" s="76">
        <f>J505*L505</f>
        <v>4464.5824000000002</v>
      </c>
      <c r="N505" s="77"/>
      <c r="O505" s="77"/>
      <c r="P505" s="76"/>
      <c r="Q505" s="76"/>
    </row>
    <row r="506" spans="5:17" hidden="1" outlineLevel="3" collapsed="1" x14ac:dyDescent="0.25">
      <c r="E506" s="84" t="s">
        <v>770</v>
      </c>
      <c r="F506" s="79"/>
      <c r="G506" s="79"/>
      <c r="H506" s="80"/>
      <c r="I506" s="81"/>
      <c r="J506" s="83">
        <f>HYPERLINK("#Структура!E478",Структура!E478)</f>
        <v>1</v>
      </c>
      <c r="K506" s="115">
        <f>HYPERLINK("#Структура!G478",Структура!G478)</f>
        <v>22.906330000000001</v>
      </c>
      <c r="L506" s="81">
        <f>M506/J506</f>
        <v>3383.6934888000001</v>
      </c>
      <c r="M506" s="81">
        <f>SUMIF(F507:F509,"*",M507:M509)*J506</f>
        <v>3383.6934888000001</v>
      </c>
      <c r="N506" s="124">
        <f>HYPERLINK("#Трудозатраты!B102",Трудозатраты!B102+SUMIF(F507:F509,"*",O507:O509))</f>
        <v>13.3</v>
      </c>
      <c r="O506" s="82">
        <f>N506*J506</f>
        <v>13.3</v>
      </c>
      <c r="P506" s="81">
        <f>O506/60*(1+запас_труд)*стоимость_трудочаса</f>
        <v>520.91666666666674</v>
      </c>
      <c r="Q506" s="129">
        <f>M506*(1+наценка_покупное)+P506</f>
        <v>4581.3488532266665</v>
      </c>
    </row>
    <row r="507" spans="5:17" hidden="1" outlineLevel="4" x14ac:dyDescent="0.25">
      <c r="F507" s="74" t="s">
        <v>66</v>
      </c>
      <c r="G507" s="74"/>
      <c r="H507" s="75"/>
      <c r="I507" s="76"/>
      <c r="J507" s="78">
        <f>HYPERLINK("#Структура!E485",Структура!E485)</f>
        <v>0.19600000000000001</v>
      </c>
      <c r="K507" s="114" t="str">
        <f>HYPERLINK("#Структура!G485","")</f>
        <v/>
      </c>
      <c r="L507" s="120">
        <f>HYPERLINK("#Покупные_изделия!D198",Покупные_изделия!D198)</f>
        <v>268.47480000000002</v>
      </c>
      <c r="M507" s="76">
        <f>J507*L507</f>
        <v>52.621060800000002</v>
      </c>
      <c r="N507" s="77"/>
      <c r="O507" s="77"/>
      <c r="P507" s="76"/>
      <c r="Q507" s="76"/>
    </row>
    <row r="508" spans="5:17" hidden="1" outlineLevel="4" x14ac:dyDescent="0.25">
      <c r="F508" s="74" t="s">
        <v>116</v>
      </c>
      <c r="G508" s="74"/>
      <c r="H508" s="75"/>
      <c r="I508" s="76"/>
      <c r="J508" s="78">
        <f>HYPERLINK("#Структура!E486",Структура!E486)</f>
        <v>27.570460000000001</v>
      </c>
      <c r="K508" s="114" t="str">
        <f>HYPERLINK("#Структура!G486","")</f>
        <v/>
      </c>
      <c r="L508" s="120">
        <f>HYPERLINK("#Покупные_изделия!D291",Покупные_изделия!D291)</f>
        <v>120</v>
      </c>
      <c r="M508" s="76">
        <f>J508*L508</f>
        <v>3308.4551999999999</v>
      </c>
      <c r="N508" s="77"/>
      <c r="O508" s="77"/>
      <c r="P508" s="76"/>
      <c r="Q508" s="76"/>
    </row>
    <row r="509" spans="5:17" hidden="1" outlineLevel="4" x14ac:dyDescent="0.25">
      <c r="F509" s="74" t="s">
        <v>157</v>
      </c>
      <c r="G509" s="74"/>
      <c r="H509" s="75"/>
      <c r="I509" s="76"/>
      <c r="J509" s="78">
        <f>HYPERLINK("#Структура!E487",Структура!E487)</f>
        <v>0.16300000000000001</v>
      </c>
      <c r="K509" s="114" t="str">
        <f>HYPERLINK("#Структура!G487","")</f>
        <v/>
      </c>
      <c r="L509" s="120">
        <f>HYPERLINK("#Покупные_изделия!D428",Покупные_изделия!D428)</f>
        <v>138.756</v>
      </c>
      <c r="M509" s="76">
        <f>J509*L509</f>
        <v>22.617228000000001</v>
      </c>
      <c r="N509" s="77"/>
      <c r="O509" s="77"/>
      <c r="P509" s="76"/>
      <c r="Q509" s="76"/>
    </row>
    <row r="510" spans="5:17" hidden="1" outlineLevel="3" collapsed="1" x14ac:dyDescent="0.25">
      <c r="E510" s="84" t="s">
        <v>771</v>
      </c>
      <c r="F510" s="79"/>
      <c r="G510" s="79"/>
      <c r="H510" s="80"/>
      <c r="I510" s="81"/>
      <c r="J510" s="83">
        <f>HYPERLINK("#Структура!E479",Структура!E479)</f>
        <v>1</v>
      </c>
      <c r="K510" s="115">
        <f>HYPERLINK("#Структура!G479",Структура!G479)</f>
        <v>8.5863399999999999</v>
      </c>
      <c r="L510" s="81">
        <f>M510/J510</f>
        <v>1653.5488</v>
      </c>
      <c r="M510" s="81">
        <f>SUMIF(F511,"*",M511)*J510</f>
        <v>1653.5488</v>
      </c>
      <c r="N510" s="124">
        <f>HYPERLINK("#Трудозатраты!B103",Трудозатраты!B103+SUMIF(F511,"*",O511))</f>
        <v>38.5</v>
      </c>
      <c r="O510" s="82">
        <f>N510*J510</f>
        <v>38.5</v>
      </c>
      <c r="P510" s="81">
        <f>O510/60*(1+запас_труд)*стоимость_трудочаса</f>
        <v>1507.9166666666667</v>
      </c>
      <c r="Q510" s="129">
        <f>M510*(1+наценка_покупное)+P510</f>
        <v>3492.1752266666667</v>
      </c>
    </row>
    <row r="511" spans="5:17" hidden="1" outlineLevel="4" x14ac:dyDescent="0.25">
      <c r="F511" s="74" t="s">
        <v>128</v>
      </c>
      <c r="G511" s="74"/>
      <c r="H511" s="75"/>
      <c r="I511" s="76"/>
      <c r="J511" s="78">
        <f>HYPERLINK("#Структура!E488",Структура!E488)</f>
        <v>10.334680000000001</v>
      </c>
      <c r="K511" s="114" t="str">
        <f>HYPERLINK("#Структура!G488","")</f>
        <v/>
      </c>
      <c r="L511" s="120">
        <f>HYPERLINK("#Покупные_изделия!D303",Покупные_изделия!D303)</f>
        <v>160</v>
      </c>
      <c r="M511" s="76">
        <f t="shared" ref="M511:M523" si="25">J511*L511</f>
        <v>1653.5488</v>
      </c>
      <c r="N511" s="77"/>
      <c r="O511" s="77"/>
      <c r="P511" s="76"/>
      <c r="Q511" s="76"/>
    </row>
    <row r="512" spans="5:17" hidden="1" outlineLevel="3" x14ac:dyDescent="0.25">
      <c r="E512" s="74" t="s">
        <v>671</v>
      </c>
      <c r="F512" s="74"/>
      <c r="G512" s="74"/>
      <c r="H512" s="75"/>
      <c r="I512" s="76"/>
      <c r="J512" s="78">
        <f>HYPERLINK("#Структура!E480",Структура!E480)</f>
        <v>36</v>
      </c>
      <c r="K512" s="114">
        <f>HYPERLINK("#Структура!G480",Структура!G480)</f>
        <v>1.5699999999999999E-2</v>
      </c>
      <c r="L512" s="120">
        <f>HYPERLINK("#Покупные_изделия!D105",Покупные_изделия!D105)</f>
        <v>5.0999999999999996</v>
      </c>
      <c r="M512" s="76">
        <f t="shared" si="25"/>
        <v>183.6</v>
      </c>
      <c r="N512" s="77"/>
      <c r="O512" s="77"/>
      <c r="P512" s="76"/>
      <c r="Q512" s="76"/>
    </row>
    <row r="513" spans="3:17" hidden="1" outlineLevel="3" x14ac:dyDescent="0.25">
      <c r="E513" s="74" t="s">
        <v>56</v>
      </c>
      <c r="F513" s="74"/>
      <c r="G513" s="74"/>
      <c r="H513" s="75"/>
      <c r="I513" s="76"/>
      <c r="J513" s="78">
        <f>HYPERLINK("#Структура!E481",Структура!E481)</f>
        <v>6</v>
      </c>
      <c r="K513" s="114">
        <f>HYPERLINK("#Структура!G481",Структура!G481)</f>
        <v>9.6200000000000001E-3</v>
      </c>
      <c r="L513" s="120">
        <f>HYPERLINK("#Покупные_изделия!D145",Покупные_изделия!D145)</f>
        <v>9.4919999999999991</v>
      </c>
      <c r="M513" s="76">
        <f t="shared" si="25"/>
        <v>56.951999999999998</v>
      </c>
      <c r="N513" s="77"/>
      <c r="O513" s="77"/>
      <c r="P513" s="76"/>
      <c r="Q513" s="76"/>
    </row>
    <row r="514" spans="3:17" hidden="1" outlineLevel="3" x14ac:dyDescent="0.25">
      <c r="E514" s="74" t="s">
        <v>625</v>
      </c>
      <c r="F514" s="74"/>
      <c r="G514" s="74"/>
      <c r="H514" s="75"/>
      <c r="I514" s="76"/>
      <c r="J514" s="78">
        <f>HYPERLINK("#Структура!E482",Структура!E482)</f>
        <v>32</v>
      </c>
      <c r="K514" s="114">
        <f>HYPERLINK("#Структура!G482",Структура!G482)</f>
        <v>7.1399999999999996E-3</v>
      </c>
      <c r="L514" s="120">
        <f>HYPERLINK("#Покупные_изделия!D168",Покупные_изделия!D168)</f>
        <v>1.9715672368421051</v>
      </c>
      <c r="M514" s="76">
        <f t="shared" si="25"/>
        <v>63.090151578947363</v>
      </c>
      <c r="N514" s="77"/>
      <c r="O514" s="77"/>
      <c r="P514" s="76"/>
      <c r="Q514" s="76"/>
    </row>
    <row r="515" spans="3:17" hidden="1" outlineLevel="3" x14ac:dyDescent="0.25">
      <c r="E515" s="74" t="s">
        <v>710</v>
      </c>
      <c r="F515" s="74"/>
      <c r="G515" s="74"/>
      <c r="H515" s="75"/>
      <c r="I515" s="76"/>
      <c r="J515" s="78">
        <f>HYPERLINK("#Структура!E483",Структура!E483)</f>
        <v>10</v>
      </c>
      <c r="K515" s="114">
        <f>HYPERLINK("#Структура!G483",Структура!G483)</f>
        <v>1.0300000000000001E-3</v>
      </c>
      <c r="L515" s="120">
        <f>HYPERLINK("#Покупные_изделия!D530",Покупные_изделия!D530)</f>
        <v>1.6033970526315791</v>
      </c>
      <c r="M515" s="76">
        <f t="shared" si="25"/>
        <v>16.033970526315791</v>
      </c>
      <c r="N515" s="77"/>
      <c r="O515" s="77"/>
      <c r="P515" s="76"/>
      <c r="Q515" s="76"/>
    </row>
    <row r="516" spans="3:17" hidden="1" outlineLevel="2" x14ac:dyDescent="0.25">
      <c r="D516" s="74" t="s">
        <v>671</v>
      </c>
      <c r="E516" s="74"/>
      <c r="F516" s="74"/>
      <c r="G516" s="74"/>
      <c r="H516" s="75"/>
      <c r="I516" s="76"/>
      <c r="J516" s="78">
        <f>HYPERLINK("#Структура!E408",Структура!E408)</f>
        <v>56</v>
      </c>
      <c r="K516" s="114">
        <f>HYPERLINK("#Структура!G408",Структура!G408)</f>
        <v>1.5699999999999999E-2</v>
      </c>
      <c r="L516" s="120">
        <f>HYPERLINK("#Покупные_изделия!D105",Покупные_изделия!D105)</f>
        <v>5.0999999999999996</v>
      </c>
      <c r="M516" s="76">
        <f t="shared" si="25"/>
        <v>285.59999999999997</v>
      </c>
      <c r="N516" s="77"/>
      <c r="O516" s="77"/>
      <c r="P516" s="76"/>
      <c r="Q516" s="76"/>
    </row>
    <row r="517" spans="3:17" hidden="1" outlineLevel="2" x14ac:dyDescent="0.25">
      <c r="D517" s="74" t="s">
        <v>732</v>
      </c>
      <c r="E517" s="74"/>
      <c r="F517" s="74"/>
      <c r="G517" s="74"/>
      <c r="H517" s="75"/>
      <c r="I517" s="76"/>
      <c r="J517" s="78">
        <f>HYPERLINK("#Структура!E409",Структура!E409)</f>
        <v>20</v>
      </c>
      <c r="K517" s="114">
        <f>HYPERLINK("#Структура!G409",Структура!G409)</f>
        <v>1.7350000000000001E-2</v>
      </c>
      <c r="L517" s="120">
        <f>HYPERLINK("#Покупные_изделия!D106",Покупные_изделия!D106)</f>
        <v>5.4119999999999999</v>
      </c>
      <c r="M517" s="76">
        <f t="shared" si="25"/>
        <v>108.24</v>
      </c>
      <c r="N517" s="77"/>
      <c r="O517" s="77"/>
      <c r="P517" s="76"/>
      <c r="Q517" s="76"/>
    </row>
    <row r="518" spans="3:17" hidden="1" outlineLevel="2" x14ac:dyDescent="0.25">
      <c r="D518" s="74" t="s">
        <v>56</v>
      </c>
      <c r="E518" s="74"/>
      <c r="F518" s="74"/>
      <c r="G518" s="74"/>
      <c r="H518" s="75"/>
      <c r="I518" s="76"/>
      <c r="J518" s="78">
        <f>HYPERLINK("#Структура!E410",Структура!E410)</f>
        <v>24</v>
      </c>
      <c r="K518" s="114">
        <f>HYPERLINK("#Структура!G410",Структура!G410)</f>
        <v>9.6200000000000001E-3</v>
      </c>
      <c r="L518" s="120">
        <f>HYPERLINK("#Покупные_изделия!D145",Покупные_изделия!D145)</f>
        <v>9.4919999999999991</v>
      </c>
      <c r="M518" s="76">
        <f t="shared" si="25"/>
        <v>227.80799999999999</v>
      </c>
      <c r="N518" s="77"/>
      <c r="O518" s="77"/>
      <c r="P518" s="76"/>
      <c r="Q518" s="76"/>
    </row>
    <row r="519" spans="3:17" hidden="1" outlineLevel="2" x14ac:dyDescent="0.25">
      <c r="D519" s="74" t="s">
        <v>625</v>
      </c>
      <c r="E519" s="74"/>
      <c r="F519" s="74"/>
      <c r="G519" s="74"/>
      <c r="H519" s="75"/>
      <c r="I519" s="76"/>
      <c r="J519" s="78">
        <f>HYPERLINK("#Структура!E411",Структура!E411)</f>
        <v>100</v>
      </c>
      <c r="K519" s="114">
        <f>HYPERLINK("#Структура!G411",Структура!G411)</f>
        <v>7.1399999999999996E-3</v>
      </c>
      <c r="L519" s="120">
        <f>HYPERLINK("#Покупные_изделия!D168",Покупные_изделия!D168)</f>
        <v>1.9715672368421051</v>
      </c>
      <c r="M519" s="76">
        <f t="shared" si="25"/>
        <v>197.1567236842105</v>
      </c>
      <c r="N519" s="77"/>
      <c r="O519" s="77"/>
      <c r="P519" s="76"/>
      <c r="Q519" s="76"/>
    </row>
    <row r="520" spans="3:17" hidden="1" outlineLevel="2" x14ac:dyDescent="0.25">
      <c r="D520" s="74" t="s">
        <v>747</v>
      </c>
      <c r="E520" s="74"/>
      <c r="F520" s="74"/>
      <c r="G520" s="74"/>
      <c r="H520" s="75"/>
      <c r="I520" s="76"/>
      <c r="J520" s="78">
        <f>HYPERLINK("#Структура!E412",Структура!E412)</f>
        <v>54</v>
      </c>
      <c r="K520" s="114">
        <f>HYPERLINK("#Структура!G412",Структура!G412)</f>
        <v>6.13E-3</v>
      </c>
      <c r="L520" s="120">
        <f>HYPERLINK("#Покупные_изделия!D537",Покупные_изделия!D537)</f>
        <v>2.8559999999999999</v>
      </c>
      <c r="M520" s="76">
        <f t="shared" si="25"/>
        <v>154.22399999999999</v>
      </c>
      <c r="N520" s="77"/>
      <c r="O520" s="77"/>
      <c r="P520" s="76"/>
      <c r="Q520" s="76"/>
    </row>
    <row r="521" spans="3:17" hidden="1" outlineLevel="2" x14ac:dyDescent="0.25">
      <c r="D521" s="74" t="s">
        <v>37</v>
      </c>
      <c r="E521" s="74"/>
      <c r="F521" s="74"/>
      <c r="G521" s="74"/>
      <c r="H521" s="75"/>
      <c r="I521" s="76"/>
      <c r="J521" s="78">
        <f>HYPERLINK("#Структура!E413",Структура!E413)</f>
        <v>1</v>
      </c>
      <c r="K521" s="114">
        <f>HYPERLINK("#Структура!G413",Структура!G413)</f>
        <v>0.67084999999999995</v>
      </c>
      <c r="L521" s="120">
        <f>HYPERLINK("#Покупные_изделия!D48",Покупные_изделия!D48)</f>
        <v>3088.8</v>
      </c>
      <c r="M521" s="76">
        <f t="shared" si="25"/>
        <v>3088.8</v>
      </c>
      <c r="N521" s="77"/>
      <c r="O521" s="77"/>
      <c r="P521" s="76"/>
      <c r="Q521" s="76"/>
    </row>
    <row r="522" spans="3:17" hidden="1" outlineLevel="2" x14ac:dyDescent="0.25">
      <c r="D522" s="74" t="s">
        <v>106</v>
      </c>
      <c r="E522" s="74"/>
      <c r="F522" s="74"/>
      <c r="G522" s="74"/>
      <c r="H522" s="75"/>
      <c r="I522" s="76"/>
      <c r="J522" s="78">
        <f>HYPERLINK("#Структура!E414",Структура!E414)</f>
        <v>10</v>
      </c>
      <c r="K522" s="114" t="str">
        <f>HYPERLINK("#Структура!G414","")</f>
        <v/>
      </c>
      <c r="L522" s="120">
        <f>HYPERLINK("#Покупные_изделия!D278",Покупные_изделия!D278)</f>
        <v>6.1644000000000005</v>
      </c>
      <c r="M522" s="76">
        <f t="shared" si="25"/>
        <v>61.644000000000005</v>
      </c>
      <c r="N522" s="77"/>
      <c r="O522" s="77"/>
      <c r="P522" s="76"/>
      <c r="Q522" s="76"/>
    </row>
    <row r="523" spans="3:17" hidden="1" outlineLevel="2" x14ac:dyDescent="0.25">
      <c r="D523" s="74" t="s">
        <v>158</v>
      </c>
      <c r="E523" s="74"/>
      <c r="F523" s="74"/>
      <c r="G523" s="74"/>
      <c r="H523" s="75"/>
      <c r="I523" s="76"/>
      <c r="J523" s="78">
        <f>HYPERLINK("#Структура!E415",Структура!E415)</f>
        <v>1</v>
      </c>
      <c r="K523" s="114">
        <f>HYPERLINK("#Структура!G415",Структура!G415)</f>
        <v>0.4</v>
      </c>
      <c r="L523" s="120">
        <f>HYPERLINK("#Покупные_изделия!D429",Покупные_изделия!D429)</f>
        <v>4224</v>
      </c>
      <c r="M523" s="76">
        <f t="shared" si="25"/>
        <v>4224</v>
      </c>
      <c r="N523" s="77"/>
      <c r="O523" s="77"/>
      <c r="P523" s="76"/>
      <c r="Q523" s="76"/>
    </row>
    <row r="524" spans="3:17" hidden="1" outlineLevel="1" collapsed="1" x14ac:dyDescent="0.25">
      <c r="C524" s="96" t="s">
        <v>815</v>
      </c>
      <c r="D524" s="91"/>
      <c r="E524" s="91"/>
      <c r="F524" s="91"/>
      <c r="G524" s="91"/>
      <c r="H524" s="92"/>
      <c r="I524" s="93"/>
      <c r="J524" s="95">
        <f>HYPERLINK("#Структура!E3242",Структура!E3242)</f>
        <v>9</v>
      </c>
      <c r="K524" s="116">
        <f>HYPERLINK("#Структура!G3242",Структура!G3242)</f>
        <v>119.38369</v>
      </c>
      <c r="L524" s="93">
        <f>M524/J524</f>
        <v>16901.115033313436</v>
      </c>
      <c r="M524" s="93">
        <f>SUMIF(D525:D551,"*",M525:M551)*J524</f>
        <v>152110.03529982091</v>
      </c>
      <c r="N524" s="125">
        <f>HYPERLINK("#Трудозатраты!B153",Трудозатраты!B153+SUMIF(D525:D551,"*",O525:O551))</f>
        <v>186.4</v>
      </c>
      <c r="O524" s="94">
        <f>N524*J524</f>
        <v>1677.6000000000001</v>
      </c>
      <c r="P524" s="93">
        <f>O524/60*(1+запас_труд)*стоимость_трудочаса</f>
        <v>65706</v>
      </c>
      <c r="Q524" s="130">
        <f>M524*(1+наценка_покупное)+P524</f>
        <v>248238.04235978509</v>
      </c>
    </row>
    <row r="525" spans="3:17" hidden="1" outlineLevel="2" collapsed="1" x14ac:dyDescent="0.25">
      <c r="D525" s="97" t="s">
        <v>814</v>
      </c>
      <c r="E525" s="98"/>
      <c r="F525" s="98"/>
      <c r="G525" s="98"/>
      <c r="H525" s="99"/>
      <c r="I525" s="100"/>
      <c r="J525" s="102">
        <f>HYPERLINK("#Структура!E712",Структура!E712)</f>
        <v>2</v>
      </c>
      <c r="K525" s="112">
        <f>HYPERLINK("#Структура!G712",Структура!G712)</f>
        <v>51.305900000000001</v>
      </c>
      <c r="L525" s="100">
        <f>M525/J525</f>
        <v>7142.4083040000005</v>
      </c>
      <c r="M525" s="100">
        <f>SUMIF(E526:E542,"*",M526:M542)*J525</f>
        <v>14284.816608000001</v>
      </c>
      <c r="N525" s="122">
        <f>HYPERLINK("#Трудозатраты!B155",Трудозатраты!B155+SUMIF(E526:E542,"*",O526:O542))</f>
        <v>76.3</v>
      </c>
      <c r="O525" s="101">
        <f>N525*J525</f>
        <v>152.6</v>
      </c>
      <c r="P525" s="100">
        <f>O525/60*(1+запас_труд)*стоимость_трудочаса</f>
        <v>5976.8333333333339</v>
      </c>
      <c r="Q525" s="127">
        <f>M525*(1+наценка_покупное)+P525</f>
        <v>23118.613262933337</v>
      </c>
    </row>
    <row r="526" spans="3:17" hidden="1" outlineLevel="3" collapsed="1" x14ac:dyDescent="0.25">
      <c r="E526" s="85" t="s">
        <v>820</v>
      </c>
      <c r="F526" s="86"/>
      <c r="G526" s="86"/>
      <c r="H526" s="87"/>
      <c r="I526" s="88"/>
      <c r="J526" s="90">
        <f>HYPERLINK("#Структура!E722",Структура!E722)</f>
        <v>1</v>
      </c>
      <c r="K526" s="113">
        <f>HYPERLINK("#Структура!G722",Структура!G722)</f>
        <v>18.908940000000001</v>
      </c>
      <c r="L526" s="88">
        <f>M526/J526</f>
        <v>2706</v>
      </c>
      <c r="M526" s="88">
        <f>SUMIF(F527,"*",M527)*J526</f>
        <v>2706</v>
      </c>
      <c r="N526" s="123">
        <f>HYPERLINK("#Трудозатраты!B156",Трудозатраты!B156+SUMIF(F527,"*",O527))</f>
        <v>11.3</v>
      </c>
      <c r="O526" s="89">
        <f>N526*J526</f>
        <v>11.3</v>
      </c>
      <c r="P526" s="88">
        <f>O526/60*(1+запас_труд)*стоимость_трудочаса</f>
        <v>442.58333333333337</v>
      </c>
      <c r="Q526" s="128">
        <f>M526*(1+наценка_покупное)+P526</f>
        <v>3689.7833333333333</v>
      </c>
    </row>
    <row r="527" spans="3:17" hidden="1" outlineLevel="4" x14ac:dyDescent="0.25">
      <c r="F527" s="74" t="s">
        <v>114</v>
      </c>
      <c r="G527" s="74"/>
      <c r="H527" s="75"/>
      <c r="I527" s="76"/>
      <c r="J527" s="78">
        <f>HYPERLINK("#Структура!E734",Структура!E734)</f>
        <v>22.55</v>
      </c>
      <c r="K527" s="114" t="str">
        <f>HYPERLINK("#Структура!G734","")</f>
        <v/>
      </c>
      <c r="L527" s="120">
        <f>HYPERLINK("#Покупные_изделия!D287",Покупные_изделия!D287)</f>
        <v>120</v>
      </c>
      <c r="M527" s="76">
        <f>J527*L527</f>
        <v>2706</v>
      </c>
      <c r="N527" s="77"/>
      <c r="O527" s="77"/>
      <c r="P527" s="76"/>
      <c r="Q527" s="76"/>
    </row>
    <row r="528" spans="3:17" hidden="1" outlineLevel="3" collapsed="1" x14ac:dyDescent="0.25">
      <c r="E528" s="84" t="s">
        <v>821</v>
      </c>
      <c r="F528" s="79"/>
      <c r="G528" s="79"/>
      <c r="H528" s="80"/>
      <c r="I528" s="81"/>
      <c r="J528" s="83">
        <f>HYPERLINK("#Структура!E723",Структура!E723)</f>
        <v>1</v>
      </c>
      <c r="K528" s="115">
        <f>HYPERLINK("#Структура!G723",Структура!G723)</f>
        <v>26.141629999999999</v>
      </c>
      <c r="L528" s="81">
        <f>M528/J528</f>
        <v>3156</v>
      </c>
      <c r="M528" s="81">
        <f>SUMIF(F529,"*",M529)*J528</f>
        <v>3156</v>
      </c>
      <c r="N528" s="124">
        <f>HYPERLINK("#Трудозатраты!B157",Трудозатраты!B157+SUMIF(F529,"*",O529))</f>
        <v>10</v>
      </c>
      <c r="O528" s="82">
        <f>N528*J528</f>
        <v>10</v>
      </c>
      <c r="P528" s="81">
        <f>O528/60*(1+запас_труд)*стоимость_трудочаса</f>
        <v>391.66666666666663</v>
      </c>
      <c r="Q528" s="129">
        <f>M528*(1+наценка_покупное)+P528</f>
        <v>4178.8666666666668</v>
      </c>
    </row>
    <row r="529" spans="4:17" hidden="1" outlineLevel="4" x14ac:dyDescent="0.25">
      <c r="F529" s="74" t="s">
        <v>173</v>
      </c>
      <c r="G529" s="74"/>
      <c r="H529" s="75"/>
      <c r="I529" s="76"/>
      <c r="J529" s="78">
        <f>HYPERLINK("#Структура!E735",Структура!E735)</f>
        <v>26.3</v>
      </c>
      <c r="K529" s="114" t="str">
        <f>HYPERLINK("#Структура!G735","")</f>
        <v/>
      </c>
      <c r="L529" s="120">
        <f>HYPERLINK("#Покупные_изделия!D484",Покупные_изделия!D484)</f>
        <v>120</v>
      </c>
      <c r="M529" s="76">
        <f>J529*L529</f>
        <v>3156</v>
      </c>
      <c r="N529" s="77"/>
      <c r="O529" s="77"/>
      <c r="P529" s="76"/>
      <c r="Q529" s="76"/>
    </row>
    <row r="530" spans="4:17" hidden="1" outlineLevel="3" collapsed="1" x14ac:dyDescent="0.25">
      <c r="E530" s="84" t="s">
        <v>822</v>
      </c>
      <c r="F530" s="79"/>
      <c r="G530" s="79"/>
      <c r="H530" s="80"/>
      <c r="I530" s="81"/>
      <c r="J530" s="83">
        <f>HYPERLINK("#Структура!E724",Структура!E724)</f>
        <v>1</v>
      </c>
      <c r="K530" s="115">
        <f>HYPERLINK("#Структура!G724",Структура!G724)</f>
        <v>4.9230600000000004</v>
      </c>
      <c r="L530" s="81">
        <f>M530/J530</f>
        <v>761.79959999999994</v>
      </c>
      <c r="M530" s="81">
        <f>SUMIF(F531,"*",M531)*J530</f>
        <v>761.79959999999994</v>
      </c>
      <c r="N530" s="124">
        <f>HYPERLINK("#Трудозатраты!B158",Трудозатраты!B158+SUMIF(F531,"*",O531))</f>
        <v>5.0999999999999996</v>
      </c>
      <c r="O530" s="82">
        <f>N530*J530</f>
        <v>5.0999999999999996</v>
      </c>
      <c r="P530" s="81">
        <f>O530/60*(1+запас_труд)*стоимость_трудочаса</f>
        <v>199.74999999999997</v>
      </c>
      <c r="Q530" s="129">
        <f>M530*(1+наценка_покупное)+P530</f>
        <v>1113.9095199999999</v>
      </c>
    </row>
    <row r="531" spans="4:17" hidden="1" outlineLevel="4" x14ac:dyDescent="0.25">
      <c r="F531" s="74" t="s">
        <v>118</v>
      </c>
      <c r="G531" s="74"/>
      <c r="H531" s="75"/>
      <c r="I531" s="76"/>
      <c r="J531" s="78">
        <f>HYPERLINK("#Структура!E736",Структура!E736)</f>
        <v>6.3483299999999998</v>
      </c>
      <c r="K531" s="114" t="str">
        <f>HYPERLINK("#Структура!G736","")</f>
        <v/>
      </c>
      <c r="L531" s="120">
        <f>HYPERLINK("#Покупные_изделия!D293",Покупные_изделия!D293)</f>
        <v>120</v>
      </c>
      <c r="M531" s="76">
        <f>J531*L531</f>
        <v>761.79959999999994</v>
      </c>
      <c r="N531" s="77"/>
      <c r="O531" s="77"/>
      <c r="P531" s="76"/>
      <c r="Q531" s="76"/>
    </row>
    <row r="532" spans="4:17" hidden="1" outlineLevel="3" collapsed="1" x14ac:dyDescent="0.25">
      <c r="E532" s="84" t="s">
        <v>823</v>
      </c>
      <c r="F532" s="79"/>
      <c r="G532" s="79"/>
      <c r="H532" s="80"/>
      <c r="I532" s="81"/>
      <c r="J532" s="83">
        <f>HYPERLINK("#Структура!E725",Структура!E725)</f>
        <v>1</v>
      </c>
      <c r="K532" s="115">
        <f>HYPERLINK("#Структура!G725",Структура!G725)</f>
        <v>0.84113000000000004</v>
      </c>
      <c r="L532" s="81">
        <f>M532/J532</f>
        <v>178.60319999999999</v>
      </c>
      <c r="M532" s="81">
        <f>SUMIF(F533,"*",M533)*J532</f>
        <v>178.60319999999999</v>
      </c>
      <c r="N532" s="124">
        <f>HYPERLINK("#Трудозатраты!B159",Трудозатраты!B159+SUMIF(F533,"*",O533))</f>
        <v>3.1</v>
      </c>
      <c r="O532" s="82">
        <f>N532*J532</f>
        <v>3.1</v>
      </c>
      <c r="P532" s="81">
        <f>O532/60*(1+запас_труд)*стоимость_трудочаса</f>
        <v>121.41666666666667</v>
      </c>
      <c r="Q532" s="129">
        <f>M532*(1+наценка_покупное)+P532</f>
        <v>335.74050666666665</v>
      </c>
    </row>
    <row r="533" spans="4:17" hidden="1" outlineLevel="4" x14ac:dyDescent="0.25">
      <c r="F533" s="74" t="s">
        <v>118</v>
      </c>
      <c r="G533" s="74"/>
      <c r="H533" s="75"/>
      <c r="I533" s="76"/>
      <c r="J533" s="78">
        <f>HYPERLINK("#Структура!E737",Структура!E737)</f>
        <v>1.4883599999999999</v>
      </c>
      <c r="K533" s="114" t="str">
        <f>HYPERLINK("#Структура!G737","")</f>
        <v/>
      </c>
      <c r="L533" s="120">
        <f>HYPERLINK("#Покупные_изделия!D293",Покупные_изделия!D293)</f>
        <v>120</v>
      </c>
      <c r="M533" s="76">
        <f>J533*L533</f>
        <v>178.60319999999999</v>
      </c>
      <c r="N533" s="77"/>
      <c r="O533" s="77"/>
      <c r="P533" s="76"/>
      <c r="Q533" s="76"/>
    </row>
    <row r="534" spans="4:17" hidden="1" outlineLevel="3" collapsed="1" x14ac:dyDescent="0.25">
      <c r="E534" s="84" t="s">
        <v>824</v>
      </c>
      <c r="F534" s="79"/>
      <c r="G534" s="79"/>
      <c r="H534" s="80"/>
      <c r="I534" s="81"/>
      <c r="J534" s="83">
        <f>HYPERLINK("#Структура!E726",Структура!E726)</f>
        <v>1</v>
      </c>
      <c r="K534" s="115">
        <f>HYPERLINK("#Структура!G726",Структура!G726)</f>
        <v>0.26547999999999999</v>
      </c>
      <c r="L534" s="81">
        <f>M534/J534</f>
        <v>43.407600000000002</v>
      </c>
      <c r="M534" s="81">
        <f>SUMIF(F535,"*",M535)*J534</f>
        <v>43.407600000000002</v>
      </c>
      <c r="N534" s="124">
        <f>HYPERLINK("#Трудозатраты!B160",Трудозатраты!B160+SUMIF(F535,"*",O535))</f>
        <v>0.8</v>
      </c>
      <c r="O534" s="82">
        <f>N534*J534</f>
        <v>0.8</v>
      </c>
      <c r="P534" s="81">
        <f>O534/60*(1+запас_труд)*стоимость_трудочаса</f>
        <v>31.333333333333336</v>
      </c>
      <c r="Q534" s="129">
        <f>M534*(1+наценка_покупное)+P534</f>
        <v>83.422453333333337</v>
      </c>
    </row>
    <row r="535" spans="4:17" hidden="1" outlineLevel="4" x14ac:dyDescent="0.25">
      <c r="F535" s="74" t="s">
        <v>120</v>
      </c>
      <c r="G535" s="74"/>
      <c r="H535" s="75"/>
      <c r="I535" s="76"/>
      <c r="J535" s="78">
        <f>HYPERLINK("#Структура!E738",Структура!E738)</f>
        <v>0.36173</v>
      </c>
      <c r="K535" s="114" t="str">
        <f>HYPERLINK("#Структура!G738","")</f>
        <v/>
      </c>
      <c r="L535" s="120">
        <f>HYPERLINK("#Покупные_изделия!D295",Покупные_изделия!D295)</f>
        <v>120</v>
      </c>
      <c r="M535" s="76">
        <f t="shared" ref="M535:M542" si="26">J535*L535</f>
        <v>43.407600000000002</v>
      </c>
      <c r="N535" s="77"/>
      <c r="O535" s="77"/>
      <c r="P535" s="76"/>
      <c r="Q535" s="76"/>
    </row>
    <row r="536" spans="4:17" hidden="1" outlineLevel="3" x14ac:dyDescent="0.25">
      <c r="E536" s="74" t="s">
        <v>818</v>
      </c>
      <c r="F536" s="74"/>
      <c r="G536" s="74"/>
      <c r="H536" s="75"/>
      <c r="I536" s="76"/>
      <c r="J536" s="78">
        <f>HYPERLINK("#Структура!E727",Структура!E727)</f>
        <v>6</v>
      </c>
      <c r="K536" s="114">
        <f>HYPERLINK("#Структура!G727",Структура!G727)</f>
        <v>3.7609999999999998E-2</v>
      </c>
      <c r="L536" s="120">
        <f>HYPERLINK("#Покупные_изделия!D177",Покупные_изделия!D177)</f>
        <v>9.4320000000000004</v>
      </c>
      <c r="M536" s="76">
        <f t="shared" si="26"/>
        <v>56.591999999999999</v>
      </c>
      <c r="N536" s="77"/>
      <c r="O536" s="77"/>
      <c r="P536" s="76"/>
      <c r="Q536" s="76"/>
    </row>
    <row r="537" spans="4:17" hidden="1" outlineLevel="3" x14ac:dyDescent="0.25">
      <c r="E537" s="74" t="s">
        <v>65</v>
      </c>
      <c r="F537" s="74"/>
      <c r="G537" s="74"/>
      <c r="H537" s="75"/>
      <c r="I537" s="76"/>
      <c r="J537" s="78">
        <f>HYPERLINK("#Структура!E728",Структура!E728)</f>
        <v>0.15</v>
      </c>
      <c r="K537" s="114" t="str">
        <f>HYPERLINK("#Структура!G728","")</f>
        <v/>
      </c>
      <c r="L537" s="120">
        <f>HYPERLINK("#Покупные_изделия!D197",Покупные_изделия!D197)</f>
        <v>264.50399999999996</v>
      </c>
      <c r="M537" s="76">
        <f t="shared" si="26"/>
        <v>39.675599999999996</v>
      </c>
      <c r="N537" s="77"/>
      <c r="O537" s="77"/>
      <c r="P537" s="76"/>
      <c r="Q537" s="76"/>
    </row>
    <row r="538" spans="4:17" hidden="1" outlineLevel="3" x14ac:dyDescent="0.25">
      <c r="E538" s="74" t="s">
        <v>67</v>
      </c>
      <c r="F538" s="74"/>
      <c r="G538" s="74"/>
      <c r="H538" s="75"/>
      <c r="I538" s="76"/>
      <c r="J538" s="78">
        <f>HYPERLINK("#Структура!E729",Структура!E729)</f>
        <v>0.54</v>
      </c>
      <c r="K538" s="114" t="str">
        <f>HYPERLINK("#Структура!G729","")</f>
        <v/>
      </c>
      <c r="L538" s="120">
        <f>HYPERLINK("#Покупные_изделия!D203",Покупные_изделия!D203)</f>
        <v>30.003600000000002</v>
      </c>
      <c r="M538" s="76">
        <f t="shared" si="26"/>
        <v>16.201944000000001</v>
      </c>
      <c r="N538" s="77"/>
      <c r="O538" s="77"/>
      <c r="P538" s="76"/>
      <c r="Q538" s="76"/>
    </row>
    <row r="539" spans="4:17" hidden="1" outlineLevel="3" x14ac:dyDescent="0.25">
      <c r="E539" s="74" t="s">
        <v>146</v>
      </c>
      <c r="F539" s="74"/>
      <c r="G539" s="74"/>
      <c r="H539" s="75"/>
      <c r="I539" s="76"/>
      <c r="J539" s="78">
        <f>HYPERLINK("#Структура!E730",Структура!E730)</f>
        <v>0.32</v>
      </c>
      <c r="K539" s="114" t="str">
        <f>HYPERLINK("#Структура!G730","")</f>
        <v/>
      </c>
      <c r="L539" s="120">
        <f>HYPERLINK("#Покупные_изделия!D406",Покупные_изделия!D406)</f>
        <v>105.996</v>
      </c>
      <c r="M539" s="76">
        <f t="shared" si="26"/>
        <v>33.91872</v>
      </c>
      <c r="N539" s="77"/>
      <c r="O539" s="77"/>
      <c r="P539" s="76"/>
      <c r="Q539" s="76"/>
    </row>
    <row r="540" spans="4:17" hidden="1" outlineLevel="3" x14ac:dyDescent="0.25">
      <c r="E540" s="74" t="s">
        <v>155</v>
      </c>
      <c r="F540" s="74"/>
      <c r="G540" s="74"/>
      <c r="H540" s="75"/>
      <c r="I540" s="76"/>
      <c r="J540" s="78">
        <f>HYPERLINK("#Структура!E731",Структура!E731)</f>
        <v>4.4999999999999998E-2</v>
      </c>
      <c r="K540" s="114" t="str">
        <f>HYPERLINK("#Структура!G731","")</f>
        <v/>
      </c>
      <c r="L540" s="120">
        <f>HYPERLINK("#Покупные_изделия!D423",Покупные_изделия!D423)</f>
        <v>218.28</v>
      </c>
      <c r="M540" s="76">
        <f t="shared" si="26"/>
        <v>9.8225999999999996</v>
      </c>
      <c r="N540" s="77"/>
      <c r="O540" s="77"/>
      <c r="P540" s="76"/>
      <c r="Q540" s="76"/>
    </row>
    <row r="541" spans="4:17" hidden="1" outlineLevel="3" x14ac:dyDescent="0.25">
      <c r="E541" s="74" t="s">
        <v>156</v>
      </c>
      <c r="F541" s="74"/>
      <c r="G541" s="74"/>
      <c r="H541" s="75"/>
      <c r="I541" s="76"/>
      <c r="J541" s="78">
        <f>HYPERLINK("#Структура!E732",Структура!E732)</f>
        <v>0.12</v>
      </c>
      <c r="K541" s="114" t="str">
        <f>HYPERLINK("#Структура!G732","")</f>
        <v/>
      </c>
      <c r="L541" s="120">
        <f>HYPERLINK("#Покупные_изделия!D427",Покупные_изделия!D427)</f>
        <v>155.53200000000001</v>
      </c>
      <c r="M541" s="76">
        <f t="shared" si="26"/>
        <v>18.66384</v>
      </c>
      <c r="N541" s="77"/>
      <c r="O541" s="77"/>
      <c r="P541" s="76"/>
      <c r="Q541" s="76"/>
    </row>
    <row r="542" spans="4:17" hidden="1" outlineLevel="3" x14ac:dyDescent="0.25">
      <c r="E542" s="74" t="s">
        <v>215</v>
      </c>
      <c r="F542" s="74"/>
      <c r="G542" s="74"/>
      <c r="H542" s="75"/>
      <c r="I542" s="76"/>
      <c r="J542" s="78">
        <f>HYPERLINK("#Структура!E733",Структура!E733)</f>
        <v>0.3</v>
      </c>
      <c r="K542" s="114" t="str">
        <f>HYPERLINK("#Структура!G733","")</f>
        <v/>
      </c>
      <c r="L542" s="120">
        <f>HYPERLINK("#Покупные_изделия!D567",Покупные_изделия!D567)</f>
        <v>405.74399999999997</v>
      </c>
      <c r="M542" s="76">
        <f t="shared" si="26"/>
        <v>121.72319999999999</v>
      </c>
      <c r="N542" s="77"/>
      <c r="O542" s="77"/>
      <c r="P542" s="76"/>
      <c r="Q542" s="76"/>
    </row>
    <row r="543" spans="4:17" hidden="1" outlineLevel="2" collapsed="1" x14ac:dyDescent="0.25">
      <c r="D543" s="84" t="s">
        <v>816</v>
      </c>
      <c r="E543" s="79"/>
      <c r="F543" s="79"/>
      <c r="G543" s="79"/>
      <c r="H543" s="80"/>
      <c r="I543" s="81"/>
      <c r="J543" s="83">
        <f>HYPERLINK("#Структура!E713",Структура!E713)</f>
        <v>1</v>
      </c>
      <c r="K543" s="115">
        <f>HYPERLINK("#Структура!G713",Структура!G713)</f>
        <v>15.965999999999999</v>
      </c>
      <c r="L543" s="81">
        <f>M543/J543</f>
        <v>2437.4352000000003</v>
      </c>
      <c r="M543" s="81">
        <f>SUMIF(E544:E548,"*",M544:M548)*J543</f>
        <v>2437.4352000000003</v>
      </c>
      <c r="N543" s="124">
        <f>HYPERLINK("#Трудозатраты!B154",Трудозатраты!B154+SUMIF(E544:E548,"*",O544:O548))</f>
        <v>18.8</v>
      </c>
      <c r="O543" s="82">
        <f>N543*J543</f>
        <v>18.8</v>
      </c>
      <c r="P543" s="81">
        <f>O543/60*(1+запас_труд)*стоимость_трудочаса</f>
        <v>736.33333333333337</v>
      </c>
      <c r="Q543" s="129">
        <f>M543*(1+наценка_покупное)+P543</f>
        <v>3661.2555733333338</v>
      </c>
    </row>
    <row r="544" spans="4:17" hidden="1" outlineLevel="3" x14ac:dyDescent="0.25">
      <c r="E544" s="74" t="s">
        <v>65</v>
      </c>
      <c r="F544" s="74"/>
      <c r="G544" s="74"/>
      <c r="H544" s="75"/>
      <c r="I544" s="76"/>
      <c r="J544" s="78">
        <f>HYPERLINK("#Структура!E717",Структура!E717)</f>
        <v>0.1</v>
      </c>
      <c r="K544" s="114" t="str">
        <f>HYPERLINK("#Структура!G717","")</f>
        <v/>
      </c>
      <c r="L544" s="120">
        <f>HYPERLINK("#Покупные_изделия!D197",Покупные_изделия!D197)</f>
        <v>264.50399999999996</v>
      </c>
      <c r="M544" s="76">
        <f t="shared" ref="M544:M551" si="27">J544*L544</f>
        <v>26.450399999999998</v>
      </c>
      <c r="N544" s="77"/>
      <c r="O544" s="77"/>
      <c r="P544" s="76"/>
      <c r="Q544" s="76"/>
    </row>
    <row r="545" spans="3:17" hidden="1" outlineLevel="3" x14ac:dyDescent="0.25">
      <c r="E545" s="74" t="s">
        <v>118</v>
      </c>
      <c r="F545" s="74"/>
      <c r="G545" s="74"/>
      <c r="H545" s="75"/>
      <c r="I545" s="76"/>
      <c r="J545" s="78">
        <f>HYPERLINK("#Структура!E718",Структура!E718)</f>
        <v>19.231120000000001</v>
      </c>
      <c r="K545" s="114" t="str">
        <f>HYPERLINK("#Структура!G718","")</f>
        <v/>
      </c>
      <c r="L545" s="120">
        <f>HYPERLINK("#Покупные_изделия!D293",Покупные_изделия!D293)</f>
        <v>120</v>
      </c>
      <c r="M545" s="76">
        <f t="shared" si="27"/>
        <v>2307.7344000000003</v>
      </c>
      <c r="N545" s="77"/>
      <c r="O545" s="77"/>
      <c r="P545" s="76"/>
      <c r="Q545" s="76"/>
    </row>
    <row r="546" spans="3:17" hidden="1" outlineLevel="3" x14ac:dyDescent="0.25">
      <c r="E546" s="74" t="s">
        <v>155</v>
      </c>
      <c r="F546" s="74"/>
      <c r="G546" s="74"/>
      <c r="H546" s="75"/>
      <c r="I546" s="76"/>
      <c r="J546" s="78">
        <f>HYPERLINK("#Структура!E719",Структура!E719)</f>
        <v>0.03</v>
      </c>
      <c r="K546" s="114" t="str">
        <f>HYPERLINK("#Структура!G719","")</f>
        <v/>
      </c>
      <c r="L546" s="120">
        <f>HYPERLINK("#Покупные_изделия!D423",Покупные_изделия!D423)</f>
        <v>218.28</v>
      </c>
      <c r="M546" s="76">
        <f t="shared" si="27"/>
        <v>6.5484</v>
      </c>
      <c r="N546" s="77"/>
      <c r="O546" s="77"/>
      <c r="P546" s="76"/>
      <c r="Q546" s="76"/>
    </row>
    <row r="547" spans="3:17" hidden="1" outlineLevel="3" x14ac:dyDescent="0.25">
      <c r="E547" s="74" t="s">
        <v>156</v>
      </c>
      <c r="F547" s="74"/>
      <c r="G547" s="74"/>
      <c r="H547" s="75"/>
      <c r="I547" s="76"/>
      <c r="J547" s="78">
        <f>HYPERLINK("#Структура!E720",Структура!E720)</f>
        <v>0.1</v>
      </c>
      <c r="K547" s="114" t="str">
        <f>HYPERLINK("#Структура!G720","")</f>
        <v/>
      </c>
      <c r="L547" s="120">
        <f>HYPERLINK("#Покупные_изделия!D427",Покупные_изделия!D427)</f>
        <v>155.53200000000001</v>
      </c>
      <c r="M547" s="76">
        <f t="shared" si="27"/>
        <v>15.553200000000002</v>
      </c>
      <c r="N547" s="77"/>
      <c r="O547" s="77"/>
      <c r="P547" s="76"/>
      <c r="Q547" s="76"/>
    </row>
    <row r="548" spans="3:17" hidden="1" outlineLevel="3" x14ac:dyDescent="0.25">
      <c r="E548" s="74" t="s">
        <v>215</v>
      </c>
      <c r="F548" s="74"/>
      <c r="G548" s="74"/>
      <c r="H548" s="75"/>
      <c r="I548" s="76"/>
      <c r="J548" s="78">
        <f>HYPERLINK("#Структура!E721",Структура!E721)</f>
        <v>0.2</v>
      </c>
      <c r="K548" s="114" t="str">
        <f>HYPERLINK("#Структура!G721","")</f>
        <v/>
      </c>
      <c r="L548" s="120">
        <f>HYPERLINK("#Покупные_изделия!D567",Покупные_изделия!D567)</f>
        <v>405.74399999999997</v>
      </c>
      <c r="M548" s="76">
        <f t="shared" si="27"/>
        <v>81.148799999999994</v>
      </c>
      <c r="N548" s="77"/>
      <c r="O548" s="77"/>
      <c r="P548" s="76"/>
      <c r="Q548" s="76"/>
    </row>
    <row r="549" spans="3:17" hidden="1" outlineLevel="2" x14ac:dyDescent="0.25">
      <c r="D549" s="74" t="s">
        <v>817</v>
      </c>
      <c r="E549" s="74"/>
      <c r="F549" s="74"/>
      <c r="G549" s="74"/>
      <c r="H549" s="75"/>
      <c r="I549" s="76"/>
      <c r="J549" s="78">
        <f>HYPERLINK("#Структура!E714",Структура!E714)</f>
        <v>6</v>
      </c>
      <c r="K549" s="114">
        <f>HYPERLINK("#Структура!G714",Структура!G714)</f>
        <v>9.0620000000000006E-2</v>
      </c>
      <c r="L549" s="120">
        <f>HYPERLINK("#Покупные_изделия!D95",Покупные_изделия!D95)</f>
        <v>18.443999999999999</v>
      </c>
      <c r="M549" s="76">
        <f t="shared" si="27"/>
        <v>110.66399999999999</v>
      </c>
      <c r="N549" s="77"/>
      <c r="O549" s="77"/>
      <c r="P549" s="76"/>
      <c r="Q549" s="76"/>
    </row>
    <row r="550" spans="3:17" hidden="1" outlineLevel="2" x14ac:dyDescent="0.25">
      <c r="D550" s="74" t="s">
        <v>818</v>
      </c>
      <c r="E550" s="74"/>
      <c r="F550" s="74"/>
      <c r="G550" s="74"/>
      <c r="H550" s="75"/>
      <c r="I550" s="76"/>
      <c r="J550" s="78">
        <f>HYPERLINK("#Структура!E715",Структура!E715)</f>
        <v>6</v>
      </c>
      <c r="K550" s="114">
        <f>HYPERLINK("#Структура!G715",Структура!G715)</f>
        <v>3.7609999999999998E-2</v>
      </c>
      <c r="L550" s="120">
        <f>HYPERLINK("#Покупные_изделия!D177",Покупные_изделия!D177)</f>
        <v>9.4320000000000004</v>
      </c>
      <c r="M550" s="76">
        <f t="shared" si="27"/>
        <v>56.591999999999999</v>
      </c>
      <c r="N550" s="77"/>
      <c r="O550" s="77"/>
      <c r="P550" s="76"/>
      <c r="Q550" s="76"/>
    </row>
    <row r="551" spans="3:17" hidden="1" outlineLevel="2" x14ac:dyDescent="0.25">
      <c r="D551" s="74" t="s">
        <v>819</v>
      </c>
      <c r="E551" s="74"/>
      <c r="F551" s="74"/>
      <c r="G551" s="74"/>
      <c r="H551" s="75"/>
      <c r="I551" s="76"/>
      <c r="J551" s="78">
        <f>HYPERLINK("#Структура!E716",Структура!E716)</f>
        <v>6</v>
      </c>
      <c r="K551" s="114">
        <f>HYPERLINK("#Структура!G716",Структура!G716)</f>
        <v>6.0800000000000003E-3</v>
      </c>
      <c r="L551" s="120">
        <f>HYPERLINK("#Покупные_изделия!D525",Покупные_изделия!D525)</f>
        <v>1.9345375522388062</v>
      </c>
      <c r="M551" s="76">
        <f t="shared" si="27"/>
        <v>11.607225313432837</v>
      </c>
      <c r="N551" s="77"/>
      <c r="O551" s="77"/>
      <c r="P551" s="76"/>
      <c r="Q551" s="76"/>
    </row>
    <row r="552" spans="3:17" hidden="1" outlineLevel="1" collapsed="1" x14ac:dyDescent="0.25">
      <c r="C552" s="96" t="s">
        <v>825</v>
      </c>
      <c r="D552" s="91"/>
      <c r="E552" s="91"/>
      <c r="F552" s="91"/>
      <c r="G552" s="91"/>
      <c r="H552" s="92"/>
      <c r="I552" s="93"/>
      <c r="J552" s="95">
        <f>HYPERLINK("#Структура!E3243",Структура!E3243)</f>
        <v>2</v>
      </c>
      <c r="K552" s="116">
        <f>HYPERLINK("#Структура!G3243",Структура!G3243)</f>
        <v>37.626739999999998</v>
      </c>
      <c r="L552" s="93">
        <f>M552/J552</f>
        <v>4837.9357460000001</v>
      </c>
      <c r="M552" s="93">
        <f>SUMIF(D553:D562,"*",M553:M562)*J552</f>
        <v>9675.8714920000002</v>
      </c>
      <c r="N552" s="125">
        <f>HYPERLINK("#Трудозатраты!B161",Трудозатраты!B161+SUMIF(D553:D562,"*",O553:O562))</f>
        <v>67.3</v>
      </c>
      <c r="O552" s="94">
        <f>N552*J552</f>
        <v>134.6</v>
      </c>
      <c r="P552" s="93">
        <f>O552/60*(1+запас_труд)*стоимость_трудочаса</f>
        <v>5271.833333333333</v>
      </c>
      <c r="Q552" s="130">
        <f>M552*(1+наценка_покупное)+P552</f>
        <v>16882.879123733332</v>
      </c>
    </row>
    <row r="553" spans="3:17" hidden="1" outlineLevel="2" collapsed="1" x14ac:dyDescent="0.25">
      <c r="D553" s="85" t="s">
        <v>820</v>
      </c>
      <c r="E553" s="86"/>
      <c r="F553" s="86"/>
      <c r="G553" s="86"/>
      <c r="H553" s="87"/>
      <c r="I553" s="88"/>
      <c r="J553" s="90">
        <f>HYPERLINK("#Структура!E739",Структура!E739)</f>
        <v>1</v>
      </c>
      <c r="K553" s="113">
        <f>HYPERLINK("#Структура!G739",Структура!G739)</f>
        <v>18.908940000000001</v>
      </c>
      <c r="L553" s="88">
        <f>M553/J553</f>
        <v>2706</v>
      </c>
      <c r="M553" s="88">
        <f>SUMIF(E554,"*",M554)*J553</f>
        <v>2706</v>
      </c>
      <c r="N553" s="123">
        <f>HYPERLINK("#Трудозатраты!B156",Трудозатраты!B156+SUMIF(E554,"*",O554))</f>
        <v>11.3</v>
      </c>
      <c r="O553" s="89">
        <f>N553*J553</f>
        <v>11.3</v>
      </c>
      <c r="P553" s="88">
        <f>O553/60*(1+запас_труд)*стоимость_трудочаса</f>
        <v>442.58333333333337</v>
      </c>
      <c r="Q553" s="128">
        <f>M553*(1+наценка_покупное)+P553</f>
        <v>3689.7833333333333</v>
      </c>
    </row>
    <row r="554" spans="3:17" hidden="1" outlineLevel="3" x14ac:dyDescent="0.25">
      <c r="E554" s="74" t="s">
        <v>114</v>
      </c>
      <c r="F554" s="74"/>
      <c r="G554" s="74"/>
      <c r="H554" s="75"/>
      <c r="I554" s="76"/>
      <c r="J554" s="78">
        <f>HYPERLINK("#Структура!E734",Структура!E734)</f>
        <v>22.55</v>
      </c>
      <c r="K554" s="114" t="str">
        <f>HYPERLINK("#Структура!G734","")</f>
        <v/>
      </c>
      <c r="L554" s="120">
        <f>HYPERLINK("#Покупные_изделия!D287",Покупные_изделия!D287)</f>
        <v>120</v>
      </c>
      <c r="M554" s="76">
        <f>J554*L554</f>
        <v>2706</v>
      </c>
      <c r="N554" s="77"/>
      <c r="O554" s="77"/>
      <c r="P554" s="76"/>
      <c r="Q554" s="76"/>
    </row>
    <row r="555" spans="3:17" hidden="1" outlineLevel="2" collapsed="1" x14ac:dyDescent="0.25">
      <c r="D555" s="84" t="s">
        <v>826</v>
      </c>
      <c r="E555" s="79"/>
      <c r="F555" s="79"/>
      <c r="G555" s="79"/>
      <c r="H555" s="80"/>
      <c r="I555" s="81"/>
      <c r="J555" s="83">
        <f>HYPERLINK("#Структура!E740",Структура!E740)</f>
        <v>1</v>
      </c>
      <c r="K555" s="115">
        <f>HYPERLINK("#Структура!G740",Структура!G740)</f>
        <v>18.7178</v>
      </c>
      <c r="L555" s="81">
        <f>M555/J555</f>
        <v>1970</v>
      </c>
      <c r="M555" s="81">
        <f>SUMIF(E556,"*",M556)*J555</f>
        <v>1970</v>
      </c>
      <c r="N555" s="124">
        <f>HYPERLINK("#Трудозатраты!B162",Трудозатраты!B162+SUMIF(E556,"*",O556))</f>
        <v>24</v>
      </c>
      <c r="O555" s="82">
        <f>N555*J555</f>
        <v>24</v>
      </c>
      <c r="P555" s="81">
        <f>O555/60*(1+запас_труд)*стоимость_трудочаса</f>
        <v>940</v>
      </c>
      <c r="Q555" s="129">
        <f>M555*(1+наценка_покупное)+P555</f>
        <v>3304</v>
      </c>
    </row>
    <row r="556" spans="3:17" hidden="1" outlineLevel="3" x14ac:dyDescent="0.25">
      <c r="E556" s="74" t="s">
        <v>204</v>
      </c>
      <c r="F556" s="74"/>
      <c r="G556" s="74"/>
      <c r="H556" s="75"/>
      <c r="I556" s="76"/>
      <c r="J556" s="78">
        <f>HYPERLINK("#Структура!E747",Структура!E747)</f>
        <v>19.7</v>
      </c>
      <c r="K556" s="114" t="str">
        <f>HYPERLINK("#Структура!G747","")</f>
        <v/>
      </c>
      <c r="L556" s="120">
        <f>HYPERLINK("#Покупные_изделия!D549",Покупные_изделия!D549)</f>
        <v>100</v>
      </c>
      <c r="M556" s="76">
        <f t="shared" ref="M556:M562" si="28">J556*L556</f>
        <v>1970</v>
      </c>
      <c r="N556" s="77"/>
      <c r="O556" s="77"/>
      <c r="P556" s="76"/>
      <c r="Q556" s="76"/>
    </row>
    <row r="557" spans="3:17" hidden="1" outlineLevel="2" x14ac:dyDescent="0.25">
      <c r="D557" s="74" t="s">
        <v>65</v>
      </c>
      <c r="E557" s="74"/>
      <c r="F557" s="74"/>
      <c r="G557" s="74"/>
      <c r="H557" s="75"/>
      <c r="I557" s="76"/>
      <c r="J557" s="78">
        <f>HYPERLINK("#Структура!E741",Структура!E741)</f>
        <v>0.12</v>
      </c>
      <c r="K557" s="114" t="str">
        <f>HYPERLINK("#Структура!G741","")</f>
        <v/>
      </c>
      <c r="L557" s="120">
        <f>HYPERLINK("#Покупные_изделия!D197",Покупные_изделия!D197)</f>
        <v>264.50399999999996</v>
      </c>
      <c r="M557" s="76">
        <f t="shared" si="28"/>
        <v>31.740479999999994</v>
      </c>
      <c r="N557" s="77"/>
      <c r="O557" s="77"/>
      <c r="P557" s="76"/>
      <c r="Q557" s="76"/>
    </row>
    <row r="558" spans="3:17" hidden="1" outlineLevel="2" x14ac:dyDescent="0.25">
      <c r="D558" s="74" t="s">
        <v>67</v>
      </c>
      <c r="E558" s="74"/>
      <c r="F558" s="74"/>
      <c r="G558" s="74"/>
      <c r="H558" s="75"/>
      <c r="I558" s="76"/>
      <c r="J558" s="78">
        <f>HYPERLINK("#Структура!E742",Структура!E742)</f>
        <v>8.5000000000000006E-2</v>
      </c>
      <c r="K558" s="114" t="str">
        <f>HYPERLINK("#Структура!G742","")</f>
        <v/>
      </c>
      <c r="L558" s="120">
        <f>HYPERLINK("#Покупные_изделия!D203",Покупные_изделия!D203)</f>
        <v>30.003600000000002</v>
      </c>
      <c r="M558" s="76">
        <f t="shared" si="28"/>
        <v>2.5503060000000004</v>
      </c>
      <c r="N558" s="77"/>
      <c r="O558" s="77"/>
      <c r="P558" s="76"/>
      <c r="Q558" s="76"/>
    </row>
    <row r="559" spans="3:17" hidden="1" outlineLevel="2" x14ac:dyDescent="0.25">
      <c r="D559" s="74" t="s">
        <v>146</v>
      </c>
      <c r="E559" s="74"/>
      <c r="F559" s="74"/>
      <c r="G559" s="74"/>
      <c r="H559" s="75"/>
      <c r="I559" s="76"/>
      <c r="J559" s="78">
        <f>HYPERLINK("#Структура!E743",Структура!E743)</f>
        <v>0.05</v>
      </c>
      <c r="K559" s="114" t="str">
        <f>HYPERLINK("#Структура!G743","")</f>
        <v/>
      </c>
      <c r="L559" s="120">
        <f>HYPERLINK("#Покупные_изделия!D406",Покупные_изделия!D406)</f>
        <v>105.996</v>
      </c>
      <c r="M559" s="76">
        <f t="shared" si="28"/>
        <v>5.2998000000000003</v>
      </c>
      <c r="N559" s="77"/>
      <c r="O559" s="77"/>
      <c r="P559" s="76"/>
      <c r="Q559" s="76"/>
    </row>
    <row r="560" spans="3:17" hidden="1" outlineLevel="2" x14ac:dyDescent="0.25">
      <c r="D560" s="74" t="s">
        <v>155</v>
      </c>
      <c r="E560" s="74"/>
      <c r="F560" s="74"/>
      <c r="G560" s="74"/>
      <c r="H560" s="75"/>
      <c r="I560" s="76"/>
      <c r="J560" s="78">
        <f>HYPERLINK("#Структура!E744",Структура!E744)</f>
        <v>3.5999999999999997E-2</v>
      </c>
      <c r="K560" s="114" t="str">
        <f>HYPERLINK("#Структура!G744","")</f>
        <v/>
      </c>
      <c r="L560" s="120">
        <f>HYPERLINK("#Покупные_изделия!D423",Покупные_изделия!D423)</f>
        <v>218.28</v>
      </c>
      <c r="M560" s="76">
        <f t="shared" si="28"/>
        <v>7.8580799999999993</v>
      </c>
      <c r="N560" s="77"/>
      <c r="O560" s="77"/>
      <c r="P560" s="76"/>
      <c r="Q560" s="76"/>
    </row>
    <row r="561" spans="3:17" hidden="1" outlineLevel="2" x14ac:dyDescent="0.25">
      <c r="D561" s="74" t="s">
        <v>156</v>
      </c>
      <c r="E561" s="74"/>
      <c r="F561" s="74"/>
      <c r="G561" s="74"/>
      <c r="H561" s="75"/>
      <c r="I561" s="76"/>
      <c r="J561" s="78">
        <f>HYPERLINK("#Структура!E745",Структура!E745)</f>
        <v>0.11</v>
      </c>
      <c r="K561" s="114" t="str">
        <f>HYPERLINK("#Структура!G745","")</f>
        <v/>
      </c>
      <c r="L561" s="120">
        <f>HYPERLINK("#Покупные_изделия!D427",Покупные_изделия!D427)</f>
        <v>155.53200000000001</v>
      </c>
      <c r="M561" s="76">
        <f t="shared" si="28"/>
        <v>17.108520000000002</v>
      </c>
      <c r="N561" s="77"/>
      <c r="O561" s="77"/>
      <c r="P561" s="76"/>
      <c r="Q561" s="76"/>
    </row>
    <row r="562" spans="3:17" hidden="1" outlineLevel="2" x14ac:dyDescent="0.25">
      <c r="D562" s="74" t="s">
        <v>215</v>
      </c>
      <c r="E562" s="74"/>
      <c r="F562" s="74"/>
      <c r="G562" s="74"/>
      <c r="H562" s="75"/>
      <c r="I562" s="76"/>
      <c r="J562" s="78">
        <f>HYPERLINK("#Структура!E746",Структура!E746)</f>
        <v>0.24</v>
      </c>
      <c r="K562" s="114" t="str">
        <f>HYPERLINK("#Структура!G746","")</f>
        <v/>
      </c>
      <c r="L562" s="120">
        <f>HYPERLINK("#Покупные_изделия!D567",Покупные_изделия!D567)</f>
        <v>405.74399999999997</v>
      </c>
      <c r="M562" s="76">
        <f t="shared" si="28"/>
        <v>97.378559999999993</v>
      </c>
      <c r="N562" s="77"/>
      <c r="O562" s="77"/>
      <c r="P562" s="76"/>
      <c r="Q562" s="76"/>
    </row>
    <row r="563" spans="3:17" hidden="1" outlineLevel="1" collapsed="1" x14ac:dyDescent="0.25">
      <c r="C563" s="96" t="s">
        <v>835</v>
      </c>
      <c r="D563" s="91"/>
      <c r="E563" s="91"/>
      <c r="F563" s="91"/>
      <c r="G563" s="91"/>
      <c r="H563" s="92"/>
      <c r="I563" s="93"/>
      <c r="J563" s="95">
        <f>HYPERLINK("#Структура!E3244",Структура!E3244)</f>
        <v>1</v>
      </c>
      <c r="K563" s="116">
        <f>HYPERLINK("#Структура!G3244",Структура!G3244)</f>
        <v>11.251849999999999</v>
      </c>
      <c r="L563" s="93">
        <f>M563/J563</f>
        <v>293.35519999999997</v>
      </c>
      <c r="M563" s="93">
        <f>SUMIF(D564:D568,"*",M564:M568)*J563</f>
        <v>293.35519999999997</v>
      </c>
      <c r="N563" s="125">
        <f>HYPERLINK("#Трудозатраты!B170",Трудозатраты!B170+SUMIF(D564:D568,"*",O564:O568))</f>
        <v>42.1</v>
      </c>
      <c r="O563" s="94">
        <f>N563*J563</f>
        <v>42.1</v>
      </c>
      <c r="P563" s="93">
        <f>O563/60*(1+запас_труд)*стоимость_трудочаса</f>
        <v>1648.9166666666667</v>
      </c>
      <c r="Q563" s="130">
        <f>M563*(1+наценка_покупное)+P563</f>
        <v>2000.9429066666667</v>
      </c>
    </row>
    <row r="564" spans="3:17" hidden="1" outlineLevel="2" collapsed="1" x14ac:dyDescent="0.25">
      <c r="D564" s="85" t="s">
        <v>834</v>
      </c>
      <c r="E564" s="86"/>
      <c r="F564" s="86"/>
      <c r="G564" s="86"/>
      <c r="H564" s="87"/>
      <c r="I564" s="88"/>
      <c r="J564" s="90">
        <f>HYPERLINK("#Структура!E773",Структура!E773)</f>
        <v>1</v>
      </c>
      <c r="K564" s="113">
        <f>HYPERLINK("#Структура!G773",Структура!G773)</f>
        <v>0.64885999999999999</v>
      </c>
      <c r="L564" s="88">
        <f>M564/J564</f>
        <v>134.3552</v>
      </c>
      <c r="M564" s="88">
        <f>SUMIF(E565,"*",M565)*J564</f>
        <v>134.3552</v>
      </c>
      <c r="N564" s="123">
        <f>HYPERLINK("#Трудозатраты!B171",Трудозатраты!B171+SUMIF(E565,"*",O565))</f>
        <v>1.1000000000000001</v>
      </c>
      <c r="O564" s="89">
        <f>N564*J564</f>
        <v>1.1000000000000001</v>
      </c>
      <c r="P564" s="88">
        <f>O564/60*(1+запас_труд)*стоимость_трудочаса</f>
        <v>43.083333333333336</v>
      </c>
      <c r="Q564" s="128">
        <f>M564*(1+наценка_покупное)+P564</f>
        <v>204.30957333333333</v>
      </c>
    </row>
    <row r="565" spans="3:17" hidden="1" outlineLevel="3" x14ac:dyDescent="0.25">
      <c r="E565" s="74" t="s">
        <v>131</v>
      </c>
      <c r="F565" s="74"/>
      <c r="G565" s="74"/>
      <c r="H565" s="75"/>
      <c r="I565" s="76"/>
      <c r="J565" s="78">
        <f>HYPERLINK("#Структура!E776",Структура!E776)</f>
        <v>0.83972000000000002</v>
      </c>
      <c r="K565" s="114" t="str">
        <f>HYPERLINK("#Структура!G776","")</f>
        <v/>
      </c>
      <c r="L565" s="120">
        <f>HYPERLINK("#Покупные_изделия!D306",Покупные_изделия!D306)</f>
        <v>160</v>
      </c>
      <c r="M565" s="76">
        <f>J565*L565</f>
        <v>134.3552</v>
      </c>
      <c r="N565" s="77"/>
      <c r="O565" s="77"/>
      <c r="P565" s="76"/>
      <c r="Q565" s="76"/>
    </row>
    <row r="566" spans="3:17" hidden="1" outlineLevel="2" collapsed="1" x14ac:dyDescent="0.25">
      <c r="D566" s="84" t="s">
        <v>836</v>
      </c>
      <c r="E566" s="79"/>
      <c r="F566" s="79"/>
      <c r="G566" s="79"/>
      <c r="H566" s="80"/>
      <c r="I566" s="81"/>
      <c r="J566" s="83">
        <f>HYPERLINK("#Структура!E774",Структура!E774)</f>
        <v>1</v>
      </c>
      <c r="K566" s="115">
        <f>HYPERLINK("#Структура!G774",Структура!G774)</f>
        <v>0.11139</v>
      </c>
      <c r="L566" s="81">
        <f>M566/J566</f>
        <v>135</v>
      </c>
      <c r="M566" s="81">
        <f>SUMIF(E567,"*",M567)*J566</f>
        <v>135</v>
      </c>
      <c r="N566" s="124">
        <f>HYPERLINK("#Трудозатраты!B172",Трудозатраты!B172+SUMIF(E567,"*",O567))</f>
        <v>31</v>
      </c>
      <c r="O566" s="82">
        <f>N566*J566</f>
        <v>31</v>
      </c>
      <c r="P566" s="81">
        <f>O566/60*(1+запас_труд)*стоимость_трудочаса</f>
        <v>1214.1666666666667</v>
      </c>
      <c r="Q566" s="129">
        <f>M566*(1+наценка_покупное)+P566</f>
        <v>1376.1666666666667</v>
      </c>
    </row>
    <row r="567" spans="3:17" hidden="1" outlineLevel="3" x14ac:dyDescent="0.25">
      <c r="E567" s="74" t="s">
        <v>102</v>
      </c>
      <c r="F567" s="74"/>
      <c r="G567" s="74"/>
      <c r="H567" s="75"/>
      <c r="I567" s="76"/>
      <c r="J567" s="78">
        <f>HYPERLINK("#Структура!E777",Структура!E777)</f>
        <v>0.45</v>
      </c>
      <c r="K567" s="114" t="str">
        <f>HYPERLINK("#Структура!G777","")</f>
        <v/>
      </c>
      <c r="L567" s="120">
        <f>HYPERLINK("#Покупные_изделия!D271",Покупные_изделия!D271)</f>
        <v>300</v>
      </c>
      <c r="M567" s="76">
        <f>J567*L567</f>
        <v>135</v>
      </c>
      <c r="N567" s="77"/>
      <c r="O567" s="77"/>
      <c r="P567" s="76"/>
      <c r="Q567" s="76"/>
    </row>
    <row r="568" spans="3:17" hidden="1" outlineLevel="2" x14ac:dyDescent="0.25">
      <c r="D568" s="74" t="s">
        <v>59</v>
      </c>
      <c r="E568" s="74"/>
      <c r="F568" s="74"/>
      <c r="G568" s="74"/>
      <c r="H568" s="75"/>
      <c r="I568" s="76"/>
      <c r="J568" s="78">
        <f>HYPERLINK("#Структура!E775",Структура!E775)</f>
        <v>1</v>
      </c>
      <c r="K568" s="114">
        <f>HYPERLINK("#Структура!G775",Структура!G775)</f>
        <v>2.2290000000000001E-2</v>
      </c>
      <c r="L568" s="120">
        <f>HYPERLINK("#Покупные_изделия!D172",Покупные_изделия!D172)</f>
        <v>24</v>
      </c>
      <c r="M568" s="76">
        <f>J568*L568</f>
        <v>24</v>
      </c>
      <c r="N568" s="77"/>
      <c r="O568" s="77"/>
      <c r="P568" s="76"/>
      <c r="Q568" s="76"/>
    </row>
    <row r="569" spans="3:17" hidden="1" outlineLevel="1" collapsed="1" x14ac:dyDescent="0.25">
      <c r="C569" s="96" t="s">
        <v>838</v>
      </c>
      <c r="D569" s="91"/>
      <c r="E569" s="91"/>
      <c r="F569" s="91"/>
      <c r="G569" s="91"/>
      <c r="H569" s="92"/>
      <c r="I569" s="93"/>
      <c r="J569" s="95">
        <f>HYPERLINK("#Структура!E3245",Структура!E3245)</f>
        <v>1</v>
      </c>
      <c r="K569" s="116">
        <f>HYPERLINK("#Структура!G3245",Структура!G3245)</f>
        <v>21.31429</v>
      </c>
      <c r="L569" s="93">
        <f>M569/J569</f>
        <v>3362.6990360000004</v>
      </c>
      <c r="M569" s="93">
        <f>SUMIF(D570:D583,"*",M570:M583)*J569</f>
        <v>3362.6990360000004</v>
      </c>
      <c r="N569" s="125">
        <f>HYPERLINK("#Трудозатраты!B173",Трудозатраты!B173+SUMIF(D570:D583,"*",O570:O583))</f>
        <v>68.3</v>
      </c>
      <c r="O569" s="94">
        <f>N569*J569</f>
        <v>68.3</v>
      </c>
      <c r="P569" s="93">
        <f>O569/60*(1+запас_труд)*стоимость_трудочаса</f>
        <v>2675.083333333333</v>
      </c>
      <c r="Q569" s="130">
        <f>M569*(1+наценка_покупное)+P569</f>
        <v>6710.3221765333328</v>
      </c>
    </row>
    <row r="570" spans="3:17" hidden="1" outlineLevel="2" collapsed="1" x14ac:dyDescent="0.25">
      <c r="D570" s="85" t="s">
        <v>837</v>
      </c>
      <c r="E570" s="86"/>
      <c r="F570" s="86"/>
      <c r="G570" s="86"/>
      <c r="H570" s="87"/>
      <c r="I570" s="88"/>
      <c r="J570" s="90">
        <f>HYPERLINK("#Структура!E778",Структура!E778)</f>
        <v>1</v>
      </c>
      <c r="K570" s="113">
        <f>HYPERLINK("#Структура!G778",Структура!G778)</f>
        <v>6.7800099999999999</v>
      </c>
      <c r="L570" s="88">
        <f>M570/J570</f>
        <v>720</v>
      </c>
      <c r="M570" s="88">
        <f>SUMIF(E571,"*",M571)*J570</f>
        <v>720</v>
      </c>
      <c r="N570" s="123">
        <f>HYPERLINK("#Трудозатраты!B174",Трудозатраты!B174+SUMIF(E571,"*",O571))</f>
        <v>10</v>
      </c>
      <c r="O570" s="89">
        <f>N570*J570</f>
        <v>10</v>
      </c>
      <c r="P570" s="88">
        <f>O570/60*(1+запас_труд)*стоимость_трудочаса</f>
        <v>391.66666666666663</v>
      </c>
      <c r="Q570" s="128">
        <f>M570*(1+наценка_покупное)+P570</f>
        <v>1255.6666666666665</v>
      </c>
    </row>
    <row r="571" spans="3:17" hidden="1" outlineLevel="3" x14ac:dyDescent="0.25">
      <c r="E571" s="74" t="s">
        <v>205</v>
      </c>
      <c r="F571" s="74"/>
      <c r="G571" s="74"/>
      <c r="H571" s="75"/>
      <c r="I571" s="76"/>
      <c r="J571" s="78">
        <f>HYPERLINK("#Структура!E788",Структура!E788)</f>
        <v>7.2</v>
      </c>
      <c r="K571" s="114" t="str">
        <f>HYPERLINK("#Структура!G788","")</f>
        <v/>
      </c>
      <c r="L571" s="120">
        <f>HYPERLINK("#Покупные_изделия!D550",Покупные_изделия!D550)</f>
        <v>100</v>
      </c>
      <c r="M571" s="76">
        <f>J571*L571</f>
        <v>720</v>
      </c>
      <c r="N571" s="77"/>
      <c r="O571" s="77"/>
      <c r="P571" s="76"/>
      <c r="Q571" s="76"/>
    </row>
    <row r="572" spans="3:17" hidden="1" outlineLevel="2" collapsed="1" x14ac:dyDescent="0.25">
      <c r="D572" s="84" t="s">
        <v>839</v>
      </c>
      <c r="E572" s="79"/>
      <c r="F572" s="79"/>
      <c r="G572" s="79"/>
      <c r="H572" s="80"/>
      <c r="I572" s="81"/>
      <c r="J572" s="83">
        <f>HYPERLINK("#Структура!E779",Структура!E779)</f>
        <v>1</v>
      </c>
      <c r="K572" s="115">
        <f>HYPERLINK("#Структура!G779",Структура!G779)</f>
        <v>6.7907500000000001</v>
      </c>
      <c r="L572" s="81">
        <f>M572/J572</f>
        <v>720</v>
      </c>
      <c r="M572" s="81">
        <f>SUMIF(E573,"*",M573)*J572</f>
        <v>720</v>
      </c>
      <c r="N572" s="124">
        <f>HYPERLINK("#Трудозатраты!B175",Трудозатраты!B175+SUMIF(E573,"*",O573))</f>
        <v>7</v>
      </c>
      <c r="O572" s="82">
        <f>N572*J572</f>
        <v>7</v>
      </c>
      <c r="P572" s="81">
        <f>O572/60*(1+запас_труд)*стоимость_трудочаса</f>
        <v>274.16666666666669</v>
      </c>
      <c r="Q572" s="129">
        <f>M572*(1+наценка_покупное)+P572</f>
        <v>1138.1666666666667</v>
      </c>
    </row>
    <row r="573" spans="3:17" hidden="1" outlineLevel="3" x14ac:dyDescent="0.25">
      <c r="E573" s="74" t="s">
        <v>205</v>
      </c>
      <c r="F573" s="74"/>
      <c r="G573" s="74"/>
      <c r="H573" s="75"/>
      <c r="I573" s="76"/>
      <c r="J573" s="78">
        <f>HYPERLINK("#Структура!E789",Структура!E789)</f>
        <v>7.2</v>
      </c>
      <c r="K573" s="114" t="str">
        <f>HYPERLINK("#Структура!G789","")</f>
        <v/>
      </c>
      <c r="L573" s="120">
        <f>HYPERLINK("#Покупные_изделия!D550",Покупные_изделия!D550)</f>
        <v>100</v>
      </c>
      <c r="M573" s="76">
        <f>J573*L573</f>
        <v>720</v>
      </c>
      <c r="N573" s="77"/>
      <c r="O573" s="77"/>
      <c r="P573" s="76"/>
      <c r="Q573" s="76"/>
    </row>
    <row r="574" spans="3:17" hidden="1" outlineLevel="2" collapsed="1" x14ac:dyDescent="0.25">
      <c r="D574" s="84" t="s">
        <v>840</v>
      </c>
      <c r="E574" s="79"/>
      <c r="F574" s="79"/>
      <c r="G574" s="79"/>
      <c r="H574" s="80"/>
      <c r="I574" s="81"/>
      <c r="J574" s="83">
        <f>HYPERLINK("#Структура!E780",Структура!E780)</f>
        <v>2</v>
      </c>
      <c r="K574" s="115">
        <f>HYPERLINK("#Структура!G780",Структура!G780)</f>
        <v>2.46644</v>
      </c>
      <c r="L574" s="81">
        <f>M574/J574</f>
        <v>622</v>
      </c>
      <c r="M574" s="81">
        <f>SUMIF(E575,"*",M575)*J574</f>
        <v>1244</v>
      </c>
      <c r="N574" s="124">
        <f>HYPERLINK("#Трудозатраты!B176",Трудозатраты!B176+SUMIF(E575,"*",O575))</f>
        <v>12.5</v>
      </c>
      <c r="O574" s="82">
        <f>N574*J574</f>
        <v>25</v>
      </c>
      <c r="P574" s="81">
        <f>O574/60*(1+запас_труд)*стоимость_трудочаса</f>
        <v>979.16666666666674</v>
      </c>
      <c r="Q574" s="129">
        <f>M574*(1+наценка_покупное)+P574</f>
        <v>2471.9666666666667</v>
      </c>
    </row>
    <row r="575" spans="3:17" hidden="1" outlineLevel="3" x14ac:dyDescent="0.25">
      <c r="E575" s="74" t="s">
        <v>192</v>
      </c>
      <c r="F575" s="74"/>
      <c r="G575" s="74"/>
      <c r="H575" s="75"/>
      <c r="I575" s="76"/>
      <c r="J575" s="78">
        <f>HYPERLINK("#Структура!E790",Структура!E790)</f>
        <v>6.22</v>
      </c>
      <c r="K575" s="114" t="str">
        <f>HYPERLINK("#Структура!G790","")</f>
        <v/>
      </c>
      <c r="L575" s="120">
        <f>HYPERLINK("#Покупные_изделия!D505",Покупные_изделия!D505)</f>
        <v>100</v>
      </c>
      <c r="M575" s="76">
        <f>J575*L575</f>
        <v>622</v>
      </c>
      <c r="N575" s="77"/>
      <c r="O575" s="77"/>
      <c r="P575" s="76"/>
      <c r="Q575" s="76"/>
    </row>
    <row r="576" spans="3:17" hidden="1" outlineLevel="2" collapsed="1" x14ac:dyDescent="0.25">
      <c r="D576" s="84" t="s">
        <v>841</v>
      </c>
      <c r="E576" s="79"/>
      <c r="F576" s="79"/>
      <c r="G576" s="79"/>
      <c r="H576" s="80"/>
      <c r="I576" s="81"/>
      <c r="J576" s="83">
        <f>HYPERLINK("#Структура!E781",Структура!E781)</f>
        <v>1</v>
      </c>
      <c r="K576" s="115">
        <f>HYPERLINK("#Структура!G781",Структура!G781)</f>
        <v>2.8106399999999998</v>
      </c>
      <c r="L576" s="81">
        <f>M576/J576</f>
        <v>501.89760000000001</v>
      </c>
      <c r="M576" s="81">
        <f>SUMIF(E577,"*",M577)*J576</f>
        <v>501.89760000000001</v>
      </c>
      <c r="N576" s="124">
        <f>HYPERLINK("#Трудозатраты!B177",Трудозатраты!B177+SUMIF(E577,"*",O577))</f>
        <v>2.2999999999999998</v>
      </c>
      <c r="O576" s="82">
        <f>N576*J576</f>
        <v>2.2999999999999998</v>
      </c>
      <c r="P576" s="81">
        <f>O576/60*(1+запас_труд)*стоимость_трудочаса</f>
        <v>90.083333333333329</v>
      </c>
      <c r="Q576" s="129">
        <f>M576*(1+наценка_покупное)+P576</f>
        <v>692.36045333333334</v>
      </c>
    </row>
    <row r="577" spans="3:17" hidden="1" outlineLevel="3" x14ac:dyDescent="0.25">
      <c r="E577" s="74" t="s">
        <v>120</v>
      </c>
      <c r="F577" s="74"/>
      <c r="G577" s="74"/>
      <c r="H577" s="75"/>
      <c r="I577" s="76"/>
      <c r="J577" s="78">
        <f>HYPERLINK("#Структура!E791",Структура!E791)</f>
        <v>4.18248</v>
      </c>
      <c r="K577" s="114" t="str">
        <f>HYPERLINK("#Структура!G791","")</f>
        <v/>
      </c>
      <c r="L577" s="120">
        <f>HYPERLINK("#Покупные_изделия!D295",Покупные_изделия!D295)</f>
        <v>120</v>
      </c>
      <c r="M577" s="76">
        <f t="shared" ref="M577:M583" si="29">J577*L577</f>
        <v>501.89760000000001</v>
      </c>
      <c r="N577" s="77"/>
      <c r="O577" s="77"/>
      <c r="P577" s="76"/>
      <c r="Q577" s="76"/>
    </row>
    <row r="578" spans="3:17" hidden="1" outlineLevel="2" x14ac:dyDescent="0.25">
      <c r="D578" s="74" t="s">
        <v>65</v>
      </c>
      <c r="E578" s="74"/>
      <c r="F578" s="74"/>
      <c r="G578" s="74"/>
      <c r="H578" s="75"/>
      <c r="I578" s="76"/>
      <c r="J578" s="78">
        <f>HYPERLINK("#Структура!E782",Структура!E782)</f>
        <v>0.1</v>
      </c>
      <c r="K578" s="114" t="str">
        <f>HYPERLINK("#Структура!G782","")</f>
        <v/>
      </c>
      <c r="L578" s="120">
        <f>HYPERLINK("#Покупные_изделия!D197",Покупные_изделия!D197)</f>
        <v>264.50399999999996</v>
      </c>
      <c r="M578" s="76">
        <f t="shared" si="29"/>
        <v>26.450399999999998</v>
      </c>
      <c r="N578" s="77"/>
      <c r="O578" s="77"/>
      <c r="P578" s="76"/>
      <c r="Q578" s="76"/>
    </row>
    <row r="579" spans="3:17" hidden="1" outlineLevel="2" x14ac:dyDescent="0.25">
      <c r="D579" s="74" t="s">
        <v>67</v>
      </c>
      <c r="E579" s="74"/>
      <c r="F579" s="74"/>
      <c r="G579" s="74"/>
      <c r="H579" s="75"/>
      <c r="I579" s="76"/>
      <c r="J579" s="78">
        <f>HYPERLINK("#Структура!E783",Структура!E783)</f>
        <v>0.51</v>
      </c>
      <c r="K579" s="114" t="str">
        <f>HYPERLINK("#Структура!G783","")</f>
        <v/>
      </c>
      <c r="L579" s="120">
        <f>HYPERLINK("#Покупные_изделия!D203",Покупные_изделия!D203)</f>
        <v>30.003600000000002</v>
      </c>
      <c r="M579" s="76">
        <f t="shared" si="29"/>
        <v>15.301836000000002</v>
      </c>
      <c r="N579" s="77"/>
      <c r="O579" s="77"/>
      <c r="P579" s="76"/>
      <c r="Q579" s="76"/>
    </row>
    <row r="580" spans="3:17" hidden="1" outlineLevel="2" x14ac:dyDescent="0.25">
      <c r="D580" s="74" t="s">
        <v>146</v>
      </c>
      <c r="E580" s="74"/>
      <c r="F580" s="74"/>
      <c r="G580" s="74"/>
      <c r="H580" s="75"/>
      <c r="I580" s="76"/>
      <c r="J580" s="78">
        <f>HYPERLINK("#Структура!E784",Структура!E784)</f>
        <v>0.3</v>
      </c>
      <c r="K580" s="114" t="str">
        <f>HYPERLINK("#Структура!G784","")</f>
        <v/>
      </c>
      <c r="L580" s="120">
        <f>HYPERLINK("#Покупные_изделия!D406",Покупные_изделия!D406)</f>
        <v>105.996</v>
      </c>
      <c r="M580" s="76">
        <f t="shared" si="29"/>
        <v>31.798799999999996</v>
      </c>
      <c r="N580" s="77"/>
      <c r="O580" s="77"/>
      <c r="P580" s="76"/>
      <c r="Q580" s="76"/>
    </row>
    <row r="581" spans="3:17" hidden="1" outlineLevel="2" x14ac:dyDescent="0.25">
      <c r="D581" s="74" t="s">
        <v>155</v>
      </c>
      <c r="E581" s="74"/>
      <c r="F581" s="74"/>
      <c r="G581" s="74"/>
      <c r="H581" s="75"/>
      <c r="I581" s="76"/>
      <c r="J581" s="78">
        <f>HYPERLINK("#Структура!E785",Структура!E785)</f>
        <v>0.03</v>
      </c>
      <c r="K581" s="114" t="str">
        <f>HYPERLINK("#Структура!G785","")</f>
        <v/>
      </c>
      <c r="L581" s="120">
        <f>HYPERLINK("#Покупные_изделия!D423",Покупные_изделия!D423)</f>
        <v>218.28</v>
      </c>
      <c r="M581" s="76">
        <f t="shared" si="29"/>
        <v>6.5484</v>
      </c>
      <c r="N581" s="77"/>
      <c r="O581" s="77"/>
      <c r="P581" s="76"/>
      <c r="Q581" s="76"/>
    </row>
    <row r="582" spans="3:17" hidden="1" outlineLevel="2" x14ac:dyDescent="0.25">
      <c r="D582" s="74" t="s">
        <v>156</v>
      </c>
      <c r="E582" s="74"/>
      <c r="F582" s="74"/>
      <c r="G582" s="74"/>
      <c r="H582" s="75"/>
      <c r="I582" s="76"/>
      <c r="J582" s="78">
        <f>HYPERLINK("#Структура!E786",Структура!E786)</f>
        <v>0.1</v>
      </c>
      <c r="K582" s="114" t="str">
        <f>HYPERLINK("#Структура!G786","")</f>
        <v/>
      </c>
      <c r="L582" s="120">
        <f>HYPERLINK("#Покупные_изделия!D427",Покупные_изделия!D427)</f>
        <v>155.53200000000001</v>
      </c>
      <c r="M582" s="76">
        <f t="shared" si="29"/>
        <v>15.553200000000002</v>
      </c>
      <c r="N582" s="77"/>
      <c r="O582" s="77"/>
      <c r="P582" s="76"/>
      <c r="Q582" s="76"/>
    </row>
    <row r="583" spans="3:17" hidden="1" outlineLevel="2" x14ac:dyDescent="0.25">
      <c r="D583" s="74" t="s">
        <v>215</v>
      </c>
      <c r="E583" s="74"/>
      <c r="F583" s="74"/>
      <c r="G583" s="74"/>
      <c r="H583" s="75"/>
      <c r="I583" s="76"/>
      <c r="J583" s="78">
        <f>HYPERLINK("#Структура!E787",Структура!E787)</f>
        <v>0.2</v>
      </c>
      <c r="K583" s="114" t="str">
        <f>HYPERLINK("#Структура!G787","")</f>
        <v/>
      </c>
      <c r="L583" s="120">
        <f>HYPERLINK("#Покупные_изделия!D567",Покупные_изделия!D567)</f>
        <v>405.74399999999997</v>
      </c>
      <c r="M583" s="76">
        <f t="shared" si="29"/>
        <v>81.148799999999994</v>
      </c>
      <c r="N583" s="77"/>
      <c r="O583" s="77"/>
      <c r="P583" s="76"/>
      <c r="Q583" s="76"/>
    </row>
    <row r="584" spans="3:17" hidden="1" outlineLevel="1" collapsed="1" x14ac:dyDescent="0.25">
      <c r="C584" s="96" t="s">
        <v>843</v>
      </c>
      <c r="D584" s="91"/>
      <c r="E584" s="91"/>
      <c r="F584" s="91"/>
      <c r="G584" s="91"/>
      <c r="H584" s="92"/>
      <c r="I584" s="93"/>
      <c r="J584" s="95">
        <f>HYPERLINK("#Структура!E3246",Структура!E3246)</f>
        <v>2</v>
      </c>
      <c r="K584" s="116">
        <f>HYPERLINK("#Структура!G3246",Структура!G3246)</f>
        <v>8.9472199999999997</v>
      </c>
      <c r="L584" s="93">
        <f>M584/J584</f>
        <v>1032.3428623999998</v>
      </c>
      <c r="M584" s="93">
        <f>SUMIF(D585:D595,"*",M585:M595)*J584</f>
        <v>2064.6857247999997</v>
      </c>
      <c r="N584" s="125">
        <f>HYPERLINK("#Трудозатраты!B178",Трудозатраты!B178+SUMIF(D585:D595,"*",O585:O595))</f>
        <v>34.5</v>
      </c>
      <c r="O584" s="94">
        <f>N584*J584</f>
        <v>69</v>
      </c>
      <c r="P584" s="93">
        <f>O584/60*(1+запас_труд)*стоимость_трудочаса</f>
        <v>2702.5</v>
      </c>
      <c r="Q584" s="130">
        <f>M584*(1+наценка_покупное)+P584</f>
        <v>5180.12286976</v>
      </c>
    </row>
    <row r="585" spans="3:17" hidden="1" outlineLevel="2" collapsed="1" x14ac:dyDescent="0.25">
      <c r="D585" s="85" t="s">
        <v>842</v>
      </c>
      <c r="E585" s="86"/>
      <c r="F585" s="86"/>
      <c r="G585" s="86"/>
      <c r="H585" s="87"/>
      <c r="I585" s="88"/>
      <c r="J585" s="90">
        <f>HYPERLINK("#Структура!E792",Структура!E792)</f>
        <v>1</v>
      </c>
      <c r="K585" s="113">
        <f>HYPERLINK("#Структура!G792",Структура!G792)</f>
        <v>2.1742900000000001</v>
      </c>
      <c r="L585" s="88">
        <f>M585/J585</f>
        <v>240</v>
      </c>
      <c r="M585" s="88">
        <f>SUMIF(E586,"*",M586)*J585</f>
        <v>240</v>
      </c>
      <c r="N585" s="123">
        <f>HYPERLINK("#Трудозатраты!B179",Трудозатраты!B179+SUMIF(E586,"*",O586))</f>
        <v>13</v>
      </c>
      <c r="O585" s="89">
        <f>N585*J585</f>
        <v>13</v>
      </c>
      <c r="P585" s="88">
        <f>O585/60*(1+запас_труд)*стоимость_трудочаса</f>
        <v>509.16666666666669</v>
      </c>
      <c r="Q585" s="128">
        <f>M585*(1+наценка_покупное)+P585</f>
        <v>797.16666666666674</v>
      </c>
    </row>
    <row r="586" spans="3:17" hidden="1" outlineLevel="3" x14ac:dyDescent="0.25">
      <c r="E586" s="74" t="s">
        <v>191</v>
      </c>
      <c r="F586" s="74"/>
      <c r="G586" s="74"/>
      <c r="H586" s="75"/>
      <c r="I586" s="76"/>
      <c r="J586" s="78">
        <f>HYPERLINK("#Структура!E801",Структура!E801)</f>
        <v>2.4</v>
      </c>
      <c r="K586" s="114" t="str">
        <f>HYPERLINK("#Структура!G801","")</f>
        <v/>
      </c>
      <c r="L586" s="120">
        <f>HYPERLINK("#Покупные_изделия!D504",Покупные_изделия!D504)</f>
        <v>100</v>
      </c>
      <c r="M586" s="76">
        <f>J586*L586</f>
        <v>240</v>
      </c>
      <c r="N586" s="77"/>
      <c r="O586" s="77"/>
      <c r="P586" s="76"/>
      <c r="Q586" s="76"/>
    </row>
    <row r="587" spans="3:17" hidden="1" outlineLevel="2" collapsed="1" x14ac:dyDescent="0.25">
      <c r="D587" s="84" t="s">
        <v>844</v>
      </c>
      <c r="E587" s="79"/>
      <c r="F587" s="79"/>
      <c r="G587" s="79"/>
      <c r="H587" s="80"/>
      <c r="I587" s="81"/>
      <c r="J587" s="83">
        <f>HYPERLINK("#Структура!E793",Структура!E793)</f>
        <v>1</v>
      </c>
      <c r="K587" s="115">
        <f>HYPERLINK("#Структура!G793",Структура!G793)</f>
        <v>6.7729200000000001</v>
      </c>
      <c r="L587" s="81">
        <f>M587/J587</f>
        <v>710</v>
      </c>
      <c r="M587" s="81">
        <f>SUMIF(E588,"*",M588)*J587</f>
        <v>710</v>
      </c>
      <c r="N587" s="124">
        <f>HYPERLINK("#Трудозатраты!B180",Трудозатраты!B180+SUMIF(E588,"*",O588))</f>
        <v>13</v>
      </c>
      <c r="O587" s="82">
        <f>N587*J587</f>
        <v>13</v>
      </c>
      <c r="P587" s="81">
        <f>O587/60*(1+запас_труд)*стоимость_трудочаса</f>
        <v>509.16666666666669</v>
      </c>
      <c r="Q587" s="129">
        <f>M587*(1+наценка_покупное)+P587</f>
        <v>1361.1666666666667</v>
      </c>
    </row>
    <row r="588" spans="3:17" hidden="1" outlineLevel="3" x14ac:dyDescent="0.25">
      <c r="E588" s="74" t="s">
        <v>191</v>
      </c>
      <c r="F588" s="74"/>
      <c r="G588" s="74"/>
      <c r="H588" s="75"/>
      <c r="I588" s="76"/>
      <c r="J588" s="78">
        <f>HYPERLINK("#Структура!E802",Структура!E802)</f>
        <v>7.1</v>
      </c>
      <c r="K588" s="114" t="str">
        <f>HYPERLINK("#Структура!G802","")</f>
        <v/>
      </c>
      <c r="L588" s="120">
        <f>HYPERLINK("#Покупные_изделия!D504",Покупные_изделия!D504)</f>
        <v>100</v>
      </c>
      <c r="M588" s="76">
        <f t="shared" ref="M588:M595" si="30">J588*L588</f>
        <v>710</v>
      </c>
      <c r="N588" s="77"/>
      <c r="O588" s="77"/>
      <c r="P588" s="76"/>
      <c r="Q588" s="76"/>
    </row>
    <row r="589" spans="3:17" hidden="1" outlineLevel="2" x14ac:dyDescent="0.25">
      <c r="D589" s="74" t="s">
        <v>65</v>
      </c>
      <c r="E589" s="74"/>
      <c r="F589" s="74"/>
      <c r="G589" s="74"/>
      <c r="H589" s="75"/>
      <c r="I589" s="76"/>
      <c r="J589" s="78">
        <f>HYPERLINK("#Структура!E794",Структура!E794)</f>
        <v>0.06</v>
      </c>
      <c r="K589" s="114" t="str">
        <f>HYPERLINK("#Структура!G794","")</f>
        <v/>
      </c>
      <c r="L589" s="120">
        <f>HYPERLINK("#Покупные_изделия!D197",Покупные_изделия!D197)</f>
        <v>264.50399999999996</v>
      </c>
      <c r="M589" s="76">
        <f t="shared" si="30"/>
        <v>15.870239999999997</v>
      </c>
      <c r="N589" s="77"/>
      <c r="O589" s="77"/>
      <c r="P589" s="76"/>
      <c r="Q589" s="76"/>
    </row>
    <row r="590" spans="3:17" hidden="1" outlineLevel="2" x14ac:dyDescent="0.25">
      <c r="D590" s="74" t="s">
        <v>67</v>
      </c>
      <c r="E590" s="74"/>
      <c r="F590" s="74"/>
      <c r="G590" s="74"/>
      <c r="H590" s="75"/>
      <c r="I590" s="76"/>
      <c r="J590" s="78">
        <f>HYPERLINK("#Структура!E795",Структура!E795)</f>
        <v>3.4000000000000002E-2</v>
      </c>
      <c r="K590" s="114" t="str">
        <f>HYPERLINK("#Структура!G795","")</f>
        <v/>
      </c>
      <c r="L590" s="120">
        <f>HYPERLINK("#Покупные_изделия!D203",Покупные_изделия!D203)</f>
        <v>30.003600000000002</v>
      </c>
      <c r="M590" s="76">
        <f t="shared" si="30"/>
        <v>1.0201224000000002</v>
      </c>
      <c r="N590" s="77"/>
      <c r="O590" s="77"/>
      <c r="P590" s="76"/>
      <c r="Q590" s="76"/>
    </row>
    <row r="591" spans="3:17" hidden="1" outlineLevel="2" x14ac:dyDescent="0.25">
      <c r="D591" s="74" t="s">
        <v>146</v>
      </c>
      <c r="E591" s="74"/>
      <c r="F591" s="74"/>
      <c r="G591" s="74"/>
      <c r="H591" s="75"/>
      <c r="I591" s="76"/>
      <c r="J591" s="78">
        <f>HYPERLINK("#Структура!E796",Структура!E796)</f>
        <v>0.02</v>
      </c>
      <c r="K591" s="114" t="str">
        <f>HYPERLINK("#Структура!G796","")</f>
        <v/>
      </c>
      <c r="L591" s="120">
        <f>HYPERLINK("#Покупные_изделия!D406",Покупные_изделия!D406)</f>
        <v>105.996</v>
      </c>
      <c r="M591" s="76">
        <f t="shared" si="30"/>
        <v>2.11992</v>
      </c>
      <c r="N591" s="77"/>
      <c r="O591" s="77"/>
      <c r="P591" s="76"/>
      <c r="Q591" s="76"/>
    </row>
    <row r="592" spans="3:17" hidden="1" outlineLevel="2" x14ac:dyDescent="0.25">
      <c r="D592" s="74" t="s">
        <v>155</v>
      </c>
      <c r="E592" s="74"/>
      <c r="F592" s="74"/>
      <c r="G592" s="74"/>
      <c r="H592" s="75"/>
      <c r="I592" s="76"/>
      <c r="J592" s="78">
        <f>HYPERLINK("#Структура!E797",Структура!E797)</f>
        <v>1.7999999999999999E-2</v>
      </c>
      <c r="K592" s="114" t="str">
        <f>HYPERLINK("#Структура!G797","")</f>
        <v/>
      </c>
      <c r="L592" s="120">
        <f>HYPERLINK("#Покупные_изделия!D423",Покупные_изделия!D423)</f>
        <v>218.28</v>
      </c>
      <c r="M592" s="76">
        <f t="shared" si="30"/>
        <v>3.9290399999999996</v>
      </c>
      <c r="N592" s="77"/>
      <c r="O592" s="77"/>
      <c r="P592" s="76"/>
      <c r="Q592" s="76"/>
    </row>
    <row r="593" spans="3:17" hidden="1" outlineLevel="2" x14ac:dyDescent="0.25">
      <c r="D593" s="74" t="s">
        <v>156</v>
      </c>
      <c r="E593" s="74"/>
      <c r="F593" s="74"/>
      <c r="G593" s="74"/>
      <c r="H593" s="75"/>
      <c r="I593" s="76"/>
      <c r="J593" s="78">
        <f>HYPERLINK("#Структура!E798",Структура!E798)</f>
        <v>5.5E-2</v>
      </c>
      <c r="K593" s="114" t="str">
        <f>HYPERLINK("#Структура!G798","")</f>
        <v/>
      </c>
      <c r="L593" s="120">
        <f>HYPERLINK("#Покупные_изделия!D427",Покупные_изделия!D427)</f>
        <v>155.53200000000001</v>
      </c>
      <c r="M593" s="76">
        <f t="shared" si="30"/>
        <v>8.5542600000000011</v>
      </c>
      <c r="N593" s="77"/>
      <c r="O593" s="77"/>
      <c r="P593" s="76"/>
      <c r="Q593" s="76"/>
    </row>
    <row r="594" spans="3:17" hidden="1" outlineLevel="2" x14ac:dyDescent="0.25">
      <c r="D594" s="74" t="s">
        <v>200</v>
      </c>
      <c r="E594" s="74"/>
      <c r="F594" s="74"/>
      <c r="G594" s="74"/>
      <c r="H594" s="75"/>
      <c r="I594" s="76"/>
      <c r="J594" s="78">
        <f>HYPERLINK("#Структура!E799",Структура!E799)</f>
        <v>8.0000000000000002E-3</v>
      </c>
      <c r="K594" s="114" t="str">
        <f>HYPERLINK("#Структура!G799","")</f>
        <v/>
      </c>
      <c r="L594" s="120">
        <f>HYPERLINK("#Покупные_изделия!D518",Покупные_изделия!D518)</f>
        <v>270</v>
      </c>
      <c r="M594" s="76">
        <f t="shared" si="30"/>
        <v>2.16</v>
      </c>
      <c r="N594" s="77"/>
      <c r="O594" s="77"/>
      <c r="P594" s="76"/>
      <c r="Q594" s="76"/>
    </row>
    <row r="595" spans="3:17" hidden="1" outlineLevel="2" x14ac:dyDescent="0.25">
      <c r="D595" s="74" t="s">
        <v>215</v>
      </c>
      <c r="E595" s="74"/>
      <c r="F595" s="74"/>
      <c r="G595" s="74"/>
      <c r="H595" s="75"/>
      <c r="I595" s="76"/>
      <c r="J595" s="78">
        <f>HYPERLINK("#Структура!E800",Структура!E800)</f>
        <v>0.12</v>
      </c>
      <c r="K595" s="114" t="str">
        <f>HYPERLINK("#Структура!G800","")</f>
        <v/>
      </c>
      <c r="L595" s="120">
        <f>HYPERLINK("#Покупные_изделия!D567",Покупные_изделия!D567)</f>
        <v>405.74399999999997</v>
      </c>
      <c r="M595" s="76">
        <f t="shared" si="30"/>
        <v>48.689279999999997</v>
      </c>
      <c r="N595" s="77"/>
      <c r="O595" s="77"/>
      <c r="P595" s="76"/>
      <c r="Q595" s="76"/>
    </row>
    <row r="596" spans="3:17" hidden="1" outlineLevel="1" collapsed="1" x14ac:dyDescent="0.25">
      <c r="C596" s="96" t="s">
        <v>968</v>
      </c>
      <c r="D596" s="91"/>
      <c r="E596" s="91"/>
      <c r="F596" s="91"/>
      <c r="G596" s="91"/>
      <c r="H596" s="92"/>
      <c r="I596" s="93"/>
      <c r="J596" s="95">
        <f>HYPERLINK("#Структура!E3247",Структура!E3247)</f>
        <v>1</v>
      </c>
      <c r="K596" s="116">
        <f>HYPERLINK("#Структура!G3247",Структура!G3247)</f>
        <v>1770.0199600000001</v>
      </c>
      <c r="L596" s="93">
        <f>M596/J596</f>
        <v>497280.11552214727</v>
      </c>
      <c r="M596" s="93">
        <f>SUMIF(D597:D718,"*",M597:M718)*J596</f>
        <v>497280.11552214727</v>
      </c>
      <c r="N596" s="125">
        <f>HYPERLINK("#Трудозатраты!B290",Трудозатраты!B290+SUMIF(D597:D718,"*",O597:O718))</f>
        <v>16421.95</v>
      </c>
      <c r="O596" s="94">
        <f>N596*J596</f>
        <v>16421.95</v>
      </c>
      <c r="P596" s="93">
        <f>O596/60*(1+запас_труд)*стоимость_трудочаса</f>
        <v>643193.04166666663</v>
      </c>
      <c r="Q596" s="130">
        <f>M596*(1+наценка_покупное)+P596</f>
        <v>1239929.1802932434</v>
      </c>
    </row>
    <row r="597" spans="3:17" hidden="1" outlineLevel="2" collapsed="1" x14ac:dyDescent="0.25">
      <c r="D597" s="97" t="s">
        <v>967</v>
      </c>
      <c r="E597" s="98"/>
      <c r="F597" s="98"/>
      <c r="G597" s="98"/>
      <c r="H597" s="99"/>
      <c r="I597" s="100"/>
      <c r="J597" s="102">
        <f>HYPERLINK("#Структура!E1136",Структура!E1136)</f>
        <v>1</v>
      </c>
      <c r="K597" s="112">
        <f>HYPERLINK("#Структура!G1136",Структура!G1136)</f>
        <v>51.414940000000001</v>
      </c>
      <c r="L597" s="100">
        <f>M597/J597</f>
        <v>24729.610692294737</v>
      </c>
      <c r="M597" s="100">
        <f>SUMIF(E598:E633,"*",M598:M633)*J597</f>
        <v>24729.610692294737</v>
      </c>
      <c r="N597" s="122">
        <f>HYPERLINK("#Трудозатраты!B322",Трудозатраты!B322+SUMIF(E598:E633,"*",O598:O633))</f>
        <v>492.5</v>
      </c>
      <c r="O597" s="101">
        <f>N597*J597</f>
        <v>492.5</v>
      </c>
      <c r="P597" s="100">
        <f>O597/60*(1+запас_труд)*стоимость_трудочаса</f>
        <v>19289.583333333336</v>
      </c>
      <c r="Q597" s="127">
        <f>M597*(1+наценка_покупное)+P597</f>
        <v>48965.11616408702</v>
      </c>
    </row>
    <row r="598" spans="3:17" hidden="1" outlineLevel="3" collapsed="1" x14ac:dyDescent="0.25">
      <c r="E598" s="97" t="s">
        <v>1004</v>
      </c>
      <c r="F598" s="98"/>
      <c r="G598" s="98"/>
      <c r="H598" s="99"/>
      <c r="I598" s="100"/>
      <c r="J598" s="102">
        <f>HYPERLINK("#Структура!E1207",Структура!E1207)</f>
        <v>2</v>
      </c>
      <c r="K598" s="112">
        <f>HYPERLINK("#Структура!G1207",Структура!G1207)</f>
        <v>10.6226</v>
      </c>
      <c r="L598" s="100">
        <f>M598/J598</f>
        <v>2088.5815572000001</v>
      </c>
      <c r="M598" s="100">
        <f>SUMIF(F599:F610,"*",M599:M610)*J598</f>
        <v>4177.1631144000003</v>
      </c>
      <c r="N598" s="122">
        <f>HYPERLINK("#Трудозатраты!B328",Трудозатраты!B328+SUMIF(F599:F610,"*",O599:O610))</f>
        <v>83.7</v>
      </c>
      <c r="O598" s="101">
        <f>N598*J598</f>
        <v>167.4</v>
      </c>
      <c r="P598" s="100">
        <f>O598/60*(1+запас_труд)*стоимость_трудочаса</f>
        <v>6556.5</v>
      </c>
      <c r="Q598" s="127">
        <f>M598*(1+наценка_покупное)+P598</f>
        <v>11569.09573728</v>
      </c>
    </row>
    <row r="599" spans="3:17" hidden="1" outlineLevel="4" collapsed="1" x14ac:dyDescent="0.25">
      <c r="F599" s="85" t="s">
        <v>1013</v>
      </c>
      <c r="G599" s="86"/>
      <c r="H599" s="87"/>
      <c r="I599" s="88"/>
      <c r="J599" s="90">
        <f>HYPERLINK("#Структура!E1232",Структура!E1232)</f>
        <v>1</v>
      </c>
      <c r="K599" s="113">
        <f>HYPERLINK("#Структура!G1232",Структура!G1232)</f>
        <v>10.44234</v>
      </c>
      <c r="L599" s="88">
        <f>M599/J599</f>
        <v>2016.6640000000002</v>
      </c>
      <c r="M599" s="88">
        <f>SUMIF(G600,"*",M600)*J599</f>
        <v>2016.6640000000002</v>
      </c>
      <c r="N599" s="123">
        <f>HYPERLINK("#Трудозатраты!B329",Трудозатраты!B329+SUMIF(G600,"*",O600))</f>
        <v>46.5</v>
      </c>
      <c r="O599" s="89">
        <f>N599*J599</f>
        <v>46.5</v>
      </c>
      <c r="P599" s="88">
        <f>O599/60*(1+запас_труд)*стоимость_трудочаса</f>
        <v>1821.25</v>
      </c>
      <c r="Q599" s="128">
        <f>M599*(1+наценка_покупное)+P599</f>
        <v>4241.2468000000008</v>
      </c>
    </row>
    <row r="600" spans="3:17" hidden="1" outlineLevel="5" x14ac:dyDescent="0.25">
      <c r="G600" s="74" t="s">
        <v>130</v>
      </c>
      <c r="H600" s="75"/>
      <c r="I600" s="76"/>
      <c r="J600" s="78">
        <f>HYPERLINK("#Структура!E1237",Структура!E1237)</f>
        <v>12.604150000000001</v>
      </c>
      <c r="K600" s="114" t="str">
        <f>HYPERLINK("#Структура!G1237","")</f>
        <v/>
      </c>
      <c r="L600" s="120">
        <f>HYPERLINK("#Покупные_изделия!D305",Покупные_изделия!D305)</f>
        <v>160</v>
      </c>
      <c r="M600" s="76">
        <f>J600*L600</f>
        <v>2016.6640000000002</v>
      </c>
      <c r="N600" s="77"/>
      <c r="O600" s="77"/>
      <c r="P600" s="76"/>
      <c r="Q600" s="76"/>
    </row>
    <row r="601" spans="3:17" hidden="1" outlineLevel="4" collapsed="1" x14ac:dyDescent="0.25">
      <c r="F601" s="84" t="s">
        <v>1014</v>
      </c>
      <c r="G601" s="79"/>
      <c r="H601" s="80"/>
      <c r="I601" s="81"/>
      <c r="J601" s="83">
        <f>HYPERLINK("#Структура!E1233",Структура!E1233)</f>
        <v>1</v>
      </c>
      <c r="K601" s="115">
        <f>HYPERLINK("#Структура!G1233",Структура!G1233)</f>
        <v>7.9399999999999991E-3</v>
      </c>
      <c r="L601" s="81">
        <f>M601/J601</f>
        <v>2.0900000000000003</v>
      </c>
      <c r="M601" s="81">
        <f>SUMIF(G602,"*",M602)*J601</f>
        <v>2.0900000000000003</v>
      </c>
      <c r="N601" s="124">
        <f>HYPERLINK("#Трудозатраты!B330",Трудозатраты!B330+SUMIF(G602,"*",O602))</f>
        <v>3.5</v>
      </c>
      <c r="O601" s="82">
        <f>N601*J601</f>
        <v>3.5</v>
      </c>
      <c r="P601" s="81">
        <f>O601/60*(1+запас_труд)*стоимость_трудочаса</f>
        <v>137.08333333333334</v>
      </c>
      <c r="Q601" s="129">
        <f>M601*(1+наценка_покупное)+P601</f>
        <v>139.59133333333335</v>
      </c>
    </row>
    <row r="602" spans="3:17" hidden="1" outlineLevel="5" x14ac:dyDescent="0.25">
      <c r="G602" s="74" t="s">
        <v>142</v>
      </c>
      <c r="H602" s="75"/>
      <c r="I602" s="76"/>
      <c r="J602" s="78">
        <f>HYPERLINK("#Структура!E1238",Структура!E1238)</f>
        <v>9.4999999999999998E-3</v>
      </c>
      <c r="K602" s="114" t="str">
        <f>HYPERLINK("#Структура!G1238","")</f>
        <v/>
      </c>
      <c r="L602" s="120">
        <f>HYPERLINK("#Покупные_изделия!D382",Покупные_изделия!D382)</f>
        <v>220.00000000000003</v>
      </c>
      <c r="M602" s="76">
        <f>J602*L602</f>
        <v>2.0900000000000003</v>
      </c>
      <c r="N602" s="77"/>
      <c r="O602" s="77"/>
      <c r="P602" s="76"/>
      <c r="Q602" s="76"/>
    </row>
    <row r="603" spans="3:17" hidden="1" outlineLevel="4" collapsed="1" x14ac:dyDescent="0.25">
      <c r="F603" s="84" t="s">
        <v>1015</v>
      </c>
      <c r="G603" s="79"/>
      <c r="H603" s="80"/>
      <c r="I603" s="81"/>
      <c r="J603" s="83">
        <f>HYPERLINK("#Структура!E1234",Структура!E1234)</f>
        <v>1</v>
      </c>
      <c r="K603" s="115">
        <f>HYPERLINK("#Структура!G1234",Структура!G1234)</f>
        <v>0.16846</v>
      </c>
      <c r="L603" s="81">
        <f>M603/J603</f>
        <v>52.303597199999999</v>
      </c>
      <c r="M603" s="81">
        <f>SUMIF(G604:G608,"*",M604:M608)*J603</f>
        <v>52.303597199999999</v>
      </c>
      <c r="N603" s="124">
        <f>HYPERLINK("#Трудозатраты!B331",Трудозатраты!B331+SUMIF(G604:G608,"*",O604:O608))</f>
        <v>23.7</v>
      </c>
      <c r="O603" s="82">
        <f>N603*J603</f>
        <v>23.7</v>
      </c>
      <c r="P603" s="81">
        <f>O603/60*(1+запас_труд)*стоимость_трудочаса</f>
        <v>928.24999999999989</v>
      </c>
      <c r="Q603" s="129">
        <f>M603*(1+наценка_покупное)+P603</f>
        <v>991.01431663999983</v>
      </c>
    </row>
    <row r="604" spans="3:17" hidden="1" outlineLevel="5" x14ac:dyDescent="0.25">
      <c r="G604" s="74" t="s">
        <v>44</v>
      </c>
      <c r="H604" s="75"/>
      <c r="I604" s="76"/>
      <c r="J604" s="78">
        <f>HYPERLINK("#Структура!E1239",Структура!E1239)</f>
        <v>4.0000000000000001E-3</v>
      </c>
      <c r="K604" s="114" t="str">
        <f>HYPERLINK("#Структура!G1239","")</f>
        <v/>
      </c>
      <c r="L604" s="120">
        <f>HYPERLINK("#Покупные_изделия!D63",Покупные_изделия!D63)</f>
        <v>396.00000000000006</v>
      </c>
      <c r="M604" s="76">
        <f t="shared" ref="M604:M610" si="31">J604*L604</f>
        <v>1.5840000000000003</v>
      </c>
      <c r="N604" s="77"/>
      <c r="O604" s="77"/>
      <c r="P604" s="76"/>
      <c r="Q604" s="76"/>
    </row>
    <row r="605" spans="3:17" hidden="1" outlineLevel="5" x14ac:dyDescent="0.25">
      <c r="G605" s="74" t="s">
        <v>120</v>
      </c>
      <c r="H605" s="75"/>
      <c r="I605" s="76"/>
      <c r="J605" s="78">
        <f>HYPERLINK("#Структура!E1240",Структура!E1240)</f>
        <v>0.40836</v>
      </c>
      <c r="K605" s="114" t="str">
        <f>HYPERLINK("#Структура!G1240","")</f>
        <v/>
      </c>
      <c r="L605" s="120">
        <f>HYPERLINK("#Покупные_изделия!D295",Покупные_изделия!D295)</f>
        <v>120</v>
      </c>
      <c r="M605" s="76">
        <f t="shared" si="31"/>
        <v>49.0032</v>
      </c>
      <c r="N605" s="77"/>
      <c r="O605" s="77"/>
      <c r="P605" s="76"/>
      <c r="Q605" s="76"/>
    </row>
    <row r="606" spans="3:17" hidden="1" outlineLevel="5" x14ac:dyDescent="0.25">
      <c r="G606" s="74" t="s">
        <v>139</v>
      </c>
      <c r="H606" s="75"/>
      <c r="I606" s="76"/>
      <c r="J606" s="78">
        <f>HYPERLINK("#Структура!E1241",Структура!E1241)</f>
        <v>1E-3</v>
      </c>
      <c r="K606" s="114" t="str">
        <f>HYPERLINK("#Структура!G1241","")</f>
        <v/>
      </c>
      <c r="L606" s="120">
        <f>HYPERLINK("#Покупные_изделия!D360",Покупные_изделия!D360)</f>
        <v>171.87720000000002</v>
      </c>
      <c r="M606" s="76">
        <f t="shared" si="31"/>
        <v>0.17187720000000001</v>
      </c>
      <c r="N606" s="77"/>
      <c r="O606" s="77"/>
      <c r="P606" s="76"/>
      <c r="Q606" s="76"/>
    </row>
    <row r="607" spans="3:17" hidden="1" outlineLevel="5" x14ac:dyDescent="0.25">
      <c r="G607" s="74" t="s">
        <v>156</v>
      </c>
      <c r="H607" s="75"/>
      <c r="I607" s="76"/>
      <c r="J607" s="78">
        <f>HYPERLINK("#Структура!E1242",Структура!E1242)</f>
        <v>1E-3</v>
      </c>
      <c r="K607" s="114" t="str">
        <f>HYPERLINK("#Структура!G1242","")</f>
        <v/>
      </c>
      <c r="L607" s="120">
        <f>HYPERLINK("#Покупные_изделия!D427",Покупные_изделия!D427)</f>
        <v>155.53200000000001</v>
      </c>
      <c r="M607" s="76">
        <f t="shared" si="31"/>
        <v>0.155532</v>
      </c>
      <c r="N607" s="77"/>
      <c r="O607" s="77"/>
      <c r="P607" s="76"/>
      <c r="Q607" s="76"/>
    </row>
    <row r="608" spans="3:17" hidden="1" outlineLevel="5" x14ac:dyDescent="0.25">
      <c r="G608" s="74" t="s">
        <v>202</v>
      </c>
      <c r="H608" s="75"/>
      <c r="I608" s="76"/>
      <c r="J608" s="78">
        <f>HYPERLINK("#Структура!E1243",Структура!E1243)</f>
        <v>3.0000000000000001E-3</v>
      </c>
      <c r="K608" s="114" t="str">
        <f>HYPERLINK("#Структура!G1243","")</f>
        <v/>
      </c>
      <c r="L608" s="120">
        <f>HYPERLINK("#Покупные_изделия!D521",Покупные_изделия!D521)</f>
        <v>462.99599999999998</v>
      </c>
      <c r="M608" s="76">
        <f t="shared" si="31"/>
        <v>1.3889879999999999</v>
      </c>
      <c r="N608" s="77"/>
      <c r="O608" s="77"/>
      <c r="P608" s="76"/>
      <c r="Q608" s="76"/>
    </row>
    <row r="609" spans="5:17" hidden="1" outlineLevel="4" x14ac:dyDescent="0.25">
      <c r="F609" s="74" t="s">
        <v>1016</v>
      </c>
      <c r="G609" s="74"/>
      <c r="H609" s="75"/>
      <c r="I609" s="76"/>
      <c r="J609" s="78">
        <f>HYPERLINK("#Структура!E1235",Структура!E1235)</f>
        <v>4</v>
      </c>
      <c r="K609" s="114">
        <f>HYPERLINK("#Структура!G1235",Структура!G1235)</f>
        <v>3.9399999999999999E-3</v>
      </c>
      <c r="L609" s="120">
        <f>HYPERLINK("#Покупные_изделия!D81",Покупные_изделия!D81)</f>
        <v>1.9809899999999998</v>
      </c>
      <c r="M609" s="76">
        <f t="shared" si="31"/>
        <v>7.9239599999999992</v>
      </c>
      <c r="N609" s="77"/>
      <c r="O609" s="77"/>
      <c r="P609" s="76"/>
      <c r="Q609" s="76"/>
    </row>
    <row r="610" spans="5:17" hidden="1" outlineLevel="4" x14ac:dyDescent="0.25">
      <c r="F610" s="74" t="s">
        <v>1017</v>
      </c>
      <c r="G610" s="74"/>
      <c r="H610" s="75"/>
      <c r="I610" s="76"/>
      <c r="J610" s="78">
        <f>HYPERLINK("#Структура!E1236",Структура!E1236)</f>
        <v>4</v>
      </c>
      <c r="K610" s="114">
        <f>HYPERLINK("#Структура!G1236",Структура!G1236)</f>
        <v>1.8E-3</v>
      </c>
      <c r="L610" s="120">
        <f>HYPERLINK("#Покупные_изделия!D166",Покупные_изделия!D166)</f>
        <v>2.4</v>
      </c>
      <c r="M610" s="76">
        <f t="shared" si="31"/>
        <v>9.6</v>
      </c>
      <c r="N610" s="77"/>
      <c r="O610" s="77"/>
      <c r="P610" s="76"/>
      <c r="Q610" s="76"/>
    </row>
    <row r="611" spans="5:17" hidden="1" outlineLevel="3" collapsed="1" x14ac:dyDescent="0.25">
      <c r="E611" s="84" t="s">
        <v>1005</v>
      </c>
      <c r="F611" s="79"/>
      <c r="G611" s="79"/>
      <c r="H611" s="80"/>
      <c r="I611" s="81"/>
      <c r="J611" s="83">
        <f>HYPERLINK("#Структура!E1208",Структура!E1208)</f>
        <v>1</v>
      </c>
      <c r="K611" s="115">
        <f>HYPERLINK("#Структура!G1208",Структура!G1208)</f>
        <v>24.17606</v>
      </c>
      <c r="L611" s="81">
        <f>M611/J611</f>
        <v>7725.7327999999998</v>
      </c>
      <c r="M611" s="81">
        <f>SUMIF(F612,"*",M612)*J611</f>
        <v>7725.7327999999998</v>
      </c>
      <c r="N611" s="124">
        <f>HYPERLINK("#Трудозатраты!B323",Трудозатраты!B323+SUMIF(F612,"*",O612))</f>
        <v>50.5</v>
      </c>
      <c r="O611" s="82">
        <f>N611*J611</f>
        <v>50.5</v>
      </c>
      <c r="P611" s="81">
        <f>O611/60*(1+запас_труд)*стоимость_трудочаса</f>
        <v>1977.9166666666667</v>
      </c>
      <c r="Q611" s="129">
        <f>M611*(1+наценка_покупное)+P611</f>
        <v>11248.796026666665</v>
      </c>
    </row>
    <row r="612" spans="5:17" hidden="1" outlineLevel="4" x14ac:dyDescent="0.25">
      <c r="F612" s="74" t="s">
        <v>130</v>
      </c>
      <c r="G612" s="74"/>
      <c r="H612" s="75"/>
      <c r="I612" s="76"/>
      <c r="J612" s="78">
        <f>HYPERLINK("#Структура!E1227",Структура!E1227)</f>
        <v>48.285829999999997</v>
      </c>
      <c r="K612" s="114" t="str">
        <f>HYPERLINK("#Структура!G1227","")</f>
        <v/>
      </c>
      <c r="L612" s="120">
        <f>HYPERLINK("#Покупные_изделия!D305",Покупные_изделия!D305)</f>
        <v>160</v>
      </c>
      <c r="M612" s="76">
        <f>J612*L612</f>
        <v>7725.7327999999998</v>
      </c>
      <c r="N612" s="77"/>
      <c r="O612" s="77"/>
      <c r="P612" s="76"/>
      <c r="Q612" s="76"/>
    </row>
    <row r="613" spans="5:17" hidden="1" outlineLevel="3" collapsed="1" x14ac:dyDescent="0.25">
      <c r="E613" s="84" t="s">
        <v>1006</v>
      </c>
      <c r="F613" s="79"/>
      <c r="G613" s="79"/>
      <c r="H613" s="80"/>
      <c r="I613" s="81"/>
      <c r="J613" s="83">
        <f>HYPERLINK("#Структура!E1209",Структура!E1209)</f>
        <v>8</v>
      </c>
      <c r="K613" s="115">
        <f>HYPERLINK("#Структура!G1209",Структура!G1209)</f>
        <v>3.4200000000000001E-2</v>
      </c>
      <c r="L613" s="81">
        <f>M613/J613</f>
        <v>6.9328000000000003</v>
      </c>
      <c r="M613" s="81">
        <f>SUMIF(F614,"*",M614)*J613</f>
        <v>55.462400000000002</v>
      </c>
      <c r="N613" s="124">
        <f>HYPERLINK("#Трудозатраты!B324",Трудозатраты!B324+SUMIF(F614,"*",O614))</f>
        <v>9</v>
      </c>
      <c r="O613" s="82">
        <f>N613*J613</f>
        <v>72</v>
      </c>
      <c r="P613" s="81">
        <f>O613/60*(1+запас_труд)*стоимость_трудочаса</f>
        <v>2820</v>
      </c>
      <c r="Q613" s="129">
        <f>M613*(1+наценка_покупное)+P613</f>
        <v>2886.5548800000001</v>
      </c>
    </row>
    <row r="614" spans="5:17" hidden="1" outlineLevel="4" x14ac:dyDescent="0.25">
      <c r="F614" s="74" t="s">
        <v>130</v>
      </c>
      <c r="G614" s="74"/>
      <c r="H614" s="75"/>
      <c r="I614" s="76"/>
      <c r="J614" s="78">
        <f>HYPERLINK("#Структура!E1228",Структура!E1228)</f>
        <v>4.333E-2</v>
      </c>
      <c r="K614" s="114" t="str">
        <f>HYPERLINK("#Структура!G1228","")</f>
        <v/>
      </c>
      <c r="L614" s="120">
        <f>HYPERLINK("#Покупные_изделия!D305",Покупные_изделия!D305)</f>
        <v>160</v>
      </c>
      <c r="M614" s="76">
        <f>J614*L614</f>
        <v>6.9328000000000003</v>
      </c>
      <c r="N614" s="77"/>
      <c r="O614" s="77"/>
      <c r="P614" s="76"/>
      <c r="Q614" s="76"/>
    </row>
    <row r="615" spans="5:17" hidden="1" outlineLevel="3" collapsed="1" x14ac:dyDescent="0.25">
      <c r="E615" s="84" t="s">
        <v>1007</v>
      </c>
      <c r="F615" s="79"/>
      <c r="G615" s="79"/>
      <c r="H615" s="80"/>
      <c r="I615" s="81"/>
      <c r="J615" s="83">
        <f>HYPERLINK("#Структура!E1210",Структура!E1210)</f>
        <v>2</v>
      </c>
      <c r="K615" s="115">
        <f>HYPERLINK("#Структура!G1210",Структура!G1210)</f>
        <v>1.09711</v>
      </c>
      <c r="L615" s="81">
        <f>M615/J615</f>
        <v>201.12639999999999</v>
      </c>
      <c r="M615" s="81">
        <f>SUMIF(F616,"*",M616)*J615</f>
        <v>402.25279999999998</v>
      </c>
      <c r="N615" s="124">
        <f>HYPERLINK("#Трудозатраты!B325",Трудозатраты!B325+SUMIF(F616,"*",O616))</f>
        <v>12.3</v>
      </c>
      <c r="O615" s="82">
        <f>N615*J615</f>
        <v>24.6</v>
      </c>
      <c r="P615" s="81">
        <f>O615/60*(1+запас_труд)*стоимость_трудочаса</f>
        <v>963.50000000000011</v>
      </c>
      <c r="Q615" s="129">
        <f>M615*(1+наценка_покупное)+P615</f>
        <v>1446.20336</v>
      </c>
    </row>
    <row r="616" spans="5:17" hidden="1" outlineLevel="4" x14ac:dyDescent="0.25">
      <c r="F616" s="74" t="s">
        <v>130</v>
      </c>
      <c r="G616" s="74"/>
      <c r="H616" s="75"/>
      <c r="I616" s="76"/>
      <c r="J616" s="78">
        <f>HYPERLINK("#Структура!E1229",Структура!E1229)</f>
        <v>1.2570399999999999</v>
      </c>
      <c r="K616" s="114" t="str">
        <f>HYPERLINK("#Структура!G1229","")</f>
        <v/>
      </c>
      <c r="L616" s="120">
        <f>HYPERLINK("#Покупные_изделия!D305",Покупные_изделия!D305)</f>
        <v>160</v>
      </c>
      <c r="M616" s="76">
        <f>J616*L616</f>
        <v>201.12639999999999</v>
      </c>
      <c r="N616" s="77"/>
      <c r="O616" s="77"/>
      <c r="P616" s="76"/>
      <c r="Q616" s="76"/>
    </row>
    <row r="617" spans="5:17" hidden="1" outlineLevel="3" collapsed="1" x14ac:dyDescent="0.25">
      <c r="E617" s="84" t="s">
        <v>1008</v>
      </c>
      <c r="F617" s="79"/>
      <c r="G617" s="79"/>
      <c r="H617" s="80"/>
      <c r="I617" s="81"/>
      <c r="J617" s="83">
        <f>HYPERLINK("#Структура!E1211",Структура!E1211)</f>
        <v>4</v>
      </c>
      <c r="K617" s="115">
        <f>HYPERLINK("#Структура!G1211",Структура!G1211)</f>
        <v>9.776E-2</v>
      </c>
      <c r="L617" s="81">
        <f>M617/J617</f>
        <v>18.990400000000001</v>
      </c>
      <c r="M617" s="81">
        <f>SUMIF(F618,"*",M618)*J617</f>
        <v>75.961600000000004</v>
      </c>
      <c r="N617" s="124">
        <f>HYPERLINK("#Трудозатраты!B327",Трудозатраты!B327+SUMIF(F618,"*",O618))</f>
        <v>4.5</v>
      </c>
      <c r="O617" s="82">
        <f>N617*J617</f>
        <v>18</v>
      </c>
      <c r="P617" s="81">
        <f>O617/60*(1+запас_труд)*стоимость_трудочаса</f>
        <v>705</v>
      </c>
      <c r="Q617" s="129">
        <f>M617*(1+наценка_покупное)+P617</f>
        <v>796.15391999999997</v>
      </c>
    </row>
    <row r="618" spans="5:17" hidden="1" outlineLevel="4" x14ac:dyDescent="0.25">
      <c r="F618" s="74" t="s">
        <v>131</v>
      </c>
      <c r="G618" s="74"/>
      <c r="H618" s="75"/>
      <c r="I618" s="76"/>
      <c r="J618" s="78">
        <f>HYPERLINK("#Структура!E1231",Структура!E1231)</f>
        <v>0.11869</v>
      </c>
      <c r="K618" s="114" t="str">
        <f>HYPERLINK("#Структура!G1231","")</f>
        <v/>
      </c>
      <c r="L618" s="120">
        <f>HYPERLINK("#Покупные_изделия!D306",Покупные_изделия!D306)</f>
        <v>160</v>
      </c>
      <c r="M618" s="76">
        <f t="shared" ref="M618:M633" si="32">J618*L618</f>
        <v>18.990400000000001</v>
      </c>
      <c r="N618" s="77"/>
      <c r="O618" s="77"/>
      <c r="P618" s="76"/>
      <c r="Q618" s="76"/>
    </row>
    <row r="619" spans="5:17" hidden="1" outlineLevel="3" x14ac:dyDescent="0.25">
      <c r="E619" s="74" t="s">
        <v>1009</v>
      </c>
      <c r="F619" s="74"/>
      <c r="G619" s="74"/>
      <c r="H619" s="75"/>
      <c r="I619" s="76"/>
      <c r="J619" s="78">
        <f>HYPERLINK("#Структура!E1212",Структура!E1212)</f>
        <v>4</v>
      </c>
      <c r="K619" s="114">
        <f>HYPERLINK("#Структура!G1212",Структура!G1212)</f>
        <v>6.4999999999999997E-3</v>
      </c>
      <c r="L619" s="120">
        <f>HYPERLINK("#Покупные_изделия!D82",Покупные_изделия!D82)</f>
        <v>12.06</v>
      </c>
      <c r="M619" s="76">
        <f t="shared" si="32"/>
        <v>48.24</v>
      </c>
      <c r="N619" s="77"/>
      <c r="O619" s="77"/>
      <c r="P619" s="76"/>
      <c r="Q619" s="76"/>
    </row>
    <row r="620" spans="5:17" hidden="1" outlineLevel="3" x14ac:dyDescent="0.25">
      <c r="E620" s="74" t="s">
        <v>999</v>
      </c>
      <c r="F620" s="74"/>
      <c r="G620" s="74"/>
      <c r="H620" s="75"/>
      <c r="I620" s="76"/>
      <c r="J620" s="78">
        <f>HYPERLINK("#Структура!E1213",Структура!E1213)</f>
        <v>16</v>
      </c>
      <c r="K620" s="114">
        <f>HYPERLINK("#Структура!G1213",Структура!G1213)</f>
        <v>7.3000000000000001E-3</v>
      </c>
      <c r="L620" s="120">
        <f>HYPERLINK("#Покупные_изделия!D83",Покупные_изделия!D83)</f>
        <v>9.4919999999999991</v>
      </c>
      <c r="M620" s="76">
        <f t="shared" si="32"/>
        <v>151.87199999999999</v>
      </c>
      <c r="N620" s="77"/>
      <c r="O620" s="77"/>
      <c r="P620" s="76"/>
      <c r="Q620" s="76"/>
    </row>
    <row r="621" spans="5:17" hidden="1" outlineLevel="3" x14ac:dyDescent="0.25">
      <c r="E621" s="74" t="s">
        <v>622</v>
      </c>
      <c r="F621" s="74"/>
      <c r="G621" s="74"/>
      <c r="H621" s="75"/>
      <c r="I621" s="76"/>
      <c r="J621" s="78">
        <f>HYPERLINK("#Структура!E1214",Структура!E1214)</f>
        <v>8</v>
      </c>
      <c r="K621" s="114">
        <f>HYPERLINK("#Структура!G1214",Структура!G1214)</f>
        <v>1.52E-2</v>
      </c>
      <c r="L621" s="120">
        <f>HYPERLINK("#Покупные_изделия!D85",Покупные_изделия!D85)</f>
        <v>8.6999999999999993</v>
      </c>
      <c r="M621" s="76">
        <f t="shared" si="32"/>
        <v>69.599999999999994</v>
      </c>
      <c r="N621" s="77"/>
      <c r="O621" s="77"/>
      <c r="P621" s="76"/>
      <c r="Q621" s="76"/>
    </row>
    <row r="622" spans="5:17" hidden="1" outlineLevel="3" x14ac:dyDescent="0.25">
      <c r="E622" s="74" t="s">
        <v>1010</v>
      </c>
      <c r="F622" s="74"/>
      <c r="G622" s="74"/>
      <c r="H622" s="75"/>
      <c r="I622" s="76"/>
      <c r="J622" s="78">
        <f>HYPERLINK("#Структура!E1215",Структура!E1215)</f>
        <v>32</v>
      </c>
      <c r="K622" s="114">
        <f>HYPERLINK("#Структура!G1215",Структура!G1215)</f>
        <v>1.2199999999999999E-3</v>
      </c>
      <c r="L622" s="120">
        <f>HYPERLINK("#Покупные_изделия!D117",Покупные_изделия!D117)</f>
        <v>4.5599999999999996</v>
      </c>
      <c r="M622" s="76">
        <f t="shared" si="32"/>
        <v>145.91999999999999</v>
      </c>
      <c r="N622" s="77"/>
      <c r="O622" s="77"/>
      <c r="P622" s="76"/>
      <c r="Q622" s="76"/>
    </row>
    <row r="623" spans="5:17" hidden="1" outlineLevel="3" x14ac:dyDescent="0.25">
      <c r="E623" s="74" t="s">
        <v>1002</v>
      </c>
      <c r="F623" s="74"/>
      <c r="G623" s="74"/>
      <c r="H623" s="75"/>
      <c r="I623" s="76"/>
      <c r="J623" s="78">
        <f>HYPERLINK("#Структура!E1216",Структура!E1216)</f>
        <v>32</v>
      </c>
      <c r="K623" s="114">
        <f>HYPERLINK("#Структура!G1216",Структура!G1216)</f>
        <v>8.0000000000000004E-4</v>
      </c>
      <c r="L623" s="120">
        <f>HYPERLINK("#Покупные_изделия!D186",Покупные_изделия!D186)</f>
        <v>0.51480000000000004</v>
      </c>
      <c r="M623" s="76">
        <f t="shared" si="32"/>
        <v>16.473600000000001</v>
      </c>
      <c r="N623" s="77"/>
      <c r="O623" s="77"/>
      <c r="P623" s="76"/>
      <c r="Q623" s="76"/>
    </row>
    <row r="624" spans="5:17" hidden="1" outlineLevel="3" x14ac:dyDescent="0.25">
      <c r="E624" s="74" t="s">
        <v>871</v>
      </c>
      <c r="F624" s="74"/>
      <c r="G624" s="74"/>
      <c r="H624" s="75"/>
      <c r="I624" s="76"/>
      <c r="J624" s="78">
        <f>HYPERLINK("#Структура!E1217",Структура!E1217)</f>
        <v>17</v>
      </c>
      <c r="K624" s="114">
        <f>HYPERLINK("#Структура!G1217",Структура!G1217)</f>
        <v>3.3E-3</v>
      </c>
      <c r="L624" s="120">
        <f>HYPERLINK("#Покупные_изделия!D167",Покупные_изделия!D167)</f>
        <v>2.0654400000000002</v>
      </c>
      <c r="M624" s="76">
        <f t="shared" si="32"/>
        <v>35.112480000000005</v>
      </c>
      <c r="N624" s="77"/>
      <c r="O624" s="77"/>
      <c r="P624" s="76"/>
      <c r="Q624" s="76"/>
    </row>
    <row r="625" spans="4:17" hidden="1" outlineLevel="3" x14ac:dyDescent="0.25">
      <c r="E625" s="74" t="s">
        <v>625</v>
      </c>
      <c r="F625" s="74"/>
      <c r="G625" s="74"/>
      <c r="H625" s="75"/>
      <c r="I625" s="76"/>
      <c r="J625" s="78">
        <f>HYPERLINK("#Структура!E1218",Структура!E1218)</f>
        <v>8</v>
      </c>
      <c r="K625" s="114">
        <f>HYPERLINK("#Структура!G1218",Структура!G1218)</f>
        <v>7.1399999999999996E-3</v>
      </c>
      <c r="L625" s="120">
        <f>HYPERLINK("#Покупные_изделия!D168",Покупные_изделия!D168)</f>
        <v>1.9715672368421051</v>
      </c>
      <c r="M625" s="76">
        <f t="shared" si="32"/>
        <v>15.772537894736841</v>
      </c>
      <c r="N625" s="77"/>
      <c r="O625" s="77"/>
      <c r="P625" s="76"/>
      <c r="Q625" s="76"/>
    </row>
    <row r="626" spans="4:17" hidden="1" outlineLevel="3" x14ac:dyDescent="0.25">
      <c r="E626" s="74" t="s">
        <v>140</v>
      </c>
      <c r="F626" s="74"/>
      <c r="G626" s="74"/>
      <c r="H626" s="75"/>
      <c r="I626" s="76"/>
      <c r="J626" s="78">
        <f>HYPERLINK("#Структура!E1219",Структура!E1219)</f>
        <v>8</v>
      </c>
      <c r="K626" s="114">
        <f>HYPERLINK("#Структура!G1219",Структура!G1219)</f>
        <v>1.6900000000000001E-3</v>
      </c>
      <c r="L626" s="120">
        <f>HYPERLINK("#Покупные_изделия!D362",Покупные_изделия!D362)</f>
        <v>42.451199999999993</v>
      </c>
      <c r="M626" s="76">
        <f t="shared" si="32"/>
        <v>339.60959999999994</v>
      </c>
      <c r="N626" s="77"/>
      <c r="O626" s="77"/>
      <c r="P626" s="76"/>
      <c r="Q626" s="76"/>
    </row>
    <row r="627" spans="4:17" hidden="1" outlineLevel="3" x14ac:dyDescent="0.25">
      <c r="E627" s="74" t="s">
        <v>1003</v>
      </c>
      <c r="F627" s="74"/>
      <c r="G627" s="74"/>
      <c r="H627" s="75"/>
      <c r="I627" s="76"/>
      <c r="J627" s="78">
        <f>HYPERLINK("#Структура!E1220",Структура!E1220)</f>
        <v>32</v>
      </c>
      <c r="K627" s="114">
        <f>HYPERLINK("#Структура!G1220",Структура!G1220)</f>
        <v>1.2999999999999999E-4</v>
      </c>
      <c r="L627" s="120">
        <f>HYPERLINK("#Покупные_изделия!D528",Покупные_изделия!D528)</f>
        <v>1.1000000000000001</v>
      </c>
      <c r="M627" s="76">
        <f t="shared" si="32"/>
        <v>35.200000000000003</v>
      </c>
      <c r="N627" s="77"/>
      <c r="O627" s="77"/>
      <c r="P627" s="76"/>
      <c r="Q627" s="76"/>
    </row>
    <row r="628" spans="4:17" hidden="1" outlineLevel="3" x14ac:dyDescent="0.25">
      <c r="E628" s="74" t="s">
        <v>1011</v>
      </c>
      <c r="F628" s="74"/>
      <c r="G628" s="74"/>
      <c r="H628" s="75"/>
      <c r="I628" s="76"/>
      <c r="J628" s="78">
        <f>HYPERLINK("#Структура!E1221",Структура!E1221)</f>
        <v>8</v>
      </c>
      <c r="K628" s="114">
        <f>HYPERLINK("#Структура!G1221",Структура!G1221)</f>
        <v>4.2999999999999999E-4</v>
      </c>
      <c r="L628" s="120">
        <f>HYPERLINK("#Покупные_изделия!D545",Покупные_изделия!D545)</f>
        <v>0.82500000000000007</v>
      </c>
      <c r="M628" s="76">
        <f t="shared" si="32"/>
        <v>6.6000000000000005</v>
      </c>
      <c r="N628" s="77"/>
      <c r="O628" s="77"/>
      <c r="P628" s="76"/>
      <c r="Q628" s="76"/>
    </row>
    <row r="629" spans="4:17" hidden="1" outlineLevel="3" x14ac:dyDescent="0.25">
      <c r="E629" s="74" t="s">
        <v>212</v>
      </c>
      <c r="F629" s="74"/>
      <c r="G629" s="74"/>
      <c r="H629" s="75"/>
      <c r="I629" s="76"/>
      <c r="J629" s="78">
        <f>HYPERLINK("#Структура!E1222",Структура!E1222)</f>
        <v>8</v>
      </c>
      <c r="K629" s="114">
        <f>HYPERLINK("#Структура!G1222",Структура!G1222)</f>
        <v>6.9999999999999994E-5</v>
      </c>
      <c r="L629" s="120">
        <f>HYPERLINK("#Покупные_изделия!D562",Покупные_изделия!D562)</f>
        <v>3.48</v>
      </c>
      <c r="M629" s="76">
        <f t="shared" si="32"/>
        <v>27.84</v>
      </c>
      <c r="N629" s="77"/>
      <c r="O629" s="77"/>
      <c r="P629" s="76"/>
      <c r="Q629" s="76"/>
    </row>
    <row r="630" spans="4:17" hidden="1" outlineLevel="3" x14ac:dyDescent="0.25">
      <c r="E630" s="74" t="s">
        <v>14</v>
      </c>
      <c r="F630" s="74"/>
      <c r="G630" s="74"/>
      <c r="H630" s="75"/>
      <c r="I630" s="76"/>
      <c r="J630" s="78">
        <f>HYPERLINK("#Структура!E1223",Структура!E1223)</f>
        <v>2</v>
      </c>
      <c r="K630" s="114">
        <f>HYPERLINK("#Структура!G1223",Структура!G1223)</f>
        <v>0.36993999999999999</v>
      </c>
      <c r="L630" s="120">
        <f>HYPERLINK("#Покупные_изделия!D22",Покупные_изделия!D22)</f>
        <v>790.17840000000001</v>
      </c>
      <c r="M630" s="76">
        <f t="shared" si="32"/>
        <v>1580.3568</v>
      </c>
      <c r="N630" s="77"/>
      <c r="O630" s="77"/>
      <c r="P630" s="76"/>
      <c r="Q630" s="76"/>
    </row>
    <row r="631" spans="4:17" hidden="1" outlineLevel="3" x14ac:dyDescent="0.25">
      <c r="E631" s="74" t="s">
        <v>15</v>
      </c>
      <c r="F631" s="74"/>
      <c r="G631" s="74"/>
      <c r="H631" s="75"/>
      <c r="I631" s="76"/>
      <c r="J631" s="78">
        <f>HYPERLINK("#Структура!E1224",Структура!E1224)</f>
        <v>4</v>
      </c>
      <c r="K631" s="114">
        <f>HYPERLINK("#Структура!G1224",Структура!G1224)</f>
        <v>5.6570000000000002E-2</v>
      </c>
      <c r="L631" s="120">
        <f>HYPERLINK("#Покупные_изделия!D23",Покупные_изделия!D23)</f>
        <v>1807.8324</v>
      </c>
      <c r="M631" s="76">
        <f t="shared" si="32"/>
        <v>7231.3296</v>
      </c>
      <c r="N631" s="77"/>
      <c r="O631" s="77"/>
      <c r="P631" s="76"/>
      <c r="Q631" s="76"/>
    </row>
    <row r="632" spans="4:17" hidden="1" outlineLevel="3" x14ac:dyDescent="0.25">
      <c r="E632" s="74" t="s">
        <v>16</v>
      </c>
      <c r="F632" s="74"/>
      <c r="G632" s="74"/>
      <c r="H632" s="75"/>
      <c r="I632" s="76"/>
      <c r="J632" s="78">
        <f>HYPERLINK("#Структура!E1225",Структура!E1225)</f>
        <v>4</v>
      </c>
      <c r="K632" s="114">
        <f>HYPERLINK("#Структура!G1225",Структура!G1225)</f>
        <v>2.0840000000000001E-2</v>
      </c>
      <c r="L632" s="120">
        <f>HYPERLINK("#Покупные_изделия!D24",Покупные_изделия!D24)</f>
        <v>554.32212000000004</v>
      </c>
      <c r="M632" s="76">
        <f t="shared" si="32"/>
        <v>2217.2884800000002</v>
      </c>
      <c r="N632" s="77"/>
      <c r="O632" s="77"/>
      <c r="P632" s="76"/>
      <c r="Q632" s="76"/>
    </row>
    <row r="633" spans="4:17" hidden="1" outlineLevel="3" x14ac:dyDescent="0.25">
      <c r="E633" s="74" t="s">
        <v>148</v>
      </c>
      <c r="F633" s="74"/>
      <c r="G633" s="74"/>
      <c r="H633" s="75"/>
      <c r="I633" s="76"/>
      <c r="J633" s="78">
        <f>HYPERLINK("#Структура!E1226",Структура!E1226)</f>
        <v>5.72</v>
      </c>
      <c r="K633" s="114" t="str">
        <f>HYPERLINK("#Структура!G1226","")</f>
        <v/>
      </c>
      <c r="L633" s="120">
        <f>HYPERLINK("#Покупные_изделия!D416",Покупные_изделия!D416)</f>
        <v>65.004000000000005</v>
      </c>
      <c r="M633" s="76">
        <f t="shared" si="32"/>
        <v>371.82288</v>
      </c>
      <c r="N633" s="77"/>
      <c r="O633" s="77"/>
      <c r="P633" s="76"/>
      <c r="Q633" s="76"/>
    </row>
    <row r="634" spans="4:17" hidden="1" outlineLevel="2" collapsed="1" x14ac:dyDescent="0.25">
      <c r="D634" s="96" t="s">
        <v>969</v>
      </c>
      <c r="E634" s="91"/>
      <c r="F634" s="91"/>
      <c r="G634" s="91"/>
      <c r="H634" s="92"/>
      <c r="I634" s="93"/>
      <c r="J634" s="95">
        <f>HYPERLINK("#Структура!E1137",Структура!E1137)</f>
        <v>2</v>
      </c>
      <c r="K634" s="116">
        <f>HYPERLINK("#Структура!G1137",Структура!G1137)</f>
        <v>0.96531999999999996</v>
      </c>
      <c r="L634" s="93">
        <f>M634/J634</f>
        <v>245.79839999999999</v>
      </c>
      <c r="M634" s="93">
        <f>SUMIF(E635:E641,"*",M635:M641)*J634</f>
        <v>491.59679999999997</v>
      </c>
      <c r="N634" s="125">
        <f>HYPERLINK("#Трудозатраты!B332",Трудозатраты!B332+SUMIF(E635:E641,"*",O635:O641))</f>
        <v>39</v>
      </c>
      <c r="O634" s="94">
        <f>N634*J634</f>
        <v>78</v>
      </c>
      <c r="P634" s="93">
        <f>O634/60*(1+запас_труд)*стоимость_трудочаса</f>
        <v>3055</v>
      </c>
      <c r="Q634" s="130">
        <f>M634*(1+наценка_покупное)+P634</f>
        <v>3644.9161599999998</v>
      </c>
    </row>
    <row r="635" spans="4:17" hidden="1" outlineLevel="3" collapsed="1" x14ac:dyDescent="0.25">
      <c r="E635" s="85" t="s">
        <v>1018</v>
      </c>
      <c r="F635" s="86"/>
      <c r="G635" s="86"/>
      <c r="H635" s="87"/>
      <c r="I635" s="88"/>
      <c r="J635" s="90">
        <f>HYPERLINK("#Структура!E1244",Структура!E1244)</f>
        <v>3</v>
      </c>
      <c r="K635" s="113">
        <f>HYPERLINK("#Структура!G1244",Структура!G1244)</f>
        <v>5.8900000000000003E-3</v>
      </c>
      <c r="L635" s="88">
        <f>M635/J635</f>
        <v>1.1504000000000001</v>
      </c>
      <c r="M635" s="88">
        <f>SUMIF(F636,"*",M636)*J635</f>
        <v>3.4512</v>
      </c>
      <c r="N635" s="123">
        <f>HYPERLINK("#Трудозатраты!B333",Трудозатраты!B333+SUMIF(F636,"*",O636))</f>
        <v>3.5</v>
      </c>
      <c r="O635" s="89">
        <f>N635*J635</f>
        <v>10.5</v>
      </c>
      <c r="P635" s="88">
        <f>O635/60*(1+запас_труд)*стоимость_трудочаса</f>
        <v>411.25</v>
      </c>
      <c r="Q635" s="128">
        <f>M635*(1+наценка_покупное)+P635</f>
        <v>415.39143999999999</v>
      </c>
    </row>
    <row r="636" spans="4:17" hidden="1" outlineLevel="4" x14ac:dyDescent="0.25">
      <c r="F636" s="74" t="s">
        <v>124</v>
      </c>
      <c r="G636" s="74"/>
      <c r="H636" s="75"/>
      <c r="I636" s="76"/>
      <c r="J636" s="78">
        <f>HYPERLINK("#Структура!E1248",Структура!E1248)</f>
        <v>7.1900000000000002E-3</v>
      </c>
      <c r="K636" s="114" t="str">
        <f>HYPERLINK("#Структура!G1248","")</f>
        <v/>
      </c>
      <c r="L636" s="120">
        <f>HYPERLINK("#Покупные_изделия!D299",Покупные_изделия!D299)</f>
        <v>160</v>
      </c>
      <c r="M636" s="76">
        <f>J636*L636</f>
        <v>1.1504000000000001</v>
      </c>
      <c r="N636" s="77"/>
      <c r="O636" s="77"/>
      <c r="P636" s="76"/>
      <c r="Q636" s="76"/>
    </row>
    <row r="637" spans="4:17" hidden="1" outlineLevel="3" collapsed="1" x14ac:dyDescent="0.25">
      <c r="E637" s="84" t="s">
        <v>1019</v>
      </c>
      <c r="F637" s="79"/>
      <c r="G637" s="79"/>
      <c r="H637" s="80"/>
      <c r="I637" s="81"/>
      <c r="J637" s="83">
        <f>HYPERLINK("#Структура!E1245",Структура!E1245)</f>
        <v>1</v>
      </c>
      <c r="K637" s="115">
        <f>HYPERLINK("#Структура!G1245",Структура!G1245)</f>
        <v>0.88463999999999998</v>
      </c>
      <c r="L637" s="81">
        <f>M637/J637</f>
        <v>218.84479999999999</v>
      </c>
      <c r="M637" s="81">
        <f>SUMIF(F638,"*",M638)*J637</f>
        <v>218.84479999999999</v>
      </c>
      <c r="N637" s="124">
        <f>HYPERLINK("#Трудозатраты!B334",Трудозатраты!B334+SUMIF(F638,"*",O638))</f>
        <v>16</v>
      </c>
      <c r="O637" s="82">
        <f>N637*J637</f>
        <v>16</v>
      </c>
      <c r="P637" s="81">
        <f>O637/60*(1+запас_труд)*стоимость_трудочаса</f>
        <v>626.66666666666663</v>
      </c>
      <c r="Q637" s="129">
        <f>M637*(1+наценка_покупное)+P637</f>
        <v>889.28042666666659</v>
      </c>
    </row>
    <row r="638" spans="4:17" hidden="1" outlineLevel="4" x14ac:dyDescent="0.25">
      <c r="F638" s="74" t="s">
        <v>124</v>
      </c>
      <c r="G638" s="74"/>
      <c r="H638" s="75"/>
      <c r="I638" s="76"/>
      <c r="J638" s="78">
        <f>HYPERLINK("#Структура!E1249",Структура!E1249)</f>
        <v>1.36778</v>
      </c>
      <c r="K638" s="114" t="str">
        <f>HYPERLINK("#Структура!G1249","")</f>
        <v/>
      </c>
      <c r="L638" s="120">
        <f>HYPERLINK("#Покупные_изделия!D299",Покупные_изделия!D299)</f>
        <v>160</v>
      </c>
      <c r="M638" s="76">
        <f>J638*L638</f>
        <v>218.84479999999999</v>
      </c>
      <c r="N638" s="77"/>
      <c r="O638" s="77"/>
      <c r="P638" s="76"/>
      <c r="Q638" s="76"/>
    </row>
    <row r="639" spans="4:17" hidden="1" outlineLevel="3" collapsed="1" x14ac:dyDescent="0.25">
      <c r="E639" s="84" t="s">
        <v>1020</v>
      </c>
      <c r="F639" s="79"/>
      <c r="G639" s="79"/>
      <c r="H639" s="80"/>
      <c r="I639" s="81"/>
      <c r="J639" s="83">
        <f>HYPERLINK("#Структура!E1246",Структура!E1246)</f>
        <v>1</v>
      </c>
      <c r="K639" s="115">
        <f>HYPERLINK("#Структура!G1246",Структура!G1246)</f>
        <v>4.9770000000000002E-2</v>
      </c>
      <c r="L639" s="81">
        <f>M639/J639</f>
        <v>16.278399999999998</v>
      </c>
      <c r="M639" s="81">
        <f>SUMIF(F640,"*",M640)*J639</f>
        <v>16.278399999999998</v>
      </c>
      <c r="N639" s="124">
        <f>HYPERLINK("#Трудозатраты!B335",Трудозатраты!B335+SUMIF(F640,"*",O640))</f>
        <v>2.5</v>
      </c>
      <c r="O639" s="82">
        <f>N639*J639</f>
        <v>2.5</v>
      </c>
      <c r="P639" s="81">
        <f>O639/60*(1+запас_труд)*стоимость_трудочаса</f>
        <v>97.916666666666657</v>
      </c>
      <c r="Q639" s="129">
        <f>M639*(1+наценка_покупное)+P639</f>
        <v>117.45074666666665</v>
      </c>
    </row>
    <row r="640" spans="4:17" hidden="1" outlineLevel="4" x14ac:dyDescent="0.25">
      <c r="F640" s="74" t="s">
        <v>124</v>
      </c>
      <c r="G640" s="74"/>
      <c r="H640" s="75"/>
      <c r="I640" s="76"/>
      <c r="J640" s="78">
        <f>HYPERLINK("#Структура!E1250",Структура!E1250)</f>
        <v>0.10174</v>
      </c>
      <c r="K640" s="114" t="str">
        <f>HYPERLINK("#Структура!G1250","")</f>
        <v/>
      </c>
      <c r="L640" s="120">
        <f>HYPERLINK("#Покупные_изделия!D299",Покупные_изделия!D299)</f>
        <v>160</v>
      </c>
      <c r="M640" s="76">
        <f>J640*L640</f>
        <v>16.278399999999998</v>
      </c>
      <c r="N640" s="77"/>
      <c r="O640" s="77"/>
      <c r="P640" s="76"/>
      <c r="Q640" s="76"/>
    </row>
    <row r="641" spans="4:17" hidden="1" outlineLevel="3" x14ac:dyDescent="0.25">
      <c r="E641" s="74" t="s">
        <v>998</v>
      </c>
      <c r="F641" s="74"/>
      <c r="G641" s="74"/>
      <c r="H641" s="75"/>
      <c r="I641" s="76"/>
      <c r="J641" s="78">
        <f>HYPERLINK("#Структура!E1247",Структура!E1247)</f>
        <v>7</v>
      </c>
      <c r="K641" s="114">
        <f>HYPERLINK("#Структура!G1247",Структура!G1247)</f>
        <v>1.4599999999999999E-3</v>
      </c>
      <c r="L641" s="120">
        <f>HYPERLINK("#Покупные_изделия!D149",Покупные_изделия!D149)</f>
        <v>1.032</v>
      </c>
      <c r="M641" s="76">
        <f>J641*L641</f>
        <v>7.2240000000000002</v>
      </c>
      <c r="N641" s="77"/>
      <c r="O641" s="77"/>
      <c r="P641" s="76"/>
      <c r="Q641" s="76"/>
    </row>
    <row r="642" spans="4:17" hidden="1" outlineLevel="2" collapsed="1" x14ac:dyDescent="0.25">
      <c r="D642" s="96" t="s">
        <v>970</v>
      </c>
      <c r="E642" s="91"/>
      <c r="F642" s="91"/>
      <c r="G642" s="91"/>
      <c r="H642" s="92"/>
      <c r="I642" s="93"/>
      <c r="J642" s="95">
        <f>HYPERLINK("#Структура!E1138",Структура!E1138)</f>
        <v>2</v>
      </c>
      <c r="K642" s="116">
        <f>HYPERLINK("#Структура!G1138",Структура!G1138)</f>
        <v>1.3881399999999999</v>
      </c>
      <c r="L642" s="93">
        <f>M642/J642</f>
        <v>360.23040000000003</v>
      </c>
      <c r="M642" s="93">
        <f>SUMIF(E643:E646,"*",M643:M646)*J642</f>
        <v>720.46080000000006</v>
      </c>
      <c r="N642" s="125">
        <f>HYPERLINK("#Трудозатраты!B336",Трудозатраты!B336+SUMIF(E643:E646,"*",O643:O646))</f>
        <v>18.5</v>
      </c>
      <c r="O642" s="94">
        <f>N642*J642</f>
        <v>37</v>
      </c>
      <c r="P642" s="93">
        <f>O642/60*(1+запас_труд)*стоимость_трудочаса</f>
        <v>1449.1666666666667</v>
      </c>
      <c r="Q642" s="130">
        <f>M642*(1+наценка_покупное)+P642</f>
        <v>2313.719626666667</v>
      </c>
    </row>
    <row r="643" spans="4:17" hidden="1" outlineLevel="3" collapsed="1" x14ac:dyDescent="0.25">
      <c r="E643" s="85" t="s">
        <v>1021</v>
      </c>
      <c r="F643" s="86"/>
      <c r="G643" s="86"/>
      <c r="H643" s="87"/>
      <c r="I643" s="88"/>
      <c r="J643" s="90">
        <f>HYPERLINK("#Структура!E1251",Структура!E1251)</f>
        <v>1</v>
      </c>
      <c r="K643" s="113">
        <f>HYPERLINK("#Структура!G1251",Структура!G1251)</f>
        <v>1.37768</v>
      </c>
      <c r="L643" s="88">
        <f>M643/J643</f>
        <v>266.00639999999999</v>
      </c>
      <c r="M643" s="88">
        <f>SUMIF(F644,"*",M644)*J643</f>
        <v>266.00639999999999</v>
      </c>
      <c r="N643" s="123">
        <f>HYPERLINK("#Трудозатраты!B337",Трудозатраты!B337+SUMIF(F644,"*",O644))</f>
        <v>12.5</v>
      </c>
      <c r="O643" s="89">
        <f>N643*J643</f>
        <v>12.5</v>
      </c>
      <c r="P643" s="88">
        <f>O643/60*(1+запас_труд)*стоимость_трудочаса</f>
        <v>489.58333333333337</v>
      </c>
      <c r="Q643" s="128">
        <f>M643*(1+наценка_покупное)+P643</f>
        <v>808.79101333333335</v>
      </c>
    </row>
    <row r="644" spans="4:17" hidden="1" outlineLevel="4" x14ac:dyDescent="0.25">
      <c r="F644" s="74" t="s">
        <v>131</v>
      </c>
      <c r="G644" s="74"/>
      <c r="H644" s="75"/>
      <c r="I644" s="76"/>
      <c r="J644" s="78">
        <f>HYPERLINK("#Структура!E1254",Структура!E1254)</f>
        <v>1.6625399999999999</v>
      </c>
      <c r="K644" s="114" t="str">
        <f>HYPERLINK("#Структура!G1254","")</f>
        <v/>
      </c>
      <c r="L644" s="120">
        <f>HYPERLINK("#Покупные_изделия!D306",Покупные_изделия!D306)</f>
        <v>160</v>
      </c>
      <c r="M644" s="76">
        <f>J644*L644</f>
        <v>266.00639999999999</v>
      </c>
      <c r="N644" s="77"/>
      <c r="O644" s="77"/>
      <c r="P644" s="76"/>
      <c r="Q644" s="76"/>
    </row>
    <row r="645" spans="4:17" hidden="1" outlineLevel="3" x14ac:dyDescent="0.25">
      <c r="E645" s="74" t="s">
        <v>1022</v>
      </c>
      <c r="F645" s="74"/>
      <c r="G645" s="74"/>
      <c r="H645" s="75"/>
      <c r="I645" s="76"/>
      <c r="J645" s="78">
        <f>HYPERLINK("#Структура!E1252",Структура!E1252)</f>
        <v>2</v>
      </c>
      <c r="K645" s="114">
        <f>HYPERLINK("#Структура!G1252",Структура!G1252)</f>
        <v>8.9499999999999996E-3</v>
      </c>
      <c r="L645" s="120">
        <f>HYPERLINK("#Покупные_изделия!D84",Покупные_изделия!D84)</f>
        <v>10.68</v>
      </c>
      <c r="M645" s="76">
        <f>J645*L645</f>
        <v>21.36</v>
      </c>
      <c r="N645" s="77"/>
      <c r="O645" s="77"/>
      <c r="P645" s="76"/>
      <c r="Q645" s="76"/>
    </row>
    <row r="646" spans="4:17" hidden="1" outlineLevel="3" x14ac:dyDescent="0.25">
      <c r="E646" s="74" t="s">
        <v>60</v>
      </c>
      <c r="F646" s="74"/>
      <c r="G646" s="74"/>
      <c r="H646" s="75"/>
      <c r="I646" s="76"/>
      <c r="J646" s="78">
        <f>HYPERLINK("#Структура!E1253",Структура!E1253)</f>
        <v>2</v>
      </c>
      <c r="K646" s="114">
        <f>HYPERLINK("#Структура!G1253",Структура!G1253)</f>
        <v>5.2300000000000003E-3</v>
      </c>
      <c r="L646" s="120">
        <f>HYPERLINK("#Покупные_изделия!D173",Покупные_изделия!D173)</f>
        <v>36.432000000000002</v>
      </c>
      <c r="M646" s="76">
        <f>J646*L646</f>
        <v>72.864000000000004</v>
      </c>
      <c r="N646" s="77"/>
      <c r="O646" s="77"/>
      <c r="P646" s="76"/>
      <c r="Q646" s="76"/>
    </row>
    <row r="647" spans="4:17" hidden="1" outlineLevel="2" collapsed="1" x14ac:dyDescent="0.25">
      <c r="D647" s="84" t="s">
        <v>971</v>
      </c>
      <c r="E647" s="79"/>
      <c r="F647" s="79"/>
      <c r="G647" s="79"/>
      <c r="H647" s="80"/>
      <c r="I647" s="81"/>
      <c r="J647" s="83">
        <f>HYPERLINK("#Структура!E1139",Структура!E1139)</f>
        <v>1</v>
      </c>
      <c r="K647" s="115">
        <f>HYPERLINK("#Структура!G1139",Структура!G1139)</f>
        <v>18.784520000000001</v>
      </c>
      <c r="L647" s="81">
        <f>M647/J647</f>
        <v>3635.1263999999996</v>
      </c>
      <c r="M647" s="81">
        <f>SUMIF(E648,"*",M648)*J647</f>
        <v>3635.1263999999996</v>
      </c>
      <c r="N647" s="124">
        <f>HYPERLINK("#Трудозатраты!B291",Трудозатраты!B291+SUMIF(E648,"*",O648))</f>
        <v>41.25</v>
      </c>
      <c r="O647" s="82">
        <f>N647*J647</f>
        <v>41.25</v>
      </c>
      <c r="P647" s="81">
        <f>O647/60*(1+запас_труд)*стоимость_трудочаса</f>
        <v>1615.625</v>
      </c>
      <c r="Q647" s="129">
        <f>M647*(1+наценка_покупное)+P647</f>
        <v>5977.776679999999</v>
      </c>
    </row>
    <row r="648" spans="4:17" hidden="1" outlineLevel="3" x14ac:dyDescent="0.25">
      <c r="E648" s="74" t="s">
        <v>128</v>
      </c>
      <c r="F648" s="74"/>
      <c r="G648" s="74"/>
      <c r="H648" s="75"/>
      <c r="I648" s="76"/>
      <c r="J648" s="78">
        <f>HYPERLINK("#Структура!E1176",Структура!E1176)</f>
        <v>22.719539999999999</v>
      </c>
      <c r="K648" s="114" t="str">
        <f>HYPERLINK("#Структура!G1176","")</f>
        <v/>
      </c>
      <c r="L648" s="120">
        <f>HYPERLINK("#Покупные_изделия!D303",Покупные_изделия!D303)</f>
        <v>160</v>
      </c>
      <c r="M648" s="76">
        <f>J648*L648</f>
        <v>3635.1263999999996</v>
      </c>
      <c r="N648" s="77"/>
      <c r="O648" s="77"/>
      <c r="P648" s="76"/>
      <c r="Q648" s="76"/>
    </row>
    <row r="649" spans="4:17" hidden="1" outlineLevel="2" collapsed="1" x14ac:dyDescent="0.25">
      <c r="D649" s="84" t="s">
        <v>972</v>
      </c>
      <c r="E649" s="79"/>
      <c r="F649" s="79"/>
      <c r="G649" s="79"/>
      <c r="H649" s="80"/>
      <c r="I649" s="81"/>
      <c r="J649" s="83">
        <f>HYPERLINK("#Структура!E1140",Структура!E1140)</f>
        <v>1</v>
      </c>
      <c r="K649" s="115">
        <f>HYPERLINK("#Структура!G1140",Структура!G1140)</f>
        <v>6.77142</v>
      </c>
      <c r="L649" s="81">
        <f>M649/J649</f>
        <v>1311.336</v>
      </c>
      <c r="M649" s="81">
        <f>SUMIF(E650,"*",M650)*J649</f>
        <v>1311.336</v>
      </c>
      <c r="N649" s="124">
        <f>HYPERLINK("#Трудозатраты!B292",Трудозатраты!B292+SUMIF(E650,"*",O650))</f>
        <v>27.5</v>
      </c>
      <c r="O649" s="82">
        <f>N649*J649</f>
        <v>27.5</v>
      </c>
      <c r="P649" s="81">
        <f>O649/60*(1+запас_труд)*стоимость_трудочаса</f>
        <v>1077.0833333333333</v>
      </c>
      <c r="Q649" s="129">
        <f>M649*(1+наценка_покупное)+P649</f>
        <v>2650.6865333333335</v>
      </c>
    </row>
    <row r="650" spans="4:17" hidden="1" outlineLevel="3" x14ac:dyDescent="0.25">
      <c r="E650" s="74" t="s">
        <v>128</v>
      </c>
      <c r="F650" s="74"/>
      <c r="G650" s="74"/>
      <c r="H650" s="75"/>
      <c r="I650" s="76"/>
      <c r="J650" s="78">
        <f>HYPERLINK("#Структура!E1177",Структура!E1177)</f>
        <v>8.1958500000000001</v>
      </c>
      <c r="K650" s="114" t="str">
        <f>HYPERLINK("#Структура!G1177","")</f>
        <v/>
      </c>
      <c r="L650" s="120">
        <f>HYPERLINK("#Покупные_изделия!D303",Покупные_изделия!D303)</f>
        <v>160</v>
      </c>
      <c r="M650" s="76">
        <f>J650*L650</f>
        <v>1311.336</v>
      </c>
      <c r="N650" s="77"/>
      <c r="O650" s="77"/>
      <c r="P650" s="76"/>
      <c r="Q650" s="76"/>
    </row>
    <row r="651" spans="4:17" hidden="1" outlineLevel="2" collapsed="1" x14ac:dyDescent="0.25">
      <c r="D651" s="84" t="s">
        <v>973</v>
      </c>
      <c r="E651" s="79"/>
      <c r="F651" s="79"/>
      <c r="G651" s="79"/>
      <c r="H651" s="80"/>
      <c r="I651" s="81"/>
      <c r="J651" s="83">
        <f>HYPERLINK("#Структура!E1141",Структура!E1141)</f>
        <v>1</v>
      </c>
      <c r="K651" s="115">
        <f>HYPERLINK("#Структура!G1141",Структура!G1141)</f>
        <v>18.80153</v>
      </c>
      <c r="L651" s="81">
        <f>M651/J651</f>
        <v>3635.1263999999996</v>
      </c>
      <c r="M651" s="81">
        <f>SUMIF(E652,"*",M652)*J651</f>
        <v>3635.1263999999996</v>
      </c>
      <c r="N651" s="124">
        <f>HYPERLINK("#Трудозатраты!B293",Трудозатраты!B293+SUMIF(E652,"*",O652))</f>
        <v>34</v>
      </c>
      <c r="O651" s="82">
        <f>N651*J651</f>
        <v>34</v>
      </c>
      <c r="P651" s="81">
        <f>O651/60*(1+запас_труд)*стоимость_трудочаса</f>
        <v>1331.6666666666667</v>
      </c>
      <c r="Q651" s="129">
        <f>M651*(1+наценка_покупное)+P651</f>
        <v>5693.818346666666</v>
      </c>
    </row>
    <row r="652" spans="4:17" hidden="1" outlineLevel="3" x14ac:dyDescent="0.25">
      <c r="E652" s="74" t="s">
        <v>128</v>
      </c>
      <c r="F652" s="74"/>
      <c r="G652" s="74"/>
      <c r="H652" s="75"/>
      <c r="I652" s="76"/>
      <c r="J652" s="78">
        <f>HYPERLINK("#Структура!E1178",Структура!E1178)</f>
        <v>22.719539999999999</v>
      </c>
      <c r="K652" s="114" t="str">
        <f>HYPERLINK("#Структура!G1178","")</f>
        <v/>
      </c>
      <c r="L652" s="120">
        <f>HYPERLINK("#Покупные_изделия!D303",Покупные_изделия!D303)</f>
        <v>160</v>
      </c>
      <c r="M652" s="76">
        <f>J652*L652</f>
        <v>3635.1263999999996</v>
      </c>
      <c r="N652" s="77"/>
      <c r="O652" s="77"/>
      <c r="P652" s="76"/>
      <c r="Q652" s="76"/>
    </row>
    <row r="653" spans="4:17" hidden="1" outlineLevel="2" collapsed="1" x14ac:dyDescent="0.25">
      <c r="D653" s="84" t="s">
        <v>974</v>
      </c>
      <c r="E653" s="79"/>
      <c r="F653" s="79"/>
      <c r="G653" s="79"/>
      <c r="H653" s="80"/>
      <c r="I653" s="81"/>
      <c r="J653" s="83">
        <f>HYPERLINK("#Структура!E1142",Структура!E1142)</f>
        <v>2</v>
      </c>
      <c r="K653" s="115">
        <f>HYPERLINK("#Структура!G1142",Структура!G1142)</f>
        <v>5.0034400000000003</v>
      </c>
      <c r="L653" s="81">
        <f>M653/J653</f>
        <v>987.96960000000001</v>
      </c>
      <c r="M653" s="81">
        <f>SUMIF(E654,"*",M654)*J653</f>
        <v>1975.9392</v>
      </c>
      <c r="N653" s="124">
        <f>HYPERLINK("#Трудозатраты!B294",Трудозатраты!B294+SUMIF(E654,"*",O654))</f>
        <v>6.7</v>
      </c>
      <c r="O653" s="82">
        <f>N653*J653</f>
        <v>13.4</v>
      </c>
      <c r="P653" s="81">
        <f>O653/60*(1+запас_труд)*стоимость_трудочаса</f>
        <v>524.83333333333337</v>
      </c>
      <c r="Q653" s="129">
        <f>M653*(1+наценка_покупное)+P653</f>
        <v>2895.9603733333333</v>
      </c>
    </row>
    <row r="654" spans="4:17" hidden="1" outlineLevel="3" x14ac:dyDescent="0.25">
      <c r="E654" s="74" t="s">
        <v>131</v>
      </c>
      <c r="F654" s="74"/>
      <c r="G654" s="74"/>
      <c r="H654" s="75"/>
      <c r="I654" s="76"/>
      <c r="J654" s="78">
        <f>HYPERLINK("#Структура!E1179",Структура!E1179)</f>
        <v>6.1748099999999999</v>
      </c>
      <c r="K654" s="114" t="str">
        <f>HYPERLINK("#Структура!G1179","")</f>
        <v/>
      </c>
      <c r="L654" s="120">
        <f>HYPERLINK("#Покупные_изделия!D306",Покупные_изделия!D306)</f>
        <v>160</v>
      </c>
      <c r="M654" s="76">
        <f>J654*L654</f>
        <v>987.96960000000001</v>
      </c>
      <c r="N654" s="77"/>
      <c r="O654" s="77"/>
      <c r="P654" s="76"/>
      <c r="Q654" s="76"/>
    </row>
    <row r="655" spans="4:17" hidden="1" outlineLevel="2" collapsed="1" x14ac:dyDescent="0.25">
      <c r="D655" s="84" t="s">
        <v>975</v>
      </c>
      <c r="E655" s="79"/>
      <c r="F655" s="79"/>
      <c r="G655" s="79"/>
      <c r="H655" s="80"/>
      <c r="I655" s="81"/>
      <c r="J655" s="83">
        <f>HYPERLINK("#Структура!E1143",Структура!E1143)</f>
        <v>36</v>
      </c>
      <c r="K655" s="115">
        <f>HYPERLINK("#Структура!G1143",Структура!G1143)</f>
        <v>1.1076900000000001</v>
      </c>
      <c r="L655" s="81">
        <f>M655/J655</f>
        <v>283.26202080000002</v>
      </c>
      <c r="M655" s="81">
        <f>SUMIF(E656,"*",M656)*J655</f>
        <v>10197.4327488</v>
      </c>
      <c r="N655" s="124">
        <f>HYPERLINK("#Трудозатраты!B295",Трудозатраты!B295+SUMIF(E656,"*",O656))</f>
        <v>37</v>
      </c>
      <c r="O655" s="82">
        <f>N655*J655</f>
        <v>1332</v>
      </c>
      <c r="P655" s="81">
        <f>O655/60*(1+запас_труд)*стоимость_трудочаса</f>
        <v>52170</v>
      </c>
      <c r="Q655" s="129">
        <f>M655*(1+наценка_покупное)+P655</f>
        <v>64406.919298560002</v>
      </c>
    </row>
    <row r="656" spans="4:17" hidden="1" outlineLevel="3" x14ac:dyDescent="0.25">
      <c r="E656" s="74" t="s">
        <v>210</v>
      </c>
      <c r="F656" s="74"/>
      <c r="G656" s="74"/>
      <c r="H656" s="75"/>
      <c r="I656" s="76"/>
      <c r="J656" s="78">
        <f>HYPERLINK("#Структура!E1180",Структура!E1180)</f>
        <v>1.151</v>
      </c>
      <c r="K656" s="114" t="str">
        <f>HYPERLINK("#Структура!G1180","")</f>
        <v/>
      </c>
      <c r="L656" s="120">
        <f>HYPERLINK("#Покупные_изделия!D556",Покупные_изделия!D556)</f>
        <v>246.10079999999999</v>
      </c>
      <c r="M656" s="76">
        <f>J656*L656</f>
        <v>283.26202080000002</v>
      </c>
      <c r="N656" s="77"/>
      <c r="O656" s="77"/>
      <c r="P656" s="76"/>
      <c r="Q656" s="76"/>
    </row>
    <row r="657" spans="4:17" hidden="1" outlineLevel="2" collapsed="1" x14ac:dyDescent="0.25">
      <c r="D657" s="84" t="s">
        <v>976</v>
      </c>
      <c r="E657" s="79"/>
      <c r="F657" s="79"/>
      <c r="G657" s="79"/>
      <c r="H657" s="80"/>
      <c r="I657" s="81"/>
      <c r="J657" s="83">
        <f>HYPERLINK("#Структура!E1144",Структура!E1144)</f>
        <v>1</v>
      </c>
      <c r="K657" s="115">
        <f>HYPERLINK("#Структура!G1144",Структура!G1144)</f>
        <v>5.7039200000000001</v>
      </c>
      <c r="L657" s="81">
        <f>M657/J657</f>
        <v>1100.5567999999998</v>
      </c>
      <c r="M657" s="81">
        <f>SUMIF(E658,"*",M658)*J657</f>
        <v>1100.5567999999998</v>
      </c>
      <c r="N657" s="124">
        <f>HYPERLINK("#Трудозатраты!B296",Трудозатраты!B296+SUMIF(E658,"*",O658))</f>
        <v>6.8000000000000007</v>
      </c>
      <c r="O657" s="82">
        <f>N657*J657</f>
        <v>6.8000000000000007</v>
      </c>
      <c r="P657" s="81">
        <f>O657/60*(1+запас_труд)*стоимость_трудочаса</f>
        <v>266.33333333333337</v>
      </c>
      <c r="Q657" s="129">
        <f>M657*(1+наценка_покупное)+P657</f>
        <v>1587.0014933333332</v>
      </c>
    </row>
    <row r="658" spans="4:17" hidden="1" outlineLevel="3" x14ac:dyDescent="0.25">
      <c r="E658" s="74" t="s">
        <v>131</v>
      </c>
      <c r="F658" s="74"/>
      <c r="G658" s="74"/>
      <c r="H658" s="75"/>
      <c r="I658" s="76"/>
      <c r="J658" s="78">
        <f>HYPERLINK("#Структура!E1181",Структура!E1181)</f>
        <v>6.8784799999999997</v>
      </c>
      <c r="K658" s="114" t="str">
        <f>HYPERLINK("#Структура!G1181","")</f>
        <v/>
      </c>
      <c r="L658" s="120">
        <f>HYPERLINK("#Покупные_изделия!D306",Покупные_изделия!D306)</f>
        <v>160</v>
      </c>
      <c r="M658" s="76">
        <f>J658*L658</f>
        <v>1100.5567999999998</v>
      </c>
      <c r="N658" s="77"/>
      <c r="O658" s="77"/>
      <c r="P658" s="76"/>
      <c r="Q658" s="76"/>
    </row>
    <row r="659" spans="4:17" hidden="1" outlineLevel="2" collapsed="1" x14ac:dyDescent="0.25">
      <c r="D659" s="84" t="s">
        <v>977</v>
      </c>
      <c r="E659" s="79"/>
      <c r="F659" s="79"/>
      <c r="G659" s="79"/>
      <c r="H659" s="80"/>
      <c r="I659" s="81"/>
      <c r="J659" s="83">
        <f>HYPERLINK("#Структура!E1145",Структура!E1145)</f>
        <v>1</v>
      </c>
      <c r="K659" s="115">
        <f>HYPERLINK("#Структура!G1145",Структура!G1145)</f>
        <v>5.7039200000000001</v>
      </c>
      <c r="L659" s="81">
        <f>M659/J659</f>
        <v>1100.5567999999998</v>
      </c>
      <c r="M659" s="81">
        <f>SUMIF(E660,"*",M660)*J659</f>
        <v>1100.5567999999998</v>
      </c>
      <c r="N659" s="124">
        <f>HYPERLINK("#Трудозатраты!B297",Трудозатраты!B297+SUMIF(E660,"*",O660))</f>
        <v>6.8000000000000007</v>
      </c>
      <c r="O659" s="82">
        <f>N659*J659</f>
        <v>6.8000000000000007</v>
      </c>
      <c r="P659" s="81">
        <f>O659/60*(1+запас_труд)*стоимость_трудочаса</f>
        <v>266.33333333333337</v>
      </c>
      <c r="Q659" s="129">
        <f>M659*(1+наценка_покупное)+P659</f>
        <v>1587.0014933333332</v>
      </c>
    </row>
    <row r="660" spans="4:17" hidden="1" outlineLevel="3" x14ac:dyDescent="0.25">
      <c r="E660" s="74" t="s">
        <v>131</v>
      </c>
      <c r="F660" s="74"/>
      <c r="G660" s="74"/>
      <c r="H660" s="75"/>
      <c r="I660" s="76"/>
      <c r="J660" s="78">
        <f>HYPERLINK("#Структура!E1182",Структура!E1182)</f>
        <v>6.8784799999999997</v>
      </c>
      <c r="K660" s="114" t="str">
        <f>HYPERLINK("#Структура!G1182","")</f>
        <v/>
      </c>
      <c r="L660" s="120">
        <f>HYPERLINK("#Покупные_изделия!D306",Покупные_изделия!D306)</f>
        <v>160</v>
      </c>
      <c r="M660" s="76">
        <f>J660*L660</f>
        <v>1100.5567999999998</v>
      </c>
      <c r="N660" s="77"/>
      <c r="O660" s="77"/>
      <c r="P660" s="76"/>
      <c r="Q660" s="76"/>
    </row>
    <row r="661" spans="4:17" hidden="1" outlineLevel="2" collapsed="1" x14ac:dyDescent="0.25">
      <c r="D661" s="84" t="s">
        <v>978</v>
      </c>
      <c r="E661" s="79"/>
      <c r="F661" s="79"/>
      <c r="G661" s="79"/>
      <c r="H661" s="80"/>
      <c r="I661" s="81"/>
      <c r="J661" s="83">
        <f>HYPERLINK("#Структура!E1146",Структура!E1146)</f>
        <v>1</v>
      </c>
      <c r="K661" s="115">
        <f>HYPERLINK("#Структура!G1146",Структура!G1146)</f>
        <v>2.5409099999999998</v>
      </c>
      <c r="L661" s="81">
        <f>M661/J661</f>
        <v>484.53440000000001</v>
      </c>
      <c r="M661" s="81">
        <f>SUMIF(E662,"*",M662)*J661</f>
        <v>484.53440000000001</v>
      </c>
      <c r="N661" s="124">
        <f>HYPERLINK("#Трудозатраты!B300",Трудозатраты!B300+SUMIF(E662,"*",O662))</f>
        <v>3.6</v>
      </c>
      <c r="O661" s="82">
        <f>N661*J661</f>
        <v>3.6</v>
      </c>
      <c r="P661" s="81">
        <f>O661/60*(1+запас_труд)*стоимость_трудочаса</f>
        <v>141</v>
      </c>
      <c r="Q661" s="129">
        <f>M661*(1+наценка_покупное)+P661</f>
        <v>722.44128000000001</v>
      </c>
    </row>
    <row r="662" spans="4:17" hidden="1" outlineLevel="3" x14ac:dyDescent="0.25">
      <c r="E662" s="74" t="s">
        <v>131</v>
      </c>
      <c r="F662" s="74"/>
      <c r="G662" s="74"/>
      <c r="H662" s="75"/>
      <c r="I662" s="76"/>
      <c r="J662" s="78">
        <f>HYPERLINK("#Структура!E1185",Структура!E1185)</f>
        <v>3.02834</v>
      </c>
      <c r="K662" s="114" t="str">
        <f>HYPERLINK("#Структура!G1185","")</f>
        <v/>
      </c>
      <c r="L662" s="120">
        <f>HYPERLINK("#Покупные_изделия!D306",Покупные_изделия!D306)</f>
        <v>160</v>
      </c>
      <c r="M662" s="76">
        <f>J662*L662</f>
        <v>484.53440000000001</v>
      </c>
      <c r="N662" s="77"/>
      <c r="O662" s="77"/>
      <c r="P662" s="76"/>
      <c r="Q662" s="76"/>
    </row>
    <row r="663" spans="4:17" hidden="1" outlineLevel="2" collapsed="1" x14ac:dyDescent="0.25">
      <c r="D663" s="84" t="s">
        <v>979</v>
      </c>
      <c r="E663" s="79"/>
      <c r="F663" s="79"/>
      <c r="G663" s="79"/>
      <c r="H663" s="80"/>
      <c r="I663" s="81"/>
      <c r="J663" s="83">
        <f>HYPERLINK("#Структура!E1147",Структура!E1147)</f>
        <v>12</v>
      </c>
      <c r="K663" s="115">
        <f>HYPERLINK("#Структура!G1147",Структура!G1147)</f>
        <v>2.2768199999999998</v>
      </c>
      <c r="L663" s="81">
        <f>M663/J663</f>
        <v>437.54559999999998</v>
      </c>
      <c r="M663" s="81">
        <f>SUMIF(E664,"*",M664)*J663</f>
        <v>5250.5472</v>
      </c>
      <c r="N663" s="124">
        <f>HYPERLINK("#Трудозатраты!B301",Трудозатраты!B301+SUMIF(E664,"*",O664))</f>
        <v>11.6</v>
      </c>
      <c r="O663" s="82">
        <f>N663*J663</f>
        <v>139.19999999999999</v>
      </c>
      <c r="P663" s="81">
        <f>O663/60*(1+запас_труд)*стоимость_трудочаса</f>
        <v>5452</v>
      </c>
      <c r="Q663" s="129">
        <f>M663*(1+наценка_покупное)+P663</f>
        <v>11752.656640000001</v>
      </c>
    </row>
    <row r="664" spans="4:17" hidden="1" outlineLevel="3" x14ac:dyDescent="0.25">
      <c r="E664" s="74" t="s">
        <v>131</v>
      </c>
      <c r="F664" s="74"/>
      <c r="G664" s="74"/>
      <c r="H664" s="75"/>
      <c r="I664" s="76"/>
      <c r="J664" s="78">
        <f>HYPERLINK("#Структура!E1186",Структура!E1186)</f>
        <v>2.7346599999999999</v>
      </c>
      <c r="K664" s="114" t="str">
        <f>HYPERLINK("#Структура!G1186","")</f>
        <v/>
      </c>
      <c r="L664" s="120">
        <f>HYPERLINK("#Покупные_изделия!D306",Покупные_изделия!D306)</f>
        <v>160</v>
      </c>
      <c r="M664" s="76">
        <f>J664*L664</f>
        <v>437.54559999999998</v>
      </c>
      <c r="N664" s="77"/>
      <c r="O664" s="77"/>
      <c r="P664" s="76"/>
      <c r="Q664" s="76"/>
    </row>
    <row r="665" spans="4:17" hidden="1" outlineLevel="2" collapsed="1" x14ac:dyDescent="0.25">
      <c r="D665" s="84" t="s">
        <v>980</v>
      </c>
      <c r="E665" s="79"/>
      <c r="F665" s="79"/>
      <c r="G665" s="79"/>
      <c r="H665" s="80"/>
      <c r="I665" s="81"/>
      <c r="J665" s="83">
        <f>HYPERLINK("#Структура!E1148",Структура!E1148)</f>
        <v>12</v>
      </c>
      <c r="K665" s="115">
        <f>HYPERLINK("#Структура!G1148",Структура!G1148)</f>
        <v>13.92244</v>
      </c>
      <c r="L665" s="81">
        <f>M665/J665</f>
        <v>2784.6432</v>
      </c>
      <c r="M665" s="81">
        <f>SUMIF(E666,"*",M666)*J665</f>
        <v>33415.718399999998</v>
      </c>
      <c r="N665" s="124">
        <f>HYPERLINK("#Трудозатраты!B302",Трудозатраты!B302+SUMIF(E666,"*",O666))</f>
        <v>28</v>
      </c>
      <c r="O665" s="82">
        <f>N665*J665</f>
        <v>336</v>
      </c>
      <c r="P665" s="81">
        <f>O665/60*(1+запас_труд)*стоимость_трудочаса</f>
        <v>13160</v>
      </c>
      <c r="Q665" s="129">
        <f>M665*(1+наценка_покупное)+P665</f>
        <v>53258.862079999999</v>
      </c>
    </row>
    <row r="666" spans="4:17" hidden="1" outlineLevel="3" x14ac:dyDescent="0.25">
      <c r="E666" s="74" t="s">
        <v>130</v>
      </c>
      <c r="F666" s="74"/>
      <c r="G666" s="74"/>
      <c r="H666" s="75"/>
      <c r="I666" s="76"/>
      <c r="J666" s="78">
        <f>HYPERLINK("#Структура!E1187",Структура!E1187)</f>
        <v>17.404019999999999</v>
      </c>
      <c r="K666" s="114" t="str">
        <f>HYPERLINK("#Структура!G1187","")</f>
        <v/>
      </c>
      <c r="L666" s="120">
        <f>HYPERLINK("#Покупные_изделия!D305",Покупные_изделия!D305)</f>
        <v>160</v>
      </c>
      <c r="M666" s="76">
        <f>J666*L666</f>
        <v>2784.6432</v>
      </c>
      <c r="N666" s="77"/>
      <c r="O666" s="77"/>
      <c r="P666" s="76"/>
      <c r="Q666" s="76"/>
    </row>
    <row r="667" spans="4:17" hidden="1" outlineLevel="2" collapsed="1" x14ac:dyDescent="0.25">
      <c r="D667" s="84" t="s">
        <v>981</v>
      </c>
      <c r="E667" s="79"/>
      <c r="F667" s="79"/>
      <c r="G667" s="79"/>
      <c r="H667" s="80"/>
      <c r="I667" s="81"/>
      <c r="J667" s="83">
        <f>HYPERLINK("#Структура!E1149",Структура!E1149)</f>
        <v>4</v>
      </c>
      <c r="K667" s="115">
        <f>HYPERLINK("#Структура!G1149",Структура!G1149)</f>
        <v>26.90352</v>
      </c>
      <c r="L667" s="81">
        <f>M667/J667</f>
        <v>2756.6</v>
      </c>
      <c r="M667" s="81">
        <f>SUMIF(E668,"*",M668)*J667</f>
        <v>11026.4</v>
      </c>
      <c r="N667" s="124">
        <f>HYPERLINK("#Трудозатраты!B303",Трудозатраты!B303+SUMIF(E668,"*",O668))</f>
        <v>23.9</v>
      </c>
      <c r="O667" s="82">
        <f>N667*J667</f>
        <v>95.6</v>
      </c>
      <c r="P667" s="81">
        <f>O667/60*(1+запас_труд)*стоимость_трудочаса</f>
        <v>3744.333333333333</v>
      </c>
      <c r="Q667" s="129">
        <f>M667*(1+наценка_покупное)+P667</f>
        <v>16976.013333333332</v>
      </c>
    </row>
    <row r="668" spans="4:17" hidden="1" outlineLevel="3" x14ac:dyDescent="0.25">
      <c r="E668" s="74" t="s">
        <v>191</v>
      </c>
      <c r="F668" s="74"/>
      <c r="G668" s="74"/>
      <c r="H668" s="75"/>
      <c r="I668" s="76"/>
      <c r="J668" s="78">
        <f>HYPERLINK("#Структура!E1188",Структура!E1188)</f>
        <v>27.565999999999999</v>
      </c>
      <c r="K668" s="114" t="str">
        <f>HYPERLINK("#Структура!G1188","")</f>
        <v/>
      </c>
      <c r="L668" s="120">
        <f>HYPERLINK("#Покупные_изделия!D504",Покупные_изделия!D504)</f>
        <v>100</v>
      </c>
      <c r="M668" s="76">
        <f>J668*L668</f>
        <v>2756.6</v>
      </c>
      <c r="N668" s="77"/>
      <c r="O668" s="77"/>
      <c r="P668" s="76"/>
      <c r="Q668" s="76"/>
    </row>
    <row r="669" spans="4:17" hidden="1" outlineLevel="2" collapsed="1" x14ac:dyDescent="0.25">
      <c r="D669" s="84" t="s">
        <v>982</v>
      </c>
      <c r="E669" s="79"/>
      <c r="F669" s="79"/>
      <c r="G669" s="79"/>
      <c r="H669" s="80"/>
      <c r="I669" s="81"/>
      <c r="J669" s="83">
        <f>HYPERLINK("#Структура!E1150",Структура!E1150)</f>
        <v>2</v>
      </c>
      <c r="K669" s="115">
        <f>HYPERLINK("#Структура!G1150",Структура!G1150)</f>
        <v>1.6249800000000001</v>
      </c>
      <c r="L669" s="81">
        <f>M669/J669</f>
        <v>319.61439999999999</v>
      </c>
      <c r="M669" s="81">
        <f>SUMIF(E670,"*",M670)*J669</f>
        <v>639.22879999999998</v>
      </c>
      <c r="N669" s="124">
        <f>HYPERLINK("#Трудозатраты!B304",Трудозатраты!B304+SUMIF(E670,"*",O670))</f>
        <v>10.5</v>
      </c>
      <c r="O669" s="82">
        <f>N669*J669</f>
        <v>21</v>
      </c>
      <c r="P669" s="81">
        <f>O669/60*(1+запас_труд)*стоимость_трудочаса</f>
        <v>822.5</v>
      </c>
      <c r="Q669" s="129">
        <f>M669*(1+наценка_покупное)+P669</f>
        <v>1589.57456</v>
      </c>
    </row>
    <row r="670" spans="4:17" hidden="1" outlineLevel="3" x14ac:dyDescent="0.25">
      <c r="E670" s="74" t="s">
        <v>128</v>
      </c>
      <c r="F670" s="74"/>
      <c r="G670" s="74"/>
      <c r="H670" s="75"/>
      <c r="I670" s="76"/>
      <c r="J670" s="78">
        <f>HYPERLINK("#Структура!E1189",Структура!E1189)</f>
        <v>1.99759</v>
      </c>
      <c r="K670" s="114" t="str">
        <f>HYPERLINK("#Структура!G1189","")</f>
        <v/>
      </c>
      <c r="L670" s="120">
        <f>HYPERLINK("#Покупные_изделия!D303",Покупные_изделия!D303)</f>
        <v>160</v>
      </c>
      <c r="M670" s="76">
        <f>J670*L670</f>
        <v>319.61439999999999</v>
      </c>
      <c r="N670" s="77"/>
      <c r="O670" s="77"/>
      <c r="P670" s="76"/>
      <c r="Q670" s="76"/>
    </row>
    <row r="671" spans="4:17" hidden="1" outlineLevel="2" collapsed="1" x14ac:dyDescent="0.25">
      <c r="D671" s="84" t="s">
        <v>983</v>
      </c>
      <c r="E671" s="79"/>
      <c r="F671" s="79"/>
      <c r="G671" s="79"/>
      <c r="H671" s="80"/>
      <c r="I671" s="81"/>
      <c r="J671" s="83">
        <f>HYPERLINK("#Структура!E1151",Структура!E1151)</f>
        <v>96</v>
      </c>
      <c r="K671" s="115">
        <f>HYPERLINK("#Структура!G1151",Структура!G1151)</f>
        <v>8.8010000000000005E-2</v>
      </c>
      <c r="L671" s="81">
        <f>M671/J671</f>
        <v>26.8475</v>
      </c>
      <c r="M671" s="81">
        <f>SUMIF(E672,"*",M672)*J671</f>
        <v>2577.36</v>
      </c>
      <c r="N671" s="124">
        <f>HYPERLINK("#Трудозатраты!B305",Трудозатраты!B305+SUMIF(E672,"*",O672))</f>
        <v>7.7000000000000011</v>
      </c>
      <c r="O671" s="82">
        <f>N671*J671</f>
        <v>739.2</v>
      </c>
      <c r="P671" s="81">
        <f>O671/60*(1+запас_труд)*стоимость_трудочаса</f>
        <v>28952</v>
      </c>
      <c r="Q671" s="129">
        <f>M671*(1+наценка_покупное)+P671</f>
        <v>32044.831999999999</v>
      </c>
    </row>
    <row r="672" spans="4:17" hidden="1" outlineLevel="3" x14ac:dyDescent="0.25">
      <c r="E672" s="74" t="s">
        <v>126</v>
      </c>
      <c r="F672" s="74"/>
      <c r="G672" s="74"/>
      <c r="H672" s="75"/>
      <c r="I672" s="76"/>
      <c r="J672" s="78">
        <f>HYPERLINK("#Структура!E1190",Структура!E1190)</f>
        <v>0.10739</v>
      </c>
      <c r="K672" s="114" t="str">
        <f>HYPERLINK("#Структура!G1190","")</f>
        <v/>
      </c>
      <c r="L672" s="120">
        <f>HYPERLINK("#Покупные_изделия!D301",Покупные_изделия!D301)</f>
        <v>250</v>
      </c>
      <c r="M672" s="76">
        <f>J672*L672</f>
        <v>26.8475</v>
      </c>
      <c r="N672" s="77"/>
      <c r="O672" s="77"/>
      <c r="P672" s="76"/>
      <c r="Q672" s="76"/>
    </row>
    <row r="673" spans="4:17" hidden="1" outlineLevel="2" collapsed="1" x14ac:dyDescent="0.25">
      <c r="D673" s="84" t="s">
        <v>984</v>
      </c>
      <c r="E673" s="79"/>
      <c r="F673" s="79"/>
      <c r="G673" s="79"/>
      <c r="H673" s="80"/>
      <c r="I673" s="81"/>
      <c r="J673" s="83">
        <f>HYPERLINK("#Структура!E1152",Структура!E1152)</f>
        <v>12</v>
      </c>
      <c r="K673" s="115">
        <f>HYPERLINK("#Структура!G1152",Структура!G1152)</f>
        <v>5.5744800000000003</v>
      </c>
      <c r="L673" s="81">
        <f>M673/J673</f>
        <v>1101.9136000000001</v>
      </c>
      <c r="M673" s="81">
        <f>SUMIF(E674,"*",M674)*J673</f>
        <v>13222.963200000002</v>
      </c>
      <c r="N673" s="124">
        <f>HYPERLINK("#Трудозатраты!B306",Трудозатраты!B306+SUMIF(E674,"*",O674))</f>
        <v>20</v>
      </c>
      <c r="O673" s="82">
        <f>N673*J673</f>
        <v>240</v>
      </c>
      <c r="P673" s="81">
        <f>O673/60*(1+запас_труд)*стоимость_трудочаса</f>
        <v>9400</v>
      </c>
      <c r="Q673" s="129">
        <f>M673*(1+наценка_покупное)+P673</f>
        <v>25267.555840000001</v>
      </c>
    </row>
    <row r="674" spans="4:17" hidden="1" outlineLevel="3" x14ac:dyDescent="0.25">
      <c r="E674" s="74" t="s">
        <v>131</v>
      </c>
      <c r="F674" s="74"/>
      <c r="G674" s="74"/>
      <c r="H674" s="75"/>
      <c r="I674" s="76"/>
      <c r="J674" s="78">
        <f>HYPERLINK("#Структура!E1191",Структура!E1191)</f>
        <v>6.8869600000000002</v>
      </c>
      <c r="K674" s="114" t="str">
        <f>HYPERLINK("#Структура!G1191","")</f>
        <v/>
      </c>
      <c r="L674" s="120">
        <f>HYPERLINK("#Покупные_изделия!D306",Покупные_изделия!D306)</f>
        <v>160</v>
      </c>
      <c r="M674" s="76">
        <f>J674*L674</f>
        <v>1101.9136000000001</v>
      </c>
      <c r="N674" s="77"/>
      <c r="O674" s="77"/>
      <c r="P674" s="76"/>
      <c r="Q674" s="76"/>
    </row>
    <row r="675" spans="4:17" hidden="1" outlineLevel="2" collapsed="1" x14ac:dyDescent="0.25">
      <c r="D675" s="84" t="s">
        <v>985</v>
      </c>
      <c r="E675" s="79"/>
      <c r="F675" s="79"/>
      <c r="G675" s="79"/>
      <c r="H675" s="80"/>
      <c r="I675" s="81"/>
      <c r="J675" s="83">
        <f>HYPERLINK("#Структура!E1153",Структура!E1153)</f>
        <v>4</v>
      </c>
      <c r="K675" s="115">
        <f>HYPERLINK("#Структура!G1153",Структура!G1153)</f>
        <v>5.4679999999999999E-2</v>
      </c>
      <c r="L675" s="81">
        <f>M675/J675</f>
        <v>13.158399999999999</v>
      </c>
      <c r="M675" s="81">
        <f>SUMIF(E676,"*",M676)*J675</f>
        <v>52.633599999999994</v>
      </c>
      <c r="N675" s="124">
        <f>HYPERLINK("#Трудозатраты!B307",Трудозатраты!B307+SUMIF(E676,"*",O676))</f>
        <v>1.6</v>
      </c>
      <c r="O675" s="82">
        <f>N675*J675</f>
        <v>6.4</v>
      </c>
      <c r="P675" s="81">
        <f>O675/60*(1+запас_труд)*стоимость_трудочаса</f>
        <v>250.66666666666669</v>
      </c>
      <c r="Q675" s="129">
        <f>M675*(1+наценка_покупное)+P675</f>
        <v>313.8269866666667</v>
      </c>
    </row>
    <row r="676" spans="4:17" hidden="1" outlineLevel="3" x14ac:dyDescent="0.25">
      <c r="E676" s="74" t="s">
        <v>131</v>
      </c>
      <c r="F676" s="74"/>
      <c r="G676" s="74"/>
      <c r="H676" s="75"/>
      <c r="I676" s="76"/>
      <c r="J676" s="78">
        <f>HYPERLINK("#Структура!E1192",Структура!E1192)</f>
        <v>8.2239999999999994E-2</v>
      </c>
      <c r="K676" s="114" t="str">
        <f>HYPERLINK("#Структура!G1192","")</f>
        <v/>
      </c>
      <c r="L676" s="120">
        <f>HYPERLINK("#Покупные_изделия!D306",Покупные_изделия!D306)</f>
        <v>160</v>
      </c>
      <c r="M676" s="76">
        <f>J676*L676</f>
        <v>13.158399999999999</v>
      </c>
      <c r="N676" s="77"/>
      <c r="O676" s="77"/>
      <c r="P676" s="76"/>
      <c r="Q676" s="76"/>
    </row>
    <row r="677" spans="4:17" hidden="1" outlineLevel="2" collapsed="1" x14ac:dyDescent="0.25">
      <c r="D677" s="84" t="s">
        <v>986</v>
      </c>
      <c r="E677" s="79"/>
      <c r="F677" s="79"/>
      <c r="G677" s="79"/>
      <c r="H677" s="80"/>
      <c r="I677" s="81"/>
      <c r="J677" s="83">
        <f>HYPERLINK("#Структура!E1154",Структура!E1154)</f>
        <v>5</v>
      </c>
      <c r="K677" s="115">
        <f>HYPERLINK("#Структура!G1154",Структура!G1154)</f>
        <v>24.27975</v>
      </c>
      <c r="L677" s="81">
        <f>M677/J677</f>
        <v>4836.4848000000002</v>
      </c>
      <c r="M677" s="81">
        <f>SUMIF(E678,"*",M678)*J677</f>
        <v>24182.423999999999</v>
      </c>
      <c r="N677" s="124">
        <f>HYPERLINK("#Трудозатраты!B309",Трудозатраты!B309+SUMIF(E678,"*",O678))</f>
        <v>32</v>
      </c>
      <c r="O677" s="82">
        <f>N677*J677</f>
        <v>160</v>
      </c>
      <c r="P677" s="81">
        <f>O677/60*(1+запас_труд)*стоимость_трудочаса</f>
        <v>6266.6666666666661</v>
      </c>
      <c r="Q677" s="129">
        <f>M677*(1+наценка_покупное)+P677</f>
        <v>35285.575466666662</v>
      </c>
    </row>
    <row r="678" spans="4:17" hidden="1" outlineLevel="3" x14ac:dyDescent="0.25">
      <c r="E678" s="74" t="s">
        <v>131</v>
      </c>
      <c r="F678" s="74"/>
      <c r="G678" s="74"/>
      <c r="H678" s="75"/>
      <c r="I678" s="76"/>
      <c r="J678" s="78">
        <f>HYPERLINK("#Структура!E1194",Структура!E1194)</f>
        <v>30.22803</v>
      </c>
      <c r="K678" s="114" t="str">
        <f>HYPERLINK("#Структура!G1194","")</f>
        <v/>
      </c>
      <c r="L678" s="120">
        <f>HYPERLINK("#Покупные_изделия!D306",Покупные_изделия!D306)</f>
        <v>160</v>
      </c>
      <c r="M678" s="76">
        <f>J678*L678</f>
        <v>4836.4848000000002</v>
      </c>
      <c r="N678" s="77"/>
      <c r="O678" s="77"/>
      <c r="P678" s="76"/>
      <c r="Q678" s="76"/>
    </row>
    <row r="679" spans="4:17" hidden="1" outlineLevel="2" collapsed="1" x14ac:dyDescent="0.25">
      <c r="D679" s="84" t="s">
        <v>987</v>
      </c>
      <c r="E679" s="79"/>
      <c r="F679" s="79"/>
      <c r="G679" s="79"/>
      <c r="H679" s="80"/>
      <c r="I679" s="81"/>
      <c r="J679" s="83">
        <f>HYPERLINK("#Структура!E1155",Структура!E1155)</f>
        <v>5</v>
      </c>
      <c r="K679" s="115">
        <f>HYPERLINK("#Структура!G1155",Структура!G1155)</f>
        <v>24.27976</v>
      </c>
      <c r="L679" s="81">
        <f>M679/J679</f>
        <v>4836.4848000000002</v>
      </c>
      <c r="M679" s="81">
        <f>SUMIF(E680,"*",M680)*J679</f>
        <v>24182.423999999999</v>
      </c>
      <c r="N679" s="124">
        <f>HYPERLINK("#Трудозатраты!B310",Трудозатраты!B310+SUMIF(E680,"*",O680))</f>
        <v>32</v>
      </c>
      <c r="O679" s="82">
        <f>N679*J679</f>
        <v>160</v>
      </c>
      <c r="P679" s="81">
        <f>O679/60*(1+запас_труд)*стоимость_трудочаса</f>
        <v>6266.6666666666661</v>
      </c>
      <c r="Q679" s="129">
        <f>M679*(1+наценка_покупное)+P679</f>
        <v>35285.575466666662</v>
      </c>
    </row>
    <row r="680" spans="4:17" hidden="1" outlineLevel="3" x14ac:dyDescent="0.25">
      <c r="E680" s="74" t="s">
        <v>131</v>
      </c>
      <c r="F680" s="74"/>
      <c r="G680" s="74"/>
      <c r="H680" s="75"/>
      <c r="I680" s="76"/>
      <c r="J680" s="78">
        <f>HYPERLINK("#Структура!E1195",Структура!E1195)</f>
        <v>30.22803</v>
      </c>
      <c r="K680" s="114" t="str">
        <f>HYPERLINK("#Структура!G1195","")</f>
        <v/>
      </c>
      <c r="L680" s="120">
        <f>HYPERLINK("#Покупные_изделия!D306",Покупные_изделия!D306)</f>
        <v>160</v>
      </c>
      <c r="M680" s="76">
        <f>J680*L680</f>
        <v>4836.4848000000002</v>
      </c>
      <c r="N680" s="77"/>
      <c r="O680" s="77"/>
      <c r="P680" s="76"/>
      <c r="Q680" s="76"/>
    </row>
    <row r="681" spans="4:17" hidden="1" outlineLevel="2" collapsed="1" x14ac:dyDescent="0.25">
      <c r="D681" s="84" t="s">
        <v>988</v>
      </c>
      <c r="E681" s="79"/>
      <c r="F681" s="79"/>
      <c r="G681" s="79"/>
      <c r="H681" s="80"/>
      <c r="I681" s="81"/>
      <c r="J681" s="83">
        <f>HYPERLINK("#Структура!E1156",Структура!E1156)</f>
        <v>2</v>
      </c>
      <c r="K681" s="115">
        <f>HYPERLINK("#Структура!G1156",Структура!G1156)</f>
        <v>3.2065399999999999</v>
      </c>
      <c r="L681" s="81">
        <f>M681/J681</f>
        <v>627.48479999999995</v>
      </c>
      <c r="M681" s="81">
        <f>SUMIF(E682,"*",M682)*J681</f>
        <v>1254.9695999999999</v>
      </c>
      <c r="N681" s="124">
        <f>HYPERLINK("#Трудозатраты!B311",Трудозатраты!B311+SUMIF(E682,"*",O682))</f>
        <v>10.899999999999999</v>
      </c>
      <c r="O681" s="82">
        <f>N681*J681</f>
        <v>21.799999999999997</v>
      </c>
      <c r="P681" s="81">
        <f>O681/60*(1+запас_труд)*стоимость_трудочаса</f>
        <v>853.83333333333326</v>
      </c>
      <c r="Q681" s="129">
        <f>M681*(1+наценка_покупное)+P681</f>
        <v>2359.7968533333333</v>
      </c>
    </row>
    <row r="682" spans="4:17" hidden="1" outlineLevel="3" x14ac:dyDescent="0.25">
      <c r="E682" s="74" t="s">
        <v>128</v>
      </c>
      <c r="F682" s="74"/>
      <c r="G682" s="74"/>
      <c r="H682" s="75"/>
      <c r="I682" s="76"/>
      <c r="J682" s="78">
        <f>HYPERLINK("#Структура!E1196",Структура!E1196)</f>
        <v>3.92178</v>
      </c>
      <c r="K682" s="114" t="str">
        <f>HYPERLINK("#Структура!G1196","")</f>
        <v/>
      </c>
      <c r="L682" s="120">
        <f>HYPERLINK("#Покупные_изделия!D303",Покупные_изделия!D303)</f>
        <v>160</v>
      </c>
      <c r="M682" s="76">
        <f>J682*L682</f>
        <v>627.48479999999995</v>
      </c>
      <c r="N682" s="77"/>
      <c r="O682" s="77"/>
      <c r="P682" s="76"/>
      <c r="Q682" s="76"/>
    </row>
    <row r="683" spans="4:17" hidden="1" outlineLevel="2" collapsed="1" x14ac:dyDescent="0.25">
      <c r="D683" s="84" t="s">
        <v>989</v>
      </c>
      <c r="E683" s="79"/>
      <c r="F683" s="79"/>
      <c r="G683" s="79"/>
      <c r="H683" s="80"/>
      <c r="I683" s="81"/>
      <c r="J683" s="83">
        <f>HYPERLINK("#Структура!E1157",Структура!E1157)</f>
        <v>48</v>
      </c>
      <c r="K683" s="115">
        <f>HYPERLINK("#Структура!G1157",Структура!G1157)</f>
        <v>0.11040999999999999</v>
      </c>
      <c r="L683" s="81">
        <f>M683/J683</f>
        <v>21.387199999999996</v>
      </c>
      <c r="M683" s="81">
        <f>SUMIF(E684,"*",M684)*J683</f>
        <v>1026.5855999999999</v>
      </c>
      <c r="N683" s="124">
        <f>HYPERLINK("#Трудозатраты!B312",Трудозатраты!B312+SUMIF(E684,"*",O684))</f>
        <v>9.15</v>
      </c>
      <c r="O683" s="82">
        <f>N683*J683</f>
        <v>439.20000000000005</v>
      </c>
      <c r="P683" s="81">
        <f>O683/60*(1+запас_труд)*стоимость_трудочаса</f>
        <v>17202.000000000004</v>
      </c>
      <c r="Q683" s="129">
        <f>M683*(1+наценка_покупное)+P683</f>
        <v>18433.902720000002</v>
      </c>
    </row>
    <row r="684" spans="4:17" hidden="1" outlineLevel="3" x14ac:dyDescent="0.25">
      <c r="E684" s="74" t="s">
        <v>128</v>
      </c>
      <c r="F684" s="74"/>
      <c r="G684" s="74"/>
      <c r="H684" s="75"/>
      <c r="I684" s="76"/>
      <c r="J684" s="78">
        <f>HYPERLINK("#Структура!E1197",Структура!E1197)</f>
        <v>0.13367000000000001</v>
      </c>
      <c r="K684" s="114" t="str">
        <f>HYPERLINK("#Структура!G1197","")</f>
        <v/>
      </c>
      <c r="L684" s="120">
        <f>HYPERLINK("#Покупные_изделия!D303",Покупные_изделия!D303)</f>
        <v>160</v>
      </c>
      <c r="M684" s="76">
        <f>J684*L684</f>
        <v>21.3872</v>
      </c>
      <c r="N684" s="77"/>
      <c r="O684" s="77"/>
      <c r="P684" s="76"/>
      <c r="Q684" s="76"/>
    </row>
    <row r="685" spans="4:17" hidden="1" outlineLevel="2" collapsed="1" x14ac:dyDescent="0.25">
      <c r="D685" s="84" t="s">
        <v>990</v>
      </c>
      <c r="E685" s="79"/>
      <c r="F685" s="79"/>
      <c r="G685" s="79"/>
      <c r="H685" s="80"/>
      <c r="I685" s="81"/>
      <c r="J685" s="83">
        <f>HYPERLINK("#Структура!E1158",Структура!E1158)</f>
        <v>24</v>
      </c>
      <c r="K685" s="115">
        <f>HYPERLINK("#Структура!G1158",Структура!G1158)</f>
        <v>0.18654999999999999</v>
      </c>
      <c r="L685" s="81">
        <f>M685/J685</f>
        <v>36.625599999999999</v>
      </c>
      <c r="M685" s="81">
        <f>SUMIF(E686,"*",M686)*J685</f>
        <v>879.01440000000002</v>
      </c>
      <c r="N685" s="124">
        <f>HYPERLINK("#Трудозатраты!B314",Трудозатраты!B314+SUMIF(E686,"*",O686))</f>
        <v>7.3500000000000005</v>
      </c>
      <c r="O685" s="82">
        <f>N685*J685</f>
        <v>176.4</v>
      </c>
      <c r="P685" s="81">
        <f>O685/60*(1+запас_труд)*стоимость_трудочаса</f>
        <v>6909</v>
      </c>
      <c r="Q685" s="129">
        <f>M685*(1+наценка_покупное)+P685</f>
        <v>7963.8172800000002</v>
      </c>
    </row>
    <row r="686" spans="4:17" hidden="1" outlineLevel="3" x14ac:dyDescent="0.25">
      <c r="E686" s="74" t="s">
        <v>128</v>
      </c>
      <c r="F686" s="74"/>
      <c r="G686" s="74"/>
      <c r="H686" s="75"/>
      <c r="I686" s="76"/>
      <c r="J686" s="78">
        <f>HYPERLINK("#Структура!E1199",Структура!E1199)</f>
        <v>0.22891</v>
      </c>
      <c r="K686" s="114" t="str">
        <f>HYPERLINK("#Структура!G1199","")</f>
        <v/>
      </c>
      <c r="L686" s="120">
        <f>HYPERLINK("#Покупные_изделия!D303",Покупные_изделия!D303)</f>
        <v>160</v>
      </c>
      <c r="M686" s="76">
        <f>J686*L686</f>
        <v>36.625599999999999</v>
      </c>
      <c r="N686" s="77"/>
      <c r="O686" s="77"/>
      <c r="P686" s="76"/>
      <c r="Q686" s="76"/>
    </row>
    <row r="687" spans="4:17" hidden="1" outlineLevel="2" collapsed="1" x14ac:dyDescent="0.25">
      <c r="D687" s="84" t="s">
        <v>991</v>
      </c>
      <c r="E687" s="79"/>
      <c r="F687" s="79"/>
      <c r="G687" s="79"/>
      <c r="H687" s="80"/>
      <c r="I687" s="81"/>
      <c r="J687" s="83">
        <f>HYPERLINK("#Структура!E1159",Структура!E1159)</f>
        <v>1</v>
      </c>
      <c r="K687" s="115">
        <f>HYPERLINK("#Структура!G1159",Структура!G1159)</f>
        <v>21.603290000000001</v>
      </c>
      <c r="L687" s="81">
        <f>M687/J687</f>
        <v>4180.9584000000004</v>
      </c>
      <c r="M687" s="81">
        <f>SUMIF(E688,"*",M688)*J687</f>
        <v>4180.9584000000004</v>
      </c>
      <c r="N687" s="124">
        <f>HYPERLINK("#Трудозатраты!B315",Трудозатраты!B315+SUMIF(E688,"*",O688))</f>
        <v>36</v>
      </c>
      <c r="O687" s="82">
        <f>N687*J687</f>
        <v>36</v>
      </c>
      <c r="P687" s="81">
        <f>O687/60*(1+запас_труд)*стоимость_трудочаса</f>
        <v>1410</v>
      </c>
      <c r="Q687" s="129">
        <f>M687*(1+наценка_покупное)+P687</f>
        <v>6427.1500800000003</v>
      </c>
    </row>
    <row r="688" spans="4:17" hidden="1" outlineLevel="3" x14ac:dyDescent="0.25">
      <c r="E688" s="74" t="s">
        <v>128</v>
      </c>
      <c r="F688" s="74"/>
      <c r="G688" s="74"/>
      <c r="H688" s="75"/>
      <c r="I688" s="76"/>
      <c r="J688" s="78">
        <f>HYPERLINK("#Структура!E1200",Структура!E1200)</f>
        <v>26.130990000000001</v>
      </c>
      <c r="K688" s="114" t="str">
        <f>HYPERLINK("#Структура!G1200","")</f>
        <v/>
      </c>
      <c r="L688" s="120">
        <f>HYPERLINK("#Покупные_изделия!D303",Покупные_изделия!D303)</f>
        <v>160</v>
      </c>
      <c r="M688" s="76">
        <f>J688*L688</f>
        <v>4180.9584000000004</v>
      </c>
      <c r="N688" s="77"/>
      <c r="O688" s="77"/>
      <c r="P688" s="76"/>
      <c r="Q688" s="76"/>
    </row>
    <row r="689" spans="4:17" hidden="1" outlineLevel="2" collapsed="1" x14ac:dyDescent="0.25">
      <c r="D689" s="84" t="s">
        <v>992</v>
      </c>
      <c r="E689" s="79"/>
      <c r="F689" s="79"/>
      <c r="G689" s="79"/>
      <c r="H689" s="80"/>
      <c r="I689" s="81"/>
      <c r="J689" s="83">
        <f>HYPERLINK("#Структура!E1160",Структура!E1160)</f>
        <v>1</v>
      </c>
      <c r="K689" s="115">
        <f>HYPERLINK("#Структура!G1160",Структура!G1160)</f>
        <v>21.62397</v>
      </c>
      <c r="L689" s="81">
        <f>M689/J689</f>
        <v>4180.9584000000004</v>
      </c>
      <c r="M689" s="81">
        <f>SUMIF(E690,"*",M690)*J689</f>
        <v>4180.9584000000004</v>
      </c>
      <c r="N689" s="124">
        <f>HYPERLINK("#Трудозатраты!B316",Трудозатраты!B316+SUMIF(E690,"*",O690))</f>
        <v>34</v>
      </c>
      <c r="O689" s="82">
        <f>N689*J689</f>
        <v>34</v>
      </c>
      <c r="P689" s="81">
        <f>O689/60*(1+запас_труд)*стоимость_трудочаса</f>
        <v>1331.6666666666667</v>
      </c>
      <c r="Q689" s="129">
        <f>M689*(1+наценка_покупное)+P689</f>
        <v>6348.8167466666673</v>
      </c>
    </row>
    <row r="690" spans="4:17" hidden="1" outlineLevel="3" x14ac:dyDescent="0.25">
      <c r="E690" s="74" t="s">
        <v>128</v>
      </c>
      <c r="F690" s="74"/>
      <c r="G690" s="74"/>
      <c r="H690" s="75"/>
      <c r="I690" s="76"/>
      <c r="J690" s="78">
        <f>HYPERLINK("#Структура!E1201",Структура!E1201)</f>
        <v>26.130990000000001</v>
      </c>
      <c r="K690" s="114" t="str">
        <f>HYPERLINK("#Структура!G1201","")</f>
        <v/>
      </c>
      <c r="L690" s="120">
        <f>HYPERLINK("#Покупные_изделия!D303",Покупные_изделия!D303)</f>
        <v>160</v>
      </c>
      <c r="M690" s="76">
        <f>J690*L690</f>
        <v>4180.9584000000004</v>
      </c>
      <c r="N690" s="77"/>
      <c r="O690" s="77"/>
      <c r="P690" s="76"/>
      <c r="Q690" s="76"/>
    </row>
    <row r="691" spans="4:17" hidden="1" outlineLevel="2" collapsed="1" x14ac:dyDescent="0.25">
      <c r="D691" s="84" t="s">
        <v>993</v>
      </c>
      <c r="E691" s="79"/>
      <c r="F691" s="79"/>
      <c r="G691" s="79"/>
      <c r="H691" s="80"/>
      <c r="I691" s="81"/>
      <c r="J691" s="83">
        <f>HYPERLINK("#Структура!E1161",Структура!E1161)</f>
        <v>4</v>
      </c>
      <c r="K691" s="115">
        <f>HYPERLINK("#Структура!G1161",Структура!G1161)</f>
        <v>18.36824</v>
      </c>
      <c r="L691" s="81">
        <f>M691/J691</f>
        <v>3167.2448000000004</v>
      </c>
      <c r="M691" s="81">
        <f>SUMIF(E692,"*",M692)*J691</f>
        <v>12668.979200000002</v>
      </c>
      <c r="N691" s="124">
        <f>HYPERLINK("#Трудозатраты!B317",Трудозатраты!B317+SUMIF(E692,"*",O692))</f>
        <v>44</v>
      </c>
      <c r="O691" s="82">
        <f>N691*J691</f>
        <v>176</v>
      </c>
      <c r="P691" s="81">
        <f>O691/60*(1+запас_труд)*стоимость_трудочаса</f>
        <v>6893.333333333333</v>
      </c>
      <c r="Q691" s="129">
        <f>M691*(1+наценка_покупное)+P691</f>
        <v>22096.108373333333</v>
      </c>
    </row>
    <row r="692" spans="4:17" hidden="1" outlineLevel="3" x14ac:dyDescent="0.25">
      <c r="E692" s="74" t="s">
        <v>128</v>
      </c>
      <c r="F692" s="74"/>
      <c r="G692" s="74"/>
      <c r="H692" s="75"/>
      <c r="I692" s="76"/>
      <c r="J692" s="78">
        <f>HYPERLINK("#Структура!E1202",Структура!E1202)</f>
        <v>19.795280000000002</v>
      </c>
      <c r="K692" s="114" t="str">
        <f>HYPERLINK("#Структура!G1202","")</f>
        <v/>
      </c>
      <c r="L692" s="120">
        <f>HYPERLINK("#Покупные_изделия!D303",Покупные_изделия!D303)</f>
        <v>160</v>
      </c>
      <c r="M692" s="76">
        <f>J692*L692</f>
        <v>3167.2448000000004</v>
      </c>
      <c r="N692" s="77"/>
      <c r="O692" s="77"/>
      <c r="P692" s="76"/>
      <c r="Q692" s="76"/>
    </row>
    <row r="693" spans="4:17" hidden="1" outlineLevel="2" collapsed="1" x14ac:dyDescent="0.25">
      <c r="D693" s="84" t="s">
        <v>994</v>
      </c>
      <c r="E693" s="79"/>
      <c r="F693" s="79"/>
      <c r="G693" s="79"/>
      <c r="H693" s="80"/>
      <c r="I693" s="81"/>
      <c r="J693" s="83">
        <f>HYPERLINK("#Структура!E1162",Структура!E1162)</f>
        <v>3</v>
      </c>
      <c r="K693" s="115">
        <f>HYPERLINK("#Структура!G1162",Структура!G1162)</f>
        <v>6.8217699999999999</v>
      </c>
      <c r="L693" s="81">
        <f>M693/J693</f>
        <v>1629.0688</v>
      </c>
      <c r="M693" s="81">
        <f>SUMIF(E694,"*",M694)*J693</f>
        <v>4887.2064</v>
      </c>
      <c r="N693" s="124">
        <f>HYPERLINK("#Трудозатраты!B318",Трудозатраты!B318+SUMIF(E694,"*",O694))</f>
        <v>5.7</v>
      </c>
      <c r="O693" s="82">
        <f>N693*J693</f>
        <v>17.100000000000001</v>
      </c>
      <c r="P693" s="81">
        <f>O693/60*(1+запас_труд)*стоимость_трудочаса</f>
        <v>669.75000000000011</v>
      </c>
      <c r="Q693" s="129">
        <f>M693*(1+наценка_покупное)+P693</f>
        <v>6534.39768</v>
      </c>
    </row>
    <row r="694" spans="4:17" hidden="1" outlineLevel="3" x14ac:dyDescent="0.25">
      <c r="E694" s="74" t="s">
        <v>128</v>
      </c>
      <c r="F694" s="74"/>
      <c r="G694" s="74"/>
      <c r="H694" s="75"/>
      <c r="I694" s="76"/>
      <c r="J694" s="78">
        <f>HYPERLINK("#Структура!E1203",Структура!E1203)</f>
        <v>10.18168</v>
      </c>
      <c r="K694" s="114" t="str">
        <f>HYPERLINK("#Структура!G1203","")</f>
        <v/>
      </c>
      <c r="L694" s="120">
        <f>HYPERLINK("#Покупные_изделия!D303",Покупные_изделия!D303)</f>
        <v>160</v>
      </c>
      <c r="M694" s="76">
        <f>J694*L694</f>
        <v>1629.0688</v>
      </c>
      <c r="N694" s="77"/>
      <c r="O694" s="77"/>
      <c r="P694" s="76"/>
      <c r="Q694" s="76"/>
    </row>
    <row r="695" spans="4:17" hidden="1" outlineLevel="2" collapsed="1" x14ac:dyDescent="0.25">
      <c r="D695" s="84" t="s">
        <v>995</v>
      </c>
      <c r="E695" s="79"/>
      <c r="F695" s="79"/>
      <c r="G695" s="79"/>
      <c r="H695" s="80"/>
      <c r="I695" s="81"/>
      <c r="J695" s="83">
        <f>HYPERLINK("#Структура!E1163",Структура!E1163)</f>
        <v>3</v>
      </c>
      <c r="K695" s="115">
        <f>HYPERLINK("#Структура!G1163",Структура!G1163)</f>
        <v>6.8217699999999999</v>
      </c>
      <c r="L695" s="81">
        <f>M695/J695</f>
        <v>1629.0688</v>
      </c>
      <c r="M695" s="81">
        <f>SUMIF(E696,"*",M696)*J695</f>
        <v>4887.2064</v>
      </c>
      <c r="N695" s="124">
        <f>HYPERLINK("#Трудозатраты!B319",Трудозатраты!B319+SUMIF(E696,"*",O696))</f>
        <v>5.7</v>
      </c>
      <c r="O695" s="82">
        <f>N695*J695</f>
        <v>17.100000000000001</v>
      </c>
      <c r="P695" s="81">
        <f>O695/60*(1+запас_труд)*стоимость_трудочаса</f>
        <v>669.75000000000011</v>
      </c>
      <c r="Q695" s="129">
        <f>M695*(1+наценка_покупное)+P695</f>
        <v>6534.39768</v>
      </c>
    </row>
    <row r="696" spans="4:17" hidden="1" outlineLevel="3" x14ac:dyDescent="0.25">
      <c r="E696" s="74" t="s">
        <v>128</v>
      </c>
      <c r="F696" s="74"/>
      <c r="G696" s="74"/>
      <c r="H696" s="75"/>
      <c r="I696" s="76"/>
      <c r="J696" s="78">
        <f>HYPERLINK("#Структура!E1204",Структура!E1204)</f>
        <v>10.18168</v>
      </c>
      <c r="K696" s="114" t="str">
        <f>HYPERLINK("#Структура!G1204","")</f>
        <v/>
      </c>
      <c r="L696" s="120">
        <f>HYPERLINK("#Покупные_изделия!D303",Покупные_изделия!D303)</f>
        <v>160</v>
      </c>
      <c r="M696" s="76">
        <f>J696*L696</f>
        <v>1629.0688</v>
      </c>
      <c r="N696" s="77"/>
      <c r="O696" s="77"/>
      <c r="P696" s="76"/>
      <c r="Q696" s="76"/>
    </row>
    <row r="697" spans="4:17" hidden="1" outlineLevel="2" collapsed="1" x14ac:dyDescent="0.25">
      <c r="D697" s="84" t="s">
        <v>996</v>
      </c>
      <c r="E697" s="79"/>
      <c r="F697" s="79"/>
      <c r="G697" s="79"/>
      <c r="H697" s="80"/>
      <c r="I697" s="81"/>
      <c r="J697" s="83">
        <f>HYPERLINK("#Структура!E1164",Структура!E1164)</f>
        <v>3</v>
      </c>
      <c r="K697" s="115">
        <f>HYPERLINK("#Структура!G1164",Структура!G1164)</f>
        <v>4.5624399999999996</v>
      </c>
      <c r="L697" s="81">
        <f>M697/J697</f>
        <v>878.27520000000004</v>
      </c>
      <c r="M697" s="81">
        <f>SUMIF(E698,"*",M698)*J697</f>
        <v>2634.8256000000001</v>
      </c>
      <c r="N697" s="124">
        <f>HYPERLINK("#Трудозатраты!B320",Трудозатраты!B320+SUMIF(E698,"*",O698))</f>
        <v>10.5</v>
      </c>
      <c r="O697" s="82">
        <f>N697*J697</f>
        <v>31.5</v>
      </c>
      <c r="P697" s="81">
        <f>O697/60*(1+запас_труд)*стоимость_трудочаса</f>
        <v>1233.75</v>
      </c>
      <c r="Q697" s="129">
        <f>M697*(1+наценка_покупное)+P697</f>
        <v>4395.54072</v>
      </c>
    </row>
    <row r="698" spans="4:17" hidden="1" outlineLevel="3" x14ac:dyDescent="0.25">
      <c r="E698" s="74" t="s">
        <v>128</v>
      </c>
      <c r="F698" s="74"/>
      <c r="G698" s="74"/>
      <c r="H698" s="75"/>
      <c r="I698" s="76"/>
      <c r="J698" s="78">
        <f>HYPERLINK("#Структура!E1205",Структура!E1205)</f>
        <v>5.4892200000000004</v>
      </c>
      <c r="K698" s="114" t="str">
        <f>HYPERLINK("#Структура!G1205","")</f>
        <v/>
      </c>
      <c r="L698" s="120">
        <f>HYPERLINK("#Покупные_изделия!D303",Покупные_изделия!D303)</f>
        <v>160</v>
      </c>
      <c r="M698" s="76">
        <f>J698*L698</f>
        <v>878.27520000000004</v>
      </c>
      <c r="N698" s="77"/>
      <c r="O698" s="77"/>
      <c r="P698" s="76"/>
      <c r="Q698" s="76"/>
    </row>
    <row r="699" spans="4:17" hidden="1" outlineLevel="2" collapsed="1" x14ac:dyDescent="0.25">
      <c r="D699" s="84" t="s">
        <v>997</v>
      </c>
      <c r="E699" s="79"/>
      <c r="F699" s="79"/>
      <c r="G699" s="79"/>
      <c r="H699" s="80"/>
      <c r="I699" s="81"/>
      <c r="J699" s="83">
        <f>HYPERLINK("#Структура!E1165",Структура!E1165)</f>
        <v>1</v>
      </c>
      <c r="K699" s="115">
        <f>HYPERLINK("#Структура!G1165",Структура!G1165)</f>
        <v>2.41317</v>
      </c>
      <c r="L699" s="81">
        <f>M699/J699</f>
        <v>496.12799999999999</v>
      </c>
      <c r="M699" s="81">
        <f>SUMIF(E700,"*",M700)*J699</f>
        <v>496.12799999999999</v>
      </c>
      <c r="N699" s="124">
        <f>HYPERLINK("#Трудозатраты!B321",Трудозатраты!B321+SUMIF(E700,"*",O700))</f>
        <v>11.6</v>
      </c>
      <c r="O699" s="82">
        <f>N699*J699</f>
        <v>11.6</v>
      </c>
      <c r="P699" s="81">
        <f>O699/60*(1+запас_труд)*стоимость_трудочаса</f>
        <v>454.33333333333331</v>
      </c>
      <c r="Q699" s="129">
        <f>M699*(1+наценка_покупное)+P699</f>
        <v>1049.6869333333332</v>
      </c>
    </row>
    <row r="700" spans="4:17" hidden="1" outlineLevel="3" x14ac:dyDescent="0.25">
      <c r="E700" s="74" t="s">
        <v>131</v>
      </c>
      <c r="F700" s="74"/>
      <c r="G700" s="74"/>
      <c r="H700" s="75"/>
      <c r="I700" s="76"/>
      <c r="J700" s="78">
        <f>HYPERLINK("#Структура!E1206",Структура!E1206)</f>
        <v>3.1008</v>
      </c>
      <c r="K700" s="114" t="str">
        <f>HYPERLINK("#Структура!G1206","")</f>
        <v/>
      </c>
      <c r="L700" s="120">
        <f>HYPERLINK("#Покупные_изделия!D306",Покупные_изделия!D306)</f>
        <v>160</v>
      </c>
      <c r="M700" s="76">
        <f t="shared" ref="M700:M709" si="33">J700*L700</f>
        <v>496.12799999999999</v>
      </c>
      <c r="N700" s="77"/>
      <c r="O700" s="77"/>
      <c r="P700" s="76"/>
      <c r="Q700" s="76"/>
    </row>
    <row r="701" spans="4:17" hidden="1" outlineLevel="2" x14ac:dyDescent="0.25">
      <c r="D701" s="74" t="s">
        <v>998</v>
      </c>
      <c r="E701" s="74"/>
      <c r="F701" s="74"/>
      <c r="G701" s="74"/>
      <c r="H701" s="75"/>
      <c r="I701" s="76"/>
      <c r="J701" s="78">
        <f>HYPERLINK("#Структура!E1166",Структура!E1166)</f>
        <v>50</v>
      </c>
      <c r="K701" s="114">
        <f>HYPERLINK("#Структура!G1166",Структура!G1166)</f>
        <v>1.4599999999999999E-3</v>
      </c>
      <c r="L701" s="120">
        <f>HYPERLINK("#Покупные_изделия!D149",Покупные_изделия!D149)</f>
        <v>1.032</v>
      </c>
      <c r="M701" s="76">
        <f t="shared" si="33"/>
        <v>51.6</v>
      </c>
      <c r="N701" s="77"/>
      <c r="O701" s="77"/>
      <c r="P701" s="76"/>
      <c r="Q701" s="76"/>
    </row>
    <row r="702" spans="4:17" hidden="1" outlineLevel="2" x14ac:dyDescent="0.25">
      <c r="D702" s="74" t="s">
        <v>999</v>
      </c>
      <c r="E702" s="74"/>
      <c r="F702" s="74"/>
      <c r="G702" s="74"/>
      <c r="H702" s="75"/>
      <c r="I702" s="76"/>
      <c r="J702" s="78">
        <f>HYPERLINK("#Структура!E1167",Структура!E1167)</f>
        <v>4</v>
      </c>
      <c r="K702" s="114">
        <f>HYPERLINK("#Структура!G1167",Структура!G1167)</f>
        <v>7.3000000000000001E-3</v>
      </c>
      <c r="L702" s="120">
        <f>HYPERLINK("#Покупные_изделия!D83",Покупные_изделия!D83)</f>
        <v>9.4919999999999991</v>
      </c>
      <c r="M702" s="76">
        <f t="shared" si="33"/>
        <v>37.967999999999996</v>
      </c>
      <c r="N702" s="77"/>
      <c r="O702" s="77"/>
      <c r="P702" s="76"/>
      <c r="Q702" s="76"/>
    </row>
    <row r="703" spans="4:17" hidden="1" outlineLevel="2" x14ac:dyDescent="0.25">
      <c r="D703" s="74" t="s">
        <v>622</v>
      </c>
      <c r="E703" s="74"/>
      <c r="F703" s="74"/>
      <c r="G703" s="74"/>
      <c r="H703" s="75"/>
      <c r="I703" s="76"/>
      <c r="J703" s="78">
        <f>HYPERLINK("#Структура!E1168",Структура!E1168)</f>
        <v>1760</v>
      </c>
      <c r="K703" s="114">
        <f>HYPERLINK("#Структура!G1168",Структура!G1168)</f>
        <v>1.52E-2</v>
      </c>
      <c r="L703" s="120">
        <f>HYPERLINK("#Покупные_изделия!D85",Покупные_изделия!D85)</f>
        <v>8.6999999999999993</v>
      </c>
      <c r="M703" s="76">
        <f t="shared" si="33"/>
        <v>15311.999999999998</v>
      </c>
      <c r="N703" s="77"/>
      <c r="O703" s="77"/>
      <c r="P703" s="76"/>
      <c r="Q703" s="76"/>
    </row>
    <row r="704" spans="4:17" hidden="1" outlineLevel="2" x14ac:dyDescent="0.25">
      <c r="D704" s="74" t="s">
        <v>1000</v>
      </c>
      <c r="E704" s="74"/>
      <c r="F704" s="74"/>
      <c r="G704" s="74"/>
      <c r="H704" s="75"/>
      <c r="I704" s="76"/>
      <c r="J704" s="78">
        <f>HYPERLINK("#Структура!E1169",Структура!E1169)</f>
        <v>4</v>
      </c>
      <c r="K704" s="114">
        <f>HYPERLINK("#Структура!G1169",Структура!G1169)</f>
        <v>1.99E-3</v>
      </c>
      <c r="L704" s="120">
        <f>HYPERLINK("#Покупные_изделия!D118",Покупные_изделия!D118)</f>
        <v>0.83160000000000012</v>
      </c>
      <c r="M704" s="76">
        <f t="shared" si="33"/>
        <v>3.3264000000000005</v>
      </c>
      <c r="N704" s="77"/>
      <c r="O704" s="77"/>
      <c r="P704" s="76"/>
      <c r="Q704" s="76"/>
    </row>
    <row r="705" spans="3:17" hidden="1" outlineLevel="2" x14ac:dyDescent="0.25">
      <c r="D705" s="74" t="s">
        <v>1001</v>
      </c>
      <c r="E705" s="74"/>
      <c r="F705" s="74"/>
      <c r="G705" s="74"/>
      <c r="H705" s="75"/>
      <c r="I705" s="76"/>
      <c r="J705" s="78">
        <f>HYPERLINK("#Структура!E1170",Структура!E1170)</f>
        <v>450</v>
      </c>
      <c r="K705" s="114">
        <f>HYPERLINK("#Структура!G1170",Структура!G1170)</f>
        <v>9.5300000000000003E-3</v>
      </c>
      <c r="L705" s="120">
        <f>HYPERLINK("#Покупные_изделия!D124",Покупные_изделия!D124)</f>
        <v>8.6999999999999993</v>
      </c>
      <c r="M705" s="76">
        <f t="shared" si="33"/>
        <v>3914.9999999999995</v>
      </c>
      <c r="N705" s="77"/>
      <c r="O705" s="77"/>
      <c r="P705" s="76"/>
      <c r="Q705" s="76"/>
    </row>
    <row r="706" spans="3:17" hidden="1" outlineLevel="2" x14ac:dyDescent="0.25">
      <c r="D706" s="74" t="s">
        <v>1002</v>
      </c>
      <c r="E706" s="74"/>
      <c r="F706" s="74"/>
      <c r="G706" s="74"/>
      <c r="H706" s="75"/>
      <c r="I706" s="76"/>
      <c r="J706" s="78">
        <f>HYPERLINK("#Структура!E1171",Структура!E1171)</f>
        <v>4</v>
      </c>
      <c r="K706" s="114">
        <f>HYPERLINK("#Структура!G1171",Структура!G1171)</f>
        <v>8.0000000000000004E-4</v>
      </c>
      <c r="L706" s="120">
        <f>HYPERLINK("#Покупные_изделия!D186",Покупные_изделия!D186)</f>
        <v>0.51480000000000004</v>
      </c>
      <c r="M706" s="76">
        <f t="shared" si="33"/>
        <v>2.0592000000000001</v>
      </c>
      <c r="N706" s="77"/>
      <c r="O706" s="77"/>
      <c r="P706" s="76"/>
      <c r="Q706" s="76"/>
    </row>
    <row r="707" spans="3:17" hidden="1" outlineLevel="2" x14ac:dyDescent="0.25">
      <c r="D707" s="74" t="s">
        <v>871</v>
      </c>
      <c r="E707" s="74"/>
      <c r="F707" s="74"/>
      <c r="G707" s="74"/>
      <c r="H707" s="75"/>
      <c r="I707" s="76"/>
      <c r="J707" s="78">
        <f>HYPERLINK("#Структура!E1172",Структура!E1172)</f>
        <v>4</v>
      </c>
      <c r="K707" s="114">
        <f>HYPERLINK("#Структура!G1172",Структура!G1172)</f>
        <v>3.3E-3</v>
      </c>
      <c r="L707" s="120">
        <f>HYPERLINK("#Покупные_изделия!D167",Покупные_изделия!D167)</f>
        <v>2.0654400000000002</v>
      </c>
      <c r="M707" s="76">
        <f t="shared" si="33"/>
        <v>8.2617600000000007</v>
      </c>
      <c r="N707" s="77"/>
      <c r="O707" s="77"/>
      <c r="P707" s="76"/>
      <c r="Q707" s="76"/>
    </row>
    <row r="708" spans="3:17" hidden="1" outlineLevel="2" x14ac:dyDescent="0.25">
      <c r="D708" s="74" t="s">
        <v>625</v>
      </c>
      <c r="E708" s="74"/>
      <c r="F708" s="74"/>
      <c r="G708" s="74"/>
      <c r="H708" s="75"/>
      <c r="I708" s="76"/>
      <c r="J708" s="78">
        <f>HYPERLINK("#Структура!E1173",Структура!E1173)</f>
        <v>2200</v>
      </c>
      <c r="K708" s="114">
        <f>HYPERLINK("#Структура!G1173",Структура!G1173)</f>
        <v>7.1399999999999996E-3</v>
      </c>
      <c r="L708" s="120">
        <f>HYPERLINK("#Покупные_изделия!D168",Покупные_изделия!D168)</f>
        <v>1.9715672368421051</v>
      </c>
      <c r="M708" s="76">
        <f t="shared" si="33"/>
        <v>4337.4479210526315</v>
      </c>
      <c r="N708" s="77"/>
      <c r="O708" s="77"/>
      <c r="P708" s="76"/>
      <c r="Q708" s="76"/>
    </row>
    <row r="709" spans="3:17" hidden="1" outlineLevel="2" x14ac:dyDescent="0.25">
      <c r="D709" s="74" t="s">
        <v>1003</v>
      </c>
      <c r="E709" s="74"/>
      <c r="F709" s="74"/>
      <c r="G709" s="74"/>
      <c r="H709" s="75"/>
      <c r="I709" s="76"/>
      <c r="J709" s="78">
        <f>HYPERLINK("#Структура!E1174",Структура!E1174)</f>
        <v>4</v>
      </c>
      <c r="K709" s="114">
        <f>HYPERLINK("#Структура!G1174",Структура!G1174)</f>
        <v>1.2999999999999999E-4</v>
      </c>
      <c r="L709" s="120">
        <f>HYPERLINK("#Покупные_изделия!D528",Покупные_изделия!D528)</f>
        <v>1.1000000000000001</v>
      </c>
      <c r="M709" s="76">
        <f t="shared" si="33"/>
        <v>4.4000000000000004</v>
      </c>
      <c r="N709" s="77"/>
      <c r="O709" s="77"/>
      <c r="P709" s="76"/>
      <c r="Q709" s="76"/>
    </row>
    <row r="710" spans="3:17" hidden="1" outlineLevel="2" collapsed="1" x14ac:dyDescent="0.25">
      <c r="D710" s="96" t="s">
        <v>634</v>
      </c>
      <c r="E710" s="91"/>
      <c r="F710" s="91"/>
      <c r="G710" s="91"/>
      <c r="H710" s="92"/>
      <c r="I710" s="93"/>
      <c r="J710" s="95">
        <f>HYPERLINK("#Структура!E1175",Структура!E1175)</f>
        <v>1</v>
      </c>
      <c r="K710" s="117">
        <f t="array" ref="K710">SUMPRODUCT(IF(ISTEXT(E711:E718),1,0),J711:J718,K711:K718)</f>
        <v>810.38063999999997</v>
      </c>
      <c r="L710" s="93">
        <f>M710/J710</f>
        <v>272579.24400000001</v>
      </c>
      <c r="M710" s="93">
        <f>SUMIF(E711:E718,"*",M711:M718)*J710</f>
        <v>272579.24400000001</v>
      </c>
      <c r="N710" s="125">
        <f>HYPERLINK("#Трудозатраты!B15",Трудозатраты!B15+SUMIF(E711:E718,"*",O711:O718))</f>
        <v>11421</v>
      </c>
      <c r="O710" s="94">
        <f>N710*J710</f>
        <v>11421</v>
      </c>
      <c r="P710" s="93">
        <f>O710/60*(1+запас_труд)*стоимость_трудочаса</f>
        <v>447322.5</v>
      </c>
      <c r="Q710" s="130">
        <f>M710*(1+наценка_покупное)+P710</f>
        <v>774417.59279999998</v>
      </c>
    </row>
    <row r="711" spans="3:17" hidden="1" outlineLevel="3" collapsed="1" x14ac:dyDescent="0.25">
      <c r="E711" s="85" t="s">
        <v>633</v>
      </c>
      <c r="F711" s="86"/>
      <c r="G711" s="86"/>
      <c r="H711" s="87"/>
      <c r="I711" s="88"/>
      <c r="J711" s="90">
        <f>HYPERLINK("#Структура!E51",Структура!E51)</f>
        <v>24</v>
      </c>
      <c r="K711" s="113">
        <f>HYPERLINK("#Структура!G51",Структура!G51)</f>
        <v>8.4798799999999996</v>
      </c>
      <c r="L711" s="88">
        <f>M711/J711</f>
        <v>3149.2110000000007</v>
      </c>
      <c r="M711" s="88">
        <f>SUMIF(F712,"*",M712)*J711</f>
        <v>75581.064000000013</v>
      </c>
      <c r="N711" s="123">
        <f>HYPERLINK("#Трудозатраты!B298",Трудозатраты!B298+SUMIF(F712,"*",O712))</f>
        <v>106</v>
      </c>
      <c r="O711" s="89">
        <f>N711*J711</f>
        <v>2544</v>
      </c>
      <c r="P711" s="88">
        <f>O711/60*(1+запас_труд)*стоимость_трудочаса</f>
        <v>99640</v>
      </c>
      <c r="Q711" s="128">
        <f>M711*(1+наценка_покупное)+P711</f>
        <v>190337.27679999999</v>
      </c>
    </row>
    <row r="712" spans="3:17" hidden="1" outlineLevel="4" x14ac:dyDescent="0.25">
      <c r="F712" s="74" t="s">
        <v>45</v>
      </c>
      <c r="G712" s="74"/>
      <c r="H712" s="75"/>
      <c r="I712" s="76"/>
      <c r="J712" s="78">
        <f>HYPERLINK("#Структура!E1183",Структура!E1183)</f>
        <v>10.49737</v>
      </c>
      <c r="K712" s="114" t="str">
        <f>HYPERLINK("#Структура!G1183","")</f>
        <v/>
      </c>
      <c r="L712" s="120">
        <f>HYPERLINK("#Покупные_изделия!D64",Покупные_изделия!D64)</f>
        <v>300</v>
      </c>
      <c r="M712" s="76">
        <f>J712*L712</f>
        <v>3149.2110000000002</v>
      </c>
      <c r="N712" s="77"/>
      <c r="O712" s="77"/>
      <c r="P712" s="76"/>
      <c r="Q712" s="76"/>
    </row>
    <row r="713" spans="3:17" hidden="1" outlineLevel="3" collapsed="1" x14ac:dyDescent="0.25">
      <c r="E713" s="84" t="s">
        <v>630</v>
      </c>
      <c r="F713" s="79"/>
      <c r="G713" s="79"/>
      <c r="H713" s="80"/>
      <c r="I713" s="81"/>
      <c r="J713" s="83">
        <f>HYPERLINK("#Структура!E52",Структура!E52)</f>
        <v>24</v>
      </c>
      <c r="K713" s="115">
        <f>HYPERLINK("#Структура!G52",Структура!G52)</f>
        <v>8.64696</v>
      </c>
      <c r="L713" s="81">
        <f>M713/J713</f>
        <v>3157.4550000000004</v>
      </c>
      <c r="M713" s="81">
        <f>SUMIF(F714,"*",M714)*J713</f>
        <v>75778.920000000013</v>
      </c>
      <c r="N713" s="124">
        <f>HYPERLINK("#Трудозатраты!B299",Трудозатраты!B299+SUMIF(F714,"*",O714))</f>
        <v>109</v>
      </c>
      <c r="O713" s="82">
        <f>N713*J713</f>
        <v>2616</v>
      </c>
      <c r="P713" s="81">
        <f>O713/60*(1+запас_труд)*стоимость_трудочаса</f>
        <v>102460</v>
      </c>
      <c r="Q713" s="129">
        <f>M713*(1+наценка_покупное)+P713</f>
        <v>193394.70400000003</v>
      </c>
    </row>
    <row r="714" spans="3:17" hidden="1" outlineLevel="4" x14ac:dyDescent="0.25">
      <c r="F714" s="74" t="s">
        <v>45</v>
      </c>
      <c r="G714" s="74"/>
      <c r="H714" s="75"/>
      <c r="I714" s="76"/>
      <c r="J714" s="78">
        <f>HYPERLINK("#Структура!E1184",Структура!E1184)</f>
        <v>10.524850000000001</v>
      </c>
      <c r="K714" s="114" t="str">
        <f>HYPERLINK("#Структура!G1184","")</f>
        <v/>
      </c>
      <c r="L714" s="120">
        <f>HYPERLINK("#Покупные_изделия!D64",Покупные_изделия!D64)</f>
        <v>300</v>
      </c>
      <c r="M714" s="76">
        <f>J714*L714</f>
        <v>3157.4550000000004</v>
      </c>
      <c r="N714" s="77"/>
      <c r="O714" s="77"/>
      <c r="P714" s="76"/>
      <c r="Q714" s="76"/>
    </row>
    <row r="715" spans="3:17" hidden="1" outlineLevel="3" collapsed="1" x14ac:dyDescent="0.25">
      <c r="E715" s="84" t="s">
        <v>635</v>
      </c>
      <c r="F715" s="79"/>
      <c r="G715" s="79"/>
      <c r="H715" s="80"/>
      <c r="I715" s="81"/>
      <c r="J715" s="83">
        <f>HYPERLINK("#Структура!E53",Структура!E53)</f>
        <v>48</v>
      </c>
      <c r="K715" s="115">
        <f>HYPERLINK("#Структура!G53",Структура!G53)</f>
        <v>8.1093799999999998</v>
      </c>
      <c r="L715" s="81">
        <f>M715/J715</f>
        <v>2461.3325</v>
      </c>
      <c r="M715" s="81">
        <f>SUMIF(F716,"*",M716)*J715</f>
        <v>118143.95999999999</v>
      </c>
      <c r="N715" s="124">
        <f>HYPERLINK("#Трудозатраты!B308",Трудозатраты!B308+SUMIF(F716,"*",O716))</f>
        <v>123</v>
      </c>
      <c r="O715" s="82">
        <f>N715*J715</f>
        <v>5904</v>
      </c>
      <c r="P715" s="81">
        <f>O715/60*(1+запас_труд)*стоимость_трудочаса</f>
        <v>231240</v>
      </c>
      <c r="Q715" s="129">
        <f>M715*(1+наценка_покупное)+P715</f>
        <v>373012.75199999998</v>
      </c>
    </row>
    <row r="716" spans="3:17" hidden="1" outlineLevel="4" x14ac:dyDescent="0.25">
      <c r="F716" s="74" t="s">
        <v>125</v>
      </c>
      <c r="G716" s="74"/>
      <c r="H716" s="75"/>
      <c r="I716" s="76"/>
      <c r="J716" s="78">
        <f>HYPERLINK("#Структура!E1193",Структура!E1193)</f>
        <v>9.8453300000000006</v>
      </c>
      <c r="K716" s="114" t="str">
        <f>HYPERLINK("#Структура!G1193","")</f>
        <v/>
      </c>
      <c r="L716" s="120">
        <f>HYPERLINK("#Покупные_изделия!D300",Покупные_изделия!D300)</f>
        <v>250</v>
      </c>
      <c r="M716" s="76">
        <f>J716*L716</f>
        <v>2461.3325</v>
      </c>
      <c r="N716" s="77"/>
      <c r="O716" s="77"/>
      <c r="P716" s="76"/>
      <c r="Q716" s="76"/>
    </row>
    <row r="717" spans="3:17" hidden="1" outlineLevel="3" collapsed="1" x14ac:dyDescent="0.25">
      <c r="E717" s="84" t="s">
        <v>636</v>
      </c>
      <c r="F717" s="79"/>
      <c r="G717" s="79"/>
      <c r="H717" s="80"/>
      <c r="I717" s="81"/>
      <c r="J717" s="83">
        <f>HYPERLINK("#Структура!E54",Структура!E54)</f>
        <v>24</v>
      </c>
      <c r="K717" s="115">
        <f>HYPERLINK("#Структура!G54",Структура!G54)</f>
        <v>0.42026000000000002</v>
      </c>
      <c r="L717" s="81">
        <f>M717/J717</f>
        <v>128.13749999999999</v>
      </c>
      <c r="M717" s="81">
        <f>SUMIF(F718,"*",M718)*J717</f>
        <v>3075.2999999999997</v>
      </c>
      <c r="N717" s="124">
        <f>HYPERLINK("#Трудозатраты!B313",Трудозатраты!B313+SUMIF(F718,"*",O718))</f>
        <v>14.25</v>
      </c>
      <c r="O717" s="82">
        <f>N717*J717</f>
        <v>342</v>
      </c>
      <c r="P717" s="81">
        <f>O717/60*(1+запас_труд)*стоимость_трудочаса</f>
        <v>13395</v>
      </c>
      <c r="Q717" s="129">
        <f>M717*(1+наценка_покупное)+P717</f>
        <v>17085.36</v>
      </c>
    </row>
    <row r="718" spans="3:17" hidden="1" outlineLevel="4" x14ac:dyDescent="0.25">
      <c r="F718" s="74" t="s">
        <v>126</v>
      </c>
      <c r="G718" s="74"/>
      <c r="H718" s="75"/>
      <c r="I718" s="76"/>
      <c r="J718" s="78">
        <f>HYPERLINK("#Структура!E1198",Структура!E1198)</f>
        <v>0.51254999999999995</v>
      </c>
      <c r="K718" s="114" t="str">
        <f>HYPERLINK("#Структура!G1198","")</f>
        <v/>
      </c>
      <c r="L718" s="120">
        <f>HYPERLINK("#Покупные_изделия!D301",Покупные_изделия!D301)</f>
        <v>250</v>
      </c>
      <c r="M718" s="76">
        <f>J718*L718</f>
        <v>128.13749999999999</v>
      </c>
      <c r="N718" s="77"/>
      <c r="O718" s="77"/>
      <c r="P718" s="76"/>
      <c r="Q718" s="76"/>
    </row>
    <row r="719" spans="3:17" hidden="1" outlineLevel="1" collapsed="1" x14ac:dyDescent="0.25">
      <c r="C719" s="96" t="s">
        <v>1023</v>
      </c>
      <c r="D719" s="91"/>
      <c r="E719" s="91"/>
      <c r="F719" s="91"/>
      <c r="G719" s="91"/>
      <c r="H719" s="92"/>
      <c r="I719" s="93"/>
      <c r="J719" s="95">
        <f>HYPERLINK("#Структура!E3248",Структура!E3248)</f>
        <v>4</v>
      </c>
      <c r="K719" s="116">
        <f>HYPERLINK("#Структура!G3248",Структура!G3248)</f>
        <v>1749.5352</v>
      </c>
      <c r="L719" s="93">
        <f>M719/J719</f>
        <v>486901.8445624474</v>
      </c>
      <c r="M719" s="93">
        <f>SUMIF(D720:D839,"*",M720:M839)*J719</f>
        <v>1947607.3782497896</v>
      </c>
      <c r="N719" s="125">
        <f>HYPERLINK("#Трудозатраты!B338",Трудозатраты!B338+SUMIF(D720:D839,"*",O720:O839))</f>
        <v>14399.65</v>
      </c>
      <c r="O719" s="94">
        <f>N719*J719</f>
        <v>57598.6</v>
      </c>
      <c r="P719" s="93">
        <f>O719/60*(1+запас_труд)*стоимость_трудочаса</f>
        <v>2255945.1666666665</v>
      </c>
      <c r="Q719" s="130">
        <f>M719*(1+наценка_покупное)+P719</f>
        <v>4593074.0205664141</v>
      </c>
    </row>
    <row r="720" spans="3:17" hidden="1" outlineLevel="2" collapsed="1" x14ac:dyDescent="0.25">
      <c r="D720" s="97" t="s">
        <v>969</v>
      </c>
      <c r="E720" s="98"/>
      <c r="F720" s="98"/>
      <c r="G720" s="98"/>
      <c r="H720" s="99"/>
      <c r="I720" s="100"/>
      <c r="J720" s="102">
        <f>HYPERLINK("#Структура!E1255",Структура!E1255)</f>
        <v>1</v>
      </c>
      <c r="K720" s="112">
        <f>HYPERLINK("#Структура!G1255",Структура!G1255)</f>
        <v>0.96531999999999996</v>
      </c>
      <c r="L720" s="100">
        <f>M720/J720</f>
        <v>245.79839999999999</v>
      </c>
      <c r="M720" s="100">
        <f>SUMIF(E721:E727,"*",M721:M727)*J720</f>
        <v>245.79839999999999</v>
      </c>
      <c r="N720" s="122">
        <f>HYPERLINK("#Трудозатраты!B332",Трудозатраты!B332+SUMIF(E721:E727,"*",O721:O727))</f>
        <v>39</v>
      </c>
      <c r="O720" s="101">
        <f>N720*J720</f>
        <v>39</v>
      </c>
      <c r="P720" s="100">
        <f>O720/60*(1+запас_труд)*стоимость_трудочаса</f>
        <v>1527.5</v>
      </c>
      <c r="Q720" s="127">
        <f>M720*(1+наценка_покупное)+P720</f>
        <v>1822.4580799999999</v>
      </c>
    </row>
    <row r="721" spans="4:17" hidden="1" outlineLevel="3" collapsed="1" x14ac:dyDescent="0.25">
      <c r="E721" s="85" t="s">
        <v>1018</v>
      </c>
      <c r="F721" s="86"/>
      <c r="G721" s="86"/>
      <c r="H721" s="87"/>
      <c r="I721" s="88"/>
      <c r="J721" s="90">
        <f>HYPERLINK("#Структура!E1244",Структура!E1244)</f>
        <v>3</v>
      </c>
      <c r="K721" s="113">
        <f>HYPERLINK("#Структура!G1244",Структура!G1244)</f>
        <v>5.8900000000000003E-3</v>
      </c>
      <c r="L721" s="88">
        <f>M721/J721</f>
        <v>1.1504000000000001</v>
      </c>
      <c r="M721" s="88">
        <f>SUMIF(F722,"*",M722)*J721</f>
        <v>3.4512</v>
      </c>
      <c r="N721" s="123">
        <f>HYPERLINK("#Трудозатраты!B333",Трудозатраты!B333+SUMIF(F722,"*",O722))</f>
        <v>3.5</v>
      </c>
      <c r="O721" s="89">
        <f>N721*J721</f>
        <v>10.5</v>
      </c>
      <c r="P721" s="88">
        <f>O721/60*(1+запас_труд)*стоимость_трудочаса</f>
        <v>411.25</v>
      </c>
      <c r="Q721" s="128">
        <f>M721*(1+наценка_покупное)+P721</f>
        <v>415.39143999999999</v>
      </c>
    </row>
    <row r="722" spans="4:17" hidden="1" outlineLevel="4" x14ac:dyDescent="0.25">
      <c r="F722" s="74" t="s">
        <v>124</v>
      </c>
      <c r="G722" s="74"/>
      <c r="H722" s="75"/>
      <c r="I722" s="76"/>
      <c r="J722" s="78">
        <f>HYPERLINK("#Структура!E1248",Структура!E1248)</f>
        <v>7.1900000000000002E-3</v>
      </c>
      <c r="K722" s="114" t="str">
        <f>HYPERLINK("#Структура!G1248","")</f>
        <v/>
      </c>
      <c r="L722" s="120">
        <f>HYPERLINK("#Покупные_изделия!D299",Покупные_изделия!D299)</f>
        <v>160</v>
      </c>
      <c r="M722" s="76">
        <f>J722*L722</f>
        <v>1.1504000000000001</v>
      </c>
      <c r="N722" s="77"/>
      <c r="O722" s="77"/>
      <c r="P722" s="76"/>
      <c r="Q722" s="76"/>
    </row>
    <row r="723" spans="4:17" hidden="1" outlineLevel="3" collapsed="1" x14ac:dyDescent="0.25">
      <c r="E723" s="84" t="s">
        <v>1019</v>
      </c>
      <c r="F723" s="79"/>
      <c r="G723" s="79"/>
      <c r="H723" s="80"/>
      <c r="I723" s="81"/>
      <c r="J723" s="83">
        <f>HYPERLINK("#Структура!E1245",Структура!E1245)</f>
        <v>1</v>
      </c>
      <c r="K723" s="115">
        <f>HYPERLINK("#Структура!G1245",Структура!G1245)</f>
        <v>0.88463999999999998</v>
      </c>
      <c r="L723" s="81">
        <f>M723/J723</f>
        <v>218.84479999999999</v>
      </c>
      <c r="M723" s="81">
        <f>SUMIF(F724,"*",M724)*J723</f>
        <v>218.84479999999999</v>
      </c>
      <c r="N723" s="124">
        <f>HYPERLINK("#Трудозатраты!B334",Трудозатраты!B334+SUMIF(F724,"*",O724))</f>
        <v>16</v>
      </c>
      <c r="O723" s="82">
        <f>N723*J723</f>
        <v>16</v>
      </c>
      <c r="P723" s="81">
        <f>O723/60*(1+запас_труд)*стоимость_трудочаса</f>
        <v>626.66666666666663</v>
      </c>
      <c r="Q723" s="129">
        <f>M723*(1+наценка_покупное)+P723</f>
        <v>889.28042666666659</v>
      </c>
    </row>
    <row r="724" spans="4:17" hidden="1" outlineLevel="4" x14ac:dyDescent="0.25">
      <c r="F724" s="74" t="s">
        <v>124</v>
      </c>
      <c r="G724" s="74"/>
      <c r="H724" s="75"/>
      <c r="I724" s="76"/>
      <c r="J724" s="78">
        <f>HYPERLINK("#Структура!E1249",Структура!E1249)</f>
        <v>1.36778</v>
      </c>
      <c r="K724" s="114" t="str">
        <f>HYPERLINK("#Структура!G1249","")</f>
        <v/>
      </c>
      <c r="L724" s="120">
        <f>HYPERLINK("#Покупные_изделия!D299",Покупные_изделия!D299)</f>
        <v>160</v>
      </c>
      <c r="M724" s="76">
        <f>J724*L724</f>
        <v>218.84479999999999</v>
      </c>
      <c r="N724" s="77"/>
      <c r="O724" s="77"/>
      <c r="P724" s="76"/>
      <c r="Q724" s="76"/>
    </row>
    <row r="725" spans="4:17" hidden="1" outlineLevel="3" collapsed="1" x14ac:dyDescent="0.25">
      <c r="E725" s="84" t="s">
        <v>1020</v>
      </c>
      <c r="F725" s="79"/>
      <c r="G725" s="79"/>
      <c r="H725" s="80"/>
      <c r="I725" s="81"/>
      <c r="J725" s="83">
        <f>HYPERLINK("#Структура!E1246",Структура!E1246)</f>
        <v>1</v>
      </c>
      <c r="K725" s="115">
        <f>HYPERLINK("#Структура!G1246",Структура!G1246)</f>
        <v>4.9770000000000002E-2</v>
      </c>
      <c r="L725" s="81">
        <f>M725/J725</f>
        <v>16.278399999999998</v>
      </c>
      <c r="M725" s="81">
        <f>SUMIF(F726,"*",M726)*J725</f>
        <v>16.278399999999998</v>
      </c>
      <c r="N725" s="124">
        <f>HYPERLINK("#Трудозатраты!B335",Трудозатраты!B335+SUMIF(F726,"*",O726))</f>
        <v>2.5</v>
      </c>
      <c r="O725" s="82">
        <f>N725*J725</f>
        <v>2.5</v>
      </c>
      <c r="P725" s="81">
        <f>O725/60*(1+запас_труд)*стоимость_трудочаса</f>
        <v>97.916666666666657</v>
      </c>
      <c r="Q725" s="129">
        <f>M725*(1+наценка_покупное)+P725</f>
        <v>117.45074666666665</v>
      </c>
    </row>
    <row r="726" spans="4:17" hidden="1" outlineLevel="4" x14ac:dyDescent="0.25">
      <c r="F726" s="74" t="s">
        <v>124</v>
      </c>
      <c r="G726" s="74"/>
      <c r="H726" s="75"/>
      <c r="I726" s="76"/>
      <c r="J726" s="78">
        <f>HYPERLINK("#Структура!E1250",Структура!E1250)</f>
        <v>0.10174</v>
      </c>
      <c r="K726" s="114" t="str">
        <f>HYPERLINK("#Структура!G1250","")</f>
        <v/>
      </c>
      <c r="L726" s="120">
        <f>HYPERLINK("#Покупные_изделия!D299",Покупные_изделия!D299)</f>
        <v>160</v>
      </c>
      <c r="M726" s="76">
        <f>J726*L726</f>
        <v>16.278399999999998</v>
      </c>
      <c r="N726" s="77"/>
      <c r="O726" s="77"/>
      <c r="P726" s="76"/>
      <c r="Q726" s="76"/>
    </row>
    <row r="727" spans="4:17" hidden="1" outlineLevel="3" x14ac:dyDescent="0.25">
      <c r="E727" s="74" t="s">
        <v>998</v>
      </c>
      <c r="F727" s="74"/>
      <c r="G727" s="74"/>
      <c r="H727" s="75"/>
      <c r="I727" s="76"/>
      <c r="J727" s="78">
        <f>HYPERLINK("#Структура!E1247",Структура!E1247)</f>
        <v>7</v>
      </c>
      <c r="K727" s="114">
        <f>HYPERLINK("#Структура!G1247",Структура!G1247)</f>
        <v>1.4599999999999999E-3</v>
      </c>
      <c r="L727" s="120">
        <f>HYPERLINK("#Покупные_изделия!D149",Покупные_изделия!D149)</f>
        <v>1.032</v>
      </c>
      <c r="M727" s="76">
        <f>J727*L727</f>
        <v>7.2240000000000002</v>
      </c>
      <c r="N727" s="77"/>
      <c r="O727" s="77"/>
      <c r="P727" s="76"/>
      <c r="Q727" s="76"/>
    </row>
    <row r="728" spans="4:17" hidden="1" outlineLevel="2" collapsed="1" x14ac:dyDescent="0.25">
      <c r="D728" s="96" t="s">
        <v>970</v>
      </c>
      <c r="E728" s="91"/>
      <c r="F728" s="91"/>
      <c r="G728" s="91"/>
      <c r="H728" s="92"/>
      <c r="I728" s="93"/>
      <c r="J728" s="95">
        <f>HYPERLINK("#Структура!E1256",Структура!E1256)</f>
        <v>2</v>
      </c>
      <c r="K728" s="116">
        <f>HYPERLINK("#Структура!G1256",Структура!G1256)</f>
        <v>1.3881399999999999</v>
      </c>
      <c r="L728" s="93">
        <f>M728/J728</f>
        <v>360.23040000000003</v>
      </c>
      <c r="M728" s="93">
        <f>SUMIF(E729:E732,"*",M729:M732)*J728</f>
        <v>720.46080000000006</v>
      </c>
      <c r="N728" s="125">
        <f>HYPERLINK("#Трудозатраты!B336",Трудозатраты!B336+SUMIF(E729:E732,"*",O729:O732))</f>
        <v>18.5</v>
      </c>
      <c r="O728" s="94">
        <f>N728*J728</f>
        <v>37</v>
      </c>
      <c r="P728" s="93">
        <f>O728/60*(1+запас_труд)*стоимость_трудочаса</f>
        <v>1449.1666666666667</v>
      </c>
      <c r="Q728" s="130">
        <f>M728*(1+наценка_покупное)+P728</f>
        <v>2313.719626666667</v>
      </c>
    </row>
    <row r="729" spans="4:17" hidden="1" outlineLevel="3" collapsed="1" x14ac:dyDescent="0.25">
      <c r="E729" s="85" t="s">
        <v>1021</v>
      </c>
      <c r="F729" s="86"/>
      <c r="G729" s="86"/>
      <c r="H729" s="87"/>
      <c r="I729" s="88"/>
      <c r="J729" s="90">
        <f>HYPERLINK("#Структура!E1251",Структура!E1251)</f>
        <v>1</v>
      </c>
      <c r="K729" s="113">
        <f>HYPERLINK("#Структура!G1251",Структура!G1251)</f>
        <v>1.37768</v>
      </c>
      <c r="L729" s="88">
        <f>M729/J729</f>
        <v>266.00639999999999</v>
      </c>
      <c r="M729" s="88">
        <f>SUMIF(F730,"*",M730)*J729</f>
        <v>266.00639999999999</v>
      </c>
      <c r="N729" s="123">
        <f>HYPERLINK("#Трудозатраты!B337",Трудозатраты!B337+SUMIF(F730,"*",O730))</f>
        <v>12.5</v>
      </c>
      <c r="O729" s="89">
        <f>N729*J729</f>
        <v>12.5</v>
      </c>
      <c r="P729" s="88">
        <f>O729/60*(1+запас_труд)*стоимость_трудочаса</f>
        <v>489.58333333333337</v>
      </c>
      <c r="Q729" s="128">
        <f>M729*(1+наценка_покупное)+P729</f>
        <v>808.79101333333335</v>
      </c>
    </row>
    <row r="730" spans="4:17" hidden="1" outlineLevel="4" x14ac:dyDescent="0.25">
      <c r="F730" s="74" t="s">
        <v>131</v>
      </c>
      <c r="G730" s="74"/>
      <c r="H730" s="75"/>
      <c r="I730" s="76"/>
      <c r="J730" s="78">
        <f>HYPERLINK("#Структура!E1254",Структура!E1254)</f>
        <v>1.6625399999999999</v>
      </c>
      <c r="K730" s="114" t="str">
        <f>HYPERLINK("#Структура!G1254","")</f>
        <v/>
      </c>
      <c r="L730" s="120">
        <f>HYPERLINK("#Покупные_изделия!D306",Покупные_изделия!D306)</f>
        <v>160</v>
      </c>
      <c r="M730" s="76">
        <f>J730*L730</f>
        <v>266.00639999999999</v>
      </c>
      <c r="N730" s="77"/>
      <c r="O730" s="77"/>
      <c r="P730" s="76"/>
      <c r="Q730" s="76"/>
    </row>
    <row r="731" spans="4:17" hidden="1" outlineLevel="3" x14ac:dyDescent="0.25">
      <c r="E731" s="74" t="s">
        <v>1022</v>
      </c>
      <c r="F731" s="74"/>
      <c r="G731" s="74"/>
      <c r="H731" s="75"/>
      <c r="I731" s="76"/>
      <c r="J731" s="78">
        <f>HYPERLINK("#Структура!E1252",Структура!E1252)</f>
        <v>2</v>
      </c>
      <c r="K731" s="114">
        <f>HYPERLINK("#Структура!G1252",Структура!G1252)</f>
        <v>8.9499999999999996E-3</v>
      </c>
      <c r="L731" s="120">
        <f>HYPERLINK("#Покупные_изделия!D84",Покупные_изделия!D84)</f>
        <v>10.68</v>
      </c>
      <c r="M731" s="76">
        <f>J731*L731</f>
        <v>21.36</v>
      </c>
      <c r="N731" s="77"/>
      <c r="O731" s="77"/>
      <c r="P731" s="76"/>
      <c r="Q731" s="76"/>
    </row>
    <row r="732" spans="4:17" hidden="1" outlineLevel="3" x14ac:dyDescent="0.25">
      <c r="E732" s="74" t="s">
        <v>60</v>
      </c>
      <c r="F732" s="74"/>
      <c r="G732" s="74"/>
      <c r="H732" s="75"/>
      <c r="I732" s="76"/>
      <c r="J732" s="78">
        <f>HYPERLINK("#Структура!E1253",Структура!E1253)</f>
        <v>2</v>
      </c>
      <c r="K732" s="114">
        <f>HYPERLINK("#Структура!G1253",Структура!G1253)</f>
        <v>5.2300000000000003E-3</v>
      </c>
      <c r="L732" s="120">
        <f>HYPERLINK("#Покупные_изделия!D173",Покупные_изделия!D173)</f>
        <v>36.432000000000002</v>
      </c>
      <c r="M732" s="76">
        <f>J732*L732</f>
        <v>72.864000000000004</v>
      </c>
      <c r="N732" s="77"/>
      <c r="O732" s="77"/>
      <c r="P732" s="76"/>
      <c r="Q732" s="76"/>
    </row>
    <row r="733" spans="4:17" hidden="1" outlineLevel="2" collapsed="1" x14ac:dyDescent="0.25">
      <c r="D733" s="96" t="s">
        <v>1024</v>
      </c>
      <c r="E733" s="91"/>
      <c r="F733" s="91"/>
      <c r="G733" s="91"/>
      <c r="H733" s="92"/>
      <c r="I733" s="93"/>
      <c r="J733" s="95">
        <f>HYPERLINK("#Структура!E1257",Структура!E1257)</f>
        <v>1</v>
      </c>
      <c r="K733" s="116">
        <f>HYPERLINK("#Структура!G1257",Структура!G1257)</f>
        <v>47.093870000000003</v>
      </c>
      <c r="L733" s="93">
        <f>M733/J733</f>
        <v>16555.530095094738</v>
      </c>
      <c r="M733" s="93">
        <f>SUMIF(E734:E771,"*",M734:M771)*J733</f>
        <v>16555.530095094738</v>
      </c>
      <c r="N733" s="125">
        <f>HYPERLINK("#Трудозатраты!B356",Трудозатраты!B356+SUMIF(E734:E771,"*",O734:O771))</f>
        <v>206.4</v>
      </c>
      <c r="O733" s="94">
        <f>N733*J733</f>
        <v>206.4</v>
      </c>
      <c r="P733" s="93">
        <f>O733/60*(1+запас_труд)*стоимость_трудочаса</f>
        <v>8084</v>
      </c>
      <c r="Q733" s="130">
        <f>M733*(1+наценка_покупное)+P733</f>
        <v>27950.636114113684</v>
      </c>
    </row>
    <row r="734" spans="4:17" hidden="1" outlineLevel="3" collapsed="1" x14ac:dyDescent="0.25">
      <c r="E734" s="97" t="s">
        <v>1004</v>
      </c>
      <c r="F734" s="98"/>
      <c r="G734" s="98"/>
      <c r="H734" s="99"/>
      <c r="I734" s="100"/>
      <c r="J734" s="102">
        <f>HYPERLINK("#Структура!E1312",Структура!E1312)</f>
        <v>1</v>
      </c>
      <c r="K734" s="112">
        <f>HYPERLINK("#Структура!G1312",Структура!G1312)</f>
        <v>10.6226</v>
      </c>
      <c r="L734" s="100">
        <f>M734/J734</f>
        <v>2088.5815572000001</v>
      </c>
      <c r="M734" s="100">
        <f>SUMIF(F735:F746,"*",M735:M746)*J734</f>
        <v>2088.5815572000001</v>
      </c>
      <c r="N734" s="122">
        <f>HYPERLINK("#Трудозатраты!B328",Трудозатраты!B328+SUMIF(F735:F746,"*",O735:O746))</f>
        <v>83.7</v>
      </c>
      <c r="O734" s="101">
        <f>N734*J734</f>
        <v>83.7</v>
      </c>
      <c r="P734" s="100">
        <f>O734/60*(1+запас_труд)*стоимость_трудочаса</f>
        <v>3278.25</v>
      </c>
      <c r="Q734" s="127">
        <f>M734*(1+наценка_покупное)+P734</f>
        <v>5784.5478686400002</v>
      </c>
    </row>
    <row r="735" spans="4:17" hidden="1" outlineLevel="4" collapsed="1" x14ac:dyDescent="0.25">
      <c r="F735" s="85" t="s">
        <v>1013</v>
      </c>
      <c r="G735" s="86"/>
      <c r="H735" s="87"/>
      <c r="I735" s="88"/>
      <c r="J735" s="90">
        <f>HYPERLINK("#Структура!E1232",Структура!E1232)</f>
        <v>1</v>
      </c>
      <c r="K735" s="113">
        <f>HYPERLINK("#Структура!G1232",Структура!G1232)</f>
        <v>10.44234</v>
      </c>
      <c r="L735" s="88">
        <f>M735/J735</f>
        <v>2016.6640000000002</v>
      </c>
      <c r="M735" s="88">
        <f>SUMIF(G736,"*",M736)*J735</f>
        <v>2016.6640000000002</v>
      </c>
      <c r="N735" s="123">
        <f>HYPERLINK("#Трудозатраты!B329",Трудозатраты!B329+SUMIF(G736,"*",O736))</f>
        <v>46.5</v>
      </c>
      <c r="O735" s="89">
        <f>N735*J735</f>
        <v>46.5</v>
      </c>
      <c r="P735" s="88">
        <f>O735/60*(1+запас_труд)*стоимость_трудочаса</f>
        <v>1821.25</v>
      </c>
      <c r="Q735" s="128">
        <f>M735*(1+наценка_покупное)+P735</f>
        <v>4241.2468000000008</v>
      </c>
    </row>
    <row r="736" spans="4:17" hidden="1" outlineLevel="5" x14ac:dyDescent="0.25">
      <c r="G736" s="74" t="s">
        <v>130</v>
      </c>
      <c r="H736" s="75"/>
      <c r="I736" s="76"/>
      <c r="J736" s="78">
        <f>HYPERLINK("#Структура!E1237",Структура!E1237)</f>
        <v>12.604150000000001</v>
      </c>
      <c r="K736" s="114" t="str">
        <f>HYPERLINK("#Структура!G1237","")</f>
        <v/>
      </c>
      <c r="L736" s="120">
        <f>HYPERLINK("#Покупные_изделия!D305",Покупные_изделия!D305)</f>
        <v>160</v>
      </c>
      <c r="M736" s="76">
        <f>J736*L736</f>
        <v>2016.6640000000002</v>
      </c>
      <c r="N736" s="77"/>
      <c r="O736" s="77"/>
      <c r="P736" s="76"/>
      <c r="Q736" s="76"/>
    </row>
    <row r="737" spans="5:17" hidden="1" outlineLevel="4" collapsed="1" x14ac:dyDescent="0.25">
      <c r="F737" s="84" t="s">
        <v>1014</v>
      </c>
      <c r="G737" s="79"/>
      <c r="H737" s="80"/>
      <c r="I737" s="81"/>
      <c r="J737" s="83">
        <f>HYPERLINK("#Структура!E1233",Структура!E1233)</f>
        <v>1</v>
      </c>
      <c r="K737" s="115">
        <f>HYPERLINK("#Структура!G1233",Структура!G1233)</f>
        <v>7.9399999999999991E-3</v>
      </c>
      <c r="L737" s="81">
        <f>M737/J737</f>
        <v>2.0900000000000003</v>
      </c>
      <c r="M737" s="81">
        <f>SUMIF(G738,"*",M738)*J737</f>
        <v>2.0900000000000003</v>
      </c>
      <c r="N737" s="124">
        <f>HYPERLINK("#Трудозатраты!B330",Трудозатраты!B330+SUMIF(G738,"*",O738))</f>
        <v>3.5</v>
      </c>
      <c r="O737" s="82">
        <f>N737*J737</f>
        <v>3.5</v>
      </c>
      <c r="P737" s="81">
        <f>O737/60*(1+запас_труд)*стоимость_трудочаса</f>
        <v>137.08333333333334</v>
      </c>
      <c r="Q737" s="129">
        <f>M737*(1+наценка_покупное)+P737</f>
        <v>139.59133333333335</v>
      </c>
    </row>
    <row r="738" spans="5:17" hidden="1" outlineLevel="5" x14ac:dyDescent="0.25">
      <c r="G738" s="74" t="s">
        <v>142</v>
      </c>
      <c r="H738" s="75"/>
      <c r="I738" s="76"/>
      <c r="J738" s="78">
        <f>HYPERLINK("#Структура!E1238",Структура!E1238)</f>
        <v>9.4999999999999998E-3</v>
      </c>
      <c r="K738" s="114" t="str">
        <f>HYPERLINK("#Структура!G1238","")</f>
        <v/>
      </c>
      <c r="L738" s="120">
        <f>HYPERLINK("#Покупные_изделия!D382",Покупные_изделия!D382)</f>
        <v>220.00000000000003</v>
      </c>
      <c r="M738" s="76">
        <f>J738*L738</f>
        <v>2.0900000000000003</v>
      </c>
      <c r="N738" s="77"/>
      <c r="O738" s="77"/>
      <c r="P738" s="76"/>
      <c r="Q738" s="76"/>
    </row>
    <row r="739" spans="5:17" hidden="1" outlineLevel="4" collapsed="1" x14ac:dyDescent="0.25">
      <c r="F739" s="84" t="s">
        <v>1015</v>
      </c>
      <c r="G739" s="79"/>
      <c r="H739" s="80"/>
      <c r="I739" s="81"/>
      <c r="J739" s="83">
        <f>HYPERLINK("#Структура!E1234",Структура!E1234)</f>
        <v>1</v>
      </c>
      <c r="K739" s="115">
        <f>HYPERLINK("#Структура!G1234",Структура!G1234)</f>
        <v>0.16846</v>
      </c>
      <c r="L739" s="81">
        <f>M739/J739</f>
        <v>52.303597199999999</v>
      </c>
      <c r="M739" s="81">
        <f>SUMIF(G740:G744,"*",M740:M744)*J739</f>
        <v>52.303597199999999</v>
      </c>
      <c r="N739" s="124">
        <f>HYPERLINK("#Трудозатраты!B331",Трудозатраты!B331+SUMIF(G740:G744,"*",O740:O744))</f>
        <v>23.7</v>
      </c>
      <c r="O739" s="82">
        <f>N739*J739</f>
        <v>23.7</v>
      </c>
      <c r="P739" s="81">
        <f>O739/60*(1+запас_труд)*стоимость_трудочаса</f>
        <v>928.24999999999989</v>
      </c>
      <c r="Q739" s="129">
        <f>M739*(1+наценка_покупное)+P739</f>
        <v>991.01431663999983</v>
      </c>
    </row>
    <row r="740" spans="5:17" hidden="1" outlineLevel="5" x14ac:dyDescent="0.25">
      <c r="G740" s="74" t="s">
        <v>44</v>
      </c>
      <c r="H740" s="75"/>
      <c r="I740" s="76"/>
      <c r="J740" s="78">
        <f>HYPERLINK("#Структура!E1239",Структура!E1239)</f>
        <v>4.0000000000000001E-3</v>
      </c>
      <c r="K740" s="114" t="str">
        <f>HYPERLINK("#Структура!G1239","")</f>
        <v/>
      </c>
      <c r="L740" s="120">
        <f>HYPERLINK("#Покупные_изделия!D63",Покупные_изделия!D63)</f>
        <v>396.00000000000006</v>
      </c>
      <c r="M740" s="76">
        <f t="shared" ref="M740:M746" si="34">J740*L740</f>
        <v>1.5840000000000003</v>
      </c>
      <c r="N740" s="77"/>
      <c r="O740" s="77"/>
      <c r="P740" s="76"/>
      <c r="Q740" s="76"/>
    </row>
    <row r="741" spans="5:17" hidden="1" outlineLevel="5" x14ac:dyDescent="0.25">
      <c r="G741" s="74" t="s">
        <v>120</v>
      </c>
      <c r="H741" s="75"/>
      <c r="I741" s="76"/>
      <c r="J741" s="78">
        <f>HYPERLINK("#Структура!E1240",Структура!E1240)</f>
        <v>0.40836</v>
      </c>
      <c r="K741" s="114" t="str">
        <f>HYPERLINK("#Структура!G1240","")</f>
        <v/>
      </c>
      <c r="L741" s="120">
        <f>HYPERLINK("#Покупные_изделия!D295",Покупные_изделия!D295)</f>
        <v>120</v>
      </c>
      <c r="M741" s="76">
        <f t="shared" si="34"/>
        <v>49.0032</v>
      </c>
      <c r="N741" s="77"/>
      <c r="O741" s="77"/>
      <c r="P741" s="76"/>
      <c r="Q741" s="76"/>
    </row>
    <row r="742" spans="5:17" hidden="1" outlineLevel="5" x14ac:dyDescent="0.25">
      <c r="G742" s="74" t="s">
        <v>139</v>
      </c>
      <c r="H742" s="75"/>
      <c r="I742" s="76"/>
      <c r="J742" s="78">
        <f>HYPERLINK("#Структура!E1241",Структура!E1241)</f>
        <v>1E-3</v>
      </c>
      <c r="K742" s="114" t="str">
        <f>HYPERLINK("#Структура!G1241","")</f>
        <v/>
      </c>
      <c r="L742" s="120">
        <f>HYPERLINK("#Покупные_изделия!D360",Покупные_изделия!D360)</f>
        <v>171.87720000000002</v>
      </c>
      <c r="M742" s="76">
        <f t="shared" si="34"/>
        <v>0.17187720000000001</v>
      </c>
      <c r="N742" s="77"/>
      <c r="O742" s="77"/>
      <c r="P742" s="76"/>
      <c r="Q742" s="76"/>
    </row>
    <row r="743" spans="5:17" hidden="1" outlineLevel="5" x14ac:dyDescent="0.25">
      <c r="G743" s="74" t="s">
        <v>156</v>
      </c>
      <c r="H743" s="75"/>
      <c r="I743" s="76"/>
      <c r="J743" s="78">
        <f>HYPERLINK("#Структура!E1242",Структура!E1242)</f>
        <v>1E-3</v>
      </c>
      <c r="K743" s="114" t="str">
        <f>HYPERLINK("#Структура!G1242","")</f>
        <v/>
      </c>
      <c r="L743" s="120">
        <f>HYPERLINK("#Покупные_изделия!D427",Покупные_изделия!D427)</f>
        <v>155.53200000000001</v>
      </c>
      <c r="M743" s="76">
        <f t="shared" si="34"/>
        <v>0.155532</v>
      </c>
      <c r="N743" s="77"/>
      <c r="O743" s="77"/>
      <c r="P743" s="76"/>
      <c r="Q743" s="76"/>
    </row>
    <row r="744" spans="5:17" hidden="1" outlineLevel="5" x14ac:dyDescent="0.25">
      <c r="G744" s="74" t="s">
        <v>202</v>
      </c>
      <c r="H744" s="75"/>
      <c r="I744" s="76"/>
      <c r="J744" s="78">
        <f>HYPERLINK("#Структура!E1243",Структура!E1243)</f>
        <v>3.0000000000000001E-3</v>
      </c>
      <c r="K744" s="114" t="str">
        <f>HYPERLINK("#Структура!G1243","")</f>
        <v/>
      </c>
      <c r="L744" s="120">
        <f>HYPERLINK("#Покупные_изделия!D521",Покупные_изделия!D521)</f>
        <v>462.99599999999998</v>
      </c>
      <c r="M744" s="76">
        <f t="shared" si="34"/>
        <v>1.3889879999999999</v>
      </c>
      <c r="N744" s="77"/>
      <c r="O744" s="77"/>
      <c r="P744" s="76"/>
      <c r="Q744" s="76"/>
    </row>
    <row r="745" spans="5:17" hidden="1" outlineLevel="4" x14ac:dyDescent="0.25">
      <c r="F745" s="74" t="s">
        <v>1016</v>
      </c>
      <c r="G745" s="74"/>
      <c r="H745" s="75"/>
      <c r="I745" s="76"/>
      <c r="J745" s="78">
        <f>HYPERLINK("#Структура!E1235",Структура!E1235)</f>
        <v>4</v>
      </c>
      <c r="K745" s="114">
        <f>HYPERLINK("#Структура!G1235",Структура!G1235)</f>
        <v>3.9399999999999999E-3</v>
      </c>
      <c r="L745" s="120">
        <f>HYPERLINK("#Покупные_изделия!D81",Покупные_изделия!D81)</f>
        <v>1.9809899999999998</v>
      </c>
      <c r="M745" s="76">
        <f t="shared" si="34"/>
        <v>7.9239599999999992</v>
      </c>
      <c r="N745" s="77"/>
      <c r="O745" s="77"/>
      <c r="P745" s="76"/>
      <c r="Q745" s="76"/>
    </row>
    <row r="746" spans="5:17" hidden="1" outlineLevel="4" x14ac:dyDescent="0.25">
      <c r="F746" s="74" t="s">
        <v>1017</v>
      </c>
      <c r="G746" s="74"/>
      <c r="H746" s="75"/>
      <c r="I746" s="76"/>
      <c r="J746" s="78">
        <f>HYPERLINK("#Структура!E1236",Структура!E1236)</f>
        <v>4</v>
      </c>
      <c r="K746" s="114">
        <f>HYPERLINK("#Структура!G1236",Структура!G1236)</f>
        <v>1.8E-3</v>
      </c>
      <c r="L746" s="120">
        <f>HYPERLINK("#Покупные_изделия!D166",Покупные_изделия!D166)</f>
        <v>2.4</v>
      </c>
      <c r="M746" s="76">
        <f t="shared" si="34"/>
        <v>9.6</v>
      </c>
      <c r="N746" s="77"/>
      <c r="O746" s="77"/>
      <c r="P746" s="76"/>
      <c r="Q746" s="76"/>
    </row>
    <row r="747" spans="5:17" hidden="1" outlineLevel="3" collapsed="1" x14ac:dyDescent="0.25">
      <c r="E747" s="84" t="s">
        <v>1006</v>
      </c>
      <c r="F747" s="79"/>
      <c r="G747" s="79"/>
      <c r="H747" s="80"/>
      <c r="I747" s="81"/>
      <c r="J747" s="83">
        <f>HYPERLINK("#Структура!E1313",Структура!E1313)</f>
        <v>4</v>
      </c>
      <c r="K747" s="115">
        <f>HYPERLINK("#Структура!G1313",Структура!G1313)</f>
        <v>3.4200000000000001E-2</v>
      </c>
      <c r="L747" s="81">
        <f>M747/J747</f>
        <v>6.9328000000000003</v>
      </c>
      <c r="M747" s="81">
        <f>SUMIF(F748,"*",M748)*J747</f>
        <v>27.731200000000001</v>
      </c>
      <c r="N747" s="124">
        <f>HYPERLINK("#Трудозатраты!B324",Трудозатраты!B324+SUMIF(F748,"*",O748))</f>
        <v>9</v>
      </c>
      <c r="O747" s="82">
        <f>N747*J747</f>
        <v>36</v>
      </c>
      <c r="P747" s="81">
        <f>O747/60*(1+запас_труд)*стоимость_трудочаса</f>
        <v>1410</v>
      </c>
      <c r="Q747" s="129">
        <f>M747*(1+наценка_покупное)+P747</f>
        <v>1443.2774400000001</v>
      </c>
    </row>
    <row r="748" spans="5:17" hidden="1" outlineLevel="4" x14ac:dyDescent="0.25">
      <c r="F748" s="74" t="s">
        <v>130</v>
      </c>
      <c r="G748" s="74"/>
      <c r="H748" s="75"/>
      <c r="I748" s="76"/>
      <c r="J748" s="78">
        <f>HYPERLINK("#Структура!E1228",Структура!E1228)</f>
        <v>4.333E-2</v>
      </c>
      <c r="K748" s="114" t="str">
        <f>HYPERLINK("#Структура!G1228","")</f>
        <v/>
      </c>
      <c r="L748" s="120">
        <f>HYPERLINK("#Покупные_изделия!D305",Покупные_изделия!D305)</f>
        <v>160</v>
      </c>
      <c r="M748" s="76">
        <f>J748*L748</f>
        <v>6.9328000000000003</v>
      </c>
      <c r="N748" s="77"/>
      <c r="O748" s="77"/>
      <c r="P748" s="76"/>
      <c r="Q748" s="76"/>
    </row>
    <row r="749" spans="5:17" hidden="1" outlineLevel="3" collapsed="1" x14ac:dyDescent="0.25">
      <c r="E749" s="84" t="s">
        <v>1007</v>
      </c>
      <c r="F749" s="79"/>
      <c r="G749" s="79"/>
      <c r="H749" s="80"/>
      <c r="I749" s="81"/>
      <c r="J749" s="83">
        <f>HYPERLINK("#Структура!E1314",Структура!E1314)</f>
        <v>2</v>
      </c>
      <c r="K749" s="115">
        <f>HYPERLINK("#Структура!G1314",Структура!G1314)</f>
        <v>1.09711</v>
      </c>
      <c r="L749" s="81">
        <f>M749/J749</f>
        <v>201.12639999999999</v>
      </c>
      <c r="M749" s="81">
        <f>SUMIF(F750,"*",M750)*J749</f>
        <v>402.25279999999998</v>
      </c>
      <c r="N749" s="124">
        <f>HYPERLINK("#Трудозатраты!B325",Трудозатраты!B325+SUMIF(F750,"*",O750))</f>
        <v>12.3</v>
      </c>
      <c r="O749" s="82">
        <f>N749*J749</f>
        <v>24.6</v>
      </c>
      <c r="P749" s="81">
        <f>O749/60*(1+запас_труд)*стоимость_трудочаса</f>
        <v>963.50000000000011</v>
      </c>
      <c r="Q749" s="129">
        <f>M749*(1+наценка_покупное)+P749</f>
        <v>1446.20336</v>
      </c>
    </row>
    <row r="750" spans="5:17" hidden="1" outlineLevel="4" x14ac:dyDescent="0.25">
      <c r="F750" s="74" t="s">
        <v>130</v>
      </c>
      <c r="G750" s="74"/>
      <c r="H750" s="75"/>
      <c r="I750" s="76"/>
      <c r="J750" s="78">
        <f>HYPERLINK("#Структура!E1229",Структура!E1229)</f>
        <v>1.2570399999999999</v>
      </c>
      <c r="K750" s="114" t="str">
        <f>HYPERLINK("#Структура!G1229","")</f>
        <v/>
      </c>
      <c r="L750" s="120">
        <f>HYPERLINK("#Покупные_изделия!D305",Покупные_изделия!D305)</f>
        <v>160</v>
      </c>
      <c r="M750" s="76">
        <f>J750*L750</f>
        <v>201.12639999999999</v>
      </c>
      <c r="N750" s="77"/>
      <c r="O750" s="77"/>
      <c r="P750" s="76"/>
      <c r="Q750" s="76"/>
    </row>
    <row r="751" spans="5:17" hidden="1" outlineLevel="3" collapsed="1" x14ac:dyDescent="0.25">
      <c r="E751" s="84" t="s">
        <v>1012</v>
      </c>
      <c r="F751" s="79"/>
      <c r="G751" s="79"/>
      <c r="H751" s="80"/>
      <c r="I751" s="81"/>
      <c r="J751" s="83">
        <f>HYPERLINK("#Структура!E1315",Структура!E1315)</f>
        <v>1</v>
      </c>
      <c r="K751" s="115">
        <f>HYPERLINK("#Структура!G1315",Структура!G1315)</f>
        <v>4.487E-2</v>
      </c>
      <c r="L751" s="81">
        <f>M751/J751</f>
        <v>9.7663999999999991</v>
      </c>
      <c r="M751" s="81">
        <f>SUMIF(F752,"*",M752)*J751</f>
        <v>9.7663999999999991</v>
      </c>
      <c r="N751" s="124">
        <f>HYPERLINK("#Трудозатраты!B326",Трудозатраты!B326+SUMIF(F752,"*",O752))</f>
        <v>3.0999999999999996</v>
      </c>
      <c r="O751" s="82">
        <f>N751*J751</f>
        <v>3.0999999999999996</v>
      </c>
      <c r="P751" s="81">
        <f>O751/60*(1+запас_труд)*стоимость_трудочаса</f>
        <v>121.41666666666664</v>
      </c>
      <c r="Q751" s="129">
        <f>M751*(1+наценка_покупное)+P751</f>
        <v>133.13634666666664</v>
      </c>
    </row>
    <row r="752" spans="5:17" hidden="1" outlineLevel="4" x14ac:dyDescent="0.25">
      <c r="F752" s="74" t="s">
        <v>130</v>
      </c>
      <c r="G752" s="74"/>
      <c r="H752" s="75"/>
      <c r="I752" s="76"/>
      <c r="J752" s="78">
        <f>HYPERLINK("#Структура!E1230",Структура!E1230)</f>
        <v>6.1039999999999997E-2</v>
      </c>
      <c r="K752" s="114" t="str">
        <f>HYPERLINK("#Структура!G1230","")</f>
        <v/>
      </c>
      <c r="L752" s="120">
        <f>HYPERLINK("#Покупные_изделия!D305",Покупные_изделия!D305)</f>
        <v>160</v>
      </c>
      <c r="M752" s="76">
        <f>J752*L752</f>
        <v>9.7663999999999991</v>
      </c>
      <c r="N752" s="77"/>
      <c r="O752" s="77"/>
      <c r="P752" s="76"/>
      <c r="Q752" s="76"/>
    </row>
    <row r="753" spans="5:17" hidden="1" outlineLevel="3" collapsed="1" x14ac:dyDescent="0.25">
      <c r="E753" s="84" t="s">
        <v>1008</v>
      </c>
      <c r="F753" s="79"/>
      <c r="G753" s="79"/>
      <c r="H753" s="80"/>
      <c r="I753" s="81"/>
      <c r="J753" s="83">
        <f>HYPERLINK("#Структура!E1316",Структура!E1316)</f>
        <v>2</v>
      </c>
      <c r="K753" s="115">
        <f>HYPERLINK("#Структура!G1316",Структура!G1316)</f>
        <v>9.776E-2</v>
      </c>
      <c r="L753" s="81">
        <f>M753/J753</f>
        <v>18.990400000000001</v>
      </c>
      <c r="M753" s="81">
        <f>SUMIF(F754,"*",M754)*J753</f>
        <v>37.980800000000002</v>
      </c>
      <c r="N753" s="124">
        <f>HYPERLINK("#Трудозатраты!B327",Трудозатраты!B327+SUMIF(F754,"*",O754))</f>
        <v>4.5</v>
      </c>
      <c r="O753" s="82">
        <f>N753*J753</f>
        <v>9</v>
      </c>
      <c r="P753" s="81">
        <f>O753/60*(1+запас_труд)*стоимость_трудочаса</f>
        <v>352.5</v>
      </c>
      <c r="Q753" s="129">
        <f>M753*(1+наценка_покупное)+P753</f>
        <v>398.07695999999999</v>
      </c>
    </row>
    <row r="754" spans="5:17" hidden="1" outlineLevel="4" x14ac:dyDescent="0.25">
      <c r="F754" s="74" t="s">
        <v>131</v>
      </c>
      <c r="G754" s="74"/>
      <c r="H754" s="75"/>
      <c r="I754" s="76"/>
      <c r="J754" s="78">
        <f>HYPERLINK("#Структура!E1231",Структура!E1231)</f>
        <v>0.11869</v>
      </c>
      <c r="K754" s="114" t="str">
        <f>HYPERLINK("#Структура!G1231","")</f>
        <v/>
      </c>
      <c r="L754" s="120">
        <f>HYPERLINK("#Покупные_изделия!D306",Покупные_изделия!D306)</f>
        <v>160</v>
      </c>
      <c r="M754" s="76">
        <f>J754*L754</f>
        <v>18.990400000000001</v>
      </c>
      <c r="N754" s="77"/>
      <c r="O754" s="77"/>
      <c r="P754" s="76"/>
      <c r="Q754" s="76"/>
    </row>
    <row r="755" spans="5:17" hidden="1" outlineLevel="3" collapsed="1" x14ac:dyDescent="0.25">
      <c r="E755" s="84" t="s">
        <v>1041</v>
      </c>
      <c r="F755" s="79"/>
      <c r="G755" s="79"/>
      <c r="H755" s="80"/>
      <c r="I755" s="81"/>
      <c r="J755" s="83">
        <f>HYPERLINK("#Структура!E1317",Структура!E1317)</f>
        <v>1</v>
      </c>
      <c r="K755" s="115">
        <f>HYPERLINK("#Структура!G1317",Структура!G1317)</f>
        <v>32.364100000000001</v>
      </c>
      <c r="L755" s="81">
        <f>M755/J755</f>
        <v>7801.0447999999997</v>
      </c>
      <c r="M755" s="81">
        <f>SUMIF(F756,"*",M756)*J755</f>
        <v>7801.0447999999997</v>
      </c>
      <c r="N755" s="124">
        <f>HYPERLINK("#Трудозатраты!B357",Трудозатраты!B357+SUMIF(F756,"*",O756))</f>
        <v>8</v>
      </c>
      <c r="O755" s="82">
        <f>N755*J755</f>
        <v>8</v>
      </c>
      <c r="P755" s="81">
        <f>O755/60*(1+запас_труд)*стоимость_трудочаса</f>
        <v>313.33333333333331</v>
      </c>
      <c r="Q755" s="129">
        <f>M755*(1+наценка_покупное)+P755</f>
        <v>9674.5870933333335</v>
      </c>
    </row>
    <row r="756" spans="5:17" hidden="1" outlineLevel="4" x14ac:dyDescent="0.25">
      <c r="F756" s="74" t="s">
        <v>130</v>
      </c>
      <c r="G756" s="74"/>
      <c r="H756" s="75"/>
      <c r="I756" s="76"/>
      <c r="J756" s="78">
        <f>HYPERLINK("#Структура!E1333",Структура!E1333)</f>
        <v>48.756529999999998</v>
      </c>
      <c r="K756" s="114" t="str">
        <f>HYPERLINK("#Структура!G1333","")</f>
        <v/>
      </c>
      <c r="L756" s="120">
        <f>HYPERLINK("#Покупные_изделия!D305",Покупные_изделия!D305)</f>
        <v>160</v>
      </c>
      <c r="M756" s="76">
        <f t="shared" ref="M756:M771" si="35">J756*L756</f>
        <v>7801.0447999999997</v>
      </c>
      <c r="N756" s="77"/>
      <c r="O756" s="77"/>
      <c r="P756" s="76"/>
      <c r="Q756" s="76"/>
    </row>
    <row r="757" spans="5:17" hidden="1" outlineLevel="3" x14ac:dyDescent="0.25">
      <c r="E757" s="74" t="s">
        <v>1009</v>
      </c>
      <c r="F757" s="74"/>
      <c r="G757" s="74"/>
      <c r="H757" s="75"/>
      <c r="I757" s="76"/>
      <c r="J757" s="78">
        <f>HYPERLINK("#Структура!E1318",Структура!E1318)</f>
        <v>2</v>
      </c>
      <c r="K757" s="114">
        <f>HYPERLINK("#Структура!G1318",Структура!G1318)</f>
        <v>6.4999999999999997E-3</v>
      </c>
      <c r="L757" s="120">
        <f>HYPERLINK("#Покупные_изделия!D82",Покупные_изделия!D82)</f>
        <v>12.06</v>
      </c>
      <c r="M757" s="76">
        <f t="shared" si="35"/>
        <v>24.12</v>
      </c>
      <c r="N757" s="77"/>
      <c r="O757" s="77"/>
      <c r="P757" s="76"/>
      <c r="Q757" s="76"/>
    </row>
    <row r="758" spans="5:17" hidden="1" outlineLevel="3" x14ac:dyDescent="0.25">
      <c r="E758" s="74" t="s">
        <v>999</v>
      </c>
      <c r="F758" s="74"/>
      <c r="G758" s="74"/>
      <c r="H758" s="75"/>
      <c r="I758" s="76"/>
      <c r="J758" s="78">
        <f>HYPERLINK("#Структура!E1319",Структура!E1319)</f>
        <v>8</v>
      </c>
      <c r="K758" s="114">
        <f>HYPERLINK("#Структура!G1319",Структура!G1319)</f>
        <v>7.3000000000000001E-3</v>
      </c>
      <c r="L758" s="120">
        <f>HYPERLINK("#Покупные_изделия!D83",Покупные_изделия!D83)</f>
        <v>9.4919999999999991</v>
      </c>
      <c r="M758" s="76">
        <f t="shared" si="35"/>
        <v>75.935999999999993</v>
      </c>
      <c r="N758" s="77"/>
      <c r="O758" s="77"/>
      <c r="P758" s="76"/>
      <c r="Q758" s="76"/>
    </row>
    <row r="759" spans="5:17" hidden="1" outlineLevel="3" x14ac:dyDescent="0.25">
      <c r="E759" s="74" t="s">
        <v>622</v>
      </c>
      <c r="F759" s="74"/>
      <c r="G759" s="74"/>
      <c r="H759" s="75"/>
      <c r="I759" s="76"/>
      <c r="J759" s="78">
        <f>HYPERLINK("#Структура!E1320",Структура!E1320)</f>
        <v>8</v>
      </c>
      <c r="K759" s="114">
        <f>HYPERLINK("#Структура!G1320",Структура!G1320)</f>
        <v>1.52E-2</v>
      </c>
      <c r="L759" s="120">
        <f>HYPERLINK("#Покупные_изделия!D85",Покупные_изделия!D85)</f>
        <v>8.6999999999999993</v>
      </c>
      <c r="M759" s="76">
        <f t="shared" si="35"/>
        <v>69.599999999999994</v>
      </c>
      <c r="N759" s="77"/>
      <c r="O759" s="77"/>
      <c r="P759" s="76"/>
      <c r="Q759" s="76"/>
    </row>
    <row r="760" spans="5:17" hidden="1" outlineLevel="3" x14ac:dyDescent="0.25">
      <c r="E760" s="74" t="s">
        <v>1010</v>
      </c>
      <c r="F760" s="74"/>
      <c r="G760" s="74"/>
      <c r="H760" s="75"/>
      <c r="I760" s="76"/>
      <c r="J760" s="78">
        <f>HYPERLINK("#Структура!E1321",Структура!E1321)</f>
        <v>16</v>
      </c>
      <c r="K760" s="114">
        <f>HYPERLINK("#Структура!G1321",Структура!G1321)</f>
        <v>1.2199999999999999E-3</v>
      </c>
      <c r="L760" s="120">
        <f>HYPERLINK("#Покупные_изделия!D117",Покупные_изделия!D117)</f>
        <v>4.5599999999999996</v>
      </c>
      <c r="M760" s="76">
        <f t="shared" si="35"/>
        <v>72.959999999999994</v>
      </c>
      <c r="N760" s="77"/>
      <c r="O760" s="77"/>
      <c r="P760" s="76"/>
      <c r="Q760" s="76"/>
    </row>
    <row r="761" spans="5:17" hidden="1" outlineLevel="3" x14ac:dyDescent="0.25">
      <c r="E761" s="74" t="s">
        <v>1002</v>
      </c>
      <c r="F761" s="74"/>
      <c r="G761" s="74"/>
      <c r="H761" s="75"/>
      <c r="I761" s="76"/>
      <c r="J761" s="78">
        <f>HYPERLINK("#Структура!E1322",Структура!E1322)</f>
        <v>16</v>
      </c>
      <c r="K761" s="114">
        <f>HYPERLINK("#Структура!G1322",Структура!G1322)</f>
        <v>8.0000000000000004E-4</v>
      </c>
      <c r="L761" s="120">
        <f>HYPERLINK("#Покупные_изделия!D186",Покупные_изделия!D186)</f>
        <v>0.51480000000000004</v>
      </c>
      <c r="M761" s="76">
        <f t="shared" si="35"/>
        <v>8.2368000000000006</v>
      </c>
      <c r="N761" s="77"/>
      <c r="O761" s="77"/>
      <c r="P761" s="76"/>
      <c r="Q761" s="76"/>
    </row>
    <row r="762" spans="5:17" hidden="1" outlineLevel="3" x14ac:dyDescent="0.25">
      <c r="E762" s="74" t="s">
        <v>871</v>
      </c>
      <c r="F762" s="74"/>
      <c r="G762" s="74"/>
      <c r="H762" s="75"/>
      <c r="I762" s="76"/>
      <c r="J762" s="78">
        <f>HYPERLINK("#Структура!E1323",Структура!E1323)</f>
        <v>8</v>
      </c>
      <c r="K762" s="114">
        <f>HYPERLINK("#Структура!G1323",Структура!G1323)</f>
        <v>3.3E-3</v>
      </c>
      <c r="L762" s="120">
        <f>HYPERLINK("#Покупные_изделия!D167",Покупные_изделия!D167)</f>
        <v>2.0654400000000002</v>
      </c>
      <c r="M762" s="76">
        <f t="shared" si="35"/>
        <v>16.523520000000001</v>
      </c>
      <c r="N762" s="77"/>
      <c r="O762" s="77"/>
      <c r="P762" s="76"/>
      <c r="Q762" s="76"/>
    </row>
    <row r="763" spans="5:17" hidden="1" outlineLevel="3" x14ac:dyDescent="0.25">
      <c r="E763" s="74" t="s">
        <v>625</v>
      </c>
      <c r="F763" s="74"/>
      <c r="G763" s="74"/>
      <c r="H763" s="75"/>
      <c r="I763" s="76"/>
      <c r="J763" s="78">
        <f>HYPERLINK("#Структура!E1324",Структура!E1324)</f>
        <v>8</v>
      </c>
      <c r="K763" s="114">
        <f>HYPERLINK("#Структура!G1324",Структура!G1324)</f>
        <v>7.1399999999999996E-3</v>
      </c>
      <c r="L763" s="120">
        <f>HYPERLINK("#Покупные_изделия!D168",Покупные_изделия!D168)</f>
        <v>1.9715672368421051</v>
      </c>
      <c r="M763" s="76">
        <f t="shared" si="35"/>
        <v>15.772537894736841</v>
      </c>
      <c r="N763" s="77"/>
      <c r="O763" s="77"/>
      <c r="P763" s="76"/>
      <c r="Q763" s="76"/>
    </row>
    <row r="764" spans="5:17" hidden="1" outlineLevel="3" x14ac:dyDescent="0.25">
      <c r="E764" s="74" t="s">
        <v>140</v>
      </c>
      <c r="F764" s="74"/>
      <c r="G764" s="74"/>
      <c r="H764" s="75"/>
      <c r="I764" s="76"/>
      <c r="J764" s="78">
        <f>HYPERLINK("#Структура!E1325",Структура!E1325)</f>
        <v>4</v>
      </c>
      <c r="K764" s="114">
        <f>HYPERLINK("#Структура!G1325",Структура!G1325)</f>
        <v>1.6900000000000001E-3</v>
      </c>
      <c r="L764" s="120">
        <f>HYPERLINK("#Покупные_изделия!D362",Покупные_изделия!D362)</f>
        <v>42.451199999999993</v>
      </c>
      <c r="M764" s="76">
        <f t="shared" si="35"/>
        <v>169.80479999999997</v>
      </c>
      <c r="N764" s="77"/>
      <c r="O764" s="77"/>
      <c r="P764" s="76"/>
      <c r="Q764" s="76"/>
    </row>
    <row r="765" spans="5:17" hidden="1" outlineLevel="3" x14ac:dyDescent="0.25">
      <c r="E765" s="74" t="s">
        <v>1003</v>
      </c>
      <c r="F765" s="74"/>
      <c r="G765" s="74"/>
      <c r="H765" s="75"/>
      <c r="I765" s="76"/>
      <c r="J765" s="78">
        <f>HYPERLINK("#Структура!E1326",Структура!E1326)</f>
        <v>16</v>
      </c>
      <c r="K765" s="114">
        <f>HYPERLINK("#Структура!G1326",Структура!G1326)</f>
        <v>1.2999999999999999E-4</v>
      </c>
      <c r="L765" s="120">
        <f>HYPERLINK("#Покупные_изделия!D528",Покупные_изделия!D528)</f>
        <v>1.1000000000000001</v>
      </c>
      <c r="M765" s="76">
        <f t="shared" si="35"/>
        <v>17.600000000000001</v>
      </c>
      <c r="N765" s="77"/>
      <c r="O765" s="77"/>
      <c r="P765" s="76"/>
      <c r="Q765" s="76"/>
    </row>
    <row r="766" spans="5:17" hidden="1" outlineLevel="3" x14ac:dyDescent="0.25">
      <c r="E766" s="74" t="s">
        <v>1011</v>
      </c>
      <c r="F766" s="74"/>
      <c r="G766" s="74"/>
      <c r="H766" s="75"/>
      <c r="I766" s="76"/>
      <c r="J766" s="78">
        <f>HYPERLINK("#Структура!E1327",Структура!E1327)</f>
        <v>4</v>
      </c>
      <c r="K766" s="114">
        <f>HYPERLINK("#Структура!G1327",Структура!G1327)</f>
        <v>4.2999999999999999E-4</v>
      </c>
      <c r="L766" s="120">
        <f>HYPERLINK("#Покупные_изделия!D545",Покупные_изделия!D545)</f>
        <v>0.82500000000000007</v>
      </c>
      <c r="M766" s="76">
        <f t="shared" si="35"/>
        <v>3.3000000000000003</v>
      </c>
      <c r="N766" s="77"/>
      <c r="O766" s="77"/>
      <c r="P766" s="76"/>
      <c r="Q766" s="76"/>
    </row>
    <row r="767" spans="5:17" hidden="1" outlineLevel="3" x14ac:dyDescent="0.25">
      <c r="E767" s="74" t="s">
        <v>212</v>
      </c>
      <c r="F767" s="74"/>
      <c r="G767" s="74"/>
      <c r="H767" s="75"/>
      <c r="I767" s="76"/>
      <c r="J767" s="78">
        <f>HYPERLINK("#Структура!E1328",Структура!E1328)</f>
        <v>4</v>
      </c>
      <c r="K767" s="114">
        <f>HYPERLINK("#Структура!G1328",Структура!G1328)</f>
        <v>6.9999999999999994E-5</v>
      </c>
      <c r="L767" s="120">
        <f>HYPERLINK("#Покупные_изделия!D562",Покупные_изделия!D562)</f>
        <v>3.48</v>
      </c>
      <c r="M767" s="76">
        <f t="shared" si="35"/>
        <v>13.92</v>
      </c>
      <c r="N767" s="77"/>
      <c r="O767" s="77"/>
      <c r="P767" s="76"/>
      <c r="Q767" s="76"/>
    </row>
    <row r="768" spans="5:17" hidden="1" outlineLevel="3" x14ac:dyDescent="0.25">
      <c r="E768" s="74" t="s">
        <v>14</v>
      </c>
      <c r="F768" s="74"/>
      <c r="G768" s="74"/>
      <c r="H768" s="75"/>
      <c r="I768" s="76"/>
      <c r="J768" s="78">
        <f>HYPERLINK("#Структура!E1329",Структура!E1329)</f>
        <v>1</v>
      </c>
      <c r="K768" s="114">
        <f>HYPERLINK("#Структура!G1329",Структура!G1329)</f>
        <v>0.36993999999999999</v>
      </c>
      <c r="L768" s="120">
        <f>HYPERLINK("#Покупные_изделия!D22",Покупные_изделия!D22)</f>
        <v>790.17840000000001</v>
      </c>
      <c r="M768" s="76">
        <f t="shared" si="35"/>
        <v>790.17840000000001</v>
      </c>
      <c r="N768" s="77"/>
      <c r="O768" s="77"/>
      <c r="P768" s="76"/>
      <c r="Q768" s="76"/>
    </row>
    <row r="769" spans="4:17" hidden="1" outlineLevel="3" x14ac:dyDescent="0.25">
      <c r="E769" s="74" t="s">
        <v>15</v>
      </c>
      <c r="F769" s="74"/>
      <c r="G769" s="74"/>
      <c r="H769" s="75"/>
      <c r="I769" s="76"/>
      <c r="J769" s="78">
        <f>HYPERLINK("#Структура!E1330",Структура!E1330)</f>
        <v>2</v>
      </c>
      <c r="K769" s="114">
        <f>HYPERLINK("#Структура!G1330",Структура!G1330)</f>
        <v>5.6570000000000002E-2</v>
      </c>
      <c r="L769" s="120">
        <f>HYPERLINK("#Покупные_изделия!D23",Покупные_изделия!D23)</f>
        <v>1807.8324</v>
      </c>
      <c r="M769" s="76">
        <f t="shared" si="35"/>
        <v>3615.6648</v>
      </c>
      <c r="N769" s="77"/>
      <c r="O769" s="77"/>
      <c r="P769" s="76"/>
      <c r="Q769" s="76"/>
    </row>
    <row r="770" spans="4:17" hidden="1" outlineLevel="3" x14ac:dyDescent="0.25">
      <c r="E770" s="74" t="s">
        <v>16</v>
      </c>
      <c r="F770" s="74"/>
      <c r="G770" s="74"/>
      <c r="H770" s="75"/>
      <c r="I770" s="76"/>
      <c r="J770" s="78">
        <f>HYPERLINK("#Структура!E1331",Структура!E1331)</f>
        <v>2</v>
      </c>
      <c r="K770" s="114">
        <f>HYPERLINK("#Структура!G1331",Структура!G1331)</f>
        <v>2.0840000000000001E-2</v>
      </c>
      <c r="L770" s="120">
        <f>HYPERLINK("#Покупные_изделия!D24",Покупные_изделия!D24)</f>
        <v>554.32212000000004</v>
      </c>
      <c r="M770" s="76">
        <f t="shared" si="35"/>
        <v>1108.6442400000001</v>
      </c>
      <c r="N770" s="77"/>
      <c r="O770" s="77"/>
      <c r="P770" s="76"/>
      <c r="Q770" s="76"/>
    </row>
    <row r="771" spans="4:17" hidden="1" outlineLevel="3" x14ac:dyDescent="0.25">
      <c r="E771" s="74" t="s">
        <v>148</v>
      </c>
      <c r="F771" s="74"/>
      <c r="G771" s="74"/>
      <c r="H771" s="75"/>
      <c r="I771" s="76"/>
      <c r="J771" s="78">
        <f>HYPERLINK("#Структура!E1332",Структура!E1332)</f>
        <v>2.86</v>
      </c>
      <c r="K771" s="114" t="str">
        <f>HYPERLINK("#Структура!G1332","")</f>
        <v/>
      </c>
      <c r="L771" s="120">
        <f>HYPERLINK("#Покупные_изделия!D416",Покупные_изделия!D416)</f>
        <v>65.004000000000005</v>
      </c>
      <c r="M771" s="76">
        <f t="shared" si="35"/>
        <v>185.91144</v>
      </c>
      <c r="N771" s="77"/>
      <c r="O771" s="77"/>
      <c r="P771" s="76"/>
      <c r="Q771" s="76"/>
    </row>
    <row r="772" spans="4:17" hidden="1" outlineLevel="2" collapsed="1" x14ac:dyDescent="0.25">
      <c r="D772" s="84" t="s">
        <v>974</v>
      </c>
      <c r="E772" s="79"/>
      <c r="F772" s="79"/>
      <c r="G772" s="79"/>
      <c r="H772" s="80"/>
      <c r="I772" s="81"/>
      <c r="J772" s="83">
        <f>HYPERLINK("#Структура!E1258",Структура!E1258)</f>
        <v>2</v>
      </c>
      <c r="K772" s="115">
        <f>HYPERLINK("#Структура!G1258",Структура!G1258)</f>
        <v>5.0034400000000003</v>
      </c>
      <c r="L772" s="81">
        <f>M772/J772</f>
        <v>987.96960000000001</v>
      </c>
      <c r="M772" s="81">
        <f>SUMIF(E773,"*",M773)*J772</f>
        <v>1975.9392</v>
      </c>
      <c r="N772" s="124">
        <f>HYPERLINK("#Трудозатраты!B294",Трудозатраты!B294+SUMIF(E773,"*",O773))</f>
        <v>6.7</v>
      </c>
      <c r="O772" s="82">
        <f>N772*J772</f>
        <v>13.4</v>
      </c>
      <c r="P772" s="81">
        <f>O772/60*(1+запас_труд)*стоимость_трудочаса</f>
        <v>524.83333333333337</v>
      </c>
      <c r="Q772" s="129">
        <f>M772*(1+наценка_покупное)+P772</f>
        <v>2895.9603733333333</v>
      </c>
    </row>
    <row r="773" spans="4:17" hidden="1" outlineLevel="3" x14ac:dyDescent="0.25">
      <c r="E773" s="74" t="s">
        <v>131</v>
      </c>
      <c r="F773" s="74"/>
      <c r="G773" s="74"/>
      <c r="H773" s="75"/>
      <c r="I773" s="76"/>
      <c r="J773" s="78">
        <f>HYPERLINK("#Структура!E1179",Структура!E1179)</f>
        <v>6.1748099999999999</v>
      </c>
      <c r="K773" s="114" t="str">
        <f>HYPERLINK("#Структура!G1179","")</f>
        <v/>
      </c>
      <c r="L773" s="120">
        <f>HYPERLINK("#Покупные_изделия!D306",Покупные_изделия!D306)</f>
        <v>160</v>
      </c>
      <c r="M773" s="76">
        <f>J773*L773</f>
        <v>987.96960000000001</v>
      </c>
      <c r="N773" s="77"/>
      <c r="O773" s="77"/>
      <c r="P773" s="76"/>
      <c r="Q773" s="76"/>
    </row>
    <row r="774" spans="4:17" hidden="1" outlineLevel="2" collapsed="1" x14ac:dyDescent="0.25">
      <c r="D774" s="84" t="s">
        <v>975</v>
      </c>
      <c r="E774" s="79"/>
      <c r="F774" s="79"/>
      <c r="G774" s="79"/>
      <c r="H774" s="80"/>
      <c r="I774" s="81"/>
      <c r="J774" s="83">
        <f>HYPERLINK("#Структура!E1259",Структура!E1259)</f>
        <v>36</v>
      </c>
      <c r="K774" s="115">
        <f>HYPERLINK("#Структура!G1259",Структура!G1259)</f>
        <v>1.1076900000000001</v>
      </c>
      <c r="L774" s="81">
        <f>M774/J774</f>
        <v>283.26202080000002</v>
      </c>
      <c r="M774" s="81">
        <f>SUMIF(E775,"*",M775)*J774</f>
        <v>10197.4327488</v>
      </c>
      <c r="N774" s="124">
        <f>HYPERLINK("#Трудозатраты!B295",Трудозатраты!B295+SUMIF(E775,"*",O775))</f>
        <v>37</v>
      </c>
      <c r="O774" s="82">
        <f>N774*J774</f>
        <v>1332</v>
      </c>
      <c r="P774" s="81">
        <f>O774/60*(1+запас_труд)*стоимость_трудочаса</f>
        <v>52170</v>
      </c>
      <c r="Q774" s="129">
        <f>M774*(1+наценка_покупное)+P774</f>
        <v>64406.919298560002</v>
      </c>
    </row>
    <row r="775" spans="4:17" hidden="1" outlineLevel="3" x14ac:dyDescent="0.25">
      <c r="E775" s="74" t="s">
        <v>210</v>
      </c>
      <c r="F775" s="74"/>
      <c r="G775" s="74"/>
      <c r="H775" s="75"/>
      <c r="I775" s="76"/>
      <c r="J775" s="78">
        <f>HYPERLINK("#Структура!E1180",Структура!E1180)</f>
        <v>1.151</v>
      </c>
      <c r="K775" s="114" t="str">
        <f>HYPERLINK("#Структура!G1180","")</f>
        <v/>
      </c>
      <c r="L775" s="120">
        <f>HYPERLINK("#Покупные_изделия!D556",Покупные_изделия!D556)</f>
        <v>246.10079999999999</v>
      </c>
      <c r="M775" s="76">
        <f>J775*L775</f>
        <v>283.26202080000002</v>
      </c>
      <c r="N775" s="77"/>
      <c r="O775" s="77"/>
      <c r="P775" s="76"/>
      <c r="Q775" s="76"/>
    </row>
    <row r="776" spans="4:17" hidden="1" outlineLevel="2" collapsed="1" x14ac:dyDescent="0.25">
      <c r="D776" s="84" t="s">
        <v>979</v>
      </c>
      <c r="E776" s="79"/>
      <c r="F776" s="79"/>
      <c r="G776" s="79"/>
      <c r="H776" s="80"/>
      <c r="I776" s="81"/>
      <c r="J776" s="83">
        <f>HYPERLINK("#Структура!E1260",Структура!E1260)</f>
        <v>6</v>
      </c>
      <c r="K776" s="115">
        <f>HYPERLINK("#Структура!G1260",Структура!G1260)</f>
        <v>2.2768199999999998</v>
      </c>
      <c r="L776" s="81">
        <f>M776/J776</f>
        <v>437.54559999999998</v>
      </c>
      <c r="M776" s="81">
        <f>SUMIF(E777,"*",M777)*J776</f>
        <v>2625.2736</v>
      </c>
      <c r="N776" s="124">
        <f>HYPERLINK("#Трудозатраты!B301",Трудозатраты!B301+SUMIF(E777,"*",O777))</f>
        <v>11.6</v>
      </c>
      <c r="O776" s="82">
        <f>N776*J776</f>
        <v>69.599999999999994</v>
      </c>
      <c r="P776" s="81">
        <f>O776/60*(1+запас_труд)*стоимость_трудочаса</f>
        <v>2726</v>
      </c>
      <c r="Q776" s="129">
        <f>M776*(1+наценка_покупное)+P776</f>
        <v>5876.3283200000005</v>
      </c>
    </row>
    <row r="777" spans="4:17" hidden="1" outlineLevel="3" x14ac:dyDescent="0.25">
      <c r="E777" s="74" t="s">
        <v>131</v>
      </c>
      <c r="F777" s="74"/>
      <c r="G777" s="74"/>
      <c r="H777" s="75"/>
      <c r="I777" s="76"/>
      <c r="J777" s="78">
        <f>HYPERLINK("#Структура!E1186",Структура!E1186)</f>
        <v>2.7346599999999999</v>
      </c>
      <c r="K777" s="114" t="str">
        <f>HYPERLINK("#Структура!G1186","")</f>
        <v/>
      </c>
      <c r="L777" s="120">
        <f>HYPERLINK("#Покупные_изделия!D306",Покупные_изделия!D306)</f>
        <v>160</v>
      </c>
      <c r="M777" s="76">
        <f>J777*L777</f>
        <v>437.54559999999998</v>
      </c>
      <c r="N777" s="77"/>
      <c r="O777" s="77"/>
      <c r="P777" s="76"/>
      <c r="Q777" s="76"/>
    </row>
    <row r="778" spans="4:17" hidden="1" outlineLevel="2" collapsed="1" x14ac:dyDescent="0.25">
      <c r="D778" s="84" t="s">
        <v>981</v>
      </c>
      <c r="E778" s="79"/>
      <c r="F778" s="79"/>
      <c r="G778" s="79"/>
      <c r="H778" s="80"/>
      <c r="I778" s="81"/>
      <c r="J778" s="83">
        <f>HYPERLINK("#Структура!E1261",Структура!E1261)</f>
        <v>4</v>
      </c>
      <c r="K778" s="115">
        <f>HYPERLINK("#Структура!G1261",Структура!G1261)</f>
        <v>26.90352</v>
      </c>
      <c r="L778" s="81">
        <f>M778/J778</f>
        <v>2756.6</v>
      </c>
      <c r="M778" s="81">
        <f>SUMIF(E779,"*",M779)*J778</f>
        <v>11026.4</v>
      </c>
      <c r="N778" s="124">
        <f>HYPERLINK("#Трудозатраты!B303",Трудозатраты!B303+SUMIF(E779,"*",O779))</f>
        <v>23.9</v>
      </c>
      <c r="O778" s="82">
        <f>N778*J778</f>
        <v>95.6</v>
      </c>
      <c r="P778" s="81">
        <f>O778/60*(1+запас_труд)*стоимость_трудочаса</f>
        <v>3744.333333333333</v>
      </c>
      <c r="Q778" s="129">
        <f>M778*(1+наценка_покупное)+P778</f>
        <v>16976.013333333332</v>
      </c>
    </row>
    <row r="779" spans="4:17" hidden="1" outlineLevel="3" x14ac:dyDescent="0.25">
      <c r="E779" s="74" t="s">
        <v>191</v>
      </c>
      <c r="F779" s="74"/>
      <c r="G779" s="74"/>
      <c r="H779" s="75"/>
      <c r="I779" s="76"/>
      <c r="J779" s="78">
        <f>HYPERLINK("#Структура!E1188",Структура!E1188)</f>
        <v>27.565999999999999</v>
      </c>
      <c r="K779" s="114" t="str">
        <f>HYPERLINK("#Структура!G1188","")</f>
        <v/>
      </c>
      <c r="L779" s="120">
        <f>HYPERLINK("#Покупные_изделия!D504",Покупные_изделия!D504)</f>
        <v>100</v>
      </c>
      <c r="M779" s="76">
        <f>J779*L779</f>
        <v>2756.6</v>
      </c>
      <c r="N779" s="77"/>
      <c r="O779" s="77"/>
      <c r="P779" s="76"/>
      <c r="Q779" s="76"/>
    </row>
    <row r="780" spans="4:17" hidden="1" outlineLevel="2" collapsed="1" x14ac:dyDescent="0.25">
      <c r="D780" s="84" t="s">
        <v>982</v>
      </c>
      <c r="E780" s="79"/>
      <c r="F780" s="79"/>
      <c r="G780" s="79"/>
      <c r="H780" s="80"/>
      <c r="I780" s="81"/>
      <c r="J780" s="83">
        <f>HYPERLINK("#Структура!E1262",Структура!E1262)</f>
        <v>1</v>
      </c>
      <c r="K780" s="115">
        <f>HYPERLINK("#Структура!G1262",Структура!G1262)</f>
        <v>1.6249800000000001</v>
      </c>
      <c r="L780" s="81">
        <f>M780/J780</f>
        <v>319.61439999999999</v>
      </c>
      <c r="M780" s="81">
        <f>SUMIF(E781,"*",M781)*J780</f>
        <v>319.61439999999999</v>
      </c>
      <c r="N780" s="124">
        <f>HYPERLINK("#Трудозатраты!B304",Трудозатраты!B304+SUMIF(E781,"*",O781))</f>
        <v>10.5</v>
      </c>
      <c r="O780" s="82">
        <f>N780*J780</f>
        <v>10.5</v>
      </c>
      <c r="P780" s="81">
        <f>O780/60*(1+запас_труд)*стоимость_трудочаса</f>
        <v>411.25</v>
      </c>
      <c r="Q780" s="129">
        <f>M780*(1+наценка_покупное)+P780</f>
        <v>794.78728000000001</v>
      </c>
    </row>
    <row r="781" spans="4:17" hidden="1" outlineLevel="3" x14ac:dyDescent="0.25">
      <c r="E781" s="74" t="s">
        <v>128</v>
      </c>
      <c r="F781" s="74"/>
      <c r="G781" s="74"/>
      <c r="H781" s="75"/>
      <c r="I781" s="76"/>
      <c r="J781" s="78">
        <f>HYPERLINK("#Структура!E1189",Структура!E1189)</f>
        <v>1.99759</v>
      </c>
      <c r="K781" s="114" t="str">
        <f>HYPERLINK("#Структура!G1189","")</f>
        <v/>
      </c>
      <c r="L781" s="120">
        <f>HYPERLINK("#Покупные_изделия!D303",Покупные_изделия!D303)</f>
        <v>160</v>
      </c>
      <c r="M781" s="76">
        <f>J781*L781</f>
        <v>319.61439999999999</v>
      </c>
      <c r="N781" s="77"/>
      <c r="O781" s="77"/>
      <c r="P781" s="76"/>
      <c r="Q781" s="76"/>
    </row>
    <row r="782" spans="4:17" hidden="1" outlineLevel="2" collapsed="1" x14ac:dyDescent="0.25">
      <c r="D782" s="84" t="s">
        <v>983</v>
      </c>
      <c r="E782" s="79"/>
      <c r="F782" s="79"/>
      <c r="G782" s="79"/>
      <c r="H782" s="80"/>
      <c r="I782" s="81"/>
      <c r="J782" s="83">
        <f>HYPERLINK("#Структура!E1263",Структура!E1263)</f>
        <v>96</v>
      </c>
      <c r="K782" s="115">
        <f>HYPERLINK("#Структура!G1263",Структура!G1263)</f>
        <v>8.8010000000000005E-2</v>
      </c>
      <c r="L782" s="81">
        <f>M782/J782</f>
        <v>26.8475</v>
      </c>
      <c r="M782" s="81">
        <f>SUMIF(E783,"*",M783)*J782</f>
        <v>2577.36</v>
      </c>
      <c r="N782" s="124">
        <f>HYPERLINK("#Трудозатраты!B305",Трудозатраты!B305+SUMIF(E783,"*",O783))</f>
        <v>7.7000000000000011</v>
      </c>
      <c r="O782" s="82">
        <f>N782*J782</f>
        <v>739.2</v>
      </c>
      <c r="P782" s="81">
        <f>O782/60*(1+запас_труд)*стоимость_трудочаса</f>
        <v>28952</v>
      </c>
      <c r="Q782" s="129">
        <f>M782*(1+наценка_покупное)+P782</f>
        <v>32044.831999999999</v>
      </c>
    </row>
    <row r="783" spans="4:17" hidden="1" outlineLevel="3" x14ac:dyDescent="0.25">
      <c r="E783" s="74" t="s">
        <v>126</v>
      </c>
      <c r="F783" s="74"/>
      <c r="G783" s="74"/>
      <c r="H783" s="75"/>
      <c r="I783" s="76"/>
      <c r="J783" s="78">
        <f>HYPERLINK("#Структура!E1190",Структура!E1190)</f>
        <v>0.10739</v>
      </c>
      <c r="K783" s="114" t="str">
        <f>HYPERLINK("#Структура!G1190","")</f>
        <v/>
      </c>
      <c r="L783" s="120">
        <f>HYPERLINK("#Покупные_изделия!D301",Покупные_изделия!D301)</f>
        <v>250</v>
      </c>
      <c r="M783" s="76">
        <f>J783*L783</f>
        <v>26.8475</v>
      </c>
      <c r="N783" s="77"/>
      <c r="O783" s="77"/>
      <c r="P783" s="76"/>
      <c r="Q783" s="76"/>
    </row>
    <row r="784" spans="4:17" hidden="1" outlineLevel="2" collapsed="1" x14ac:dyDescent="0.25">
      <c r="D784" s="84" t="s">
        <v>984</v>
      </c>
      <c r="E784" s="79"/>
      <c r="F784" s="79"/>
      <c r="G784" s="79"/>
      <c r="H784" s="80"/>
      <c r="I784" s="81"/>
      <c r="J784" s="83">
        <f>HYPERLINK("#Структура!E1264",Структура!E1264)</f>
        <v>12</v>
      </c>
      <c r="K784" s="115">
        <f>HYPERLINK("#Структура!G1264",Структура!G1264)</f>
        <v>5.5744800000000003</v>
      </c>
      <c r="L784" s="81">
        <f>M784/J784</f>
        <v>1101.9136000000001</v>
      </c>
      <c r="M784" s="81">
        <f>SUMIF(E785,"*",M785)*J784</f>
        <v>13222.963200000002</v>
      </c>
      <c r="N784" s="124">
        <f>HYPERLINK("#Трудозатраты!B306",Трудозатраты!B306+SUMIF(E785,"*",O785))</f>
        <v>20</v>
      </c>
      <c r="O784" s="82">
        <f>N784*J784</f>
        <v>240</v>
      </c>
      <c r="P784" s="81">
        <f>O784/60*(1+запас_труд)*стоимость_трудочаса</f>
        <v>9400</v>
      </c>
      <c r="Q784" s="129">
        <f>M784*(1+наценка_покупное)+P784</f>
        <v>25267.555840000001</v>
      </c>
    </row>
    <row r="785" spans="4:17" hidden="1" outlineLevel="3" x14ac:dyDescent="0.25">
      <c r="E785" s="74" t="s">
        <v>131</v>
      </c>
      <c r="F785" s="74"/>
      <c r="G785" s="74"/>
      <c r="H785" s="75"/>
      <c r="I785" s="76"/>
      <c r="J785" s="78">
        <f>HYPERLINK("#Структура!E1191",Структура!E1191)</f>
        <v>6.8869600000000002</v>
      </c>
      <c r="K785" s="114" t="str">
        <f>HYPERLINK("#Структура!G1191","")</f>
        <v/>
      </c>
      <c r="L785" s="120">
        <f>HYPERLINK("#Покупные_изделия!D306",Покупные_изделия!D306)</f>
        <v>160</v>
      </c>
      <c r="M785" s="76">
        <f>J785*L785</f>
        <v>1101.9136000000001</v>
      </c>
      <c r="N785" s="77"/>
      <c r="O785" s="77"/>
      <c r="P785" s="76"/>
      <c r="Q785" s="76"/>
    </row>
    <row r="786" spans="4:17" hidden="1" outlineLevel="2" collapsed="1" x14ac:dyDescent="0.25">
      <c r="D786" s="84" t="s">
        <v>985</v>
      </c>
      <c r="E786" s="79"/>
      <c r="F786" s="79"/>
      <c r="G786" s="79"/>
      <c r="H786" s="80"/>
      <c r="I786" s="81"/>
      <c r="J786" s="83">
        <f>HYPERLINK("#Структура!E1265",Структура!E1265)</f>
        <v>2</v>
      </c>
      <c r="K786" s="115">
        <f>HYPERLINK("#Структура!G1265",Структура!G1265)</f>
        <v>5.4679999999999999E-2</v>
      </c>
      <c r="L786" s="81">
        <f>M786/J786</f>
        <v>13.158399999999999</v>
      </c>
      <c r="M786" s="81">
        <f>SUMIF(E787,"*",M787)*J786</f>
        <v>26.316799999999997</v>
      </c>
      <c r="N786" s="124">
        <f>HYPERLINK("#Трудозатраты!B307",Трудозатраты!B307+SUMIF(E787,"*",O787))</f>
        <v>1.6</v>
      </c>
      <c r="O786" s="82">
        <f>N786*J786</f>
        <v>3.2</v>
      </c>
      <c r="P786" s="81">
        <f>O786/60*(1+запас_труд)*стоимость_трудочаса</f>
        <v>125.33333333333334</v>
      </c>
      <c r="Q786" s="129">
        <f>M786*(1+наценка_покупное)+P786</f>
        <v>156.91349333333335</v>
      </c>
    </row>
    <row r="787" spans="4:17" hidden="1" outlineLevel="3" x14ac:dyDescent="0.25">
      <c r="E787" s="74" t="s">
        <v>131</v>
      </c>
      <c r="F787" s="74"/>
      <c r="G787" s="74"/>
      <c r="H787" s="75"/>
      <c r="I787" s="76"/>
      <c r="J787" s="78">
        <f>HYPERLINK("#Структура!E1192",Структура!E1192)</f>
        <v>8.2239999999999994E-2</v>
      </c>
      <c r="K787" s="114" t="str">
        <f>HYPERLINK("#Структура!G1192","")</f>
        <v/>
      </c>
      <c r="L787" s="120">
        <f>HYPERLINK("#Покупные_изделия!D306",Покупные_изделия!D306)</f>
        <v>160</v>
      </c>
      <c r="M787" s="76">
        <f>J787*L787</f>
        <v>13.158399999999999</v>
      </c>
      <c r="N787" s="77"/>
      <c r="O787" s="77"/>
      <c r="P787" s="76"/>
      <c r="Q787" s="76"/>
    </row>
    <row r="788" spans="4:17" hidden="1" outlineLevel="2" collapsed="1" x14ac:dyDescent="0.25">
      <c r="D788" s="84" t="s">
        <v>988</v>
      </c>
      <c r="E788" s="79"/>
      <c r="F788" s="79"/>
      <c r="G788" s="79"/>
      <c r="H788" s="80"/>
      <c r="I788" s="81"/>
      <c r="J788" s="83">
        <f>HYPERLINK("#Структура!E1266",Структура!E1266)</f>
        <v>1</v>
      </c>
      <c r="K788" s="115">
        <f>HYPERLINK("#Структура!G1266",Структура!G1266)</f>
        <v>3.2065399999999999</v>
      </c>
      <c r="L788" s="81">
        <f>M788/J788</f>
        <v>627.48479999999995</v>
      </c>
      <c r="M788" s="81">
        <f>SUMIF(E789,"*",M789)*J788</f>
        <v>627.48479999999995</v>
      </c>
      <c r="N788" s="124">
        <f>HYPERLINK("#Трудозатраты!B311",Трудозатраты!B311+SUMIF(E789,"*",O789))</f>
        <v>10.899999999999999</v>
      </c>
      <c r="O788" s="82">
        <f>N788*J788</f>
        <v>10.899999999999999</v>
      </c>
      <c r="P788" s="81">
        <f>O788/60*(1+запас_труд)*стоимость_трудочаса</f>
        <v>426.91666666666663</v>
      </c>
      <c r="Q788" s="129">
        <f>M788*(1+наценка_покупное)+P788</f>
        <v>1179.8984266666666</v>
      </c>
    </row>
    <row r="789" spans="4:17" hidden="1" outlineLevel="3" x14ac:dyDescent="0.25">
      <c r="E789" s="74" t="s">
        <v>128</v>
      </c>
      <c r="F789" s="74"/>
      <c r="G789" s="74"/>
      <c r="H789" s="75"/>
      <c r="I789" s="76"/>
      <c r="J789" s="78">
        <f>HYPERLINK("#Структура!E1196",Структура!E1196)</f>
        <v>3.92178</v>
      </c>
      <c r="K789" s="114" t="str">
        <f>HYPERLINK("#Структура!G1196","")</f>
        <v/>
      </c>
      <c r="L789" s="120">
        <f>HYPERLINK("#Покупные_изделия!D303",Покупные_изделия!D303)</f>
        <v>160</v>
      </c>
      <c r="M789" s="76">
        <f>J789*L789</f>
        <v>627.48479999999995</v>
      </c>
      <c r="N789" s="77"/>
      <c r="O789" s="77"/>
      <c r="P789" s="76"/>
      <c r="Q789" s="76"/>
    </row>
    <row r="790" spans="4:17" hidden="1" outlineLevel="2" collapsed="1" x14ac:dyDescent="0.25">
      <c r="D790" s="84" t="s">
        <v>996</v>
      </c>
      <c r="E790" s="79"/>
      <c r="F790" s="79"/>
      <c r="G790" s="79"/>
      <c r="H790" s="80"/>
      <c r="I790" s="81"/>
      <c r="J790" s="83">
        <f>HYPERLINK("#Структура!E1267",Структура!E1267)</f>
        <v>2</v>
      </c>
      <c r="K790" s="115">
        <f>HYPERLINK("#Структура!G1267",Структура!G1267)</f>
        <v>4.5624399999999996</v>
      </c>
      <c r="L790" s="81">
        <f>M790/J790</f>
        <v>878.27520000000004</v>
      </c>
      <c r="M790" s="81">
        <f>SUMIF(E791,"*",M791)*J790</f>
        <v>1756.5504000000001</v>
      </c>
      <c r="N790" s="124">
        <f>HYPERLINK("#Трудозатраты!B320",Трудозатраты!B320+SUMIF(E791,"*",O791))</f>
        <v>10.5</v>
      </c>
      <c r="O790" s="82">
        <f>N790*J790</f>
        <v>21</v>
      </c>
      <c r="P790" s="81">
        <f>O790/60*(1+запас_труд)*стоимость_трудочаса</f>
        <v>822.5</v>
      </c>
      <c r="Q790" s="129">
        <f>M790*(1+наценка_покупное)+P790</f>
        <v>2930.3604799999998</v>
      </c>
    </row>
    <row r="791" spans="4:17" hidden="1" outlineLevel="3" x14ac:dyDescent="0.25">
      <c r="E791" s="74" t="s">
        <v>128</v>
      </c>
      <c r="F791" s="74"/>
      <c r="G791" s="74"/>
      <c r="H791" s="75"/>
      <c r="I791" s="76"/>
      <c r="J791" s="78">
        <f>HYPERLINK("#Структура!E1205",Структура!E1205)</f>
        <v>5.4892200000000004</v>
      </c>
      <c r="K791" s="114" t="str">
        <f>HYPERLINK("#Структура!G1205","")</f>
        <v/>
      </c>
      <c r="L791" s="120">
        <f>HYPERLINK("#Покупные_изделия!D303",Покупные_изделия!D303)</f>
        <v>160</v>
      </c>
      <c r="M791" s="76">
        <f>J791*L791</f>
        <v>878.27520000000004</v>
      </c>
      <c r="N791" s="77"/>
      <c r="O791" s="77"/>
      <c r="P791" s="76"/>
      <c r="Q791" s="76"/>
    </row>
    <row r="792" spans="4:17" hidden="1" outlineLevel="2" collapsed="1" x14ac:dyDescent="0.25">
      <c r="D792" s="84" t="s">
        <v>997</v>
      </c>
      <c r="E792" s="79"/>
      <c r="F792" s="79"/>
      <c r="G792" s="79"/>
      <c r="H792" s="80"/>
      <c r="I792" s="81"/>
      <c r="J792" s="83">
        <f>HYPERLINK("#Структура!E1268",Структура!E1268)</f>
        <v>1</v>
      </c>
      <c r="K792" s="115">
        <f>HYPERLINK("#Структура!G1268",Структура!G1268)</f>
        <v>2.41317</v>
      </c>
      <c r="L792" s="81">
        <f>M792/J792</f>
        <v>496.12799999999999</v>
      </c>
      <c r="M792" s="81">
        <f>SUMIF(E793,"*",M793)*J792</f>
        <v>496.12799999999999</v>
      </c>
      <c r="N792" s="124">
        <f>HYPERLINK("#Трудозатраты!B321",Трудозатраты!B321+SUMIF(E793,"*",O793))</f>
        <v>11.6</v>
      </c>
      <c r="O792" s="82">
        <f>N792*J792</f>
        <v>11.6</v>
      </c>
      <c r="P792" s="81">
        <f>O792/60*(1+запас_труд)*стоимость_трудочаса</f>
        <v>454.33333333333331</v>
      </c>
      <c r="Q792" s="129">
        <f>M792*(1+наценка_покупное)+P792</f>
        <v>1049.6869333333332</v>
      </c>
    </row>
    <row r="793" spans="4:17" hidden="1" outlineLevel="3" x14ac:dyDescent="0.25">
      <c r="E793" s="74" t="s">
        <v>131</v>
      </c>
      <c r="F793" s="74"/>
      <c r="G793" s="74"/>
      <c r="H793" s="75"/>
      <c r="I793" s="76"/>
      <c r="J793" s="78">
        <f>HYPERLINK("#Структура!E1206",Структура!E1206)</f>
        <v>3.1008</v>
      </c>
      <c r="K793" s="114" t="str">
        <f>HYPERLINK("#Структура!G1206","")</f>
        <v/>
      </c>
      <c r="L793" s="120">
        <f>HYPERLINK("#Покупные_изделия!D306",Покупные_изделия!D306)</f>
        <v>160</v>
      </c>
      <c r="M793" s="76">
        <f>J793*L793</f>
        <v>496.12799999999999</v>
      </c>
      <c r="N793" s="77"/>
      <c r="O793" s="77"/>
      <c r="P793" s="76"/>
      <c r="Q793" s="76"/>
    </row>
    <row r="794" spans="4:17" hidden="1" outlineLevel="2" collapsed="1" x14ac:dyDescent="0.25">
      <c r="D794" s="84" t="s">
        <v>1025</v>
      </c>
      <c r="E794" s="79"/>
      <c r="F794" s="79"/>
      <c r="G794" s="79"/>
      <c r="H794" s="80"/>
      <c r="I794" s="81"/>
      <c r="J794" s="83">
        <f>HYPERLINK("#Структура!E1269",Структура!E1269)</f>
        <v>1</v>
      </c>
      <c r="K794" s="115">
        <f>HYPERLINK("#Структура!G1269",Структура!G1269)</f>
        <v>18.784520000000001</v>
      </c>
      <c r="L794" s="81">
        <f>M794/J794</f>
        <v>3635.1263999999996</v>
      </c>
      <c r="M794" s="81">
        <f>SUMIF(E795,"*",M795)*J794</f>
        <v>3635.1263999999996</v>
      </c>
      <c r="N794" s="124">
        <f>HYPERLINK("#Трудозатраты!B339",Трудозатраты!B339+SUMIF(E795,"*",O795))</f>
        <v>64.5</v>
      </c>
      <c r="O794" s="82">
        <f>N794*J794</f>
        <v>64.5</v>
      </c>
      <c r="P794" s="81">
        <f>O794/60*(1+запас_труд)*стоимость_трудочаса</f>
        <v>2526.25</v>
      </c>
      <c r="Q794" s="129">
        <f>M794*(1+наценка_покупное)+P794</f>
        <v>6888.401679999999</v>
      </c>
    </row>
    <row r="795" spans="4:17" hidden="1" outlineLevel="3" x14ac:dyDescent="0.25">
      <c r="E795" s="74" t="s">
        <v>128</v>
      </c>
      <c r="F795" s="74"/>
      <c r="G795" s="74"/>
      <c r="H795" s="75"/>
      <c r="I795" s="76"/>
      <c r="J795" s="78">
        <f>HYPERLINK("#Структура!E1295",Структура!E1295)</f>
        <v>22.719539999999999</v>
      </c>
      <c r="K795" s="114" t="str">
        <f>HYPERLINK("#Структура!G1295","")</f>
        <v/>
      </c>
      <c r="L795" s="120">
        <f>HYPERLINK("#Покупные_изделия!D303",Покупные_изделия!D303)</f>
        <v>160</v>
      </c>
      <c r="M795" s="76">
        <f>J795*L795</f>
        <v>3635.1263999999996</v>
      </c>
      <c r="N795" s="77"/>
      <c r="O795" s="77"/>
      <c r="P795" s="76"/>
      <c r="Q795" s="76"/>
    </row>
    <row r="796" spans="4:17" hidden="1" outlineLevel="2" collapsed="1" x14ac:dyDescent="0.25">
      <c r="D796" s="84" t="s">
        <v>1026</v>
      </c>
      <c r="E796" s="79"/>
      <c r="F796" s="79"/>
      <c r="G796" s="79"/>
      <c r="H796" s="80"/>
      <c r="I796" s="81"/>
      <c r="J796" s="83">
        <f>HYPERLINK("#Структура!E1270",Структура!E1270)</f>
        <v>1</v>
      </c>
      <c r="K796" s="115">
        <f>HYPERLINK("#Структура!G1270",Структура!G1270)</f>
        <v>6.7628199999999996</v>
      </c>
      <c r="L796" s="81">
        <f>M796/J796</f>
        <v>1311.336</v>
      </c>
      <c r="M796" s="81">
        <f>SUMIF(E797,"*",M797)*J796</f>
        <v>1311.336</v>
      </c>
      <c r="N796" s="124">
        <f>HYPERLINK("#Трудозатраты!B340",Трудозатраты!B340+SUMIF(E797,"*",O797))</f>
        <v>33.5</v>
      </c>
      <c r="O796" s="82">
        <f>N796*J796</f>
        <v>33.5</v>
      </c>
      <c r="P796" s="81">
        <f>O796/60*(1+запас_труд)*стоимость_трудочаса</f>
        <v>1312.0833333333333</v>
      </c>
      <c r="Q796" s="129">
        <f>M796*(1+наценка_покупное)+P796</f>
        <v>2885.6865333333335</v>
      </c>
    </row>
    <row r="797" spans="4:17" hidden="1" outlineLevel="3" x14ac:dyDescent="0.25">
      <c r="E797" s="74" t="s">
        <v>128</v>
      </c>
      <c r="F797" s="74"/>
      <c r="G797" s="74"/>
      <c r="H797" s="75"/>
      <c r="I797" s="76"/>
      <c r="J797" s="78">
        <f>HYPERLINK("#Структура!E1296",Структура!E1296)</f>
        <v>8.1958500000000001</v>
      </c>
      <c r="K797" s="114" t="str">
        <f>HYPERLINK("#Структура!G1296","")</f>
        <v/>
      </c>
      <c r="L797" s="120">
        <f>HYPERLINK("#Покупные_изделия!D303",Покупные_изделия!D303)</f>
        <v>160</v>
      </c>
      <c r="M797" s="76">
        <f>J797*L797</f>
        <v>1311.336</v>
      </c>
      <c r="N797" s="77"/>
      <c r="O797" s="77"/>
      <c r="P797" s="76"/>
      <c r="Q797" s="76"/>
    </row>
    <row r="798" spans="4:17" hidden="1" outlineLevel="2" collapsed="1" x14ac:dyDescent="0.25">
      <c r="D798" s="84" t="s">
        <v>1027</v>
      </c>
      <c r="E798" s="79"/>
      <c r="F798" s="79"/>
      <c r="G798" s="79"/>
      <c r="H798" s="80"/>
      <c r="I798" s="81"/>
      <c r="J798" s="83">
        <f>HYPERLINK("#Структура!E1271",Структура!E1271)</f>
        <v>1</v>
      </c>
      <c r="K798" s="115">
        <f>HYPERLINK("#Структура!G1271",Структура!G1271)</f>
        <v>18.802420000000001</v>
      </c>
      <c r="L798" s="81">
        <f>M798/J798</f>
        <v>3635.1263999999996</v>
      </c>
      <c r="M798" s="81">
        <f>SUMIF(E799,"*",M799)*J798</f>
        <v>3635.1263999999996</v>
      </c>
      <c r="N798" s="124">
        <f>HYPERLINK("#Трудозатраты!B341",Трудозатраты!B341+SUMIF(E799,"*",O799))</f>
        <v>64.5</v>
      </c>
      <c r="O798" s="82">
        <f>N798*J798</f>
        <v>64.5</v>
      </c>
      <c r="P798" s="81">
        <f>O798/60*(1+запас_труд)*стоимость_трудочаса</f>
        <v>2526.25</v>
      </c>
      <c r="Q798" s="129">
        <f>M798*(1+наценка_покупное)+P798</f>
        <v>6888.401679999999</v>
      </c>
    </row>
    <row r="799" spans="4:17" hidden="1" outlineLevel="3" x14ac:dyDescent="0.25">
      <c r="E799" s="74" t="s">
        <v>128</v>
      </c>
      <c r="F799" s="74"/>
      <c r="G799" s="74"/>
      <c r="H799" s="75"/>
      <c r="I799" s="76"/>
      <c r="J799" s="78">
        <f>HYPERLINK("#Структура!E1297",Структура!E1297)</f>
        <v>22.719539999999999</v>
      </c>
      <c r="K799" s="114" t="str">
        <f>HYPERLINK("#Структура!G1297","")</f>
        <v/>
      </c>
      <c r="L799" s="120">
        <f>HYPERLINK("#Покупные_изделия!D303",Покупные_изделия!D303)</f>
        <v>160</v>
      </c>
      <c r="M799" s="76">
        <f>J799*L799</f>
        <v>3635.1263999999996</v>
      </c>
      <c r="N799" s="77"/>
      <c r="O799" s="77"/>
      <c r="P799" s="76"/>
      <c r="Q799" s="76"/>
    </row>
    <row r="800" spans="4:17" hidden="1" outlineLevel="2" collapsed="1" x14ac:dyDescent="0.25">
      <c r="D800" s="84" t="s">
        <v>1028</v>
      </c>
      <c r="E800" s="79"/>
      <c r="F800" s="79"/>
      <c r="G800" s="79"/>
      <c r="H800" s="80"/>
      <c r="I800" s="81"/>
      <c r="J800" s="83">
        <f>HYPERLINK("#Структура!E1272",Структура!E1272)</f>
        <v>1</v>
      </c>
      <c r="K800" s="115">
        <f>HYPERLINK("#Структура!G1272",Структура!G1272)</f>
        <v>5.7001499999999998</v>
      </c>
      <c r="L800" s="81">
        <f>M800/J800</f>
        <v>1100.5567999999998</v>
      </c>
      <c r="M800" s="81">
        <f>SUMIF(E801,"*",M801)*J800</f>
        <v>1100.5567999999998</v>
      </c>
      <c r="N800" s="124">
        <f>HYPERLINK("#Трудозатраты!B342",Трудозатраты!B342+SUMIF(E801,"*",O801))</f>
        <v>12.5</v>
      </c>
      <c r="O800" s="82">
        <f>N800*J800</f>
        <v>12.5</v>
      </c>
      <c r="P800" s="81">
        <f>O800/60*(1+запас_труд)*стоимость_трудочаса</f>
        <v>489.58333333333337</v>
      </c>
      <c r="Q800" s="129">
        <f>M800*(1+наценка_покупное)+P800</f>
        <v>1810.2514933333332</v>
      </c>
    </row>
    <row r="801" spans="4:17" hidden="1" outlineLevel="3" x14ac:dyDescent="0.25">
      <c r="E801" s="74" t="s">
        <v>131</v>
      </c>
      <c r="F801" s="74"/>
      <c r="G801" s="74"/>
      <c r="H801" s="75"/>
      <c r="I801" s="76"/>
      <c r="J801" s="78">
        <f>HYPERLINK("#Структура!E1298",Структура!E1298)</f>
        <v>6.8784799999999997</v>
      </c>
      <c r="K801" s="114" t="str">
        <f>HYPERLINK("#Структура!G1298","")</f>
        <v/>
      </c>
      <c r="L801" s="120">
        <f>HYPERLINK("#Покупные_изделия!D306",Покупные_изделия!D306)</f>
        <v>160</v>
      </c>
      <c r="M801" s="76">
        <f>J801*L801</f>
        <v>1100.5567999999998</v>
      </c>
      <c r="N801" s="77"/>
      <c r="O801" s="77"/>
      <c r="P801" s="76"/>
      <c r="Q801" s="76"/>
    </row>
    <row r="802" spans="4:17" hidden="1" outlineLevel="2" collapsed="1" x14ac:dyDescent="0.25">
      <c r="D802" s="84" t="s">
        <v>1029</v>
      </c>
      <c r="E802" s="79"/>
      <c r="F802" s="79"/>
      <c r="G802" s="79"/>
      <c r="H802" s="80"/>
      <c r="I802" s="81"/>
      <c r="J802" s="83">
        <f>HYPERLINK("#Структура!E1273",Структура!E1273)</f>
        <v>1</v>
      </c>
      <c r="K802" s="115">
        <f>HYPERLINK("#Структура!G1273",Структура!G1273)</f>
        <v>5.7001499999999998</v>
      </c>
      <c r="L802" s="81">
        <f>M802/J802</f>
        <v>1100.5567999999998</v>
      </c>
      <c r="M802" s="81">
        <f>SUMIF(E803,"*",M803)*J802</f>
        <v>1100.5567999999998</v>
      </c>
      <c r="N802" s="124">
        <f>HYPERLINK("#Трудозатраты!B343",Трудозатраты!B343+SUMIF(E803,"*",O803))</f>
        <v>12.5</v>
      </c>
      <c r="O802" s="82">
        <f>N802*J802</f>
        <v>12.5</v>
      </c>
      <c r="P802" s="81">
        <f>O802/60*(1+запас_труд)*стоимость_трудочаса</f>
        <v>489.58333333333337</v>
      </c>
      <c r="Q802" s="129">
        <f>M802*(1+наценка_покупное)+P802</f>
        <v>1810.2514933333332</v>
      </c>
    </row>
    <row r="803" spans="4:17" hidden="1" outlineLevel="3" x14ac:dyDescent="0.25">
      <c r="E803" s="74" t="s">
        <v>131</v>
      </c>
      <c r="F803" s="74"/>
      <c r="G803" s="74"/>
      <c r="H803" s="75"/>
      <c r="I803" s="76"/>
      <c r="J803" s="78">
        <f>HYPERLINK("#Структура!E1299",Структура!E1299)</f>
        <v>6.8784799999999997</v>
      </c>
      <c r="K803" s="114" t="str">
        <f>HYPERLINK("#Структура!G1299","")</f>
        <v/>
      </c>
      <c r="L803" s="120">
        <f>HYPERLINK("#Покупные_изделия!D306",Покупные_изделия!D306)</f>
        <v>160</v>
      </c>
      <c r="M803" s="76">
        <f>J803*L803</f>
        <v>1100.5567999999998</v>
      </c>
      <c r="N803" s="77"/>
      <c r="O803" s="77"/>
      <c r="P803" s="76"/>
      <c r="Q803" s="76"/>
    </row>
    <row r="804" spans="4:17" hidden="1" outlineLevel="2" collapsed="1" x14ac:dyDescent="0.25">
      <c r="D804" s="84" t="s">
        <v>1030</v>
      </c>
      <c r="E804" s="79"/>
      <c r="F804" s="79"/>
      <c r="G804" s="79"/>
      <c r="H804" s="80"/>
      <c r="I804" s="81"/>
      <c r="J804" s="83">
        <f>HYPERLINK("#Структура!E1274",Структура!E1274)</f>
        <v>1</v>
      </c>
      <c r="K804" s="115">
        <f>HYPERLINK("#Структура!G1274",Структура!G1274)</f>
        <v>12.73462</v>
      </c>
      <c r="L804" s="81">
        <f>M804/J804</f>
        <v>2467.4816000000001</v>
      </c>
      <c r="M804" s="81">
        <f>SUMIF(E805,"*",M805)*J804</f>
        <v>2467.4816000000001</v>
      </c>
      <c r="N804" s="124">
        <f>HYPERLINK("#Трудозатраты!B344",Трудозатраты!B344+SUMIF(E805,"*",O805))</f>
        <v>59.75</v>
      </c>
      <c r="O804" s="82">
        <f>N804*J804</f>
        <v>59.75</v>
      </c>
      <c r="P804" s="81">
        <f>O804/60*(1+запас_труд)*стоимость_трудочаса</f>
        <v>2340.2083333333335</v>
      </c>
      <c r="Q804" s="129">
        <f>M804*(1+наценка_покупное)+P804</f>
        <v>5301.1862533333333</v>
      </c>
    </row>
    <row r="805" spans="4:17" hidden="1" outlineLevel="3" x14ac:dyDescent="0.25">
      <c r="E805" s="74" t="s">
        <v>128</v>
      </c>
      <c r="F805" s="74"/>
      <c r="G805" s="74"/>
      <c r="H805" s="75"/>
      <c r="I805" s="76"/>
      <c r="J805" s="78">
        <f>HYPERLINK("#Структура!E1300",Структура!E1300)</f>
        <v>15.421760000000001</v>
      </c>
      <c r="K805" s="114" t="str">
        <f>HYPERLINK("#Структура!G1300","")</f>
        <v/>
      </c>
      <c r="L805" s="120">
        <f>HYPERLINK("#Покупные_изделия!D303",Покупные_изделия!D303)</f>
        <v>160</v>
      </c>
      <c r="M805" s="76">
        <f>J805*L805</f>
        <v>2467.4816000000001</v>
      </c>
      <c r="N805" s="77"/>
      <c r="O805" s="77"/>
      <c r="P805" s="76"/>
      <c r="Q805" s="76"/>
    </row>
    <row r="806" spans="4:17" hidden="1" outlineLevel="2" collapsed="1" x14ac:dyDescent="0.25">
      <c r="D806" s="84" t="s">
        <v>1031</v>
      </c>
      <c r="E806" s="79"/>
      <c r="F806" s="79"/>
      <c r="G806" s="79"/>
      <c r="H806" s="80"/>
      <c r="I806" s="81"/>
      <c r="J806" s="83">
        <f>HYPERLINK("#Структура!E1275",Структура!E1275)</f>
        <v>1</v>
      </c>
      <c r="K806" s="115">
        <f>HYPERLINK("#Структура!G1275",Структура!G1275)</f>
        <v>7.4151100000000003</v>
      </c>
      <c r="L806" s="81">
        <f>M806/J806</f>
        <v>1451.5423999999998</v>
      </c>
      <c r="M806" s="81">
        <f>SUMIF(E807,"*",M807)*J806</f>
        <v>1451.5423999999998</v>
      </c>
      <c r="N806" s="124">
        <f>HYPERLINK("#Трудозатраты!B345",Трудозатраты!B345+SUMIF(E807,"*",O807))</f>
        <v>39</v>
      </c>
      <c r="O806" s="82">
        <f>N806*J806</f>
        <v>39</v>
      </c>
      <c r="P806" s="81">
        <f>O806/60*(1+запас_труд)*стоимость_трудочаса</f>
        <v>1527.5</v>
      </c>
      <c r="Q806" s="129">
        <f>M806*(1+наценка_покупное)+P806</f>
        <v>3269.35088</v>
      </c>
    </row>
    <row r="807" spans="4:17" hidden="1" outlineLevel="3" x14ac:dyDescent="0.25">
      <c r="E807" s="74" t="s">
        <v>128</v>
      </c>
      <c r="F807" s="74"/>
      <c r="G807" s="74"/>
      <c r="H807" s="75"/>
      <c r="I807" s="76"/>
      <c r="J807" s="78">
        <f>HYPERLINK("#Структура!E1301",Структура!E1301)</f>
        <v>9.0721399999999992</v>
      </c>
      <c r="K807" s="114" t="str">
        <f>HYPERLINK("#Структура!G1301","")</f>
        <v/>
      </c>
      <c r="L807" s="120">
        <f>HYPERLINK("#Покупные_изделия!D303",Покупные_изделия!D303)</f>
        <v>160</v>
      </c>
      <c r="M807" s="76">
        <f>J807*L807</f>
        <v>1451.5423999999998</v>
      </c>
      <c r="N807" s="77"/>
      <c r="O807" s="77"/>
      <c r="P807" s="76"/>
      <c r="Q807" s="76"/>
    </row>
    <row r="808" spans="4:17" hidden="1" outlineLevel="2" collapsed="1" x14ac:dyDescent="0.25">
      <c r="D808" s="84" t="s">
        <v>1032</v>
      </c>
      <c r="E808" s="79"/>
      <c r="F808" s="79"/>
      <c r="G808" s="79"/>
      <c r="H808" s="80"/>
      <c r="I808" s="81"/>
      <c r="J808" s="83">
        <f>HYPERLINK("#Структура!E1276",Структура!E1276)</f>
        <v>1</v>
      </c>
      <c r="K808" s="115">
        <f>HYPERLINK("#Структура!G1276",Структура!G1276)</f>
        <v>21.607769999999999</v>
      </c>
      <c r="L808" s="81">
        <f>M808/J808</f>
        <v>4175.3311999999996</v>
      </c>
      <c r="M808" s="81">
        <f>SUMIF(E809,"*",M809)*J808</f>
        <v>4175.3311999999996</v>
      </c>
      <c r="N808" s="124">
        <f>HYPERLINK("#Трудозатраты!B346",Трудозатраты!B346+SUMIF(E809,"*",O809))</f>
        <v>54</v>
      </c>
      <c r="O808" s="82">
        <f>N808*J808</f>
        <v>54</v>
      </c>
      <c r="P808" s="81">
        <f>O808/60*(1+запас_труд)*стоимость_трудочаса</f>
        <v>2115</v>
      </c>
      <c r="Q808" s="129">
        <f>M808*(1+наценка_покупное)+P808</f>
        <v>7125.3974399999997</v>
      </c>
    </row>
    <row r="809" spans="4:17" hidden="1" outlineLevel="3" x14ac:dyDescent="0.25">
      <c r="E809" s="74" t="s">
        <v>128</v>
      </c>
      <c r="F809" s="74"/>
      <c r="G809" s="74"/>
      <c r="H809" s="75"/>
      <c r="I809" s="76"/>
      <c r="J809" s="78">
        <f>HYPERLINK("#Структура!E1302",Структура!E1302)</f>
        <v>26.09582</v>
      </c>
      <c r="K809" s="114" t="str">
        <f>HYPERLINK("#Структура!G1302","")</f>
        <v/>
      </c>
      <c r="L809" s="120">
        <f>HYPERLINK("#Покупные_изделия!D303",Покупные_изделия!D303)</f>
        <v>160</v>
      </c>
      <c r="M809" s="76">
        <f>J809*L809</f>
        <v>4175.3311999999996</v>
      </c>
      <c r="N809" s="77"/>
      <c r="O809" s="77"/>
      <c r="P809" s="76"/>
      <c r="Q809" s="76"/>
    </row>
    <row r="810" spans="4:17" hidden="1" outlineLevel="2" collapsed="1" x14ac:dyDescent="0.25">
      <c r="D810" s="84" t="s">
        <v>1033</v>
      </c>
      <c r="E810" s="79"/>
      <c r="F810" s="79"/>
      <c r="G810" s="79"/>
      <c r="H810" s="80"/>
      <c r="I810" s="81"/>
      <c r="J810" s="83">
        <f>HYPERLINK("#Структура!E1277",Структура!E1277)</f>
        <v>1</v>
      </c>
      <c r="K810" s="115">
        <f>HYPERLINK("#Структура!G1277",Структура!G1277)</f>
        <v>21.622119999999999</v>
      </c>
      <c r="L810" s="81">
        <f>M810/J810</f>
        <v>4175.3311999999996</v>
      </c>
      <c r="M810" s="81">
        <f>SUMIF(E811,"*",M811)*J810</f>
        <v>4175.3311999999996</v>
      </c>
      <c r="N810" s="124">
        <f>HYPERLINK("#Трудозатраты!B347",Трудозатраты!B347+SUMIF(E811,"*",O811))</f>
        <v>54</v>
      </c>
      <c r="O810" s="82">
        <f>N810*J810</f>
        <v>54</v>
      </c>
      <c r="P810" s="81">
        <f>O810/60*(1+запас_труд)*стоимость_трудочаса</f>
        <v>2115</v>
      </c>
      <c r="Q810" s="129">
        <f>M810*(1+наценка_покупное)+P810</f>
        <v>7125.3974399999997</v>
      </c>
    </row>
    <row r="811" spans="4:17" hidden="1" outlineLevel="3" x14ac:dyDescent="0.25">
      <c r="E811" s="74" t="s">
        <v>128</v>
      </c>
      <c r="F811" s="74"/>
      <c r="G811" s="74"/>
      <c r="H811" s="75"/>
      <c r="I811" s="76"/>
      <c r="J811" s="78">
        <f>HYPERLINK("#Структура!E1303",Структура!E1303)</f>
        <v>26.09582</v>
      </c>
      <c r="K811" s="114" t="str">
        <f>HYPERLINK("#Структура!G1303","")</f>
        <v/>
      </c>
      <c r="L811" s="120">
        <f>HYPERLINK("#Покупные_изделия!D303",Покупные_изделия!D303)</f>
        <v>160</v>
      </c>
      <c r="M811" s="76">
        <f>J811*L811</f>
        <v>4175.3311999999996</v>
      </c>
      <c r="N811" s="77"/>
      <c r="O811" s="77"/>
      <c r="P811" s="76"/>
      <c r="Q811" s="76"/>
    </row>
    <row r="812" spans="4:17" hidden="1" outlineLevel="2" collapsed="1" x14ac:dyDescent="0.25">
      <c r="D812" s="84" t="s">
        <v>1034</v>
      </c>
      <c r="E812" s="79"/>
      <c r="F812" s="79"/>
      <c r="G812" s="79"/>
      <c r="H812" s="80"/>
      <c r="I812" s="81"/>
      <c r="J812" s="83">
        <f>HYPERLINK("#Структура!E1278",Структура!E1278)</f>
        <v>12</v>
      </c>
      <c r="K812" s="115">
        <f>HYPERLINK("#Структура!G1278",Структура!G1278)</f>
        <v>14.3817</v>
      </c>
      <c r="L812" s="81">
        <f>M812/J812</f>
        <v>2784.6432</v>
      </c>
      <c r="M812" s="81">
        <f>SUMIF(E813,"*",M813)*J812</f>
        <v>33415.718399999998</v>
      </c>
      <c r="N812" s="124">
        <f>HYPERLINK("#Трудозатраты!B349",Трудозатраты!B349+SUMIF(E813,"*",O813))</f>
        <v>52</v>
      </c>
      <c r="O812" s="82">
        <f>N812*J812</f>
        <v>624</v>
      </c>
      <c r="P812" s="81">
        <f>O812/60*(1+запас_труд)*стоимость_трудочаса</f>
        <v>24440</v>
      </c>
      <c r="Q812" s="129">
        <f>M812*(1+наценка_покупное)+P812</f>
        <v>64538.862079999999</v>
      </c>
    </row>
    <row r="813" spans="4:17" hidden="1" outlineLevel="3" x14ac:dyDescent="0.25">
      <c r="E813" s="74" t="s">
        <v>130</v>
      </c>
      <c r="F813" s="74"/>
      <c r="G813" s="74"/>
      <c r="H813" s="75"/>
      <c r="I813" s="76"/>
      <c r="J813" s="78">
        <f>HYPERLINK("#Структура!E1305",Структура!E1305)</f>
        <v>17.404019999999999</v>
      </c>
      <c r="K813" s="114" t="str">
        <f>HYPERLINK("#Структура!G1305","")</f>
        <v/>
      </c>
      <c r="L813" s="120">
        <f>HYPERLINK("#Покупные_изделия!D305",Покупные_изделия!D305)</f>
        <v>160</v>
      </c>
      <c r="M813" s="76">
        <f>J813*L813</f>
        <v>2784.6432</v>
      </c>
      <c r="N813" s="77"/>
      <c r="O813" s="77"/>
      <c r="P813" s="76"/>
      <c r="Q813" s="76"/>
    </row>
    <row r="814" spans="4:17" hidden="1" outlineLevel="2" collapsed="1" x14ac:dyDescent="0.25">
      <c r="D814" s="84" t="s">
        <v>1035</v>
      </c>
      <c r="E814" s="79"/>
      <c r="F814" s="79"/>
      <c r="G814" s="79"/>
      <c r="H814" s="80"/>
      <c r="I814" s="81"/>
      <c r="J814" s="83">
        <f>HYPERLINK("#Структура!E1279",Структура!E1279)</f>
        <v>5</v>
      </c>
      <c r="K814" s="115">
        <f>HYPERLINK("#Структура!G1279",Структура!G1279)</f>
        <v>24.96865</v>
      </c>
      <c r="L814" s="81">
        <f>M814/J814</f>
        <v>4825.4928</v>
      </c>
      <c r="M814" s="81">
        <f>SUMIF(E815,"*",M815)*J814</f>
        <v>24127.464</v>
      </c>
      <c r="N814" s="124">
        <f>HYPERLINK("#Трудозатраты!B350",Трудозатраты!B350+SUMIF(E815,"*",O815))</f>
        <v>32</v>
      </c>
      <c r="O814" s="82">
        <f>N814*J814</f>
        <v>160</v>
      </c>
      <c r="P814" s="81">
        <f>O814/60*(1+запас_труд)*стоимость_трудочаса</f>
        <v>6266.6666666666661</v>
      </c>
      <c r="Q814" s="129">
        <f>M814*(1+наценка_покупное)+P814</f>
        <v>35219.623466666664</v>
      </c>
    </row>
    <row r="815" spans="4:17" hidden="1" outlineLevel="3" x14ac:dyDescent="0.25">
      <c r="E815" s="74" t="s">
        <v>131</v>
      </c>
      <c r="F815" s="74"/>
      <c r="G815" s="74"/>
      <c r="H815" s="75"/>
      <c r="I815" s="76"/>
      <c r="J815" s="78">
        <f>HYPERLINK("#Структура!E1306",Структура!E1306)</f>
        <v>30.159330000000001</v>
      </c>
      <c r="K815" s="114" t="str">
        <f>HYPERLINK("#Структура!G1306","")</f>
        <v/>
      </c>
      <c r="L815" s="120">
        <f>HYPERLINK("#Покупные_изделия!D306",Покупные_изделия!D306)</f>
        <v>160</v>
      </c>
      <c r="M815" s="76">
        <f>J815*L815</f>
        <v>4825.4928</v>
      </c>
      <c r="N815" s="77"/>
      <c r="O815" s="77"/>
      <c r="P815" s="76"/>
      <c r="Q815" s="76"/>
    </row>
    <row r="816" spans="4:17" hidden="1" outlineLevel="2" collapsed="1" x14ac:dyDescent="0.25">
      <c r="D816" s="84" t="s">
        <v>1036</v>
      </c>
      <c r="E816" s="79"/>
      <c r="F816" s="79"/>
      <c r="G816" s="79"/>
      <c r="H816" s="80"/>
      <c r="I816" s="81"/>
      <c r="J816" s="83">
        <f>HYPERLINK("#Структура!E1280",Структура!E1280)</f>
        <v>5</v>
      </c>
      <c r="K816" s="115">
        <f>HYPERLINK("#Структура!G1280",Структура!G1280)</f>
        <v>24.96865</v>
      </c>
      <c r="L816" s="81">
        <f>M816/J816</f>
        <v>4825.4928</v>
      </c>
      <c r="M816" s="81">
        <f>SUMIF(E817,"*",M817)*J816</f>
        <v>24127.464</v>
      </c>
      <c r="N816" s="124">
        <f>HYPERLINK("#Трудозатраты!B351",Трудозатраты!B351+SUMIF(E817,"*",O817))</f>
        <v>32</v>
      </c>
      <c r="O816" s="82">
        <f>N816*J816</f>
        <v>160</v>
      </c>
      <c r="P816" s="81">
        <f>O816/60*(1+запас_труд)*стоимость_трудочаса</f>
        <v>6266.6666666666661</v>
      </c>
      <c r="Q816" s="129">
        <f>M816*(1+наценка_покупное)+P816</f>
        <v>35219.623466666664</v>
      </c>
    </row>
    <row r="817" spans="4:17" hidden="1" outlineLevel="3" x14ac:dyDescent="0.25">
      <c r="E817" s="74" t="s">
        <v>131</v>
      </c>
      <c r="F817" s="74"/>
      <c r="G817" s="74"/>
      <c r="H817" s="75"/>
      <c r="I817" s="76"/>
      <c r="J817" s="78">
        <f>HYPERLINK("#Структура!E1307",Структура!E1307)</f>
        <v>30.159330000000001</v>
      </c>
      <c r="K817" s="114" t="str">
        <f>HYPERLINK("#Структура!G1307","")</f>
        <v/>
      </c>
      <c r="L817" s="120">
        <f>HYPERLINK("#Покупные_изделия!D306",Покупные_изделия!D306)</f>
        <v>160</v>
      </c>
      <c r="M817" s="76">
        <f>J817*L817</f>
        <v>4825.4928</v>
      </c>
      <c r="N817" s="77"/>
      <c r="O817" s="77"/>
      <c r="P817" s="76"/>
      <c r="Q817" s="76"/>
    </row>
    <row r="818" spans="4:17" hidden="1" outlineLevel="2" collapsed="1" x14ac:dyDescent="0.25">
      <c r="D818" s="84" t="s">
        <v>1037</v>
      </c>
      <c r="E818" s="79"/>
      <c r="F818" s="79"/>
      <c r="G818" s="79"/>
      <c r="H818" s="80"/>
      <c r="I818" s="81"/>
      <c r="J818" s="83">
        <f>HYPERLINK("#Структура!E1281",Структура!E1281)</f>
        <v>2</v>
      </c>
      <c r="K818" s="115">
        <f>HYPERLINK("#Структура!G1281",Структура!G1281)</f>
        <v>6.8238799999999999</v>
      </c>
      <c r="L818" s="81">
        <f>M818/J818</f>
        <v>1633.1344000000001</v>
      </c>
      <c r="M818" s="81">
        <f>SUMIF(E819,"*",M819)*J818</f>
        <v>3266.2688000000003</v>
      </c>
      <c r="N818" s="124">
        <f>HYPERLINK("#Трудозатраты!B352",Трудозатраты!B352+SUMIF(E819,"*",O819))</f>
        <v>40.5</v>
      </c>
      <c r="O818" s="82">
        <f>N818*J818</f>
        <v>81</v>
      </c>
      <c r="P818" s="81">
        <f>O818/60*(1+запас_труд)*стоимость_трудочаса</f>
        <v>3172.5</v>
      </c>
      <c r="Q818" s="129">
        <f>M818*(1+наценка_покупное)+P818</f>
        <v>7092.0225600000003</v>
      </c>
    </row>
    <row r="819" spans="4:17" hidden="1" outlineLevel="3" x14ac:dyDescent="0.25">
      <c r="E819" s="74" t="s">
        <v>128</v>
      </c>
      <c r="F819" s="74"/>
      <c r="G819" s="74"/>
      <c r="H819" s="75"/>
      <c r="I819" s="76"/>
      <c r="J819" s="78">
        <f>HYPERLINK("#Структура!E1308",Структура!E1308)</f>
        <v>10.207090000000001</v>
      </c>
      <c r="K819" s="114" t="str">
        <f>HYPERLINK("#Структура!G1308","")</f>
        <v/>
      </c>
      <c r="L819" s="120">
        <f>HYPERLINK("#Покупные_изделия!D303",Покупные_изделия!D303)</f>
        <v>160</v>
      </c>
      <c r="M819" s="76">
        <f>J819*L819</f>
        <v>1633.1344000000001</v>
      </c>
      <c r="N819" s="77"/>
      <c r="O819" s="77"/>
      <c r="P819" s="76"/>
      <c r="Q819" s="76"/>
    </row>
    <row r="820" spans="4:17" hidden="1" outlineLevel="2" collapsed="1" x14ac:dyDescent="0.25">
      <c r="D820" s="84" t="s">
        <v>1038</v>
      </c>
      <c r="E820" s="79"/>
      <c r="F820" s="79"/>
      <c r="G820" s="79"/>
      <c r="H820" s="80"/>
      <c r="I820" s="81"/>
      <c r="J820" s="83">
        <f>HYPERLINK("#Структура!E1282",Структура!E1282)</f>
        <v>2</v>
      </c>
      <c r="K820" s="115">
        <f>HYPERLINK("#Структура!G1282",Структура!G1282)</f>
        <v>6.8238799999999999</v>
      </c>
      <c r="L820" s="81">
        <f>M820/J820</f>
        <v>1633.1344000000001</v>
      </c>
      <c r="M820" s="81">
        <f>SUMIF(E821,"*",M821)*J820</f>
        <v>3266.2688000000003</v>
      </c>
      <c r="N820" s="124">
        <f>HYPERLINK("#Трудозатраты!B353",Трудозатраты!B353+SUMIF(E821,"*",O821))</f>
        <v>40.5</v>
      </c>
      <c r="O820" s="82">
        <f>N820*J820</f>
        <v>81</v>
      </c>
      <c r="P820" s="81">
        <f>O820/60*(1+запас_труд)*стоимость_трудочаса</f>
        <v>3172.5</v>
      </c>
      <c r="Q820" s="129">
        <f>M820*(1+наценка_покупное)+P820</f>
        <v>7092.0225600000003</v>
      </c>
    </row>
    <row r="821" spans="4:17" hidden="1" outlineLevel="3" x14ac:dyDescent="0.25">
      <c r="E821" s="74" t="s">
        <v>128</v>
      </c>
      <c r="F821" s="74"/>
      <c r="G821" s="74"/>
      <c r="H821" s="75"/>
      <c r="I821" s="76"/>
      <c r="J821" s="78">
        <f>HYPERLINK("#Структура!E1309",Структура!E1309)</f>
        <v>10.207090000000001</v>
      </c>
      <c r="K821" s="114" t="str">
        <f>HYPERLINK("#Структура!G1309","")</f>
        <v/>
      </c>
      <c r="L821" s="120">
        <f>HYPERLINK("#Покупные_изделия!D303",Покупные_изделия!D303)</f>
        <v>160</v>
      </c>
      <c r="M821" s="76">
        <f>J821*L821</f>
        <v>1633.1344000000001</v>
      </c>
      <c r="N821" s="77"/>
      <c r="O821" s="77"/>
      <c r="P821" s="76"/>
      <c r="Q821" s="76"/>
    </row>
    <row r="822" spans="4:17" hidden="1" outlineLevel="2" collapsed="1" x14ac:dyDescent="0.25">
      <c r="D822" s="84" t="s">
        <v>1039</v>
      </c>
      <c r="E822" s="79"/>
      <c r="F822" s="79"/>
      <c r="G822" s="79"/>
      <c r="H822" s="80"/>
      <c r="I822" s="81"/>
      <c r="J822" s="83">
        <f>HYPERLINK("#Структура!E1283",Структура!E1283)</f>
        <v>1</v>
      </c>
      <c r="K822" s="115">
        <f>HYPERLINK("#Структура!G1283",Структура!G1283)</f>
        <v>18.373249999999999</v>
      </c>
      <c r="L822" s="81">
        <f>M822/J822</f>
        <v>3570.4592000000002</v>
      </c>
      <c r="M822" s="81">
        <f>SUMIF(E823,"*",M823)*J822</f>
        <v>3570.4592000000002</v>
      </c>
      <c r="N822" s="124">
        <f>HYPERLINK("#Трудозатраты!B354",Трудозатраты!B354+SUMIF(E823,"*",O823))</f>
        <v>100</v>
      </c>
      <c r="O822" s="82">
        <f>N822*J822</f>
        <v>100</v>
      </c>
      <c r="P822" s="81">
        <f>O822/60*(1+запас_труд)*стоимость_трудочаса</f>
        <v>3916.666666666667</v>
      </c>
      <c r="Q822" s="129">
        <f>M822*(1+наценка_покупное)+P822</f>
        <v>8201.2177066666663</v>
      </c>
    </row>
    <row r="823" spans="4:17" hidden="1" outlineLevel="3" x14ac:dyDescent="0.25">
      <c r="E823" s="74" t="s">
        <v>128</v>
      </c>
      <c r="F823" s="74"/>
      <c r="G823" s="74"/>
      <c r="H823" s="75"/>
      <c r="I823" s="76"/>
      <c r="J823" s="78">
        <f>HYPERLINK("#Структура!E1310",Структура!E1310)</f>
        <v>22.315370000000001</v>
      </c>
      <c r="K823" s="114" t="str">
        <f>HYPERLINK("#Структура!G1310","")</f>
        <v/>
      </c>
      <c r="L823" s="120">
        <f>HYPERLINK("#Покупные_изделия!D303",Покупные_изделия!D303)</f>
        <v>160</v>
      </c>
      <c r="M823" s="76">
        <f>J823*L823</f>
        <v>3570.4592000000002</v>
      </c>
      <c r="N823" s="77"/>
      <c r="O823" s="77"/>
      <c r="P823" s="76"/>
      <c r="Q823" s="76"/>
    </row>
    <row r="824" spans="4:17" hidden="1" outlineLevel="2" collapsed="1" x14ac:dyDescent="0.25">
      <c r="D824" s="84" t="s">
        <v>1040</v>
      </c>
      <c r="E824" s="79"/>
      <c r="F824" s="79"/>
      <c r="G824" s="79"/>
      <c r="H824" s="80"/>
      <c r="I824" s="81"/>
      <c r="J824" s="83">
        <f>HYPERLINK("#Структура!E1284",Структура!E1284)</f>
        <v>1</v>
      </c>
      <c r="K824" s="115">
        <f>HYPERLINK("#Структура!G1284",Структура!G1284)</f>
        <v>18.371729999999999</v>
      </c>
      <c r="L824" s="81">
        <f>M824/J824</f>
        <v>3570.4592000000002</v>
      </c>
      <c r="M824" s="81">
        <f>SUMIF(E825,"*",M825)*J824</f>
        <v>3570.4592000000002</v>
      </c>
      <c r="N824" s="124">
        <f>HYPERLINK("#Трудозатраты!B355",Трудозатраты!B355+SUMIF(E825,"*",O825))</f>
        <v>100</v>
      </c>
      <c r="O824" s="82">
        <f>N824*J824</f>
        <v>100</v>
      </c>
      <c r="P824" s="81">
        <f>O824/60*(1+запас_труд)*стоимость_трудочаса</f>
        <v>3916.666666666667</v>
      </c>
      <c r="Q824" s="129">
        <f>M824*(1+наценка_покупное)+P824</f>
        <v>8201.2177066666663</v>
      </c>
    </row>
    <row r="825" spans="4:17" hidden="1" outlineLevel="3" x14ac:dyDescent="0.25">
      <c r="E825" s="74" t="s">
        <v>128</v>
      </c>
      <c r="F825" s="74"/>
      <c r="G825" s="74"/>
      <c r="H825" s="75"/>
      <c r="I825" s="76"/>
      <c r="J825" s="78">
        <f>HYPERLINK("#Структура!E1311",Структура!E1311)</f>
        <v>22.315370000000001</v>
      </c>
      <c r="K825" s="114" t="str">
        <f>HYPERLINK("#Структура!G1311","")</f>
        <v/>
      </c>
      <c r="L825" s="120">
        <f>HYPERLINK("#Покупные_изделия!D303",Покупные_изделия!D303)</f>
        <v>160</v>
      </c>
      <c r="M825" s="76">
        <f t="shared" ref="M825:M834" si="36">J825*L825</f>
        <v>3570.4592000000002</v>
      </c>
      <c r="N825" s="77"/>
      <c r="O825" s="77"/>
      <c r="P825" s="76"/>
      <c r="Q825" s="76"/>
    </row>
    <row r="826" spans="4:17" hidden="1" outlineLevel="2" x14ac:dyDescent="0.25">
      <c r="D826" s="74" t="s">
        <v>998</v>
      </c>
      <c r="E826" s="74"/>
      <c r="F826" s="74"/>
      <c r="G826" s="74"/>
      <c r="H826" s="75"/>
      <c r="I826" s="76"/>
      <c r="J826" s="78">
        <f>HYPERLINK("#Структура!E1285",Структура!E1285)</f>
        <v>8</v>
      </c>
      <c r="K826" s="114">
        <f>HYPERLINK("#Структура!G1285",Структура!G1285)</f>
        <v>1.4599999999999999E-3</v>
      </c>
      <c r="L826" s="120">
        <f>HYPERLINK("#Покупные_изделия!D149",Покупные_изделия!D149)</f>
        <v>1.032</v>
      </c>
      <c r="M826" s="76">
        <f t="shared" si="36"/>
        <v>8.2560000000000002</v>
      </c>
      <c r="N826" s="77"/>
      <c r="O826" s="77"/>
      <c r="P826" s="76"/>
      <c r="Q826" s="76"/>
    </row>
    <row r="827" spans="4:17" hidden="1" outlineLevel="2" x14ac:dyDescent="0.25">
      <c r="D827" s="74" t="s">
        <v>999</v>
      </c>
      <c r="E827" s="74"/>
      <c r="F827" s="74"/>
      <c r="G827" s="74"/>
      <c r="H827" s="75"/>
      <c r="I827" s="76"/>
      <c r="J827" s="78">
        <f>HYPERLINK("#Структура!E1286",Структура!E1286)</f>
        <v>4</v>
      </c>
      <c r="K827" s="114">
        <f>HYPERLINK("#Структура!G1286",Структура!G1286)</f>
        <v>7.3000000000000001E-3</v>
      </c>
      <c r="L827" s="120">
        <f>HYPERLINK("#Покупные_изделия!D83",Покупные_изделия!D83)</f>
        <v>9.4919999999999991</v>
      </c>
      <c r="M827" s="76">
        <f t="shared" si="36"/>
        <v>37.967999999999996</v>
      </c>
      <c r="N827" s="77"/>
      <c r="O827" s="77"/>
      <c r="P827" s="76"/>
      <c r="Q827" s="76"/>
    </row>
    <row r="828" spans="4:17" hidden="1" outlineLevel="2" x14ac:dyDescent="0.25">
      <c r="D828" s="74" t="s">
        <v>622</v>
      </c>
      <c r="E828" s="74"/>
      <c r="F828" s="74"/>
      <c r="G828" s="74"/>
      <c r="H828" s="75"/>
      <c r="I828" s="76"/>
      <c r="J828" s="78">
        <f>HYPERLINK("#Структура!E1287",Структура!E1287)</f>
        <v>2280</v>
      </c>
      <c r="K828" s="114">
        <f>HYPERLINK("#Структура!G1287",Структура!G1287)</f>
        <v>1.52E-2</v>
      </c>
      <c r="L828" s="120">
        <f>HYPERLINK("#Покупные_изделия!D85",Покупные_изделия!D85)</f>
        <v>8.6999999999999993</v>
      </c>
      <c r="M828" s="76">
        <f t="shared" si="36"/>
        <v>19836</v>
      </c>
      <c r="N828" s="77"/>
      <c r="O828" s="77"/>
      <c r="P828" s="76"/>
      <c r="Q828" s="76"/>
    </row>
    <row r="829" spans="4:17" hidden="1" outlineLevel="2" x14ac:dyDescent="0.25">
      <c r="D829" s="74" t="s">
        <v>1000</v>
      </c>
      <c r="E829" s="74"/>
      <c r="F829" s="74"/>
      <c r="G829" s="74"/>
      <c r="H829" s="75"/>
      <c r="I829" s="76"/>
      <c r="J829" s="78">
        <f>HYPERLINK("#Структура!E1288",Структура!E1288)</f>
        <v>2</v>
      </c>
      <c r="K829" s="114">
        <f>HYPERLINK("#Структура!G1288",Структура!G1288)</f>
        <v>1.99E-3</v>
      </c>
      <c r="L829" s="120">
        <f>HYPERLINK("#Покупные_изделия!D118",Покупные_изделия!D118)</f>
        <v>0.83160000000000012</v>
      </c>
      <c r="M829" s="76">
        <f t="shared" si="36"/>
        <v>1.6632000000000002</v>
      </c>
      <c r="N829" s="77"/>
      <c r="O829" s="77"/>
      <c r="P829" s="76"/>
      <c r="Q829" s="76"/>
    </row>
    <row r="830" spans="4:17" hidden="1" outlineLevel="2" x14ac:dyDescent="0.25">
      <c r="D830" s="74" t="s">
        <v>1001</v>
      </c>
      <c r="E830" s="74"/>
      <c r="F830" s="74"/>
      <c r="G830" s="74"/>
      <c r="H830" s="75"/>
      <c r="I830" s="76"/>
      <c r="J830" s="78">
        <f>HYPERLINK("#Структура!E1289",Структура!E1289)</f>
        <v>395</v>
      </c>
      <c r="K830" s="114">
        <f>HYPERLINK("#Структура!G1289",Структура!G1289)</f>
        <v>9.5300000000000003E-3</v>
      </c>
      <c r="L830" s="120">
        <f>HYPERLINK("#Покупные_изделия!D124",Покупные_изделия!D124)</f>
        <v>8.6999999999999993</v>
      </c>
      <c r="M830" s="76">
        <f t="shared" si="36"/>
        <v>3436.4999999999995</v>
      </c>
      <c r="N830" s="77"/>
      <c r="O830" s="77"/>
      <c r="P830" s="76"/>
      <c r="Q830" s="76"/>
    </row>
    <row r="831" spans="4:17" hidden="1" outlineLevel="2" x14ac:dyDescent="0.25">
      <c r="D831" s="74" t="s">
        <v>1002</v>
      </c>
      <c r="E831" s="74"/>
      <c r="F831" s="74"/>
      <c r="G831" s="74"/>
      <c r="H831" s="75"/>
      <c r="I831" s="76"/>
      <c r="J831" s="78">
        <f>HYPERLINK("#Структура!E1290",Структура!E1290)</f>
        <v>2</v>
      </c>
      <c r="K831" s="114">
        <f>HYPERLINK("#Структура!G1290",Структура!G1290)</f>
        <v>8.0000000000000004E-4</v>
      </c>
      <c r="L831" s="120">
        <f>HYPERLINK("#Покупные_изделия!D186",Покупные_изделия!D186)</f>
        <v>0.51480000000000004</v>
      </c>
      <c r="M831" s="76">
        <f t="shared" si="36"/>
        <v>1.0296000000000001</v>
      </c>
      <c r="N831" s="77"/>
      <c r="O831" s="77"/>
      <c r="P831" s="76"/>
      <c r="Q831" s="76"/>
    </row>
    <row r="832" spans="4:17" hidden="1" outlineLevel="2" x14ac:dyDescent="0.25">
      <c r="D832" s="74" t="s">
        <v>871</v>
      </c>
      <c r="E832" s="74"/>
      <c r="F832" s="74"/>
      <c r="G832" s="74"/>
      <c r="H832" s="75"/>
      <c r="I832" s="76"/>
      <c r="J832" s="78">
        <f>HYPERLINK("#Структура!E1291",Структура!E1291)</f>
        <v>4</v>
      </c>
      <c r="K832" s="114">
        <f>HYPERLINK("#Структура!G1291",Структура!G1291)</f>
        <v>3.3E-3</v>
      </c>
      <c r="L832" s="120">
        <f>HYPERLINK("#Покупные_изделия!D167",Покупные_изделия!D167)</f>
        <v>2.0654400000000002</v>
      </c>
      <c r="M832" s="76">
        <f t="shared" si="36"/>
        <v>8.2617600000000007</v>
      </c>
      <c r="N832" s="77"/>
      <c r="O832" s="77"/>
      <c r="P832" s="76"/>
      <c r="Q832" s="76"/>
    </row>
    <row r="833" spans="3:17" hidden="1" outlineLevel="2" x14ac:dyDescent="0.25">
      <c r="D833" s="74" t="s">
        <v>625</v>
      </c>
      <c r="E833" s="74"/>
      <c r="F833" s="74"/>
      <c r="G833" s="74"/>
      <c r="H833" s="75"/>
      <c r="I833" s="76"/>
      <c r="J833" s="78">
        <f>HYPERLINK("#Структура!E1292",Структура!E1292)</f>
        <v>2675</v>
      </c>
      <c r="K833" s="114">
        <f>HYPERLINK("#Структура!G1292",Структура!G1292)</f>
        <v>7.1399999999999996E-3</v>
      </c>
      <c r="L833" s="120">
        <f>HYPERLINK("#Покупные_изделия!D168",Покупные_изделия!D168)</f>
        <v>1.9715672368421051</v>
      </c>
      <c r="M833" s="76">
        <f t="shared" si="36"/>
        <v>5273.942358552631</v>
      </c>
      <c r="N833" s="77"/>
      <c r="O833" s="77"/>
      <c r="P833" s="76"/>
      <c r="Q833" s="76"/>
    </row>
    <row r="834" spans="3:17" hidden="1" outlineLevel="2" x14ac:dyDescent="0.25">
      <c r="D834" s="74" t="s">
        <v>1003</v>
      </c>
      <c r="E834" s="74"/>
      <c r="F834" s="74"/>
      <c r="G834" s="74"/>
      <c r="H834" s="75"/>
      <c r="I834" s="76"/>
      <c r="J834" s="78">
        <f>HYPERLINK("#Структура!E1293",Структура!E1293)</f>
        <v>2</v>
      </c>
      <c r="K834" s="114">
        <f>HYPERLINK("#Структура!G1293",Структура!G1293)</f>
        <v>1.2999999999999999E-4</v>
      </c>
      <c r="L834" s="120">
        <f>HYPERLINK("#Покупные_изделия!D528",Покупные_изделия!D528)</f>
        <v>1.1000000000000001</v>
      </c>
      <c r="M834" s="76">
        <f t="shared" si="36"/>
        <v>2.2000000000000002</v>
      </c>
      <c r="N834" s="77"/>
      <c r="O834" s="77"/>
      <c r="P834" s="76"/>
      <c r="Q834" s="76"/>
    </row>
    <row r="835" spans="3:17" hidden="1" outlineLevel="2" collapsed="1" x14ac:dyDescent="0.25">
      <c r="D835" s="96" t="s">
        <v>637</v>
      </c>
      <c r="E835" s="91"/>
      <c r="F835" s="91"/>
      <c r="G835" s="91"/>
      <c r="H835" s="92"/>
      <c r="I835" s="93"/>
      <c r="J835" s="95">
        <f>HYPERLINK("#Структура!E1294",Структура!E1294)</f>
        <v>1</v>
      </c>
      <c r="K835" s="117">
        <f t="array" ref="K835">SUMPRODUCT(IF(ISTEXT(E836:E839),1,0),J836:J839,K836:K839)</f>
        <v>830.28239999999994</v>
      </c>
      <c r="L835" s="93">
        <f>M835/J835</f>
        <v>277526.28000000003</v>
      </c>
      <c r="M835" s="93">
        <f>SUMIF(E836:E839,"*",M836:M839)*J835</f>
        <v>277526.28000000003</v>
      </c>
      <c r="N835" s="125">
        <f>HYPERLINK("#Трудозатраты!B16",Трудозатраты!B16+SUMIF(E836:E839,"*",O836:O839))</f>
        <v>9800</v>
      </c>
      <c r="O835" s="94">
        <f>N835*J835</f>
        <v>9800</v>
      </c>
      <c r="P835" s="93">
        <f>O835/60*(1+запас_труд)*стоимость_трудочаса</f>
        <v>383833.33333333337</v>
      </c>
      <c r="Q835" s="130">
        <f>M835*(1+наценка_покупное)+P835</f>
        <v>716864.86933333334</v>
      </c>
    </row>
    <row r="836" spans="3:17" hidden="1" outlineLevel="3" collapsed="1" x14ac:dyDescent="0.25">
      <c r="E836" s="85" t="s">
        <v>630</v>
      </c>
      <c r="F836" s="86"/>
      <c r="G836" s="86"/>
      <c r="H836" s="87"/>
      <c r="I836" s="88"/>
      <c r="J836" s="90">
        <f>HYPERLINK("#Структура!E55",Структура!E55)</f>
        <v>48</v>
      </c>
      <c r="K836" s="113">
        <f>HYPERLINK("#Структура!G55",Структура!G55)</f>
        <v>8.64696</v>
      </c>
      <c r="L836" s="88">
        <f>M836/J836</f>
        <v>3157.4550000000004</v>
      </c>
      <c r="M836" s="88">
        <f>SUMIF(F837,"*",M837)*J836</f>
        <v>151557.84000000003</v>
      </c>
      <c r="N836" s="123">
        <f>HYPERLINK("#Трудозатраты!B299",Трудозатраты!B299+SUMIF(F837,"*",O837))</f>
        <v>109</v>
      </c>
      <c r="O836" s="89">
        <f>N836*J836</f>
        <v>5232</v>
      </c>
      <c r="P836" s="88">
        <f>O836/60*(1+запас_труд)*стоимость_трудочаса</f>
        <v>204920</v>
      </c>
      <c r="Q836" s="128">
        <f>M836*(1+наценка_покупное)+P836</f>
        <v>386789.40800000005</v>
      </c>
    </row>
    <row r="837" spans="3:17" hidden="1" outlineLevel="4" x14ac:dyDescent="0.25">
      <c r="F837" s="74" t="s">
        <v>45</v>
      </c>
      <c r="G837" s="74"/>
      <c r="H837" s="75"/>
      <c r="I837" s="76"/>
      <c r="J837" s="78">
        <f>HYPERLINK("#Структура!E1184",Структура!E1184)</f>
        <v>10.524850000000001</v>
      </c>
      <c r="K837" s="114" t="str">
        <f>HYPERLINK("#Структура!G1184","")</f>
        <v/>
      </c>
      <c r="L837" s="120">
        <f>HYPERLINK("#Покупные_изделия!D64",Покупные_изделия!D64)</f>
        <v>300</v>
      </c>
      <c r="M837" s="76">
        <f>J837*L837</f>
        <v>3157.4550000000004</v>
      </c>
      <c r="N837" s="77"/>
      <c r="O837" s="77"/>
      <c r="P837" s="76"/>
      <c r="Q837" s="76"/>
    </row>
    <row r="838" spans="3:17" hidden="1" outlineLevel="3" collapsed="1" x14ac:dyDescent="0.25">
      <c r="E838" s="84" t="s">
        <v>632</v>
      </c>
      <c r="F838" s="79"/>
      <c r="G838" s="79"/>
      <c r="H838" s="80"/>
      <c r="I838" s="81"/>
      <c r="J838" s="83">
        <f>HYPERLINK("#Структура!E56",Структура!E56)</f>
        <v>48</v>
      </c>
      <c r="K838" s="115">
        <f>HYPERLINK("#Структура!G56",Структура!G56)</f>
        <v>8.6505899999999993</v>
      </c>
      <c r="L838" s="81">
        <f>M838/J838</f>
        <v>2624.3425000000002</v>
      </c>
      <c r="M838" s="81">
        <f>SUMIF(F839,"*",M839)*J838</f>
        <v>125968.44</v>
      </c>
      <c r="N838" s="124">
        <f>HYPERLINK("#Трудозатраты!B348",Трудозатраты!B348+SUMIF(F839,"*",O839))</f>
        <v>95</v>
      </c>
      <c r="O838" s="82">
        <f>N838*J838</f>
        <v>4560</v>
      </c>
      <c r="P838" s="81">
        <f>O838/60*(1+запас_труд)*стоимость_трудочаса</f>
        <v>178600</v>
      </c>
      <c r="Q838" s="129">
        <f>M838*(1+наценка_покупное)+P838</f>
        <v>329762.12800000003</v>
      </c>
    </row>
    <row r="839" spans="3:17" hidden="1" outlineLevel="4" x14ac:dyDescent="0.25">
      <c r="F839" s="74" t="s">
        <v>126</v>
      </c>
      <c r="G839" s="74"/>
      <c r="H839" s="75"/>
      <c r="I839" s="76"/>
      <c r="J839" s="78">
        <f>HYPERLINK("#Структура!E1304",Структура!E1304)</f>
        <v>10.49737</v>
      </c>
      <c r="K839" s="114" t="str">
        <f>HYPERLINK("#Структура!G1304","")</f>
        <v/>
      </c>
      <c r="L839" s="120">
        <f>HYPERLINK("#Покупные_изделия!D301",Покупные_изделия!D301)</f>
        <v>250</v>
      </c>
      <c r="M839" s="76">
        <f>J839*L839</f>
        <v>2624.3425000000002</v>
      </c>
      <c r="N839" s="77"/>
      <c r="O839" s="77"/>
      <c r="P839" s="76"/>
      <c r="Q839" s="76"/>
    </row>
    <row r="840" spans="3:17" hidden="1" outlineLevel="1" collapsed="1" x14ac:dyDescent="0.25">
      <c r="C840" s="96" t="s">
        <v>1042</v>
      </c>
      <c r="D840" s="91"/>
      <c r="E840" s="91"/>
      <c r="F840" s="91"/>
      <c r="G840" s="91"/>
      <c r="H840" s="92"/>
      <c r="I840" s="93"/>
      <c r="J840" s="95">
        <f>HYPERLINK("#Структура!E3249",Структура!E3249)</f>
        <v>1</v>
      </c>
      <c r="K840" s="116">
        <f>HYPERLINK("#Структура!G3249",Структура!G3249)</f>
        <v>1766.3793700000001</v>
      </c>
      <c r="L840" s="93">
        <f>M840/J840</f>
        <v>496763.8262332211</v>
      </c>
      <c r="M840" s="93">
        <f>SUMIF(D841:D970,"*",M841:M970)*J840</f>
        <v>496763.8262332211</v>
      </c>
      <c r="N840" s="125">
        <f>HYPERLINK("#Трудозатраты!B358",Трудозатраты!B358+SUMIF(D841:D970,"*",O841:O970))</f>
        <v>14639.2</v>
      </c>
      <c r="O840" s="94">
        <f>N840*J840</f>
        <v>14639.2</v>
      </c>
      <c r="P840" s="93">
        <f>O840/60*(1+запас_труд)*стоимость_трудочаса</f>
        <v>573368.66666666674</v>
      </c>
      <c r="Q840" s="130">
        <f>M840*(1+наценка_покупное)+P840</f>
        <v>1169485.2581465319</v>
      </c>
    </row>
    <row r="841" spans="3:17" hidden="1" outlineLevel="2" collapsed="1" x14ac:dyDescent="0.25">
      <c r="D841" s="97" t="s">
        <v>969</v>
      </c>
      <c r="E841" s="98"/>
      <c r="F841" s="98"/>
      <c r="G841" s="98"/>
      <c r="H841" s="99"/>
      <c r="I841" s="100"/>
      <c r="J841" s="102">
        <f>HYPERLINK("#Структура!E1334",Структура!E1334)</f>
        <v>2</v>
      </c>
      <c r="K841" s="112">
        <f>HYPERLINK("#Структура!G1334",Структура!G1334)</f>
        <v>0.96531999999999996</v>
      </c>
      <c r="L841" s="100">
        <f>M841/J841</f>
        <v>245.79839999999999</v>
      </c>
      <c r="M841" s="100">
        <f>SUMIF(E842:E848,"*",M842:M848)*J841</f>
        <v>491.59679999999997</v>
      </c>
      <c r="N841" s="122">
        <f>HYPERLINK("#Трудозатраты!B332",Трудозатраты!B332+SUMIF(E842:E848,"*",O842:O848))</f>
        <v>39</v>
      </c>
      <c r="O841" s="101">
        <f>N841*J841</f>
        <v>78</v>
      </c>
      <c r="P841" s="100">
        <f>O841/60*(1+запас_труд)*стоимость_трудочаса</f>
        <v>3055</v>
      </c>
      <c r="Q841" s="127">
        <f>M841*(1+наценка_покупное)+P841</f>
        <v>3644.9161599999998</v>
      </c>
    </row>
    <row r="842" spans="3:17" hidden="1" outlineLevel="3" collapsed="1" x14ac:dyDescent="0.25">
      <c r="E842" s="85" t="s">
        <v>1018</v>
      </c>
      <c r="F842" s="86"/>
      <c r="G842" s="86"/>
      <c r="H842" s="87"/>
      <c r="I842" s="88"/>
      <c r="J842" s="90">
        <f>HYPERLINK("#Структура!E1244",Структура!E1244)</f>
        <v>3</v>
      </c>
      <c r="K842" s="113">
        <f>HYPERLINK("#Структура!G1244",Структура!G1244)</f>
        <v>5.8900000000000003E-3</v>
      </c>
      <c r="L842" s="88">
        <f>M842/J842</f>
        <v>1.1504000000000001</v>
      </c>
      <c r="M842" s="88">
        <f>SUMIF(F843,"*",M843)*J842</f>
        <v>3.4512</v>
      </c>
      <c r="N842" s="123">
        <f>HYPERLINK("#Трудозатраты!B333",Трудозатраты!B333+SUMIF(F843,"*",O843))</f>
        <v>3.5</v>
      </c>
      <c r="O842" s="89">
        <f>N842*J842</f>
        <v>10.5</v>
      </c>
      <c r="P842" s="88">
        <f>O842/60*(1+запас_труд)*стоимость_трудочаса</f>
        <v>411.25</v>
      </c>
      <c r="Q842" s="128">
        <f>M842*(1+наценка_покупное)+P842</f>
        <v>415.39143999999999</v>
      </c>
    </row>
    <row r="843" spans="3:17" hidden="1" outlineLevel="4" x14ac:dyDescent="0.25">
      <c r="F843" s="74" t="s">
        <v>124</v>
      </c>
      <c r="G843" s="74"/>
      <c r="H843" s="75"/>
      <c r="I843" s="76"/>
      <c r="J843" s="78">
        <f>HYPERLINK("#Структура!E1248",Структура!E1248)</f>
        <v>7.1900000000000002E-3</v>
      </c>
      <c r="K843" s="114" t="str">
        <f>HYPERLINK("#Структура!G1248","")</f>
        <v/>
      </c>
      <c r="L843" s="120">
        <f>HYPERLINK("#Покупные_изделия!D299",Покупные_изделия!D299)</f>
        <v>160</v>
      </c>
      <c r="M843" s="76">
        <f>J843*L843</f>
        <v>1.1504000000000001</v>
      </c>
      <c r="N843" s="77"/>
      <c r="O843" s="77"/>
      <c r="P843" s="76"/>
      <c r="Q843" s="76"/>
    </row>
    <row r="844" spans="3:17" hidden="1" outlineLevel="3" collapsed="1" x14ac:dyDescent="0.25">
      <c r="E844" s="84" t="s">
        <v>1019</v>
      </c>
      <c r="F844" s="79"/>
      <c r="G844" s="79"/>
      <c r="H844" s="80"/>
      <c r="I844" s="81"/>
      <c r="J844" s="83">
        <f>HYPERLINK("#Структура!E1245",Структура!E1245)</f>
        <v>1</v>
      </c>
      <c r="K844" s="115">
        <f>HYPERLINK("#Структура!G1245",Структура!G1245)</f>
        <v>0.88463999999999998</v>
      </c>
      <c r="L844" s="81">
        <f>M844/J844</f>
        <v>218.84479999999999</v>
      </c>
      <c r="M844" s="81">
        <f>SUMIF(F845,"*",M845)*J844</f>
        <v>218.84479999999999</v>
      </c>
      <c r="N844" s="124">
        <f>HYPERLINK("#Трудозатраты!B334",Трудозатраты!B334+SUMIF(F845,"*",O845))</f>
        <v>16</v>
      </c>
      <c r="O844" s="82">
        <f>N844*J844</f>
        <v>16</v>
      </c>
      <c r="P844" s="81">
        <f>O844/60*(1+запас_труд)*стоимость_трудочаса</f>
        <v>626.66666666666663</v>
      </c>
      <c r="Q844" s="129">
        <f>M844*(1+наценка_покупное)+P844</f>
        <v>889.28042666666659</v>
      </c>
    </row>
    <row r="845" spans="3:17" hidden="1" outlineLevel="4" x14ac:dyDescent="0.25">
      <c r="F845" s="74" t="s">
        <v>124</v>
      </c>
      <c r="G845" s="74"/>
      <c r="H845" s="75"/>
      <c r="I845" s="76"/>
      <c r="J845" s="78">
        <f>HYPERLINK("#Структура!E1249",Структура!E1249)</f>
        <v>1.36778</v>
      </c>
      <c r="K845" s="114" t="str">
        <f>HYPERLINK("#Структура!G1249","")</f>
        <v/>
      </c>
      <c r="L845" s="120">
        <f>HYPERLINK("#Покупные_изделия!D299",Покупные_изделия!D299)</f>
        <v>160</v>
      </c>
      <c r="M845" s="76">
        <f>J845*L845</f>
        <v>218.84479999999999</v>
      </c>
      <c r="N845" s="77"/>
      <c r="O845" s="77"/>
      <c r="P845" s="76"/>
      <c r="Q845" s="76"/>
    </row>
    <row r="846" spans="3:17" hidden="1" outlineLevel="3" collapsed="1" x14ac:dyDescent="0.25">
      <c r="E846" s="84" t="s">
        <v>1020</v>
      </c>
      <c r="F846" s="79"/>
      <c r="G846" s="79"/>
      <c r="H846" s="80"/>
      <c r="I846" s="81"/>
      <c r="J846" s="83">
        <f>HYPERLINK("#Структура!E1246",Структура!E1246)</f>
        <v>1</v>
      </c>
      <c r="K846" s="115">
        <f>HYPERLINK("#Структура!G1246",Структура!G1246)</f>
        <v>4.9770000000000002E-2</v>
      </c>
      <c r="L846" s="81">
        <f>M846/J846</f>
        <v>16.278399999999998</v>
      </c>
      <c r="M846" s="81">
        <f>SUMIF(F847,"*",M847)*J846</f>
        <v>16.278399999999998</v>
      </c>
      <c r="N846" s="124">
        <f>HYPERLINK("#Трудозатраты!B335",Трудозатраты!B335+SUMIF(F847,"*",O847))</f>
        <v>2.5</v>
      </c>
      <c r="O846" s="82">
        <f>N846*J846</f>
        <v>2.5</v>
      </c>
      <c r="P846" s="81">
        <f>O846/60*(1+запас_труд)*стоимость_трудочаса</f>
        <v>97.916666666666657</v>
      </c>
      <c r="Q846" s="129">
        <f>M846*(1+наценка_покупное)+P846</f>
        <v>117.45074666666665</v>
      </c>
    </row>
    <row r="847" spans="3:17" hidden="1" outlineLevel="4" x14ac:dyDescent="0.25">
      <c r="F847" s="74" t="s">
        <v>124</v>
      </c>
      <c r="G847" s="74"/>
      <c r="H847" s="75"/>
      <c r="I847" s="76"/>
      <c r="J847" s="78">
        <f>HYPERLINK("#Структура!E1250",Структура!E1250)</f>
        <v>0.10174</v>
      </c>
      <c r="K847" s="114" t="str">
        <f>HYPERLINK("#Структура!G1250","")</f>
        <v/>
      </c>
      <c r="L847" s="120">
        <f>HYPERLINK("#Покупные_изделия!D299",Покупные_изделия!D299)</f>
        <v>160</v>
      </c>
      <c r="M847" s="76">
        <f>J847*L847</f>
        <v>16.278399999999998</v>
      </c>
      <c r="N847" s="77"/>
      <c r="O847" s="77"/>
      <c r="P847" s="76"/>
      <c r="Q847" s="76"/>
    </row>
    <row r="848" spans="3:17" hidden="1" outlineLevel="3" x14ac:dyDescent="0.25">
      <c r="E848" s="74" t="s">
        <v>998</v>
      </c>
      <c r="F848" s="74"/>
      <c r="G848" s="74"/>
      <c r="H848" s="75"/>
      <c r="I848" s="76"/>
      <c r="J848" s="78">
        <f>HYPERLINK("#Структура!E1247",Структура!E1247)</f>
        <v>7</v>
      </c>
      <c r="K848" s="114">
        <f>HYPERLINK("#Структура!G1247",Структура!G1247)</f>
        <v>1.4599999999999999E-3</v>
      </c>
      <c r="L848" s="120">
        <f>HYPERLINK("#Покупные_изделия!D149",Покупные_изделия!D149)</f>
        <v>1.032</v>
      </c>
      <c r="M848" s="76">
        <f>J848*L848</f>
        <v>7.2240000000000002</v>
      </c>
      <c r="N848" s="77"/>
      <c r="O848" s="77"/>
      <c r="P848" s="76"/>
      <c r="Q848" s="76"/>
    </row>
    <row r="849" spans="4:17" hidden="1" outlineLevel="2" collapsed="1" x14ac:dyDescent="0.25">
      <c r="D849" s="96" t="s">
        <v>970</v>
      </c>
      <c r="E849" s="91"/>
      <c r="F849" s="91"/>
      <c r="G849" s="91"/>
      <c r="H849" s="92"/>
      <c r="I849" s="93"/>
      <c r="J849" s="95">
        <f>HYPERLINK("#Структура!E1335",Структура!E1335)</f>
        <v>2</v>
      </c>
      <c r="K849" s="116">
        <f>HYPERLINK("#Структура!G1335",Структура!G1335)</f>
        <v>1.3881399999999999</v>
      </c>
      <c r="L849" s="93">
        <f>M849/J849</f>
        <v>360.23040000000003</v>
      </c>
      <c r="M849" s="93">
        <f>SUMIF(E850:E853,"*",M850:M853)*J849</f>
        <v>720.46080000000006</v>
      </c>
      <c r="N849" s="125">
        <f>HYPERLINK("#Трудозатраты!B336",Трудозатраты!B336+SUMIF(E850:E853,"*",O850:O853))</f>
        <v>18.5</v>
      </c>
      <c r="O849" s="94">
        <f>N849*J849</f>
        <v>37</v>
      </c>
      <c r="P849" s="93">
        <f>O849/60*(1+запас_труд)*стоимость_трудочаса</f>
        <v>1449.1666666666667</v>
      </c>
      <c r="Q849" s="130">
        <f>M849*(1+наценка_покупное)+P849</f>
        <v>2313.719626666667</v>
      </c>
    </row>
    <row r="850" spans="4:17" hidden="1" outlineLevel="3" collapsed="1" x14ac:dyDescent="0.25">
      <c r="E850" s="85" t="s">
        <v>1021</v>
      </c>
      <c r="F850" s="86"/>
      <c r="G850" s="86"/>
      <c r="H850" s="87"/>
      <c r="I850" s="88"/>
      <c r="J850" s="90">
        <f>HYPERLINK("#Структура!E1251",Структура!E1251)</f>
        <v>1</v>
      </c>
      <c r="K850" s="113">
        <f>HYPERLINK("#Структура!G1251",Структура!G1251)</f>
        <v>1.37768</v>
      </c>
      <c r="L850" s="88">
        <f>M850/J850</f>
        <v>266.00639999999999</v>
      </c>
      <c r="M850" s="88">
        <f>SUMIF(F851,"*",M851)*J850</f>
        <v>266.00639999999999</v>
      </c>
      <c r="N850" s="123">
        <f>HYPERLINK("#Трудозатраты!B337",Трудозатраты!B337+SUMIF(F851,"*",O851))</f>
        <v>12.5</v>
      </c>
      <c r="O850" s="89">
        <f>N850*J850</f>
        <v>12.5</v>
      </c>
      <c r="P850" s="88">
        <f>O850/60*(1+запас_труд)*стоимость_трудочаса</f>
        <v>489.58333333333337</v>
      </c>
      <c r="Q850" s="128">
        <f>M850*(1+наценка_покупное)+P850</f>
        <v>808.79101333333335</v>
      </c>
    </row>
    <row r="851" spans="4:17" hidden="1" outlineLevel="4" x14ac:dyDescent="0.25">
      <c r="F851" s="74" t="s">
        <v>131</v>
      </c>
      <c r="G851" s="74"/>
      <c r="H851" s="75"/>
      <c r="I851" s="76"/>
      <c r="J851" s="78">
        <f>HYPERLINK("#Структура!E1254",Структура!E1254)</f>
        <v>1.6625399999999999</v>
      </c>
      <c r="K851" s="114" t="str">
        <f>HYPERLINK("#Структура!G1254","")</f>
        <v/>
      </c>
      <c r="L851" s="120">
        <f>HYPERLINK("#Покупные_изделия!D306",Покупные_изделия!D306)</f>
        <v>160</v>
      </c>
      <c r="M851" s="76">
        <f>J851*L851</f>
        <v>266.00639999999999</v>
      </c>
      <c r="N851" s="77"/>
      <c r="O851" s="77"/>
      <c r="P851" s="76"/>
      <c r="Q851" s="76"/>
    </row>
    <row r="852" spans="4:17" hidden="1" outlineLevel="3" x14ac:dyDescent="0.25">
      <c r="E852" s="74" t="s">
        <v>1022</v>
      </c>
      <c r="F852" s="74"/>
      <c r="G852" s="74"/>
      <c r="H852" s="75"/>
      <c r="I852" s="76"/>
      <c r="J852" s="78">
        <f>HYPERLINK("#Структура!E1252",Структура!E1252)</f>
        <v>2</v>
      </c>
      <c r="K852" s="114">
        <f>HYPERLINK("#Структура!G1252",Структура!G1252)</f>
        <v>8.9499999999999996E-3</v>
      </c>
      <c r="L852" s="120">
        <f>HYPERLINK("#Покупные_изделия!D84",Покупные_изделия!D84)</f>
        <v>10.68</v>
      </c>
      <c r="M852" s="76">
        <f>J852*L852</f>
        <v>21.36</v>
      </c>
      <c r="N852" s="77"/>
      <c r="O852" s="77"/>
      <c r="P852" s="76"/>
      <c r="Q852" s="76"/>
    </row>
    <row r="853" spans="4:17" hidden="1" outlineLevel="3" x14ac:dyDescent="0.25">
      <c r="E853" s="74" t="s">
        <v>60</v>
      </c>
      <c r="F853" s="74"/>
      <c r="G853" s="74"/>
      <c r="H853" s="75"/>
      <c r="I853" s="76"/>
      <c r="J853" s="78">
        <f>HYPERLINK("#Структура!E1253",Структура!E1253)</f>
        <v>2</v>
      </c>
      <c r="K853" s="114">
        <f>HYPERLINK("#Структура!G1253",Структура!G1253)</f>
        <v>5.2300000000000003E-3</v>
      </c>
      <c r="L853" s="120">
        <f>HYPERLINK("#Покупные_изделия!D173",Покупные_изделия!D173)</f>
        <v>36.432000000000002</v>
      </c>
      <c r="M853" s="76">
        <f>J853*L853</f>
        <v>72.864000000000004</v>
      </c>
      <c r="N853" s="77"/>
      <c r="O853" s="77"/>
      <c r="P853" s="76"/>
      <c r="Q853" s="76"/>
    </row>
    <row r="854" spans="4:17" hidden="1" outlineLevel="2" collapsed="1" x14ac:dyDescent="0.25">
      <c r="D854" s="96" t="s">
        <v>1043</v>
      </c>
      <c r="E854" s="91"/>
      <c r="F854" s="91"/>
      <c r="G854" s="91"/>
      <c r="H854" s="92"/>
      <c r="I854" s="93"/>
      <c r="J854" s="95">
        <f>HYPERLINK("#Структура!E1336",Структура!E1336)</f>
        <v>1</v>
      </c>
      <c r="K854" s="116">
        <f>HYPERLINK("#Структура!G1336",Структура!G1336)</f>
        <v>50.519739999999999</v>
      </c>
      <c r="L854" s="93">
        <f>M854/J854</f>
        <v>24618.474983347365</v>
      </c>
      <c r="M854" s="93">
        <f>SUMIF(E855:E892,"*",M855:M892)*J854</f>
        <v>24618.474983347365</v>
      </c>
      <c r="N854" s="125">
        <f>HYPERLINK("#Трудозатраты!B366",Трудозатраты!B366+SUMIF(E855:E892,"*",O855:O892))</f>
        <v>482.40000000000003</v>
      </c>
      <c r="O854" s="94">
        <f>N854*J854</f>
        <v>482.40000000000003</v>
      </c>
      <c r="P854" s="93">
        <f>O854/60*(1+запас_труд)*стоимость_трудочаса</f>
        <v>18894.000000000004</v>
      </c>
      <c r="Q854" s="130">
        <f>M854*(1+наценка_покупное)+P854</f>
        <v>48436.169980016843</v>
      </c>
    </row>
    <row r="855" spans="4:17" hidden="1" outlineLevel="3" collapsed="1" x14ac:dyDescent="0.25">
      <c r="E855" s="97" t="s">
        <v>1051</v>
      </c>
      <c r="F855" s="98"/>
      <c r="G855" s="98"/>
      <c r="H855" s="99"/>
      <c r="I855" s="100"/>
      <c r="J855" s="102">
        <f>HYPERLINK("#Структура!E1390",Структура!E1390)</f>
        <v>2</v>
      </c>
      <c r="K855" s="112">
        <f>HYPERLINK("#Структура!G1390",Структура!G1390)</f>
        <v>10.63491</v>
      </c>
      <c r="L855" s="100">
        <f>M855/J855</f>
        <v>2093.5367572</v>
      </c>
      <c r="M855" s="100">
        <f>SUMIF(F856:F867,"*",M856:M867)*J855</f>
        <v>4187.0735144</v>
      </c>
      <c r="N855" s="122">
        <f>HYPERLINK("#Трудозатраты!B368",Трудозатраты!B368+SUMIF(F856:F867,"*",O856:O867))</f>
        <v>67.2</v>
      </c>
      <c r="O855" s="101">
        <f>N855*J855</f>
        <v>134.4</v>
      </c>
      <c r="P855" s="100">
        <f>O855/60*(1+запас_труд)*стоимость_трудочаса</f>
        <v>5264.0000000000009</v>
      </c>
      <c r="Q855" s="127">
        <f>M855*(1+наценка_покупное)+P855</f>
        <v>10288.488217280001</v>
      </c>
    </row>
    <row r="856" spans="4:17" hidden="1" outlineLevel="4" collapsed="1" x14ac:dyDescent="0.25">
      <c r="F856" s="85" t="s">
        <v>1014</v>
      </c>
      <c r="G856" s="86"/>
      <c r="H856" s="87"/>
      <c r="I856" s="88"/>
      <c r="J856" s="90">
        <f>HYPERLINK("#Структура!E1412",Структура!E1412)</f>
        <v>1</v>
      </c>
      <c r="K856" s="113">
        <f>HYPERLINK("#Структура!G1412",Структура!G1412)</f>
        <v>7.9399999999999991E-3</v>
      </c>
      <c r="L856" s="88">
        <f>M856/J856</f>
        <v>2.0900000000000003</v>
      </c>
      <c r="M856" s="88">
        <f>SUMIF(G857,"*",M857)*J856</f>
        <v>2.0900000000000003</v>
      </c>
      <c r="N856" s="123">
        <f>HYPERLINK("#Трудозатраты!B330",Трудозатраты!B330+SUMIF(G857,"*",O857))</f>
        <v>3.5</v>
      </c>
      <c r="O856" s="89">
        <f>N856*J856</f>
        <v>3.5</v>
      </c>
      <c r="P856" s="88">
        <f>O856/60*(1+запас_труд)*стоимость_трудочаса</f>
        <v>137.08333333333334</v>
      </c>
      <c r="Q856" s="128">
        <f>M856*(1+наценка_покупное)+P856</f>
        <v>139.59133333333335</v>
      </c>
    </row>
    <row r="857" spans="4:17" hidden="1" outlineLevel="5" x14ac:dyDescent="0.25">
      <c r="G857" s="74" t="s">
        <v>142</v>
      </c>
      <c r="H857" s="75"/>
      <c r="I857" s="76"/>
      <c r="J857" s="78">
        <f>HYPERLINK("#Структура!E1238",Структура!E1238)</f>
        <v>9.4999999999999998E-3</v>
      </c>
      <c r="K857" s="114" t="str">
        <f>HYPERLINK("#Структура!G1238","")</f>
        <v/>
      </c>
      <c r="L857" s="120">
        <f>HYPERLINK("#Покупные_изделия!D382",Покупные_изделия!D382)</f>
        <v>220.00000000000003</v>
      </c>
      <c r="M857" s="76">
        <f>J857*L857</f>
        <v>2.0900000000000003</v>
      </c>
      <c r="N857" s="77"/>
      <c r="O857" s="77"/>
      <c r="P857" s="76"/>
      <c r="Q857" s="76"/>
    </row>
    <row r="858" spans="4:17" hidden="1" outlineLevel="4" collapsed="1" x14ac:dyDescent="0.25">
      <c r="F858" s="84" t="s">
        <v>1015</v>
      </c>
      <c r="G858" s="79"/>
      <c r="H858" s="80"/>
      <c r="I858" s="81"/>
      <c r="J858" s="83">
        <f>HYPERLINK("#Структура!E1413",Структура!E1413)</f>
        <v>1</v>
      </c>
      <c r="K858" s="115">
        <f>HYPERLINK("#Структура!G1413",Структура!G1413)</f>
        <v>0.16846</v>
      </c>
      <c r="L858" s="81">
        <f>M858/J858</f>
        <v>52.303597199999999</v>
      </c>
      <c r="M858" s="81">
        <f>SUMIF(G859:G863,"*",M859:M863)*J858</f>
        <v>52.303597199999999</v>
      </c>
      <c r="N858" s="124">
        <f>HYPERLINK("#Трудозатраты!B331",Трудозатраты!B331+SUMIF(G859:G863,"*",O859:O863))</f>
        <v>23.7</v>
      </c>
      <c r="O858" s="82">
        <f>N858*J858</f>
        <v>23.7</v>
      </c>
      <c r="P858" s="81">
        <f>O858/60*(1+запас_труд)*стоимость_трудочаса</f>
        <v>928.24999999999989</v>
      </c>
      <c r="Q858" s="129">
        <f>M858*(1+наценка_покупное)+P858</f>
        <v>991.01431663999983</v>
      </c>
    </row>
    <row r="859" spans="4:17" hidden="1" outlineLevel="5" x14ac:dyDescent="0.25">
      <c r="G859" s="74" t="s">
        <v>44</v>
      </c>
      <c r="H859" s="75"/>
      <c r="I859" s="76"/>
      <c r="J859" s="78">
        <f>HYPERLINK("#Структура!E1239",Структура!E1239)</f>
        <v>4.0000000000000001E-3</v>
      </c>
      <c r="K859" s="114" t="str">
        <f>HYPERLINK("#Структура!G1239","")</f>
        <v/>
      </c>
      <c r="L859" s="120">
        <f>HYPERLINK("#Покупные_изделия!D63",Покупные_изделия!D63)</f>
        <v>396.00000000000006</v>
      </c>
      <c r="M859" s="76">
        <f>J859*L859</f>
        <v>1.5840000000000003</v>
      </c>
      <c r="N859" s="77"/>
      <c r="O859" s="77"/>
      <c r="P859" s="76"/>
      <c r="Q859" s="76"/>
    </row>
    <row r="860" spans="4:17" hidden="1" outlineLevel="5" x14ac:dyDescent="0.25">
      <c r="G860" s="74" t="s">
        <v>120</v>
      </c>
      <c r="H860" s="75"/>
      <c r="I860" s="76"/>
      <c r="J860" s="78">
        <f>HYPERLINK("#Структура!E1240",Структура!E1240)</f>
        <v>0.40836</v>
      </c>
      <c r="K860" s="114" t="str">
        <f>HYPERLINK("#Структура!G1240","")</f>
        <v/>
      </c>
      <c r="L860" s="120">
        <f>HYPERLINK("#Покупные_изделия!D295",Покупные_изделия!D295)</f>
        <v>120</v>
      </c>
      <c r="M860" s="76">
        <f>J860*L860</f>
        <v>49.0032</v>
      </c>
      <c r="N860" s="77"/>
      <c r="O860" s="77"/>
      <c r="P860" s="76"/>
      <c r="Q860" s="76"/>
    </row>
    <row r="861" spans="4:17" hidden="1" outlineLevel="5" x14ac:dyDescent="0.25">
      <c r="G861" s="74" t="s">
        <v>139</v>
      </c>
      <c r="H861" s="75"/>
      <c r="I861" s="76"/>
      <c r="J861" s="78">
        <f>HYPERLINK("#Структура!E1241",Структура!E1241)</f>
        <v>1E-3</v>
      </c>
      <c r="K861" s="114" t="str">
        <f>HYPERLINK("#Структура!G1241","")</f>
        <v/>
      </c>
      <c r="L861" s="120">
        <f>HYPERLINK("#Покупные_изделия!D360",Покупные_изделия!D360)</f>
        <v>171.87720000000002</v>
      </c>
      <c r="M861" s="76">
        <f>J861*L861</f>
        <v>0.17187720000000001</v>
      </c>
      <c r="N861" s="77"/>
      <c r="O861" s="77"/>
      <c r="P861" s="76"/>
      <c r="Q861" s="76"/>
    </row>
    <row r="862" spans="4:17" hidden="1" outlineLevel="5" x14ac:dyDescent="0.25">
      <c r="G862" s="74" t="s">
        <v>156</v>
      </c>
      <c r="H862" s="75"/>
      <c r="I862" s="76"/>
      <c r="J862" s="78">
        <f>HYPERLINK("#Структура!E1242",Структура!E1242)</f>
        <v>1E-3</v>
      </c>
      <c r="K862" s="114" t="str">
        <f>HYPERLINK("#Структура!G1242","")</f>
        <v/>
      </c>
      <c r="L862" s="120">
        <f>HYPERLINK("#Покупные_изделия!D427",Покупные_изделия!D427)</f>
        <v>155.53200000000001</v>
      </c>
      <c r="M862" s="76">
        <f>J862*L862</f>
        <v>0.155532</v>
      </c>
      <c r="N862" s="77"/>
      <c r="O862" s="77"/>
      <c r="P862" s="76"/>
      <c r="Q862" s="76"/>
    </row>
    <row r="863" spans="4:17" hidden="1" outlineLevel="5" x14ac:dyDescent="0.25">
      <c r="G863" s="74" t="s">
        <v>202</v>
      </c>
      <c r="H863" s="75"/>
      <c r="I863" s="76"/>
      <c r="J863" s="78">
        <f>HYPERLINK("#Структура!E1243",Структура!E1243)</f>
        <v>3.0000000000000001E-3</v>
      </c>
      <c r="K863" s="114" t="str">
        <f>HYPERLINK("#Структура!G1243","")</f>
        <v/>
      </c>
      <c r="L863" s="120">
        <f>HYPERLINK("#Покупные_изделия!D521",Покупные_изделия!D521)</f>
        <v>462.99599999999998</v>
      </c>
      <c r="M863" s="76">
        <f>J863*L863</f>
        <v>1.3889879999999999</v>
      </c>
      <c r="N863" s="77"/>
      <c r="O863" s="77"/>
      <c r="P863" s="76"/>
      <c r="Q863" s="76"/>
    </row>
    <row r="864" spans="4:17" hidden="1" outlineLevel="4" collapsed="1" x14ac:dyDescent="0.25">
      <c r="F864" s="84" t="s">
        <v>1054</v>
      </c>
      <c r="G864" s="79"/>
      <c r="H864" s="80"/>
      <c r="I864" s="81"/>
      <c r="J864" s="83">
        <f>HYPERLINK("#Структура!E1414",Структура!E1414)</f>
        <v>1</v>
      </c>
      <c r="K864" s="115">
        <f>HYPERLINK("#Структура!G1414",Структура!G1414)</f>
        <v>10.454650000000001</v>
      </c>
      <c r="L864" s="81">
        <f>M864/J864</f>
        <v>2021.6192000000001</v>
      </c>
      <c r="M864" s="81">
        <f>SUMIF(G865,"*",M865)*J864</f>
        <v>2021.6192000000001</v>
      </c>
      <c r="N864" s="124">
        <f>HYPERLINK("#Трудозатраты!B369",Трудозатраты!B369+SUMIF(G865,"*",O865))</f>
        <v>32</v>
      </c>
      <c r="O864" s="82">
        <f>N864*J864</f>
        <v>32</v>
      </c>
      <c r="P864" s="81">
        <f>O864/60*(1+запас_труд)*стоимость_трудочаса</f>
        <v>1253.3333333333333</v>
      </c>
      <c r="Q864" s="129">
        <f>M864*(1+наценка_покупное)+P864</f>
        <v>3679.2763733333331</v>
      </c>
    </row>
    <row r="865" spans="5:17" hidden="1" outlineLevel="5" x14ac:dyDescent="0.25">
      <c r="G865" s="74" t="s">
        <v>130</v>
      </c>
      <c r="H865" s="75"/>
      <c r="I865" s="76"/>
      <c r="J865" s="78">
        <f>HYPERLINK("#Структура!E1417",Структура!E1417)</f>
        <v>12.635120000000001</v>
      </c>
      <c r="K865" s="114" t="str">
        <f>HYPERLINK("#Структура!G1417","")</f>
        <v/>
      </c>
      <c r="L865" s="120">
        <f>HYPERLINK("#Покупные_изделия!D305",Покупные_изделия!D305)</f>
        <v>160</v>
      </c>
      <c r="M865" s="76">
        <f>J865*L865</f>
        <v>2021.6192000000001</v>
      </c>
      <c r="N865" s="77"/>
      <c r="O865" s="77"/>
      <c r="P865" s="76"/>
      <c r="Q865" s="76"/>
    </row>
    <row r="866" spans="5:17" hidden="1" outlineLevel="4" x14ac:dyDescent="0.25">
      <c r="F866" s="74" t="s">
        <v>1016</v>
      </c>
      <c r="G866" s="74"/>
      <c r="H866" s="75"/>
      <c r="I866" s="76"/>
      <c r="J866" s="78">
        <f>HYPERLINK("#Структура!E1415",Структура!E1415)</f>
        <v>4</v>
      </c>
      <c r="K866" s="114">
        <f>HYPERLINK("#Структура!G1415",Структура!G1415)</f>
        <v>3.9399999999999999E-3</v>
      </c>
      <c r="L866" s="120">
        <f>HYPERLINK("#Покупные_изделия!D81",Покупные_изделия!D81)</f>
        <v>1.9809899999999998</v>
      </c>
      <c r="M866" s="76">
        <f>J866*L866</f>
        <v>7.9239599999999992</v>
      </c>
      <c r="N866" s="77"/>
      <c r="O866" s="77"/>
      <c r="P866" s="76"/>
      <c r="Q866" s="76"/>
    </row>
    <row r="867" spans="5:17" hidden="1" outlineLevel="4" x14ac:dyDescent="0.25">
      <c r="F867" s="74" t="s">
        <v>1017</v>
      </c>
      <c r="G867" s="74"/>
      <c r="H867" s="75"/>
      <c r="I867" s="76"/>
      <c r="J867" s="78">
        <f>HYPERLINK("#Структура!E1416",Структура!E1416)</f>
        <v>4</v>
      </c>
      <c r="K867" s="114">
        <f>HYPERLINK("#Структура!G1416",Структура!G1416)</f>
        <v>1.8E-3</v>
      </c>
      <c r="L867" s="120">
        <f>HYPERLINK("#Покупные_изделия!D166",Покупные_изделия!D166)</f>
        <v>2.4</v>
      </c>
      <c r="M867" s="76">
        <f>J867*L867</f>
        <v>9.6</v>
      </c>
      <c r="N867" s="77"/>
      <c r="O867" s="77"/>
      <c r="P867" s="76"/>
      <c r="Q867" s="76"/>
    </row>
    <row r="868" spans="5:17" hidden="1" outlineLevel="3" collapsed="1" x14ac:dyDescent="0.25">
      <c r="E868" s="84" t="s">
        <v>1006</v>
      </c>
      <c r="F868" s="79"/>
      <c r="G868" s="79"/>
      <c r="H868" s="80"/>
      <c r="I868" s="81"/>
      <c r="J868" s="83">
        <f>HYPERLINK("#Структура!E1391",Структура!E1391)</f>
        <v>12</v>
      </c>
      <c r="K868" s="115">
        <f>HYPERLINK("#Структура!G1391",Структура!G1391)</f>
        <v>3.4200000000000001E-2</v>
      </c>
      <c r="L868" s="81">
        <f>M868/J868</f>
        <v>6.9328000000000003</v>
      </c>
      <c r="M868" s="81">
        <f>SUMIF(F869,"*",M869)*J868</f>
        <v>83.193600000000004</v>
      </c>
      <c r="N868" s="124">
        <f>HYPERLINK("#Трудозатраты!B324",Трудозатраты!B324+SUMIF(F869,"*",O869))</f>
        <v>9</v>
      </c>
      <c r="O868" s="82">
        <f>N868*J868</f>
        <v>108</v>
      </c>
      <c r="P868" s="81">
        <f>O868/60*(1+запас_труд)*стоимость_трудочаса</f>
        <v>4230</v>
      </c>
      <c r="Q868" s="129">
        <f>M868*(1+наценка_покупное)+P868</f>
        <v>4329.8323200000004</v>
      </c>
    </row>
    <row r="869" spans="5:17" hidden="1" outlineLevel="4" x14ac:dyDescent="0.25">
      <c r="F869" s="74" t="s">
        <v>130</v>
      </c>
      <c r="G869" s="74"/>
      <c r="H869" s="75"/>
      <c r="I869" s="76"/>
      <c r="J869" s="78">
        <f>HYPERLINK("#Структура!E1228",Структура!E1228)</f>
        <v>4.333E-2</v>
      </c>
      <c r="K869" s="114" t="str">
        <f>HYPERLINK("#Структура!G1228","")</f>
        <v/>
      </c>
      <c r="L869" s="120">
        <f>HYPERLINK("#Покупные_изделия!D305",Покупные_изделия!D305)</f>
        <v>160</v>
      </c>
      <c r="M869" s="76">
        <f>J869*L869</f>
        <v>6.9328000000000003</v>
      </c>
      <c r="N869" s="77"/>
      <c r="O869" s="77"/>
      <c r="P869" s="76"/>
      <c r="Q869" s="76"/>
    </row>
    <row r="870" spans="5:17" hidden="1" outlineLevel="3" collapsed="1" x14ac:dyDescent="0.25">
      <c r="E870" s="84" t="s">
        <v>1007</v>
      </c>
      <c r="F870" s="79"/>
      <c r="G870" s="79"/>
      <c r="H870" s="80"/>
      <c r="I870" s="81"/>
      <c r="J870" s="83">
        <f>HYPERLINK("#Структура!E1392",Структура!E1392)</f>
        <v>1</v>
      </c>
      <c r="K870" s="115">
        <f>HYPERLINK("#Структура!G1392",Структура!G1392)</f>
        <v>1.09711</v>
      </c>
      <c r="L870" s="81">
        <f>M870/J870</f>
        <v>201.12639999999999</v>
      </c>
      <c r="M870" s="81">
        <f>SUMIF(F871,"*",M871)*J870</f>
        <v>201.12639999999999</v>
      </c>
      <c r="N870" s="124">
        <f>HYPERLINK("#Трудозатраты!B325",Трудозатраты!B325+SUMIF(F871,"*",O871))</f>
        <v>12.3</v>
      </c>
      <c r="O870" s="82">
        <f>N870*J870</f>
        <v>12.3</v>
      </c>
      <c r="P870" s="81">
        <f>O870/60*(1+запас_труд)*стоимость_трудочаса</f>
        <v>481.75000000000006</v>
      </c>
      <c r="Q870" s="129">
        <f>M870*(1+наценка_покупное)+P870</f>
        <v>723.10167999999999</v>
      </c>
    </row>
    <row r="871" spans="5:17" hidden="1" outlineLevel="4" x14ac:dyDescent="0.25">
      <c r="F871" s="74" t="s">
        <v>130</v>
      </c>
      <c r="G871" s="74"/>
      <c r="H871" s="75"/>
      <c r="I871" s="76"/>
      <c r="J871" s="78">
        <f>HYPERLINK("#Структура!E1229",Структура!E1229)</f>
        <v>1.2570399999999999</v>
      </c>
      <c r="K871" s="114" t="str">
        <f>HYPERLINK("#Структура!G1229","")</f>
        <v/>
      </c>
      <c r="L871" s="120">
        <f>HYPERLINK("#Покупные_изделия!D305",Покупные_изделия!D305)</f>
        <v>160</v>
      </c>
      <c r="M871" s="76">
        <f>J871*L871</f>
        <v>201.12639999999999</v>
      </c>
      <c r="N871" s="77"/>
      <c r="O871" s="77"/>
      <c r="P871" s="76"/>
      <c r="Q871" s="76"/>
    </row>
    <row r="872" spans="5:17" hidden="1" outlineLevel="3" collapsed="1" x14ac:dyDescent="0.25">
      <c r="E872" s="84" t="s">
        <v>1012</v>
      </c>
      <c r="F872" s="79"/>
      <c r="G872" s="79"/>
      <c r="H872" s="80"/>
      <c r="I872" s="81"/>
      <c r="J872" s="83">
        <f>HYPERLINK("#Структура!E1393",Структура!E1393)</f>
        <v>2</v>
      </c>
      <c r="K872" s="115">
        <f>HYPERLINK("#Структура!G1393",Структура!G1393)</f>
        <v>4.487E-2</v>
      </c>
      <c r="L872" s="81">
        <f>M872/J872</f>
        <v>9.7663999999999991</v>
      </c>
      <c r="M872" s="81">
        <f>SUMIF(F873,"*",M873)*J872</f>
        <v>19.532799999999998</v>
      </c>
      <c r="N872" s="124">
        <f>HYPERLINK("#Трудозатраты!B326",Трудозатраты!B326+SUMIF(F873,"*",O873))</f>
        <v>3.0999999999999996</v>
      </c>
      <c r="O872" s="82">
        <f>N872*J872</f>
        <v>6.1999999999999993</v>
      </c>
      <c r="P872" s="81">
        <f>O872/60*(1+запас_труд)*стоимость_трудочаса</f>
        <v>242.83333333333329</v>
      </c>
      <c r="Q872" s="129">
        <f>M872*(1+наценка_покупное)+P872</f>
        <v>266.27269333333328</v>
      </c>
    </row>
    <row r="873" spans="5:17" hidden="1" outlineLevel="4" x14ac:dyDescent="0.25">
      <c r="F873" s="74" t="s">
        <v>130</v>
      </c>
      <c r="G873" s="74"/>
      <c r="H873" s="75"/>
      <c r="I873" s="76"/>
      <c r="J873" s="78">
        <f>HYPERLINK("#Структура!E1230",Структура!E1230)</f>
        <v>6.1039999999999997E-2</v>
      </c>
      <c r="K873" s="114" t="str">
        <f>HYPERLINK("#Структура!G1230","")</f>
        <v/>
      </c>
      <c r="L873" s="120">
        <f>HYPERLINK("#Покупные_изделия!D305",Покупные_изделия!D305)</f>
        <v>160</v>
      </c>
      <c r="M873" s="76">
        <f>J873*L873</f>
        <v>9.7663999999999991</v>
      </c>
      <c r="N873" s="77"/>
      <c r="O873" s="77"/>
      <c r="P873" s="76"/>
      <c r="Q873" s="76"/>
    </row>
    <row r="874" spans="5:17" hidden="1" outlineLevel="3" collapsed="1" x14ac:dyDescent="0.25">
      <c r="E874" s="84" t="s">
        <v>1008</v>
      </c>
      <c r="F874" s="79"/>
      <c r="G874" s="79"/>
      <c r="H874" s="80"/>
      <c r="I874" s="81"/>
      <c r="J874" s="83">
        <f>HYPERLINK("#Структура!E1394",Структура!E1394)</f>
        <v>4</v>
      </c>
      <c r="K874" s="115">
        <f>HYPERLINK("#Структура!G1394",Структура!G1394)</f>
        <v>9.776E-2</v>
      </c>
      <c r="L874" s="81">
        <f>M874/J874</f>
        <v>18.990400000000001</v>
      </c>
      <c r="M874" s="81">
        <f>SUMIF(F875,"*",M875)*J874</f>
        <v>75.961600000000004</v>
      </c>
      <c r="N874" s="124">
        <f>HYPERLINK("#Трудозатраты!B327",Трудозатраты!B327+SUMIF(F875,"*",O875))</f>
        <v>4.5</v>
      </c>
      <c r="O874" s="82">
        <f>N874*J874</f>
        <v>18</v>
      </c>
      <c r="P874" s="81">
        <f>O874/60*(1+запас_труд)*стоимость_трудочаса</f>
        <v>705</v>
      </c>
      <c r="Q874" s="129">
        <f>M874*(1+наценка_покупное)+P874</f>
        <v>796.15391999999997</v>
      </c>
    </row>
    <row r="875" spans="5:17" hidden="1" outlineLevel="4" x14ac:dyDescent="0.25">
      <c r="F875" s="74" t="s">
        <v>131</v>
      </c>
      <c r="G875" s="74"/>
      <c r="H875" s="75"/>
      <c r="I875" s="76"/>
      <c r="J875" s="78">
        <f>HYPERLINK("#Структура!E1231",Структура!E1231)</f>
        <v>0.11869</v>
      </c>
      <c r="K875" s="114" t="str">
        <f>HYPERLINK("#Структура!G1231","")</f>
        <v/>
      </c>
      <c r="L875" s="120">
        <f>HYPERLINK("#Покупные_изделия!D306",Покупные_изделия!D306)</f>
        <v>160</v>
      </c>
      <c r="M875" s="76">
        <f>J875*L875</f>
        <v>18.990400000000001</v>
      </c>
      <c r="N875" s="77"/>
      <c r="O875" s="77"/>
      <c r="P875" s="76"/>
      <c r="Q875" s="76"/>
    </row>
    <row r="876" spans="5:17" hidden="1" outlineLevel="3" collapsed="1" x14ac:dyDescent="0.25">
      <c r="E876" s="84" t="s">
        <v>1052</v>
      </c>
      <c r="F876" s="79"/>
      <c r="G876" s="79"/>
      <c r="H876" s="80"/>
      <c r="I876" s="81"/>
      <c r="J876" s="83">
        <f>HYPERLINK("#Структура!E1395",Структура!E1395)</f>
        <v>1</v>
      </c>
      <c r="K876" s="115">
        <f>HYPERLINK("#Структура!G1395",Структура!G1395)</f>
        <v>24.192409999999999</v>
      </c>
      <c r="L876" s="81">
        <f>M876/J876</f>
        <v>7799.8207999999995</v>
      </c>
      <c r="M876" s="81">
        <f>SUMIF(F877,"*",M877)*J876</f>
        <v>7799.8207999999995</v>
      </c>
      <c r="N876" s="124">
        <f>HYPERLINK("#Трудозатраты!B367",Трудозатраты!B367+SUMIF(F877,"*",O877))</f>
        <v>78.5</v>
      </c>
      <c r="O876" s="82">
        <f>N876*J876</f>
        <v>78.5</v>
      </c>
      <c r="P876" s="81">
        <f>O876/60*(1+запас_труд)*стоимость_трудочаса</f>
        <v>3074.5833333333335</v>
      </c>
      <c r="Q876" s="129">
        <f>M876*(1+наценка_покупное)+P876</f>
        <v>12434.368293333333</v>
      </c>
    </row>
    <row r="877" spans="5:17" hidden="1" outlineLevel="4" x14ac:dyDescent="0.25">
      <c r="F877" s="74" t="s">
        <v>130</v>
      </c>
      <c r="G877" s="74"/>
      <c r="H877" s="75"/>
      <c r="I877" s="76"/>
      <c r="J877" s="78">
        <f>HYPERLINK("#Структура!E1411",Структура!E1411)</f>
        <v>48.74888</v>
      </c>
      <c r="K877" s="114" t="str">
        <f>HYPERLINK("#Структура!G1411","")</f>
        <v/>
      </c>
      <c r="L877" s="120">
        <f>HYPERLINK("#Покупные_изделия!D305",Покупные_изделия!D305)</f>
        <v>160</v>
      </c>
      <c r="M877" s="76">
        <f t="shared" ref="M877:M892" si="37">J877*L877</f>
        <v>7799.8207999999995</v>
      </c>
      <c r="N877" s="77"/>
      <c r="O877" s="77"/>
      <c r="P877" s="76"/>
      <c r="Q877" s="76"/>
    </row>
    <row r="878" spans="5:17" hidden="1" outlineLevel="3" x14ac:dyDescent="0.25">
      <c r="E878" s="74" t="s">
        <v>1009</v>
      </c>
      <c r="F878" s="74"/>
      <c r="G878" s="74"/>
      <c r="H878" s="75"/>
      <c r="I878" s="76"/>
      <c r="J878" s="78">
        <f>HYPERLINK("#Структура!E1396",Структура!E1396)</f>
        <v>4</v>
      </c>
      <c r="K878" s="114">
        <f>HYPERLINK("#Структура!G1396",Структура!G1396)</f>
        <v>6.4999999999999997E-3</v>
      </c>
      <c r="L878" s="120">
        <f>HYPERLINK("#Покупные_изделия!D82",Покупные_изделия!D82)</f>
        <v>12.06</v>
      </c>
      <c r="M878" s="76">
        <f t="shared" si="37"/>
        <v>48.24</v>
      </c>
      <c r="N878" s="77"/>
      <c r="O878" s="77"/>
      <c r="P878" s="76"/>
      <c r="Q878" s="76"/>
    </row>
    <row r="879" spans="5:17" hidden="1" outlineLevel="3" x14ac:dyDescent="0.25">
      <c r="E879" s="74" t="s">
        <v>999</v>
      </c>
      <c r="F879" s="74"/>
      <c r="G879" s="74"/>
      <c r="H879" s="75"/>
      <c r="I879" s="76"/>
      <c r="J879" s="78">
        <f>HYPERLINK("#Структура!E1397",Структура!E1397)</f>
        <v>16</v>
      </c>
      <c r="K879" s="114">
        <f>HYPERLINK("#Структура!G1397",Структура!G1397)</f>
        <v>7.3000000000000001E-3</v>
      </c>
      <c r="L879" s="120">
        <f>HYPERLINK("#Покупные_изделия!D83",Покупные_изделия!D83)</f>
        <v>9.4919999999999991</v>
      </c>
      <c r="M879" s="76">
        <f t="shared" si="37"/>
        <v>151.87199999999999</v>
      </c>
      <c r="N879" s="77"/>
      <c r="O879" s="77"/>
      <c r="P879" s="76"/>
      <c r="Q879" s="76"/>
    </row>
    <row r="880" spans="5:17" hidden="1" outlineLevel="3" x14ac:dyDescent="0.25">
      <c r="E880" s="74" t="s">
        <v>1010</v>
      </c>
      <c r="F880" s="74"/>
      <c r="G880" s="74"/>
      <c r="H880" s="75"/>
      <c r="I880" s="76"/>
      <c r="J880" s="78">
        <f>HYPERLINK("#Структура!E1398",Структура!E1398)</f>
        <v>32</v>
      </c>
      <c r="K880" s="114">
        <f>HYPERLINK("#Структура!G1398",Структура!G1398)</f>
        <v>1.2199999999999999E-3</v>
      </c>
      <c r="L880" s="120">
        <f>HYPERLINK("#Покупные_изделия!D117",Покупные_изделия!D117)</f>
        <v>4.5599999999999996</v>
      </c>
      <c r="M880" s="76">
        <f t="shared" si="37"/>
        <v>145.91999999999999</v>
      </c>
      <c r="N880" s="77"/>
      <c r="O880" s="77"/>
      <c r="P880" s="76"/>
      <c r="Q880" s="76"/>
    </row>
    <row r="881" spans="4:17" hidden="1" outlineLevel="3" x14ac:dyDescent="0.25">
      <c r="E881" s="74" t="s">
        <v>1053</v>
      </c>
      <c r="F881" s="74"/>
      <c r="G881" s="74"/>
      <c r="H881" s="75"/>
      <c r="I881" s="76"/>
      <c r="J881" s="78">
        <f>HYPERLINK("#Структура!E1399",Структура!E1399)</f>
        <v>4</v>
      </c>
      <c r="K881" s="114">
        <f>HYPERLINK("#Структура!G1399",Структура!G1399)</f>
        <v>1.2800000000000001E-2</v>
      </c>
      <c r="L881" s="120">
        <f>HYPERLINK("#Покупные_изделия!D123",Покупные_изделия!D123)</f>
        <v>9.57</v>
      </c>
      <c r="M881" s="76">
        <f t="shared" si="37"/>
        <v>38.28</v>
      </c>
      <c r="N881" s="77"/>
      <c r="O881" s="77"/>
      <c r="P881" s="76"/>
      <c r="Q881" s="76"/>
    </row>
    <row r="882" spans="4:17" hidden="1" outlineLevel="3" x14ac:dyDescent="0.25">
      <c r="E882" s="74" t="s">
        <v>1002</v>
      </c>
      <c r="F882" s="74"/>
      <c r="G882" s="74"/>
      <c r="H882" s="75"/>
      <c r="I882" s="76"/>
      <c r="J882" s="78">
        <f>HYPERLINK("#Структура!E1400",Структура!E1400)</f>
        <v>32</v>
      </c>
      <c r="K882" s="114">
        <f>HYPERLINK("#Структура!G1400",Структура!G1400)</f>
        <v>8.0000000000000004E-4</v>
      </c>
      <c r="L882" s="120">
        <f>HYPERLINK("#Покупные_изделия!D186",Покупные_изделия!D186)</f>
        <v>0.51480000000000004</v>
      </c>
      <c r="M882" s="76">
        <f t="shared" si="37"/>
        <v>16.473600000000001</v>
      </c>
      <c r="N882" s="77"/>
      <c r="O882" s="77"/>
      <c r="P882" s="76"/>
      <c r="Q882" s="76"/>
    </row>
    <row r="883" spans="4:17" hidden="1" outlineLevel="3" x14ac:dyDescent="0.25">
      <c r="E883" s="74" t="s">
        <v>871</v>
      </c>
      <c r="F883" s="74"/>
      <c r="G883" s="74"/>
      <c r="H883" s="75"/>
      <c r="I883" s="76"/>
      <c r="J883" s="78">
        <f>HYPERLINK("#Структура!E1401",Структура!E1401)</f>
        <v>16</v>
      </c>
      <c r="K883" s="114">
        <f>HYPERLINK("#Структура!G1401",Структура!G1401)</f>
        <v>3.3E-3</v>
      </c>
      <c r="L883" s="120">
        <f>HYPERLINK("#Покупные_изделия!D167",Покупные_изделия!D167)</f>
        <v>2.0654400000000002</v>
      </c>
      <c r="M883" s="76">
        <f t="shared" si="37"/>
        <v>33.047040000000003</v>
      </c>
      <c r="N883" s="77"/>
      <c r="O883" s="77"/>
      <c r="P883" s="76"/>
      <c r="Q883" s="76"/>
    </row>
    <row r="884" spans="4:17" hidden="1" outlineLevel="3" x14ac:dyDescent="0.25">
      <c r="E884" s="74" t="s">
        <v>625</v>
      </c>
      <c r="F884" s="74"/>
      <c r="G884" s="74"/>
      <c r="H884" s="75"/>
      <c r="I884" s="76"/>
      <c r="J884" s="78">
        <f>HYPERLINK("#Структура!E1402",Структура!E1402)</f>
        <v>4</v>
      </c>
      <c r="K884" s="114">
        <f>HYPERLINK("#Структура!G1402",Структура!G1402)</f>
        <v>7.1399999999999996E-3</v>
      </c>
      <c r="L884" s="120">
        <f>HYPERLINK("#Покупные_изделия!D168",Покупные_изделия!D168)</f>
        <v>1.9715672368421051</v>
      </c>
      <c r="M884" s="76">
        <f t="shared" si="37"/>
        <v>7.8862689473684204</v>
      </c>
      <c r="N884" s="77"/>
      <c r="O884" s="77"/>
      <c r="P884" s="76"/>
      <c r="Q884" s="76"/>
    </row>
    <row r="885" spans="4:17" hidden="1" outlineLevel="3" x14ac:dyDescent="0.25">
      <c r="E885" s="74" t="s">
        <v>140</v>
      </c>
      <c r="F885" s="74"/>
      <c r="G885" s="74"/>
      <c r="H885" s="75"/>
      <c r="I885" s="76"/>
      <c r="J885" s="78">
        <f>HYPERLINK("#Структура!E1403",Структура!E1403)</f>
        <v>8</v>
      </c>
      <c r="K885" s="114">
        <f>HYPERLINK("#Структура!G1403",Структура!G1403)</f>
        <v>1.6900000000000001E-3</v>
      </c>
      <c r="L885" s="120">
        <f>HYPERLINK("#Покупные_изделия!D362",Покупные_изделия!D362)</f>
        <v>42.451199999999993</v>
      </c>
      <c r="M885" s="76">
        <f t="shared" si="37"/>
        <v>339.60959999999994</v>
      </c>
      <c r="N885" s="77"/>
      <c r="O885" s="77"/>
      <c r="P885" s="76"/>
      <c r="Q885" s="76"/>
    </row>
    <row r="886" spans="4:17" hidden="1" outlineLevel="3" x14ac:dyDescent="0.25">
      <c r="E886" s="74" t="s">
        <v>1003</v>
      </c>
      <c r="F886" s="74"/>
      <c r="G886" s="74"/>
      <c r="H886" s="75"/>
      <c r="I886" s="76"/>
      <c r="J886" s="78">
        <f>HYPERLINK("#Структура!E1404",Структура!E1404)</f>
        <v>32</v>
      </c>
      <c r="K886" s="114">
        <f>HYPERLINK("#Структура!G1404",Структура!G1404)</f>
        <v>1.2999999999999999E-4</v>
      </c>
      <c r="L886" s="120">
        <f>HYPERLINK("#Покупные_изделия!D528",Покупные_изделия!D528)</f>
        <v>1.1000000000000001</v>
      </c>
      <c r="M886" s="76">
        <f t="shared" si="37"/>
        <v>35.200000000000003</v>
      </c>
      <c r="N886" s="77"/>
      <c r="O886" s="77"/>
      <c r="P886" s="76"/>
      <c r="Q886" s="76"/>
    </row>
    <row r="887" spans="4:17" hidden="1" outlineLevel="3" x14ac:dyDescent="0.25">
      <c r="E887" s="74" t="s">
        <v>1011</v>
      </c>
      <c r="F887" s="74"/>
      <c r="G887" s="74"/>
      <c r="H887" s="75"/>
      <c r="I887" s="76"/>
      <c r="J887" s="78">
        <f>HYPERLINK("#Структура!E1405",Структура!E1405)</f>
        <v>8</v>
      </c>
      <c r="K887" s="114">
        <f>HYPERLINK("#Структура!G1405",Структура!G1405)</f>
        <v>4.2999999999999999E-4</v>
      </c>
      <c r="L887" s="120">
        <f>HYPERLINK("#Покупные_изделия!D545",Покупные_изделия!D545)</f>
        <v>0.82500000000000007</v>
      </c>
      <c r="M887" s="76">
        <f t="shared" si="37"/>
        <v>6.6000000000000005</v>
      </c>
      <c r="N887" s="77"/>
      <c r="O887" s="77"/>
      <c r="P887" s="76"/>
      <c r="Q887" s="76"/>
    </row>
    <row r="888" spans="4:17" hidden="1" outlineLevel="3" x14ac:dyDescent="0.25">
      <c r="E888" s="74" t="s">
        <v>212</v>
      </c>
      <c r="F888" s="74"/>
      <c r="G888" s="74"/>
      <c r="H888" s="75"/>
      <c r="I888" s="76"/>
      <c r="J888" s="78">
        <f>HYPERLINK("#Структура!E1406",Структура!E1406)</f>
        <v>8</v>
      </c>
      <c r="K888" s="114">
        <f>HYPERLINK("#Структура!G1406",Структура!G1406)</f>
        <v>6.9999999999999994E-5</v>
      </c>
      <c r="L888" s="120">
        <f>HYPERLINK("#Покупные_изделия!D562",Покупные_изделия!D562)</f>
        <v>3.48</v>
      </c>
      <c r="M888" s="76">
        <f t="shared" si="37"/>
        <v>27.84</v>
      </c>
      <c r="N888" s="77"/>
      <c r="O888" s="77"/>
      <c r="P888" s="76"/>
      <c r="Q888" s="76"/>
    </row>
    <row r="889" spans="4:17" hidden="1" outlineLevel="3" x14ac:dyDescent="0.25">
      <c r="E889" s="74" t="s">
        <v>14</v>
      </c>
      <c r="F889" s="74"/>
      <c r="G889" s="74"/>
      <c r="H889" s="75"/>
      <c r="I889" s="76"/>
      <c r="J889" s="78">
        <f>HYPERLINK("#Структура!E1407",Структура!E1407)</f>
        <v>2</v>
      </c>
      <c r="K889" s="114">
        <f>HYPERLINK("#Структура!G1407",Структура!G1407)</f>
        <v>0.36993999999999999</v>
      </c>
      <c r="L889" s="120">
        <f>HYPERLINK("#Покупные_изделия!D22",Покупные_изделия!D22)</f>
        <v>790.17840000000001</v>
      </c>
      <c r="M889" s="76">
        <f t="shared" si="37"/>
        <v>1580.3568</v>
      </c>
      <c r="N889" s="77"/>
      <c r="O889" s="77"/>
      <c r="P889" s="76"/>
      <c r="Q889" s="76"/>
    </row>
    <row r="890" spans="4:17" hidden="1" outlineLevel="3" x14ac:dyDescent="0.25">
      <c r="E890" s="74" t="s">
        <v>15</v>
      </c>
      <c r="F890" s="74"/>
      <c r="G890" s="74"/>
      <c r="H890" s="75"/>
      <c r="I890" s="76"/>
      <c r="J890" s="78">
        <f>HYPERLINK("#Структура!E1408",Структура!E1408)</f>
        <v>4</v>
      </c>
      <c r="K890" s="114">
        <f>HYPERLINK("#Структура!G1408",Структура!G1408)</f>
        <v>5.6570000000000002E-2</v>
      </c>
      <c r="L890" s="120">
        <f>HYPERLINK("#Покупные_изделия!D23",Покупные_изделия!D23)</f>
        <v>1807.8324</v>
      </c>
      <c r="M890" s="76">
        <f t="shared" si="37"/>
        <v>7231.3296</v>
      </c>
      <c r="N890" s="77"/>
      <c r="O890" s="77"/>
      <c r="P890" s="76"/>
      <c r="Q890" s="76"/>
    </row>
    <row r="891" spans="4:17" hidden="1" outlineLevel="3" x14ac:dyDescent="0.25">
      <c r="E891" s="74" t="s">
        <v>16</v>
      </c>
      <c r="F891" s="74"/>
      <c r="G891" s="74"/>
      <c r="H891" s="75"/>
      <c r="I891" s="76"/>
      <c r="J891" s="78">
        <f>HYPERLINK("#Структура!E1409",Структура!E1409)</f>
        <v>4</v>
      </c>
      <c r="K891" s="114">
        <f>HYPERLINK("#Структура!G1409",Структура!G1409)</f>
        <v>2.0840000000000001E-2</v>
      </c>
      <c r="L891" s="120">
        <f>HYPERLINK("#Покупные_изделия!D24",Покупные_изделия!D24)</f>
        <v>554.32212000000004</v>
      </c>
      <c r="M891" s="76">
        <f t="shared" si="37"/>
        <v>2217.2884800000002</v>
      </c>
      <c r="N891" s="77"/>
      <c r="O891" s="77"/>
      <c r="P891" s="76"/>
      <c r="Q891" s="76"/>
    </row>
    <row r="892" spans="4:17" hidden="1" outlineLevel="3" x14ac:dyDescent="0.25">
      <c r="E892" s="74" t="s">
        <v>148</v>
      </c>
      <c r="F892" s="74"/>
      <c r="G892" s="74"/>
      <c r="H892" s="75"/>
      <c r="I892" s="76"/>
      <c r="J892" s="78">
        <f>HYPERLINK("#Структура!E1410",Структура!E1410)</f>
        <v>5.72</v>
      </c>
      <c r="K892" s="114" t="str">
        <f>HYPERLINK("#Структура!G1410","")</f>
        <v/>
      </c>
      <c r="L892" s="120">
        <f>HYPERLINK("#Покупные_изделия!D416",Покупные_изделия!D416)</f>
        <v>65.004000000000005</v>
      </c>
      <c r="M892" s="76">
        <f t="shared" si="37"/>
        <v>371.82288</v>
      </c>
      <c r="N892" s="77"/>
      <c r="O892" s="77"/>
      <c r="P892" s="76"/>
      <c r="Q892" s="76"/>
    </row>
    <row r="893" spans="4:17" hidden="1" outlineLevel="2" collapsed="1" x14ac:dyDescent="0.25">
      <c r="D893" s="84" t="s">
        <v>974</v>
      </c>
      <c r="E893" s="79"/>
      <c r="F893" s="79"/>
      <c r="G893" s="79"/>
      <c r="H893" s="80"/>
      <c r="I893" s="81"/>
      <c r="J893" s="83">
        <f>HYPERLINK("#Структура!E1337",Структура!E1337)</f>
        <v>2</v>
      </c>
      <c r="K893" s="115">
        <f>HYPERLINK("#Структура!G1337",Структура!G1337)</f>
        <v>5.0034400000000003</v>
      </c>
      <c r="L893" s="81">
        <f>M893/J893</f>
        <v>987.96960000000001</v>
      </c>
      <c r="M893" s="81">
        <f>SUMIF(E894,"*",M894)*J893</f>
        <v>1975.9392</v>
      </c>
      <c r="N893" s="124">
        <f>HYPERLINK("#Трудозатраты!B294",Трудозатраты!B294+SUMIF(E894,"*",O894))</f>
        <v>6.7</v>
      </c>
      <c r="O893" s="82">
        <f>N893*J893</f>
        <v>13.4</v>
      </c>
      <c r="P893" s="81">
        <f>O893/60*(1+запас_труд)*стоимость_трудочаса</f>
        <v>524.83333333333337</v>
      </c>
      <c r="Q893" s="129">
        <f>M893*(1+наценка_покупное)+P893</f>
        <v>2895.9603733333333</v>
      </c>
    </row>
    <row r="894" spans="4:17" hidden="1" outlineLevel="3" x14ac:dyDescent="0.25">
      <c r="E894" s="74" t="s">
        <v>131</v>
      </c>
      <c r="F894" s="74"/>
      <c r="G894" s="74"/>
      <c r="H894" s="75"/>
      <c r="I894" s="76"/>
      <c r="J894" s="78">
        <f>HYPERLINK("#Структура!E1179",Структура!E1179)</f>
        <v>6.1748099999999999</v>
      </c>
      <c r="K894" s="114" t="str">
        <f>HYPERLINK("#Структура!G1179","")</f>
        <v/>
      </c>
      <c r="L894" s="120">
        <f>HYPERLINK("#Покупные_изделия!D306",Покупные_изделия!D306)</f>
        <v>160</v>
      </c>
      <c r="M894" s="76">
        <f>J894*L894</f>
        <v>987.96960000000001</v>
      </c>
      <c r="N894" s="77"/>
      <c r="O894" s="77"/>
      <c r="P894" s="76"/>
      <c r="Q894" s="76"/>
    </row>
    <row r="895" spans="4:17" hidden="1" outlineLevel="2" collapsed="1" x14ac:dyDescent="0.25">
      <c r="D895" s="84" t="s">
        <v>975</v>
      </c>
      <c r="E895" s="79"/>
      <c r="F895" s="79"/>
      <c r="G895" s="79"/>
      <c r="H895" s="80"/>
      <c r="I895" s="81"/>
      <c r="J895" s="83">
        <f>HYPERLINK("#Структура!E1338",Структура!E1338)</f>
        <v>34</v>
      </c>
      <c r="K895" s="115">
        <f>HYPERLINK("#Структура!G1338",Структура!G1338)</f>
        <v>1.1076900000000001</v>
      </c>
      <c r="L895" s="81">
        <f>M895/J895</f>
        <v>283.26202080000002</v>
      </c>
      <c r="M895" s="81">
        <f>SUMIF(E896,"*",M896)*J895</f>
        <v>9630.9087072000002</v>
      </c>
      <c r="N895" s="124">
        <f>HYPERLINK("#Трудозатраты!B295",Трудозатраты!B295+SUMIF(E896,"*",O896))</f>
        <v>37</v>
      </c>
      <c r="O895" s="82">
        <f>N895*J895</f>
        <v>1258</v>
      </c>
      <c r="P895" s="81">
        <f>O895/60*(1+запас_труд)*стоимость_трудочаса</f>
        <v>49271.666666666664</v>
      </c>
      <c r="Q895" s="129">
        <f>M895*(1+наценка_покупное)+P895</f>
        <v>60828.757115306667</v>
      </c>
    </row>
    <row r="896" spans="4:17" hidden="1" outlineLevel="3" x14ac:dyDescent="0.25">
      <c r="E896" s="74" t="s">
        <v>210</v>
      </c>
      <c r="F896" s="74"/>
      <c r="G896" s="74"/>
      <c r="H896" s="75"/>
      <c r="I896" s="76"/>
      <c r="J896" s="78">
        <f>HYPERLINK("#Структура!E1180",Структура!E1180)</f>
        <v>1.151</v>
      </c>
      <c r="K896" s="114" t="str">
        <f>HYPERLINK("#Структура!G1180","")</f>
        <v/>
      </c>
      <c r="L896" s="120">
        <f>HYPERLINK("#Покупные_изделия!D556",Покупные_изделия!D556)</f>
        <v>246.10079999999999</v>
      </c>
      <c r="M896" s="76">
        <f>J896*L896</f>
        <v>283.26202080000002</v>
      </c>
      <c r="N896" s="77"/>
      <c r="O896" s="77"/>
      <c r="P896" s="76"/>
      <c r="Q896" s="76"/>
    </row>
    <row r="897" spans="4:17" hidden="1" outlineLevel="2" collapsed="1" x14ac:dyDescent="0.25">
      <c r="D897" s="84" t="s">
        <v>979</v>
      </c>
      <c r="E897" s="79"/>
      <c r="F897" s="79"/>
      <c r="G897" s="79"/>
      <c r="H897" s="80"/>
      <c r="I897" s="81"/>
      <c r="J897" s="83">
        <f>HYPERLINK("#Структура!E1339",Структура!E1339)</f>
        <v>11</v>
      </c>
      <c r="K897" s="115">
        <f>HYPERLINK("#Структура!G1339",Структура!G1339)</f>
        <v>2.2768199999999998</v>
      </c>
      <c r="L897" s="81">
        <f>M897/J897</f>
        <v>437.54559999999998</v>
      </c>
      <c r="M897" s="81">
        <f>SUMIF(E898,"*",M898)*J897</f>
        <v>4813.0015999999996</v>
      </c>
      <c r="N897" s="124">
        <f>HYPERLINK("#Трудозатраты!B301",Трудозатраты!B301+SUMIF(E898,"*",O898))</f>
        <v>11.6</v>
      </c>
      <c r="O897" s="82">
        <f>N897*J897</f>
        <v>127.6</v>
      </c>
      <c r="P897" s="81">
        <f>O897/60*(1+запас_труд)*стоимость_трудочаса</f>
        <v>4997.6666666666661</v>
      </c>
      <c r="Q897" s="129">
        <f>M897*(1+наценка_покупное)+P897</f>
        <v>10773.268586666665</v>
      </c>
    </row>
    <row r="898" spans="4:17" hidden="1" outlineLevel="3" x14ac:dyDescent="0.25">
      <c r="E898" s="74" t="s">
        <v>131</v>
      </c>
      <c r="F898" s="74"/>
      <c r="G898" s="74"/>
      <c r="H898" s="75"/>
      <c r="I898" s="76"/>
      <c r="J898" s="78">
        <f>HYPERLINK("#Структура!E1186",Структура!E1186)</f>
        <v>2.7346599999999999</v>
      </c>
      <c r="K898" s="114" t="str">
        <f>HYPERLINK("#Структура!G1186","")</f>
        <v/>
      </c>
      <c r="L898" s="120">
        <f>HYPERLINK("#Покупные_изделия!D306",Покупные_изделия!D306)</f>
        <v>160</v>
      </c>
      <c r="M898" s="76">
        <f>J898*L898</f>
        <v>437.54559999999998</v>
      </c>
      <c r="N898" s="77"/>
      <c r="O898" s="77"/>
      <c r="P898" s="76"/>
      <c r="Q898" s="76"/>
    </row>
    <row r="899" spans="4:17" hidden="1" outlineLevel="2" collapsed="1" x14ac:dyDescent="0.25">
      <c r="D899" s="84" t="s">
        <v>981</v>
      </c>
      <c r="E899" s="79"/>
      <c r="F899" s="79"/>
      <c r="G899" s="79"/>
      <c r="H899" s="80"/>
      <c r="I899" s="81"/>
      <c r="J899" s="83">
        <f>HYPERLINK("#Структура!E1340",Структура!E1340)</f>
        <v>4</v>
      </c>
      <c r="K899" s="115">
        <f>HYPERLINK("#Структура!G1340",Структура!G1340)</f>
        <v>26.90352</v>
      </c>
      <c r="L899" s="81">
        <f>M899/J899</f>
        <v>2756.6</v>
      </c>
      <c r="M899" s="81">
        <f>SUMIF(E900,"*",M900)*J899</f>
        <v>11026.4</v>
      </c>
      <c r="N899" s="124">
        <f>HYPERLINK("#Трудозатраты!B303",Трудозатраты!B303+SUMIF(E900,"*",O900))</f>
        <v>23.9</v>
      </c>
      <c r="O899" s="82">
        <f>N899*J899</f>
        <v>95.6</v>
      </c>
      <c r="P899" s="81">
        <f>O899/60*(1+запас_труд)*стоимость_трудочаса</f>
        <v>3744.333333333333</v>
      </c>
      <c r="Q899" s="129">
        <f>M899*(1+наценка_покупное)+P899</f>
        <v>16976.013333333332</v>
      </c>
    </row>
    <row r="900" spans="4:17" hidden="1" outlineLevel="3" x14ac:dyDescent="0.25">
      <c r="E900" s="74" t="s">
        <v>191</v>
      </c>
      <c r="F900" s="74"/>
      <c r="G900" s="74"/>
      <c r="H900" s="75"/>
      <c r="I900" s="76"/>
      <c r="J900" s="78">
        <f>HYPERLINK("#Структура!E1188",Структура!E1188)</f>
        <v>27.565999999999999</v>
      </c>
      <c r="K900" s="114" t="str">
        <f>HYPERLINK("#Структура!G1188","")</f>
        <v/>
      </c>
      <c r="L900" s="120">
        <f>HYPERLINK("#Покупные_изделия!D504",Покупные_изделия!D504)</f>
        <v>100</v>
      </c>
      <c r="M900" s="76">
        <f>J900*L900</f>
        <v>2756.6</v>
      </c>
      <c r="N900" s="77"/>
      <c r="O900" s="77"/>
      <c r="P900" s="76"/>
      <c r="Q900" s="76"/>
    </row>
    <row r="901" spans="4:17" hidden="1" outlineLevel="2" collapsed="1" x14ac:dyDescent="0.25">
      <c r="D901" s="84" t="s">
        <v>982</v>
      </c>
      <c r="E901" s="79"/>
      <c r="F901" s="79"/>
      <c r="G901" s="79"/>
      <c r="H901" s="80"/>
      <c r="I901" s="81"/>
      <c r="J901" s="83">
        <f>HYPERLINK("#Структура!E1341",Структура!E1341)</f>
        <v>2</v>
      </c>
      <c r="K901" s="115">
        <f>HYPERLINK("#Структура!G1341",Структура!G1341)</f>
        <v>1.6249800000000001</v>
      </c>
      <c r="L901" s="81">
        <f>M901/J901</f>
        <v>319.61439999999999</v>
      </c>
      <c r="M901" s="81">
        <f>SUMIF(E902,"*",M902)*J901</f>
        <v>639.22879999999998</v>
      </c>
      <c r="N901" s="124">
        <f>HYPERLINK("#Трудозатраты!B304",Трудозатраты!B304+SUMIF(E902,"*",O902))</f>
        <v>10.5</v>
      </c>
      <c r="O901" s="82">
        <f>N901*J901</f>
        <v>21</v>
      </c>
      <c r="P901" s="81">
        <f>O901/60*(1+запас_труд)*стоимость_трудочаса</f>
        <v>822.5</v>
      </c>
      <c r="Q901" s="129">
        <f>M901*(1+наценка_покупное)+P901</f>
        <v>1589.57456</v>
      </c>
    </row>
    <row r="902" spans="4:17" hidden="1" outlineLevel="3" x14ac:dyDescent="0.25">
      <c r="E902" s="74" t="s">
        <v>128</v>
      </c>
      <c r="F902" s="74"/>
      <c r="G902" s="74"/>
      <c r="H902" s="75"/>
      <c r="I902" s="76"/>
      <c r="J902" s="78">
        <f>HYPERLINK("#Структура!E1189",Структура!E1189)</f>
        <v>1.99759</v>
      </c>
      <c r="K902" s="114" t="str">
        <f>HYPERLINK("#Структура!G1189","")</f>
        <v/>
      </c>
      <c r="L902" s="120">
        <f>HYPERLINK("#Покупные_изделия!D303",Покупные_изделия!D303)</f>
        <v>160</v>
      </c>
      <c r="M902" s="76">
        <f>J902*L902</f>
        <v>319.61439999999999</v>
      </c>
      <c r="N902" s="77"/>
      <c r="O902" s="77"/>
      <c r="P902" s="76"/>
      <c r="Q902" s="76"/>
    </row>
    <row r="903" spans="4:17" hidden="1" outlineLevel="2" collapsed="1" x14ac:dyDescent="0.25">
      <c r="D903" s="84" t="s">
        <v>983</v>
      </c>
      <c r="E903" s="79"/>
      <c r="F903" s="79"/>
      <c r="G903" s="79"/>
      <c r="H903" s="80"/>
      <c r="I903" s="81"/>
      <c r="J903" s="83">
        <f>HYPERLINK("#Структура!E1342",Структура!E1342)</f>
        <v>96</v>
      </c>
      <c r="K903" s="115">
        <f>HYPERLINK("#Структура!G1342",Структура!G1342)</f>
        <v>8.8010000000000005E-2</v>
      </c>
      <c r="L903" s="81">
        <f>M903/J903</f>
        <v>26.8475</v>
      </c>
      <c r="M903" s="81">
        <f>SUMIF(E904,"*",M904)*J903</f>
        <v>2577.36</v>
      </c>
      <c r="N903" s="124">
        <f>HYPERLINK("#Трудозатраты!B305",Трудозатраты!B305+SUMIF(E904,"*",O904))</f>
        <v>7.7000000000000011</v>
      </c>
      <c r="O903" s="82">
        <f>N903*J903</f>
        <v>739.2</v>
      </c>
      <c r="P903" s="81">
        <f>O903/60*(1+запас_труд)*стоимость_трудочаса</f>
        <v>28952</v>
      </c>
      <c r="Q903" s="129">
        <f>M903*(1+наценка_покупное)+P903</f>
        <v>32044.831999999999</v>
      </c>
    </row>
    <row r="904" spans="4:17" hidden="1" outlineLevel="3" x14ac:dyDescent="0.25">
      <c r="E904" s="74" t="s">
        <v>126</v>
      </c>
      <c r="F904" s="74"/>
      <c r="G904" s="74"/>
      <c r="H904" s="75"/>
      <c r="I904" s="76"/>
      <c r="J904" s="78">
        <f>HYPERLINK("#Структура!E1190",Структура!E1190)</f>
        <v>0.10739</v>
      </c>
      <c r="K904" s="114" t="str">
        <f>HYPERLINK("#Структура!G1190","")</f>
        <v/>
      </c>
      <c r="L904" s="120">
        <f>HYPERLINK("#Покупные_изделия!D301",Покупные_изделия!D301)</f>
        <v>250</v>
      </c>
      <c r="M904" s="76">
        <f>J904*L904</f>
        <v>26.8475</v>
      </c>
      <c r="N904" s="77"/>
      <c r="O904" s="77"/>
      <c r="P904" s="76"/>
      <c r="Q904" s="76"/>
    </row>
    <row r="905" spans="4:17" hidden="1" outlineLevel="2" collapsed="1" x14ac:dyDescent="0.25">
      <c r="D905" s="84" t="s">
        <v>984</v>
      </c>
      <c r="E905" s="79"/>
      <c r="F905" s="79"/>
      <c r="G905" s="79"/>
      <c r="H905" s="80"/>
      <c r="I905" s="81"/>
      <c r="J905" s="83">
        <f>HYPERLINK("#Структура!E1343",Структура!E1343)</f>
        <v>12</v>
      </c>
      <c r="K905" s="115">
        <f>HYPERLINK("#Структура!G1343",Структура!G1343)</f>
        <v>5.5744800000000003</v>
      </c>
      <c r="L905" s="81">
        <f>M905/J905</f>
        <v>1101.9136000000001</v>
      </c>
      <c r="M905" s="81">
        <f>SUMIF(E906,"*",M906)*J905</f>
        <v>13222.963200000002</v>
      </c>
      <c r="N905" s="124">
        <f>HYPERLINK("#Трудозатраты!B306",Трудозатраты!B306+SUMIF(E906,"*",O906))</f>
        <v>20</v>
      </c>
      <c r="O905" s="82">
        <f>N905*J905</f>
        <v>240</v>
      </c>
      <c r="P905" s="81">
        <f>O905/60*(1+запас_труд)*стоимость_трудочаса</f>
        <v>9400</v>
      </c>
      <c r="Q905" s="129">
        <f>M905*(1+наценка_покупное)+P905</f>
        <v>25267.555840000001</v>
      </c>
    </row>
    <row r="906" spans="4:17" hidden="1" outlineLevel="3" x14ac:dyDescent="0.25">
      <c r="E906" s="74" t="s">
        <v>131</v>
      </c>
      <c r="F906" s="74"/>
      <c r="G906" s="74"/>
      <c r="H906" s="75"/>
      <c r="I906" s="76"/>
      <c r="J906" s="78">
        <f>HYPERLINK("#Структура!E1191",Структура!E1191)</f>
        <v>6.8869600000000002</v>
      </c>
      <c r="K906" s="114" t="str">
        <f>HYPERLINK("#Структура!G1191","")</f>
        <v/>
      </c>
      <c r="L906" s="120">
        <f>HYPERLINK("#Покупные_изделия!D306",Покупные_изделия!D306)</f>
        <v>160</v>
      </c>
      <c r="M906" s="76">
        <f>J906*L906</f>
        <v>1101.9136000000001</v>
      </c>
      <c r="N906" s="77"/>
      <c r="O906" s="77"/>
      <c r="P906" s="76"/>
      <c r="Q906" s="76"/>
    </row>
    <row r="907" spans="4:17" hidden="1" outlineLevel="2" collapsed="1" x14ac:dyDescent="0.25">
      <c r="D907" s="84" t="s">
        <v>985</v>
      </c>
      <c r="E907" s="79"/>
      <c r="F907" s="79"/>
      <c r="G907" s="79"/>
      <c r="H907" s="80"/>
      <c r="I907" s="81"/>
      <c r="J907" s="83">
        <f>HYPERLINK("#Структура!E1344",Структура!E1344)</f>
        <v>4</v>
      </c>
      <c r="K907" s="115">
        <f>HYPERLINK("#Структура!G1344",Структура!G1344)</f>
        <v>5.4679999999999999E-2</v>
      </c>
      <c r="L907" s="81">
        <f>M907/J907</f>
        <v>13.158399999999999</v>
      </c>
      <c r="M907" s="81">
        <f>SUMIF(E908,"*",M908)*J907</f>
        <v>52.633599999999994</v>
      </c>
      <c r="N907" s="124">
        <f>HYPERLINK("#Трудозатраты!B307",Трудозатраты!B307+SUMIF(E908,"*",O908))</f>
        <v>1.6</v>
      </c>
      <c r="O907" s="82">
        <f>N907*J907</f>
        <v>6.4</v>
      </c>
      <c r="P907" s="81">
        <f>O907/60*(1+запас_труд)*стоимость_трудочаса</f>
        <v>250.66666666666669</v>
      </c>
      <c r="Q907" s="129">
        <f>M907*(1+наценка_покупное)+P907</f>
        <v>313.8269866666667</v>
      </c>
    </row>
    <row r="908" spans="4:17" hidden="1" outlineLevel="3" x14ac:dyDescent="0.25">
      <c r="E908" s="74" t="s">
        <v>131</v>
      </c>
      <c r="F908" s="74"/>
      <c r="G908" s="74"/>
      <c r="H908" s="75"/>
      <c r="I908" s="76"/>
      <c r="J908" s="78">
        <f>HYPERLINK("#Структура!E1192",Структура!E1192)</f>
        <v>8.2239999999999994E-2</v>
      </c>
      <c r="K908" s="114" t="str">
        <f>HYPERLINK("#Структура!G1192","")</f>
        <v/>
      </c>
      <c r="L908" s="120">
        <f>HYPERLINK("#Покупные_изделия!D306",Покупные_изделия!D306)</f>
        <v>160</v>
      </c>
      <c r="M908" s="76">
        <f>J908*L908</f>
        <v>13.158399999999999</v>
      </c>
      <c r="N908" s="77"/>
      <c r="O908" s="77"/>
      <c r="P908" s="76"/>
      <c r="Q908" s="76"/>
    </row>
    <row r="909" spans="4:17" hidden="1" outlineLevel="2" collapsed="1" x14ac:dyDescent="0.25">
      <c r="D909" s="84" t="s">
        <v>988</v>
      </c>
      <c r="E909" s="79"/>
      <c r="F909" s="79"/>
      <c r="G909" s="79"/>
      <c r="H909" s="80"/>
      <c r="I909" s="81"/>
      <c r="J909" s="83">
        <f>HYPERLINK("#Структура!E1345",Структура!E1345)</f>
        <v>2</v>
      </c>
      <c r="K909" s="115">
        <f>HYPERLINK("#Структура!G1345",Структура!G1345)</f>
        <v>3.2065399999999999</v>
      </c>
      <c r="L909" s="81">
        <f>M909/J909</f>
        <v>627.48479999999995</v>
      </c>
      <c r="M909" s="81">
        <f>SUMIF(E910,"*",M910)*J909</f>
        <v>1254.9695999999999</v>
      </c>
      <c r="N909" s="124">
        <f>HYPERLINK("#Трудозатраты!B311",Трудозатраты!B311+SUMIF(E910,"*",O910))</f>
        <v>10.899999999999999</v>
      </c>
      <c r="O909" s="82">
        <f>N909*J909</f>
        <v>21.799999999999997</v>
      </c>
      <c r="P909" s="81">
        <f>O909/60*(1+запас_труд)*стоимость_трудочаса</f>
        <v>853.83333333333326</v>
      </c>
      <c r="Q909" s="129">
        <f>M909*(1+наценка_покупное)+P909</f>
        <v>2359.7968533333333</v>
      </c>
    </row>
    <row r="910" spans="4:17" hidden="1" outlineLevel="3" x14ac:dyDescent="0.25">
      <c r="E910" s="74" t="s">
        <v>128</v>
      </c>
      <c r="F910" s="74"/>
      <c r="G910" s="74"/>
      <c r="H910" s="75"/>
      <c r="I910" s="76"/>
      <c r="J910" s="78">
        <f>HYPERLINK("#Структура!E1196",Структура!E1196)</f>
        <v>3.92178</v>
      </c>
      <c r="K910" s="114" t="str">
        <f>HYPERLINK("#Структура!G1196","")</f>
        <v/>
      </c>
      <c r="L910" s="120">
        <f>HYPERLINK("#Покупные_изделия!D303",Покупные_изделия!D303)</f>
        <v>160</v>
      </c>
      <c r="M910" s="76">
        <f>J910*L910</f>
        <v>627.48479999999995</v>
      </c>
      <c r="N910" s="77"/>
      <c r="O910" s="77"/>
      <c r="P910" s="76"/>
      <c r="Q910" s="76"/>
    </row>
    <row r="911" spans="4:17" hidden="1" outlineLevel="2" collapsed="1" x14ac:dyDescent="0.25">
      <c r="D911" s="84" t="s">
        <v>994</v>
      </c>
      <c r="E911" s="79"/>
      <c r="F911" s="79"/>
      <c r="G911" s="79"/>
      <c r="H911" s="80"/>
      <c r="I911" s="81"/>
      <c r="J911" s="83">
        <f>HYPERLINK("#Структура!E1346",Структура!E1346)</f>
        <v>2</v>
      </c>
      <c r="K911" s="115">
        <f>HYPERLINK("#Структура!G1346",Структура!G1346)</f>
        <v>6.8217699999999999</v>
      </c>
      <c r="L911" s="81">
        <f>M911/J911</f>
        <v>1629.0688</v>
      </c>
      <c r="M911" s="81">
        <f>SUMIF(E912,"*",M912)*J911</f>
        <v>3258.1376</v>
      </c>
      <c r="N911" s="124">
        <f>HYPERLINK("#Трудозатраты!B318",Трудозатраты!B318+SUMIF(E912,"*",O912))</f>
        <v>5.7</v>
      </c>
      <c r="O911" s="82">
        <f>N911*J911</f>
        <v>11.4</v>
      </c>
      <c r="P911" s="81">
        <f>O911/60*(1+запас_труд)*стоимость_трудочаса</f>
        <v>446.5</v>
      </c>
      <c r="Q911" s="129">
        <f>M911*(1+наценка_покупное)+P911</f>
        <v>4356.26512</v>
      </c>
    </row>
    <row r="912" spans="4:17" hidden="1" outlineLevel="3" x14ac:dyDescent="0.25">
      <c r="E912" s="74" t="s">
        <v>128</v>
      </c>
      <c r="F912" s="74"/>
      <c r="G912" s="74"/>
      <c r="H912" s="75"/>
      <c r="I912" s="76"/>
      <c r="J912" s="78">
        <f>HYPERLINK("#Структура!E1203",Структура!E1203)</f>
        <v>10.18168</v>
      </c>
      <c r="K912" s="114" t="str">
        <f>HYPERLINK("#Структура!G1203","")</f>
        <v/>
      </c>
      <c r="L912" s="120">
        <f>HYPERLINK("#Покупные_изделия!D303",Покупные_изделия!D303)</f>
        <v>160</v>
      </c>
      <c r="M912" s="76">
        <f>J912*L912</f>
        <v>1629.0688</v>
      </c>
      <c r="N912" s="77"/>
      <c r="O912" s="77"/>
      <c r="P912" s="76"/>
      <c r="Q912" s="76"/>
    </row>
    <row r="913" spans="4:17" hidden="1" outlineLevel="2" collapsed="1" x14ac:dyDescent="0.25">
      <c r="D913" s="84" t="s">
        <v>995</v>
      </c>
      <c r="E913" s="79"/>
      <c r="F913" s="79"/>
      <c r="G913" s="79"/>
      <c r="H913" s="80"/>
      <c r="I913" s="81"/>
      <c r="J913" s="83">
        <f>HYPERLINK("#Структура!E1347",Структура!E1347)</f>
        <v>2</v>
      </c>
      <c r="K913" s="115">
        <f>HYPERLINK("#Структура!G1347",Структура!G1347)</f>
        <v>6.8217699999999999</v>
      </c>
      <c r="L913" s="81">
        <f>M913/J913</f>
        <v>1629.0688</v>
      </c>
      <c r="M913" s="81">
        <f>SUMIF(E914,"*",M914)*J913</f>
        <v>3258.1376</v>
      </c>
      <c r="N913" s="124">
        <f>HYPERLINK("#Трудозатраты!B319",Трудозатраты!B319+SUMIF(E914,"*",O914))</f>
        <v>5.7</v>
      </c>
      <c r="O913" s="82">
        <f>N913*J913</f>
        <v>11.4</v>
      </c>
      <c r="P913" s="81">
        <f>O913/60*(1+запас_труд)*стоимость_трудочаса</f>
        <v>446.5</v>
      </c>
      <c r="Q913" s="129">
        <f>M913*(1+наценка_покупное)+P913</f>
        <v>4356.26512</v>
      </c>
    </row>
    <row r="914" spans="4:17" hidden="1" outlineLevel="3" x14ac:dyDescent="0.25">
      <c r="E914" s="74" t="s">
        <v>128</v>
      </c>
      <c r="F914" s="74"/>
      <c r="G914" s="74"/>
      <c r="H914" s="75"/>
      <c r="I914" s="76"/>
      <c r="J914" s="78">
        <f>HYPERLINK("#Структура!E1204",Структура!E1204)</f>
        <v>10.18168</v>
      </c>
      <c r="K914" s="114" t="str">
        <f>HYPERLINK("#Структура!G1204","")</f>
        <v/>
      </c>
      <c r="L914" s="120">
        <f>HYPERLINK("#Покупные_изделия!D303",Покупные_изделия!D303)</f>
        <v>160</v>
      </c>
      <c r="M914" s="76">
        <f>J914*L914</f>
        <v>1629.0688</v>
      </c>
      <c r="N914" s="77"/>
      <c r="O914" s="77"/>
      <c r="P914" s="76"/>
      <c r="Q914" s="76"/>
    </row>
    <row r="915" spans="4:17" hidden="1" outlineLevel="2" collapsed="1" x14ac:dyDescent="0.25">
      <c r="D915" s="84" t="s">
        <v>996</v>
      </c>
      <c r="E915" s="79"/>
      <c r="F915" s="79"/>
      <c r="G915" s="79"/>
      <c r="H915" s="80"/>
      <c r="I915" s="81"/>
      <c r="J915" s="83">
        <f>HYPERLINK("#Структура!E1348",Структура!E1348)</f>
        <v>2</v>
      </c>
      <c r="K915" s="115">
        <f>HYPERLINK("#Структура!G1348",Структура!G1348)</f>
        <v>4.5624399999999996</v>
      </c>
      <c r="L915" s="81">
        <f>M915/J915</f>
        <v>878.27520000000004</v>
      </c>
      <c r="M915" s="81">
        <f>SUMIF(E916,"*",M916)*J915</f>
        <v>1756.5504000000001</v>
      </c>
      <c r="N915" s="124">
        <f>HYPERLINK("#Трудозатраты!B320",Трудозатраты!B320+SUMIF(E916,"*",O916))</f>
        <v>10.5</v>
      </c>
      <c r="O915" s="82">
        <f>N915*J915</f>
        <v>21</v>
      </c>
      <c r="P915" s="81">
        <f>O915/60*(1+запас_труд)*стоимость_трудочаса</f>
        <v>822.5</v>
      </c>
      <c r="Q915" s="129">
        <f>M915*(1+наценка_покупное)+P915</f>
        <v>2930.3604799999998</v>
      </c>
    </row>
    <row r="916" spans="4:17" hidden="1" outlineLevel="3" x14ac:dyDescent="0.25">
      <c r="E916" s="74" t="s">
        <v>128</v>
      </c>
      <c r="F916" s="74"/>
      <c r="G916" s="74"/>
      <c r="H916" s="75"/>
      <c r="I916" s="76"/>
      <c r="J916" s="78">
        <f>HYPERLINK("#Структура!E1205",Структура!E1205)</f>
        <v>5.4892200000000004</v>
      </c>
      <c r="K916" s="114" t="str">
        <f>HYPERLINK("#Структура!G1205","")</f>
        <v/>
      </c>
      <c r="L916" s="120">
        <f>HYPERLINK("#Покупные_изделия!D303",Покупные_изделия!D303)</f>
        <v>160</v>
      </c>
      <c r="M916" s="76">
        <f>J916*L916</f>
        <v>878.27520000000004</v>
      </c>
      <c r="N916" s="77"/>
      <c r="O916" s="77"/>
      <c r="P916" s="76"/>
      <c r="Q916" s="76"/>
    </row>
    <row r="917" spans="4:17" hidden="1" outlineLevel="2" collapsed="1" x14ac:dyDescent="0.25">
      <c r="D917" s="84" t="s">
        <v>1025</v>
      </c>
      <c r="E917" s="79"/>
      <c r="F917" s="79"/>
      <c r="G917" s="79"/>
      <c r="H917" s="80"/>
      <c r="I917" s="81"/>
      <c r="J917" s="83">
        <f>HYPERLINK("#Структура!E1349",Структура!E1349)</f>
        <v>1</v>
      </c>
      <c r="K917" s="115">
        <f>HYPERLINK("#Структура!G1349",Структура!G1349)</f>
        <v>18.784520000000001</v>
      </c>
      <c r="L917" s="81">
        <f>M917/J917</f>
        <v>3635.1263999999996</v>
      </c>
      <c r="M917" s="81">
        <f>SUMIF(E918,"*",M918)*J917</f>
        <v>3635.1263999999996</v>
      </c>
      <c r="N917" s="124">
        <f>HYPERLINK("#Трудозатраты!B339",Трудозатраты!B339+SUMIF(E918,"*",O918))</f>
        <v>64.5</v>
      </c>
      <c r="O917" s="82">
        <f>N917*J917</f>
        <v>64.5</v>
      </c>
      <c r="P917" s="81">
        <f>O917/60*(1+запас_труд)*стоимость_трудочаса</f>
        <v>2526.25</v>
      </c>
      <c r="Q917" s="129">
        <f>M917*(1+наценка_покупное)+P917</f>
        <v>6888.401679999999</v>
      </c>
    </row>
    <row r="918" spans="4:17" hidden="1" outlineLevel="3" x14ac:dyDescent="0.25">
      <c r="E918" s="74" t="s">
        <v>128</v>
      </c>
      <c r="F918" s="74"/>
      <c r="G918" s="74"/>
      <c r="H918" s="75"/>
      <c r="I918" s="76"/>
      <c r="J918" s="78">
        <f>HYPERLINK("#Структура!E1295",Структура!E1295)</f>
        <v>22.719539999999999</v>
      </c>
      <c r="K918" s="114" t="str">
        <f>HYPERLINK("#Структура!G1295","")</f>
        <v/>
      </c>
      <c r="L918" s="120">
        <f>HYPERLINK("#Покупные_изделия!D303",Покупные_изделия!D303)</f>
        <v>160</v>
      </c>
      <c r="M918" s="76">
        <f>J918*L918</f>
        <v>3635.1263999999996</v>
      </c>
      <c r="N918" s="77"/>
      <c r="O918" s="77"/>
      <c r="P918" s="76"/>
      <c r="Q918" s="76"/>
    </row>
    <row r="919" spans="4:17" hidden="1" outlineLevel="2" collapsed="1" x14ac:dyDescent="0.25">
      <c r="D919" s="84" t="s">
        <v>1027</v>
      </c>
      <c r="E919" s="79"/>
      <c r="F919" s="79"/>
      <c r="G919" s="79"/>
      <c r="H919" s="80"/>
      <c r="I919" s="81"/>
      <c r="J919" s="83">
        <f>HYPERLINK("#Структура!E1350",Структура!E1350)</f>
        <v>1</v>
      </c>
      <c r="K919" s="115">
        <f>HYPERLINK("#Структура!G1350",Структура!G1350)</f>
        <v>18.802420000000001</v>
      </c>
      <c r="L919" s="81">
        <f>M919/J919</f>
        <v>3635.1263999999996</v>
      </c>
      <c r="M919" s="81">
        <f>SUMIF(E920,"*",M920)*J919</f>
        <v>3635.1263999999996</v>
      </c>
      <c r="N919" s="124">
        <f>HYPERLINK("#Трудозатраты!B341",Трудозатраты!B341+SUMIF(E920,"*",O920))</f>
        <v>64.5</v>
      </c>
      <c r="O919" s="82">
        <f>N919*J919</f>
        <v>64.5</v>
      </c>
      <c r="P919" s="81">
        <f>O919/60*(1+запас_труд)*стоимость_трудочаса</f>
        <v>2526.25</v>
      </c>
      <c r="Q919" s="129">
        <f>M919*(1+наценка_покупное)+P919</f>
        <v>6888.401679999999</v>
      </c>
    </row>
    <row r="920" spans="4:17" hidden="1" outlineLevel="3" x14ac:dyDescent="0.25">
      <c r="E920" s="74" t="s">
        <v>128</v>
      </c>
      <c r="F920" s="74"/>
      <c r="G920" s="74"/>
      <c r="H920" s="75"/>
      <c r="I920" s="76"/>
      <c r="J920" s="78">
        <f>HYPERLINK("#Структура!E1297",Структура!E1297)</f>
        <v>22.719539999999999</v>
      </c>
      <c r="K920" s="114" t="str">
        <f>HYPERLINK("#Структура!G1297","")</f>
        <v/>
      </c>
      <c r="L920" s="120">
        <f>HYPERLINK("#Покупные_изделия!D303",Покупные_изделия!D303)</f>
        <v>160</v>
      </c>
      <c r="M920" s="76">
        <f>J920*L920</f>
        <v>3635.1263999999996</v>
      </c>
      <c r="N920" s="77"/>
      <c r="O920" s="77"/>
      <c r="P920" s="76"/>
      <c r="Q920" s="76"/>
    </row>
    <row r="921" spans="4:17" hidden="1" outlineLevel="2" collapsed="1" x14ac:dyDescent="0.25">
      <c r="D921" s="84" t="s">
        <v>1028</v>
      </c>
      <c r="E921" s="79"/>
      <c r="F921" s="79"/>
      <c r="G921" s="79"/>
      <c r="H921" s="80"/>
      <c r="I921" s="81"/>
      <c r="J921" s="83">
        <f>HYPERLINK("#Структура!E1351",Структура!E1351)</f>
        <v>1</v>
      </c>
      <c r="K921" s="115">
        <f>HYPERLINK("#Структура!G1351",Структура!G1351)</f>
        <v>5.7001499999999998</v>
      </c>
      <c r="L921" s="81">
        <f>M921/J921</f>
        <v>1100.5567999999998</v>
      </c>
      <c r="M921" s="81">
        <f>SUMIF(E922,"*",M922)*J921</f>
        <v>1100.5567999999998</v>
      </c>
      <c r="N921" s="124">
        <f>HYPERLINK("#Трудозатраты!B342",Трудозатраты!B342+SUMIF(E922,"*",O922))</f>
        <v>12.5</v>
      </c>
      <c r="O921" s="82">
        <f>N921*J921</f>
        <v>12.5</v>
      </c>
      <c r="P921" s="81">
        <f>O921/60*(1+запас_труд)*стоимость_трудочаса</f>
        <v>489.58333333333337</v>
      </c>
      <c r="Q921" s="129">
        <f>M921*(1+наценка_покупное)+P921</f>
        <v>1810.2514933333332</v>
      </c>
    </row>
    <row r="922" spans="4:17" hidden="1" outlineLevel="3" x14ac:dyDescent="0.25">
      <c r="E922" s="74" t="s">
        <v>131</v>
      </c>
      <c r="F922" s="74"/>
      <c r="G922" s="74"/>
      <c r="H922" s="75"/>
      <c r="I922" s="76"/>
      <c r="J922" s="78">
        <f>HYPERLINK("#Структура!E1298",Структура!E1298)</f>
        <v>6.8784799999999997</v>
      </c>
      <c r="K922" s="114" t="str">
        <f>HYPERLINK("#Структура!G1298","")</f>
        <v/>
      </c>
      <c r="L922" s="120">
        <f>HYPERLINK("#Покупные_изделия!D306",Покупные_изделия!D306)</f>
        <v>160</v>
      </c>
      <c r="M922" s="76">
        <f>J922*L922</f>
        <v>1100.5567999999998</v>
      </c>
      <c r="N922" s="77"/>
      <c r="O922" s="77"/>
      <c r="P922" s="76"/>
      <c r="Q922" s="76"/>
    </row>
    <row r="923" spans="4:17" hidden="1" outlineLevel="2" collapsed="1" x14ac:dyDescent="0.25">
      <c r="D923" s="84" t="s">
        <v>1029</v>
      </c>
      <c r="E923" s="79"/>
      <c r="F923" s="79"/>
      <c r="G923" s="79"/>
      <c r="H923" s="80"/>
      <c r="I923" s="81"/>
      <c r="J923" s="83">
        <f>HYPERLINK("#Структура!E1352",Структура!E1352)</f>
        <v>1</v>
      </c>
      <c r="K923" s="115">
        <f>HYPERLINK("#Структура!G1352",Структура!G1352)</f>
        <v>5.7001499999999998</v>
      </c>
      <c r="L923" s="81">
        <f>M923/J923</f>
        <v>1100.5567999999998</v>
      </c>
      <c r="M923" s="81">
        <f>SUMIF(E924,"*",M924)*J923</f>
        <v>1100.5567999999998</v>
      </c>
      <c r="N923" s="124">
        <f>HYPERLINK("#Трудозатраты!B343",Трудозатраты!B343+SUMIF(E924,"*",O924))</f>
        <v>12.5</v>
      </c>
      <c r="O923" s="82">
        <f>N923*J923</f>
        <v>12.5</v>
      </c>
      <c r="P923" s="81">
        <f>O923/60*(1+запас_труд)*стоимость_трудочаса</f>
        <v>489.58333333333337</v>
      </c>
      <c r="Q923" s="129">
        <f>M923*(1+наценка_покупное)+P923</f>
        <v>1810.2514933333332</v>
      </c>
    </row>
    <row r="924" spans="4:17" hidden="1" outlineLevel="3" x14ac:dyDescent="0.25">
      <c r="E924" s="74" t="s">
        <v>131</v>
      </c>
      <c r="F924" s="74"/>
      <c r="G924" s="74"/>
      <c r="H924" s="75"/>
      <c r="I924" s="76"/>
      <c r="J924" s="78">
        <f>HYPERLINK("#Структура!E1299",Структура!E1299)</f>
        <v>6.8784799999999997</v>
      </c>
      <c r="K924" s="114" t="str">
        <f>HYPERLINK("#Структура!G1299","")</f>
        <v/>
      </c>
      <c r="L924" s="120">
        <f>HYPERLINK("#Покупные_изделия!D306",Покупные_изделия!D306)</f>
        <v>160</v>
      </c>
      <c r="M924" s="76">
        <f>J924*L924</f>
        <v>1100.5567999999998</v>
      </c>
      <c r="N924" s="77"/>
      <c r="O924" s="77"/>
      <c r="P924" s="76"/>
      <c r="Q924" s="76"/>
    </row>
    <row r="925" spans="4:17" hidden="1" outlineLevel="2" collapsed="1" x14ac:dyDescent="0.25">
      <c r="D925" s="84" t="s">
        <v>1031</v>
      </c>
      <c r="E925" s="79"/>
      <c r="F925" s="79"/>
      <c r="G925" s="79"/>
      <c r="H925" s="80"/>
      <c r="I925" s="81"/>
      <c r="J925" s="83">
        <f>HYPERLINK("#Структура!E1353",Структура!E1353)</f>
        <v>1</v>
      </c>
      <c r="K925" s="115">
        <f>HYPERLINK("#Структура!G1353",Структура!G1353)</f>
        <v>7.4151100000000003</v>
      </c>
      <c r="L925" s="81">
        <f>M925/J925</f>
        <v>1451.5423999999998</v>
      </c>
      <c r="M925" s="81">
        <f>SUMIF(E926,"*",M926)*J925</f>
        <v>1451.5423999999998</v>
      </c>
      <c r="N925" s="124">
        <f>HYPERLINK("#Трудозатраты!B345",Трудозатраты!B345+SUMIF(E926,"*",O926))</f>
        <v>39</v>
      </c>
      <c r="O925" s="82">
        <f>N925*J925</f>
        <v>39</v>
      </c>
      <c r="P925" s="81">
        <f>O925/60*(1+запас_труд)*стоимость_трудочаса</f>
        <v>1527.5</v>
      </c>
      <c r="Q925" s="129">
        <f>M925*(1+наценка_покупное)+P925</f>
        <v>3269.35088</v>
      </c>
    </row>
    <row r="926" spans="4:17" hidden="1" outlineLevel="3" x14ac:dyDescent="0.25">
      <c r="E926" s="74" t="s">
        <v>128</v>
      </c>
      <c r="F926" s="74"/>
      <c r="G926" s="74"/>
      <c r="H926" s="75"/>
      <c r="I926" s="76"/>
      <c r="J926" s="78">
        <f>HYPERLINK("#Структура!E1301",Структура!E1301)</f>
        <v>9.0721399999999992</v>
      </c>
      <c r="K926" s="114" t="str">
        <f>HYPERLINK("#Структура!G1301","")</f>
        <v/>
      </c>
      <c r="L926" s="120">
        <f>HYPERLINK("#Покупные_изделия!D303",Покупные_изделия!D303)</f>
        <v>160</v>
      </c>
      <c r="M926" s="76">
        <f>J926*L926</f>
        <v>1451.5423999999998</v>
      </c>
      <c r="N926" s="77"/>
      <c r="O926" s="77"/>
      <c r="P926" s="76"/>
      <c r="Q926" s="76"/>
    </row>
    <row r="927" spans="4:17" hidden="1" outlineLevel="2" collapsed="1" x14ac:dyDescent="0.25">
      <c r="D927" s="84" t="s">
        <v>1032</v>
      </c>
      <c r="E927" s="79"/>
      <c r="F927" s="79"/>
      <c r="G927" s="79"/>
      <c r="H927" s="80"/>
      <c r="I927" s="81"/>
      <c r="J927" s="83">
        <f>HYPERLINK("#Структура!E1354",Структура!E1354)</f>
        <v>1</v>
      </c>
      <c r="K927" s="115">
        <f>HYPERLINK("#Структура!G1354",Структура!G1354)</f>
        <v>21.607769999999999</v>
      </c>
      <c r="L927" s="81">
        <f>M927/J927</f>
        <v>4175.3311999999996</v>
      </c>
      <c r="M927" s="81">
        <f>SUMIF(E928,"*",M928)*J927</f>
        <v>4175.3311999999996</v>
      </c>
      <c r="N927" s="124">
        <f>HYPERLINK("#Трудозатраты!B346",Трудозатраты!B346+SUMIF(E928,"*",O928))</f>
        <v>54</v>
      </c>
      <c r="O927" s="82">
        <f>N927*J927</f>
        <v>54</v>
      </c>
      <c r="P927" s="81">
        <f>O927/60*(1+запас_труд)*стоимость_трудочаса</f>
        <v>2115</v>
      </c>
      <c r="Q927" s="129">
        <f>M927*(1+наценка_покупное)+P927</f>
        <v>7125.3974399999997</v>
      </c>
    </row>
    <row r="928" spans="4:17" hidden="1" outlineLevel="3" x14ac:dyDescent="0.25">
      <c r="E928" s="74" t="s">
        <v>128</v>
      </c>
      <c r="F928" s="74"/>
      <c r="G928" s="74"/>
      <c r="H928" s="75"/>
      <c r="I928" s="76"/>
      <c r="J928" s="78">
        <f>HYPERLINK("#Структура!E1302",Структура!E1302)</f>
        <v>26.09582</v>
      </c>
      <c r="K928" s="114" t="str">
        <f>HYPERLINK("#Структура!G1302","")</f>
        <v/>
      </c>
      <c r="L928" s="120">
        <f>HYPERLINK("#Покупные_изделия!D303",Покупные_изделия!D303)</f>
        <v>160</v>
      </c>
      <c r="M928" s="76">
        <f>J928*L928</f>
        <v>4175.3311999999996</v>
      </c>
      <c r="N928" s="77"/>
      <c r="O928" s="77"/>
      <c r="P928" s="76"/>
      <c r="Q928" s="76"/>
    </row>
    <row r="929" spans="4:17" hidden="1" outlineLevel="2" collapsed="1" x14ac:dyDescent="0.25">
      <c r="D929" s="84" t="s">
        <v>1033</v>
      </c>
      <c r="E929" s="79"/>
      <c r="F929" s="79"/>
      <c r="G929" s="79"/>
      <c r="H929" s="80"/>
      <c r="I929" s="81"/>
      <c r="J929" s="83">
        <f>HYPERLINK("#Структура!E1355",Структура!E1355)</f>
        <v>1</v>
      </c>
      <c r="K929" s="115">
        <f>HYPERLINK("#Структура!G1355",Структура!G1355)</f>
        <v>21.622119999999999</v>
      </c>
      <c r="L929" s="81">
        <f>M929/J929</f>
        <v>4175.3311999999996</v>
      </c>
      <c r="M929" s="81">
        <f>SUMIF(E930,"*",M930)*J929</f>
        <v>4175.3311999999996</v>
      </c>
      <c r="N929" s="124">
        <f>HYPERLINK("#Трудозатраты!B347",Трудозатраты!B347+SUMIF(E930,"*",O930))</f>
        <v>54</v>
      </c>
      <c r="O929" s="82">
        <f>N929*J929</f>
        <v>54</v>
      </c>
      <c r="P929" s="81">
        <f>O929/60*(1+запас_труд)*стоимость_трудочаса</f>
        <v>2115</v>
      </c>
      <c r="Q929" s="129">
        <f>M929*(1+наценка_покупное)+P929</f>
        <v>7125.3974399999997</v>
      </c>
    </row>
    <row r="930" spans="4:17" hidden="1" outlineLevel="3" x14ac:dyDescent="0.25">
      <c r="E930" s="74" t="s">
        <v>128</v>
      </c>
      <c r="F930" s="74"/>
      <c r="G930" s="74"/>
      <c r="H930" s="75"/>
      <c r="I930" s="76"/>
      <c r="J930" s="78">
        <f>HYPERLINK("#Структура!E1303",Структура!E1303)</f>
        <v>26.09582</v>
      </c>
      <c r="K930" s="114" t="str">
        <f>HYPERLINK("#Структура!G1303","")</f>
        <v/>
      </c>
      <c r="L930" s="120">
        <f>HYPERLINK("#Покупные_изделия!D303",Покупные_изделия!D303)</f>
        <v>160</v>
      </c>
      <c r="M930" s="76">
        <f>J930*L930</f>
        <v>4175.3311999999996</v>
      </c>
      <c r="N930" s="77"/>
      <c r="O930" s="77"/>
      <c r="P930" s="76"/>
      <c r="Q930" s="76"/>
    </row>
    <row r="931" spans="4:17" hidden="1" outlineLevel="2" collapsed="1" x14ac:dyDescent="0.25">
      <c r="D931" s="84" t="s">
        <v>1035</v>
      </c>
      <c r="E931" s="79"/>
      <c r="F931" s="79"/>
      <c r="G931" s="79"/>
      <c r="H931" s="80"/>
      <c r="I931" s="81"/>
      <c r="J931" s="83">
        <f>HYPERLINK("#Структура!E1356",Структура!E1356)</f>
        <v>5</v>
      </c>
      <c r="K931" s="115">
        <f>HYPERLINK("#Структура!G1356",Структура!G1356)</f>
        <v>24.96865</v>
      </c>
      <c r="L931" s="81">
        <f>M931/J931</f>
        <v>4825.4928</v>
      </c>
      <c r="M931" s="81">
        <f>SUMIF(E932,"*",M932)*J931</f>
        <v>24127.464</v>
      </c>
      <c r="N931" s="124">
        <f>HYPERLINK("#Трудозатраты!B350",Трудозатраты!B350+SUMIF(E932,"*",O932))</f>
        <v>32</v>
      </c>
      <c r="O931" s="82">
        <f>N931*J931</f>
        <v>160</v>
      </c>
      <c r="P931" s="81">
        <f>O931/60*(1+запас_труд)*стоимость_трудочаса</f>
        <v>6266.6666666666661</v>
      </c>
      <c r="Q931" s="129">
        <f>M931*(1+наценка_покупное)+P931</f>
        <v>35219.623466666664</v>
      </c>
    </row>
    <row r="932" spans="4:17" hidden="1" outlineLevel="3" x14ac:dyDescent="0.25">
      <c r="E932" s="74" t="s">
        <v>131</v>
      </c>
      <c r="F932" s="74"/>
      <c r="G932" s="74"/>
      <c r="H932" s="75"/>
      <c r="I932" s="76"/>
      <c r="J932" s="78">
        <f>HYPERLINK("#Структура!E1306",Структура!E1306)</f>
        <v>30.159330000000001</v>
      </c>
      <c r="K932" s="114" t="str">
        <f>HYPERLINK("#Структура!G1306","")</f>
        <v/>
      </c>
      <c r="L932" s="120">
        <f>HYPERLINK("#Покупные_изделия!D306",Покупные_изделия!D306)</f>
        <v>160</v>
      </c>
      <c r="M932" s="76">
        <f>J932*L932</f>
        <v>4825.4928</v>
      </c>
      <c r="N932" s="77"/>
      <c r="O932" s="77"/>
      <c r="P932" s="76"/>
      <c r="Q932" s="76"/>
    </row>
    <row r="933" spans="4:17" hidden="1" outlineLevel="2" collapsed="1" x14ac:dyDescent="0.25">
      <c r="D933" s="84" t="s">
        <v>1036</v>
      </c>
      <c r="E933" s="79"/>
      <c r="F933" s="79"/>
      <c r="G933" s="79"/>
      <c r="H933" s="80"/>
      <c r="I933" s="81"/>
      <c r="J933" s="83">
        <f>HYPERLINK("#Структура!E1357",Структура!E1357)</f>
        <v>5</v>
      </c>
      <c r="K933" s="115">
        <f>HYPERLINK("#Структура!G1357",Структура!G1357)</f>
        <v>24.96865</v>
      </c>
      <c r="L933" s="81">
        <f>M933/J933</f>
        <v>4825.4928</v>
      </c>
      <c r="M933" s="81">
        <f>SUMIF(E934,"*",M934)*J933</f>
        <v>24127.464</v>
      </c>
      <c r="N933" s="124">
        <f>HYPERLINK("#Трудозатраты!B351",Трудозатраты!B351+SUMIF(E934,"*",O934))</f>
        <v>32</v>
      </c>
      <c r="O933" s="82">
        <f>N933*J933</f>
        <v>160</v>
      </c>
      <c r="P933" s="81">
        <f>O933/60*(1+запас_труд)*стоимость_трудочаса</f>
        <v>6266.6666666666661</v>
      </c>
      <c r="Q933" s="129">
        <f>M933*(1+наценка_покупное)+P933</f>
        <v>35219.623466666664</v>
      </c>
    </row>
    <row r="934" spans="4:17" hidden="1" outlineLevel="3" x14ac:dyDescent="0.25">
      <c r="E934" s="74" t="s">
        <v>131</v>
      </c>
      <c r="F934" s="74"/>
      <c r="G934" s="74"/>
      <c r="H934" s="75"/>
      <c r="I934" s="76"/>
      <c r="J934" s="78">
        <f>HYPERLINK("#Структура!E1307",Структура!E1307)</f>
        <v>30.159330000000001</v>
      </c>
      <c r="K934" s="114" t="str">
        <f>HYPERLINK("#Структура!G1307","")</f>
        <v/>
      </c>
      <c r="L934" s="120">
        <f>HYPERLINK("#Покупные_изделия!D306",Покупные_изделия!D306)</f>
        <v>160</v>
      </c>
      <c r="M934" s="76">
        <f>J934*L934</f>
        <v>4825.4928</v>
      </c>
      <c r="N934" s="77"/>
      <c r="O934" s="77"/>
      <c r="P934" s="76"/>
      <c r="Q934" s="76"/>
    </row>
    <row r="935" spans="4:17" hidden="1" outlineLevel="2" collapsed="1" x14ac:dyDescent="0.25">
      <c r="D935" s="84" t="s">
        <v>1044</v>
      </c>
      <c r="E935" s="79"/>
      <c r="F935" s="79"/>
      <c r="G935" s="79"/>
      <c r="H935" s="80"/>
      <c r="I935" s="81"/>
      <c r="J935" s="83">
        <f>HYPERLINK("#Структура!E1358",Структура!E1358)</f>
        <v>2</v>
      </c>
      <c r="K935" s="115">
        <f>HYPERLINK("#Структура!G1358",Структура!G1358)</f>
        <v>2.4657800000000001</v>
      </c>
      <c r="L935" s="81">
        <f>M935/J935</f>
        <v>505.06239999999997</v>
      </c>
      <c r="M935" s="81">
        <f>SUMIF(E936,"*",M936)*J935</f>
        <v>1010.1247999999999</v>
      </c>
      <c r="N935" s="124">
        <f>HYPERLINK("#Трудозатраты!B359",Трудозатраты!B359+SUMIF(E936,"*",O936))</f>
        <v>13.5</v>
      </c>
      <c r="O935" s="82">
        <f>N935*J935</f>
        <v>27</v>
      </c>
      <c r="P935" s="81">
        <f>O935/60*(1+запас_труд)*стоимость_трудочаса</f>
        <v>1057.5</v>
      </c>
      <c r="Q935" s="129">
        <f>M935*(1+наценка_покупное)+P935</f>
        <v>2269.6497599999998</v>
      </c>
    </row>
    <row r="936" spans="4:17" hidden="1" outlineLevel="3" x14ac:dyDescent="0.25">
      <c r="E936" s="74" t="s">
        <v>131</v>
      </c>
      <c r="F936" s="74"/>
      <c r="G936" s="74"/>
      <c r="H936" s="75"/>
      <c r="I936" s="76"/>
      <c r="J936" s="78">
        <f>HYPERLINK("#Структура!E1375",Структура!E1375)</f>
        <v>3.1566399999999999</v>
      </c>
      <c r="K936" s="114" t="str">
        <f>HYPERLINK("#Структура!G1375","")</f>
        <v/>
      </c>
      <c r="L936" s="120">
        <f>HYPERLINK("#Покупные_изделия!D306",Покупные_изделия!D306)</f>
        <v>160</v>
      </c>
      <c r="M936" s="76">
        <f>J936*L936</f>
        <v>505.06239999999997</v>
      </c>
      <c r="N936" s="77"/>
      <c r="O936" s="77"/>
      <c r="P936" s="76"/>
      <c r="Q936" s="76"/>
    </row>
    <row r="937" spans="4:17" hidden="1" outlineLevel="2" collapsed="1" x14ac:dyDescent="0.25">
      <c r="D937" s="84" t="s">
        <v>1045</v>
      </c>
      <c r="E937" s="79"/>
      <c r="F937" s="79"/>
      <c r="G937" s="79"/>
      <c r="H937" s="80"/>
      <c r="I937" s="81"/>
      <c r="J937" s="83">
        <f>HYPERLINK("#Структура!E1359",Структура!E1359)</f>
        <v>4</v>
      </c>
      <c r="K937" s="115">
        <f>HYPERLINK("#Структура!G1359",Структура!G1359)</f>
        <v>9.6617999999999995</v>
      </c>
      <c r="L937" s="81">
        <f>M937/J937</f>
        <v>1594.9982603999999</v>
      </c>
      <c r="M937" s="81">
        <f>SUMIF(E938:E942,"*",M938:M942)*J937</f>
        <v>6379.9930415999997</v>
      </c>
      <c r="N937" s="124">
        <f>HYPERLINK("#Трудозатраты!B360",Трудозатраты!B360+SUMIF(E938:E942,"*",O938:O942))</f>
        <v>23.7</v>
      </c>
      <c r="O937" s="82">
        <f>N937*J937</f>
        <v>94.8</v>
      </c>
      <c r="P937" s="81">
        <f>O937/60*(1+запас_труд)*стоимость_трудочаса</f>
        <v>3712.9999999999995</v>
      </c>
      <c r="Q937" s="129">
        <f>M937*(1+наценка_покупное)+P937</f>
        <v>11368.991649919999</v>
      </c>
    </row>
    <row r="938" spans="4:17" hidden="1" outlineLevel="3" x14ac:dyDescent="0.25">
      <c r="E938" s="74" t="s">
        <v>44</v>
      </c>
      <c r="F938" s="74"/>
      <c r="G938" s="74"/>
      <c r="H938" s="75"/>
      <c r="I938" s="76"/>
      <c r="J938" s="78">
        <f>HYPERLINK("#Структура!E1376",Структура!E1376)</f>
        <v>0.16300000000000001</v>
      </c>
      <c r="K938" s="114" t="str">
        <f>HYPERLINK("#Структура!G1376","")</f>
        <v/>
      </c>
      <c r="L938" s="120">
        <f>HYPERLINK("#Покупные_изделия!D63",Покупные_изделия!D63)</f>
        <v>396.00000000000006</v>
      </c>
      <c r="M938" s="76">
        <f>J938*L938</f>
        <v>64.548000000000016</v>
      </c>
      <c r="N938" s="77"/>
      <c r="O938" s="77"/>
      <c r="P938" s="76"/>
      <c r="Q938" s="76"/>
    </row>
    <row r="939" spans="4:17" hidden="1" outlineLevel="3" x14ac:dyDescent="0.25">
      <c r="E939" s="74" t="s">
        <v>120</v>
      </c>
      <c r="F939" s="74"/>
      <c r="G939" s="74"/>
      <c r="H939" s="75"/>
      <c r="I939" s="76"/>
      <c r="J939" s="78">
        <f>HYPERLINK("#Структура!E1377",Структура!E1377)</f>
        <v>12.22861</v>
      </c>
      <c r="K939" s="114" t="str">
        <f>HYPERLINK("#Структура!G1377","")</f>
        <v/>
      </c>
      <c r="L939" s="120">
        <f>HYPERLINK("#Покупные_изделия!D295",Покупные_изделия!D295)</f>
        <v>120</v>
      </c>
      <c r="M939" s="76">
        <f>J939*L939</f>
        <v>1467.4331999999999</v>
      </c>
      <c r="N939" s="77"/>
      <c r="O939" s="77"/>
      <c r="P939" s="76"/>
      <c r="Q939" s="76"/>
    </row>
    <row r="940" spans="4:17" hidden="1" outlineLevel="3" x14ac:dyDescent="0.25">
      <c r="E940" s="74" t="s">
        <v>139</v>
      </c>
      <c r="F940" s="74"/>
      <c r="G940" s="74"/>
      <c r="H940" s="75"/>
      <c r="I940" s="76"/>
      <c r="J940" s="78">
        <f>HYPERLINK("#Структура!E1378",Структура!E1378)</f>
        <v>1.7000000000000001E-2</v>
      </c>
      <c r="K940" s="114" t="str">
        <f>HYPERLINK("#Структура!G1378","")</f>
        <v/>
      </c>
      <c r="L940" s="120">
        <f>HYPERLINK("#Покупные_изделия!D360",Покупные_изделия!D360)</f>
        <v>171.87720000000002</v>
      </c>
      <c r="M940" s="76">
        <f>J940*L940</f>
        <v>2.9219124000000005</v>
      </c>
      <c r="N940" s="77"/>
      <c r="O940" s="77"/>
      <c r="P940" s="76"/>
      <c r="Q940" s="76"/>
    </row>
    <row r="941" spans="4:17" hidden="1" outlineLevel="3" x14ac:dyDescent="0.25">
      <c r="E941" s="74" t="s">
        <v>156</v>
      </c>
      <c r="F941" s="74"/>
      <c r="G941" s="74"/>
      <c r="H941" s="75"/>
      <c r="I941" s="76"/>
      <c r="J941" s="78">
        <f>HYPERLINK("#Структура!E1379",Структура!E1379)</f>
        <v>0.05</v>
      </c>
      <c r="K941" s="114" t="str">
        <f>HYPERLINK("#Структура!G1379","")</f>
        <v/>
      </c>
      <c r="L941" s="120">
        <f>HYPERLINK("#Покупные_изделия!D427",Покупные_изделия!D427)</f>
        <v>155.53200000000001</v>
      </c>
      <c r="M941" s="76">
        <f>J941*L941</f>
        <v>7.7766000000000011</v>
      </c>
      <c r="N941" s="77"/>
      <c r="O941" s="77"/>
      <c r="P941" s="76"/>
      <c r="Q941" s="76"/>
    </row>
    <row r="942" spans="4:17" hidden="1" outlineLevel="3" x14ac:dyDescent="0.25">
      <c r="E942" s="74" t="s">
        <v>202</v>
      </c>
      <c r="F942" s="74"/>
      <c r="G942" s="74"/>
      <c r="H942" s="75"/>
      <c r="I942" s="76"/>
      <c r="J942" s="78">
        <f>HYPERLINK("#Структура!E1380",Структура!E1380)</f>
        <v>0.113</v>
      </c>
      <c r="K942" s="114" t="str">
        <f>HYPERLINK("#Структура!G1380","")</f>
        <v/>
      </c>
      <c r="L942" s="120">
        <f>HYPERLINK("#Покупные_изделия!D521",Покупные_изделия!D521)</f>
        <v>462.99599999999998</v>
      </c>
      <c r="M942" s="76">
        <f>J942*L942</f>
        <v>52.318548</v>
      </c>
      <c r="N942" s="77"/>
      <c r="O942" s="77"/>
      <c r="P942" s="76"/>
      <c r="Q942" s="76"/>
    </row>
    <row r="943" spans="4:17" hidden="1" outlineLevel="2" collapsed="1" x14ac:dyDescent="0.25">
      <c r="D943" s="84" t="s">
        <v>1046</v>
      </c>
      <c r="E943" s="79"/>
      <c r="F943" s="79"/>
      <c r="G943" s="79"/>
      <c r="H943" s="80"/>
      <c r="I943" s="81"/>
      <c r="J943" s="83">
        <f>HYPERLINK("#Структура!E1360",Структура!E1360)</f>
        <v>4</v>
      </c>
      <c r="K943" s="115">
        <f>HYPERLINK("#Структура!G1360",Структура!G1360)</f>
        <v>18.28969</v>
      </c>
      <c r="L943" s="81">
        <f>M943/J943</f>
        <v>3554.1584000000003</v>
      </c>
      <c r="M943" s="81">
        <f>SUMIF(E944,"*",M944)*J943</f>
        <v>14216.633600000001</v>
      </c>
      <c r="N943" s="124">
        <f>HYPERLINK("#Трудозатраты!B361",Трудозатраты!B361+SUMIF(E944,"*",O944))</f>
        <v>42</v>
      </c>
      <c r="O943" s="82">
        <f>N943*J943</f>
        <v>168</v>
      </c>
      <c r="P943" s="81">
        <f>O943/60*(1+запас_труд)*стоимость_трудочаса</f>
        <v>6580</v>
      </c>
      <c r="Q943" s="129">
        <f>M943*(1+наценка_покупное)+P943</f>
        <v>23639.960320000002</v>
      </c>
    </row>
    <row r="944" spans="4:17" hidden="1" outlineLevel="3" x14ac:dyDescent="0.25">
      <c r="E944" s="74" t="s">
        <v>128</v>
      </c>
      <c r="F944" s="74"/>
      <c r="G944" s="74"/>
      <c r="H944" s="75"/>
      <c r="I944" s="76"/>
      <c r="J944" s="78">
        <f>HYPERLINK("#Структура!E1381",Структура!E1381)</f>
        <v>22.21349</v>
      </c>
      <c r="K944" s="114" t="str">
        <f>HYPERLINK("#Структура!G1381","")</f>
        <v/>
      </c>
      <c r="L944" s="120">
        <f>HYPERLINK("#Покупные_изделия!D303",Покупные_изделия!D303)</f>
        <v>160</v>
      </c>
      <c r="M944" s="76">
        <f>J944*L944</f>
        <v>3554.1584000000003</v>
      </c>
      <c r="N944" s="77"/>
      <c r="O944" s="77"/>
      <c r="P944" s="76"/>
      <c r="Q944" s="76"/>
    </row>
    <row r="945" spans="4:17" hidden="1" outlineLevel="2" collapsed="1" x14ac:dyDescent="0.25">
      <c r="D945" s="84" t="s">
        <v>1047</v>
      </c>
      <c r="E945" s="79"/>
      <c r="F945" s="79"/>
      <c r="G945" s="79"/>
      <c r="H945" s="80"/>
      <c r="I945" s="81"/>
      <c r="J945" s="83">
        <f>HYPERLINK("#Структура!E1361",Структура!E1361)</f>
        <v>12</v>
      </c>
      <c r="K945" s="115">
        <f>HYPERLINK("#Структура!G1361",Структура!G1361)</f>
        <v>8.6290200000000006</v>
      </c>
      <c r="L945" s="81">
        <f>M945/J945</f>
        <v>1670.0976000000001</v>
      </c>
      <c r="M945" s="81">
        <f>SUMIF(E946,"*",M946)*J945</f>
        <v>20041.171200000001</v>
      </c>
      <c r="N945" s="124">
        <f>HYPERLINK("#Трудозатраты!B362",Трудозатраты!B362+SUMIF(E946,"*",O946))</f>
        <v>28</v>
      </c>
      <c r="O945" s="82">
        <f>N945*J945</f>
        <v>336</v>
      </c>
      <c r="P945" s="81">
        <f>O945/60*(1+запас_труд)*стоимость_трудочаса</f>
        <v>13160</v>
      </c>
      <c r="Q945" s="129">
        <f>M945*(1+наценка_покупное)+P945</f>
        <v>37209.405440000002</v>
      </c>
    </row>
    <row r="946" spans="4:17" hidden="1" outlineLevel="3" x14ac:dyDescent="0.25">
      <c r="E946" s="74" t="s">
        <v>124</v>
      </c>
      <c r="F946" s="74"/>
      <c r="G946" s="74"/>
      <c r="H946" s="75"/>
      <c r="I946" s="76"/>
      <c r="J946" s="78">
        <f>HYPERLINK("#Структура!E1382",Структура!E1382)</f>
        <v>10.43811</v>
      </c>
      <c r="K946" s="114" t="str">
        <f>HYPERLINK("#Структура!G1382","")</f>
        <v/>
      </c>
      <c r="L946" s="120">
        <f>HYPERLINK("#Покупные_изделия!D299",Покупные_изделия!D299)</f>
        <v>160</v>
      </c>
      <c r="M946" s="76">
        <f>J946*L946</f>
        <v>1670.0976000000001</v>
      </c>
      <c r="N946" s="77"/>
      <c r="O946" s="77"/>
      <c r="P946" s="76"/>
      <c r="Q946" s="76"/>
    </row>
    <row r="947" spans="4:17" hidden="1" outlineLevel="2" collapsed="1" x14ac:dyDescent="0.25">
      <c r="D947" s="84" t="s">
        <v>1048</v>
      </c>
      <c r="E947" s="79"/>
      <c r="F947" s="79"/>
      <c r="G947" s="79"/>
      <c r="H947" s="80"/>
      <c r="I947" s="81"/>
      <c r="J947" s="83">
        <f>HYPERLINK("#Структура!E1362",Структура!E1362)</f>
        <v>12</v>
      </c>
      <c r="K947" s="115">
        <f>HYPERLINK("#Структура!G1362",Структура!G1362)</f>
        <v>2.1309999999999999E-2</v>
      </c>
      <c r="L947" s="81">
        <f>M947/J947</f>
        <v>4.1151999999999997</v>
      </c>
      <c r="M947" s="81">
        <f>SUMIF(E948,"*",M948)*J947</f>
        <v>49.382399999999997</v>
      </c>
      <c r="N947" s="124">
        <f>HYPERLINK("#Трудозатраты!B363",Трудозатраты!B363+SUMIF(E948,"*",O948))</f>
        <v>3.8499999999999996</v>
      </c>
      <c r="O947" s="82">
        <f>N947*J947</f>
        <v>46.199999999999996</v>
      </c>
      <c r="P947" s="81">
        <f>O947/60*(1+запас_труд)*стоимость_трудочаса</f>
        <v>1809.4999999999998</v>
      </c>
      <c r="Q947" s="129">
        <f>M947*(1+наценка_покупное)+P947</f>
        <v>1868.7588799999999</v>
      </c>
    </row>
    <row r="948" spans="4:17" hidden="1" outlineLevel="3" x14ac:dyDescent="0.25">
      <c r="E948" s="74" t="s">
        <v>128</v>
      </c>
      <c r="F948" s="74"/>
      <c r="G948" s="74"/>
      <c r="H948" s="75"/>
      <c r="I948" s="76"/>
      <c r="J948" s="78">
        <f>HYPERLINK("#Структура!E1383",Структура!E1383)</f>
        <v>2.572E-2</v>
      </c>
      <c r="K948" s="114" t="str">
        <f>HYPERLINK("#Структура!G1383","")</f>
        <v/>
      </c>
      <c r="L948" s="120">
        <f>HYPERLINK("#Покупные_изделия!D303",Покупные_изделия!D303)</f>
        <v>160</v>
      </c>
      <c r="M948" s="76">
        <f>J948*L948</f>
        <v>4.1151999999999997</v>
      </c>
      <c r="N948" s="77"/>
      <c r="O948" s="77"/>
      <c r="P948" s="76"/>
      <c r="Q948" s="76"/>
    </row>
    <row r="949" spans="4:17" hidden="1" outlineLevel="2" collapsed="1" x14ac:dyDescent="0.25">
      <c r="D949" s="84" t="s">
        <v>1049</v>
      </c>
      <c r="E949" s="79"/>
      <c r="F949" s="79"/>
      <c r="G949" s="79"/>
      <c r="H949" s="80"/>
      <c r="I949" s="81"/>
      <c r="J949" s="83">
        <f>HYPERLINK("#Структура!E1363",Структура!E1363)</f>
        <v>8</v>
      </c>
      <c r="K949" s="115">
        <f>HYPERLINK("#Структура!G1363",Структура!G1363)</f>
        <v>0.29582999999999998</v>
      </c>
      <c r="L949" s="81">
        <f>M949/J949</f>
        <v>49.474525199999995</v>
      </c>
      <c r="M949" s="81">
        <f>SUMIF(E950:E954,"*",M950:M954)*J949</f>
        <v>395.79620159999996</v>
      </c>
      <c r="N949" s="124">
        <f>HYPERLINK("#Трудозатраты!B364",Трудозатраты!B364+SUMIF(E950:E954,"*",O950:O954))</f>
        <v>4.5</v>
      </c>
      <c r="O949" s="82">
        <f>N949*J949</f>
        <v>36</v>
      </c>
      <c r="P949" s="81">
        <f>O949/60*(1+запас_труд)*стоимость_трудочаса</f>
        <v>1410</v>
      </c>
      <c r="Q949" s="129">
        <f>M949*(1+наценка_покупное)+P949</f>
        <v>1884.9554419199999</v>
      </c>
    </row>
    <row r="950" spans="4:17" hidden="1" outlineLevel="3" x14ac:dyDescent="0.25">
      <c r="E950" s="74" t="s">
        <v>44</v>
      </c>
      <c r="F950" s="74"/>
      <c r="G950" s="74"/>
      <c r="H950" s="75"/>
      <c r="I950" s="76"/>
      <c r="J950" s="78">
        <f>HYPERLINK("#Структура!E1384",Структура!E1384)</f>
        <v>6.0000000000000001E-3</v>
      </c>
      <c r="K950" s="114" t="str">
        <f>HYPERLINK("#Структура!G1384","")</f>
        <v/>
      </c>
      <c r="L950" s="120">
        <f>HYPERLINK("#Покупные_изделия!D63",Покупные_изделия!D63)</f>
        <v>396.00000000000006</v>
      </c>
      <c r="M950" s="76">
        <f>J950*L950</f>
        <v>2.3760000000000003</v>
      </c>
      <c r="N950" s="77"/>
      <c r="O950" s="77"/>
      <c r="P950" s="76"/>
      <c r="Q950" s="76"/>
    </row>
    <row r="951" spans="4:17" hidden="1" outlineLevel="3" x14ac:dyDescent="0.25">
      <c r="E951" s="74" t="s">
        <v>120</v>
      </c>
      <c r="F951" s="74"/>
      <c r="G951" s="74"/>
      <c r="H951" s="75"/>
      <c r="I951" s="76"/>
      <c r="J951" s="78">
        <f>HYPERLINK("#Структура!E1385",Структура!E1385)</f>
        <v>0.37302999999999997</v>
      </c>
      <c r="K951" s="114" t="str">
        <f>HYPERLINK("#Структура!G1385","")</f>
        <v/>
      </c>
      <c r="L951" s="120">
        <f>HYPERLINK("#Покупные_изделия!D295",Покупные_изделия!D295)</f>
        <v>120</v>
      </c>
      <c r="M951" s="76">
        <f>J951*L951</f>
        <v>44.763599999999997</v>
      </c>
      <c r="N951" s="77"/>
      <c r="O951" s="77"/>
      <c r="P951" s="76"/>
      <c r="Q951" s="76"/>
    </row>
    <row r="952" spans="4:17" hidden="1" outlineLevel="3" x14ac:dyDescent="0.25">
      <c r="E952" s="74" t="s">
        <v>139</v>
      </c>
      <c r="F952" s="74"/>
      <c r="G952" s="74"/>
      <c r="H952" s="75"/>
      <c r="I952" s="76"/>
      <c r="J952" s="78">
        <f>HYPERLINK("#Структура!E1386",Структура!E1386)</f>
        <v>1E-3</v>
      </c>
      <c r="K952" s="114" t="str">
        <f>HYPERLINK("#Структура!G1386","")</f>
        <v/>
      </c>
      <c r="L952" s="120">
        <f>HYPERLINK("#Покупные_изделия!D360",Покупные_изделия!D360)</f>
        <v>171.87720000000002</v>
      </c>
      <c r="M952" s="76">
        <f>J952*L952</f>
        <v>0.17187720000000001</v>
      </c>
      <c r="N952" s="77"/>
      <c r="O952" s="77"/>
      <c r="P952" s="76"/>
      <c r="Q952" s="76"/>
    </row>
    <row r="953" spans="4:17" hidden="1" outlineLevel="3" x14ac:dyDescent="0.25">
      <c r="E953" s="74" t="s">
        <v>156</v>
      </c>
      <c r="F953" s="74"/>
      <c r="G953" s="74"/>
      <c r="H953" s="75"/>
      <c r="I953" s="76"/>
      <c r="J953" s="78">
        <f>HYPERLINK("#Структура!E1387",Структура!E1387)</f>
        <v>2E-3</v>
      </c>
      <c r="K953" s="114" t="str">
        <f>HYPERLINK("#Структура!G1387","")</f>
        <v/>
      </c>
      <c r="L953" s="120">
        <f>HYPERLINK("#Покупные_изделия!D427",Покупные_изделия!D427)</f>
        <v>155.53200000000001</v>
      </c>
      <c r="M953" s="76">
        <f>J953*L953</f>
        <v>0.31106400000000001</v>
      </c>
      <c r="N953" s="77"/>
      <c r="O953" s="77"/>
      <c r="P953" s="76"/>
      <c r="Q953" s="76"/>
    </row>
    <row r="954" spans="4:17" hidden="1" outlineLevel="3" x14ac:dyDescent="0.25">
      <c r="E954" s="74" t="s">
        <v>202</v>
      </c>
      <c r="F954" s="74"/>
      <c r="G954" s="74"/>
      <c r="H954" s="75"/>
      <c r="I954" s="76"/>
      <c r="J954" s="78">
        <f>HYPERLINK("#Структура!E1388",Структура!E1388)</f>
        <v>4.0000000000000001E-3</v>
      </c>
      <c r="K954" s="114" t="str">
        <f>HYPERLINK("#Структура!G1388","")</f>
        <v/>
      </c>
      <c r="L954" s="120">
        <f>HYPERLINK("#Покупные_изделия!D521",Покупные_изделия!D521)</f>
        <v>462.99599999999998</v>
      </c>
      <c r="M954" s="76">
        <f>J954*L954</f>
        <v>1.8519839999999999</v>
      </c>
      <c r="N954" s="77"/>
      <c r="O954" s="77"/>
      <c r="P954" s="76"/>
      <c r="Q954" s="76"/>
    </row>
    <row r="955" spans="4:17" hidden="1" outlineLevel="2" collapsed="1" x14ac:dyDescent="0.25">
      <c r="D955" s="84" t="s">
        <v>1050</v>
      </c>
      <c r="E955" s="79"/>
      <c r="F955" s="79"/>
      <c r="G955" s="79"/>
      <c r="H955" s="80"/>
      <c r="I955" s="81"/>
      <c r="J955" s="83">
        <f>HYPERLINK("#Структура!E1364",Структура!E1364)</f>
        <v>1</v>
      </c>
      <c r="K955" s="115">
        <f>HYPERLINK("#Структура!G1364",Структура!G1364)</f>
        <v>6.77881</v>
      </c>
      <c r="L955" s="81">
        <f>M955/J955</f>
        <v>1311.336</v>
      </c>
      <c r="M955" s="81">
        <f>SUMIF(E956,"*",M956)*J955</f>
        <v>1311.336</v>
      </c>
      <c r="N955" s="124">
        <f>HYPERLINK("#Трудозатраты!B365",Трудозатраты!B365+SUMIF(E956,"*",O956))</f>
        <v>24</v>
      </c>
      <c r="O955" s="82">
        <f>N955*J955</f>
        <v>24</v>
      </c>
      <c r="P955" s="81">
        <f>O955/60*(1+запас_труд)*стоимость_трудочаса</f>
        <v>940</v>
      </c>
      <c r="Q955" s="129">
        <f>M955*(1+наценка_покупное)+P955</f>
        <v>2513.6032</v>
      </c>
    </row>
    <row r="956" spans="4:17" hidden="1" outlineLevel="3" x14ac:dyDescent="0.25">
      <c r="E956" s="74" t="s">
        <v>128</v>
      </c>
      <c r="F956" s="74"/>
      <c r="G956" s="74"/>
      <c r="H956" s="75"/>
      <c r="I956" s="76"/>
      <c r="J956" s="78">
        <f>HYPERLINK("#Структура!E1389",Структура!E1389)</f>
        <v>8.1958500000000001</v>
      </c>
      <c r="K956" s="114" t="str">
        <f>HYPERLINK("#Структура!G1389","")</f>
        <v/>
      </c>
      <c r="L956" s="120">
        <f>HYPERLINK("#Покупные_изделия!D303",Покупные_изделия!D303)</f>
        <v>160</v>
      </c>
      <c r="M956" s="76">
        <f t="shared" ref="M956:M965" si="38">J956*L956</f>
        <v>1311.336</v>
      </c>
      <c r="N956" s="77"/>
      <c r="O956" s="77"/>
      <c r="P956" s="76"/>
      <c r="Q956" s="76"/>
    </row>
    <row r="957" spans="4:17" hidden="1" outlineLevel="2" x14ac:dyDescent="0.25">
      <c r="D957" s="74" t="s">
        <v>998</v>
      </c>
      <c r="E957" s="74"/>
      <c r="F957" s="74"/>
      <c r="G957" s="74"/>
      <c r="H957" s="75"/>
      <c r="I957" s="76"/>
      <c r="J957" s="78">
        <f>HYPERLINK("#Структура!E1365",Структура!E1365)</f>
        <v>50</v>
      </c>
      <c r="K957" s="114">
        <f>HYPERLINK("#Структура!G1365",Структура!G1365)</f>
        <v>1.4599999999999999E-3</v>
      </c>
      <c r="L957" s="120">
        <f>HYPERLINK("#Покупные_изделия!D149",Покупные_изделия!D149)</f>
        <v>1.032</v>
      </c>
      <c r="M957" s="76">
        <f t="shared" si="38"/>
        <v>51.6</v>
      </c>
      <c r="N957" s="77"/>
      <c r="O957" s="77"/>
      <c r="P957" s="76"/>
      <c r="Q957" s="76"/>
    </row>
    <row r="958" spans="4:17" hidden="1" outlineLevel="2" x14ac:dyDescent="0.25">
      <c r="D958" s="74" t="s">
        <v>999</v>
      </c>
      <c r="E958" s="74"/>
      <c r="F958" s="74"/>
      <c r="G958" s="74"/>
      <c r="H958" s="75"/>
      <c r="I958" s="76"/>
      <c r="J958" s="78">
        <f>HYPERLINK("#Структура!E1366",Структура!E1366)</f>
        <v>4</v>
      </c>
      <c r="K958" s="114">
        <f>HYPERLINK("#Структура!G1366",Структура!G1366)</f>
        <v>7.3000000000000001E-3</v>
      </c>
      <c r="L958" s="120">
        <f>HYPERLINK("#Покупные_изделия!D83",Покупные_изделия!D83)</f>
        <v>9.4919999999999991</v>
      </c>
      <c r="M958" s="76">
        <f t="shared" si="38"/>
        <v>37.967999999999996</v>
      </c>
      <c r="N958" s="77"/>
      <c r="O958" s="77"/>
      <c r="P958" s="76"/>
      <c r="Q958" s="76"/>
    </row>
    <row r="959" spans="4:17" hidden="1" outlineLevel="2" x14ac:dyDescent="0.25">
      <c r="D959" s="74" t="s">
        <v>622</v>
      </c>
      <c r="E959" s="74"/>
      <c r="F959" s="74"/>
      <c r="G959" s="74"/>
      <c r="H959" s="75"/>
      <c r="I959" s="76"/>
      <c r="J959" s="78">
        <f>HYPERLINK("#Структура!E1367",Структура!E1367)</f>
        <v>2310</v>
      </c>
      <c r="K959" s="114">
        <f>HYPERLINK("#Структура!G1367",Структура!G1367)</f>
        <v>1.52E-2</v>
      </c>
      <c r="L959" s="120">
        <f>HYPERLINK("#Покупные_изделия!D85",Покупные_изделия!D85)</f>
        <v>8.6999999999999993</v>
      </c>
      <c r="M959" s="76">
        <f t="shared" si="38"/>
        <v>20097</v>
      </c>
      <c r="N959" s="77"/>
      <c r="O959" s="77"/>
      <c r="P959" s="76"/>
      <c r="Q959" s="76"/>
    </row>
    <row r="960" spans="4:17" hidden="1" outlineLevel="2" x14ac:dyDescent="0.25">
      <c r="D960" s="74" t="s">
        <v>1000</v>
      </c>
      <c r="E960" s="74"/>
      <c r="F960" s="74"/>
      <c r="G960" s="74"/>
      <c r="H960" s="75"/>
      <c r="I960" s="76"/>
      <c r="J960" s="78">
        <f>HYPERLINK("#Структура!E1368",Структура!E1368)</f>
        <v>4</v>
      </c>
      <c r="K960" s="114">
        <f>HYPERLINK("#Структура!G1368",Структура!G1368)</f>
        <v>1.99E-3</v>
      </c>
      <c r="L960" s="120">
        <f>HYPERLINK("#Покупные_изделия!D118",Покупные_изделия!D118)</f>
        <v>0.83160000000000012</v>
      </c>
      <c r="M960" s="76">
        <f t="shared" si="38"/>
        <v>3.3264000000000005</v>
      </c>
      <c r="N960" s="77"/>
      <c r="O960" s="77"/>
      <c r="P960" s="76"/>
      <c r="Q960" s="76"/>
    </row>
    <row r="961" spans="3:17" hidden="1" outlineLevel="2" x14ac:dyDescent="0.25">
      <c r="D961" s="74" t="s">
        <v>1001</v>
      </c>
      <c r="E961" s="74"/>
      <c r="F961" s="74"/>
      <c r="G961" s="74"/>
      <c r="H961" s="75"/>
      <c r="I961" s="76"/>
      <c r="J961" s="78">
        <f>HYPERLINK("#Структура!E1369",Структура!E1369)</f>
        <v>400</v>
      </c>
      <c r="K961" s="114">
        <f>HYPERLINK("#Структура!G1369",Структура!G1369)</f>
        <v>9.5300000000000003E-3</v>
      </c>
      <c r="L961" s="120">
        <f>HYPERLINK("#Покупные_изделия!D124",Покупные_изделия!D124)</f>
        <v>8.6999999999999993</v>
      </c>
      <c r="M961" s="76">
        <f t="shared" si="38"/>
        <v>3479.9999999999995</v>
      </c>
      <c r="N961" s="77"/>
      <c r="O961" s="77"/>
      <c r="P961" s="76"/>
      <c r="Q961" s="76"/>
    </row>
    <row r="962" spans="3:17" hidden="1" outlineLevel="2" x14ac:dyDescent="0.25">
      <c r="D962" s="74" t="s">
        <v>1002</v>
      </c>
      <c r="E962" s="74"/>
      <c r="F962" s="74"/>
      <c r="G962" s="74"/>
      <c r="H962" s="75"/>
      <c r="I962" s="76"/>
      <c r="J962" s="78">
        <f>HYPERLINK("#Структура!E1370",Структура!E1370)</f>
        <v>4</v>
      </c>
      <c r="K962" s="114">
        <f>HYPERLINK("#Структура!G1370",Структура!G1370)</f>
        <v>8.0000000000000004E-4</v>
      </c>
      <c r="L962" s="120">
        <f>HYPERLINK("#Покупные_изделия!D186",Покупные_изделия!D186)</f>
        <v>0.51480000000000004</v>
      </c>
      <c r="M962" s="76">
        <f t="shared" si="38"/>
        <v>2.0592000000000001</v>
      </c>
      <c r="N962" s="77"/>
      <c r="O962" s="77"/>
      <c r="P962" s="76"/>
      <c r="Q962" s="76"/>
    </row>
    <row r="963" spans="3:17" hidden="1" outlineLevel="2" x14ac:dyDescent="0.25">
      <c r="D963" s="74" t="s">
        <v>871</v>
      </c>
      <c r="E963" s="74"/>
      <c r="F963" s="74"/>
      <c r="G963" s="74"/>
      <c r="H963" s="75"/>
      <c r="I963" s="76"/>
      <c r="J963" s="78">
        <f>HYPERLINK("#Структура!E1371",Структура!E1371)</f>
        <v>4</v>
      </c>
      <c r="K963" s="114">
        <f>HYPERLINK("#Структура!G1371",Структура!G1371)</f>
        <v>3.3E-3</v>
      </c>
      <c r="L963" s="120">
        <f>HYPERLINK("#Покупные_изделия!D167",Покупные_изделия!D167)</f>
        <v>2.0654400000000002</v>
      </c>
      <c r="M963" s="76">
        <f t="shared" si="38"/>
        <v>8.2617600000000007</v>
      </c>
      <c r="N963" s="77"/>
      <c r="O963" s="77"/>
      <c r="P963" s="76"/>
      <c r="Q963" s="76"/>
    </row>
    <row r="964" spans="3:17" hidden="1" outlineLevel="2" x14ac:dyDescent="0.25">
      <c r="D964" s="74" t="s">
        <v>625</v>
      </c>
      <c r="E964" s="74"/>
      <c r="F964" s="74"/>
      <c r="G964" s="74"/>
      <c r="H964" s="75"/>
      <c r="I964" s="76"/>
      <c r="J964" s="78">
        <f>HYPERLINK("#Структура!E1372",Структура!E1372)</f>
        <v>2700</v>
      </c>
      <c r="K964" s="114">
        <f>HYPERLINK("#Структура!G1372",Структура!G1372)</f>
        <v>7.1399999999999996E-3</v>
      </c>
      <c r="L964" s="120">
        <f>HYPERLINK("#Покупные_изделия!D168",Покупные_изделия!D168)</f>
        <v>1.9715672368421051</v>
      </c>
      <c r="M964" s="76">
        <f t="shared" si="38"/>
        <v>5323.2315394736834</v>
      </c>
      <c r="N964" s="77"/>
      <c r="O964" s="77"/>
      <c r="P964" s="76"/>
      <c r="Q964" s="76"/>
    </row>
    <row r="965" spans="3:17" hidden="1" outlineLevel="2" x14ac:dyDescent="0.25">
      <c r="D965" s="74" t="s">
        <v>1003</v>
      </c>
      <c r="E965" s="74"/>
      <c r="F965" s="74"/>
      <c r="G965" s="74"/>
      <c r="H965" s="75"/>
      <c r="I965" s="76"/>
      <c r="J965" s="78">
        <f>HYPERLINK("#Структура!E1373",Структура!E1373)</f>
        <v>4</v>
      </c>
      <c r="K965" s="114">
        <f>HYPERLINK("#Структура!G1373",Структура!G1373)</f>
        <v>1.2999999999999999E-4</v>
      </c>
      <c r="L965" s="120">
        <f>HYPERLINK("#Покупные_изделия!D528",Покупные_изделия!D528)</f>
        <v>1.1000000000000001</v>
      </c>
      <c r="M965" s="76">
        <f t="shared" si="38"/>
        <v>4.4000000000000004</v>
      </c>
      <c r="N965" s="77"/>
      <c r="O965" s="77"/>
      <c r="P965" s="76"/>
      <c r="Q965" s="76"/>
    </row>
    <row r="966" spans="3:17" hidden="1" outlineLevel="2" collapsed="1" x14ac:dyDescent="0.25">
      <c r="D966" s="96" t="s">
        <v>631</v>
      </c>
      <c r="E966" s="91"/>
      <c r="F966" s="91"/>
      <c r="G966" s="91"/>
      <c r="H966" s="92"/>
      <c r="I966" s="93"/>
      <c r="J966" s="95">
        <f>HYPERLINK("#Структура!E1374",Структура!E1374)</f>
        <v>1</v>
      </c>
      <c r="K966" s="117">
        <f t="array" ref="K966">SUMPRODUCT(IF(ISTEXT(E967:E970),1,0),J967:J970,K967:K970)</f>
        <v>830.28239999999994</v>
      </c>
      <c r="L966" s="93">
        <f>M966/J966</f>
        <v>277526.28000000003</v>
      </c>
      <c r="M966" s="93">
        <f>SUMIF(E967:E970,"*",M967:M970)*J966</f>
        <v>277526.28000000003</v>
      </c>
      <c r="N966" s="125">
        <f>HYPERLINK("#Трудозатраты!B14",Трудозатраты!B14+SUMIF(E967:E970,"*",O967:O970))</f>
        <v>9852</v>
      </c>
      <c r="O966" s="94">
        <f>N966*J966</f>
        <v>9852</v>
      </c>
      <c r="P966" s="93">
        <f>O966/60*(1+запас_труд)*стоимость_трудочаса</f>
        <v>385870</v>
      </c>
      <c r="Q966" s="130">
        <f>M966*(1+наценка_покупное)+P966</f>
        <v>718901.53600000008</v>
      </c>
    </row>
    <row r="967" spans="3:17" hidden="1" outlineLevel="3" collapsed="1" x14ac:dyDescent="0.25">
      <c r="E967" s="85" t="s">
        <v>630</v>
      </c>
      <c r="F967" s="86"/>
      <c r="G967" s="86"/>
      <c r="H967" s="87"/>
      <c r="I967" s="88"/>
      <c r="J967" s="90">
        <f>HYPERLINK("#Структура!E49",Структура!E49)</f>
        <v>48</v>
      </c>
      <c r="K967" s="113">
        <f>HYPERLINK("#Структура!G49",Структура!G49)</f>
        <v>8.64696</v>
      </c>
      <c r="L967" s="88">
        <f>M967/J967</f>
        <v>3157.4550000000004</v>
      </c>
      <c r="M967" s="88">
        <f>SUMIF(F968,"*",M968)*J967</f>
        <v>151557.84000000003</v>
      </c>
      <c r="N967" s="123">
        <f>HYPERLINK("#Трудозатраты!B299",Трудозатраты!B299+SUMIF(F968,"*",O968))</f>
        <v>109</v>
      </c>
      <c r="O967" s="89">
        <f>N967*J967</f>
        <v>5232</v>
      </c>
      <c r="P967" s="88">
        <f>O967/60*(1+запас_труд)*стоимость_трудочаса</f>
        <v>204920</v>
      </c>
      <c r="Q967" s="128">
        <f>M967*(1+наценка_покупное)+P967</f>
        <v>386789.40800000005</v>
      </c>
    </row>
    <row r="968" spans="3:17" hidden="1" outlineLevel="4" x14ac:dyDescent="0.25">
      <c r="F968" s="74" t="s">
        <v>45</v>
      </c>
      <c r="G968" s="74"/>
      <c r="H968" s="75"/>
      <c r="I968" s="76"/>
      <c r="J968" s="78">
        <f>HYPERLINK("#Структура!E1184",Структура!E1184)</f>
        <v>10.524850000000001</v>
      </c>
      <c r="K968" s="114" t="str">
        <f>HYPERLINK("#Структура!G1184","")</f>
        <v/>
      </c>
      <c r="L968" s="120">
        <f>HYPERLINK("#Покупные_изделия!D64",Покупные_изделия!D64)</f>
        <v>300</v>
      </c>
      <c r="M968" s="76">
        <f>J968*L968</f>
        <v>3157.4550000000004</v>
      </c>
      <c r="N968" s="77"/>
      <c r="O968" s="77"/>
      <c r="P968" s="76"/>
      <c r="Q968" s="76"/>
    </row>
    <row r="969" spans="3:17" hidden="1" outlineLevel="3" collapsed="1" x14ac:dyDescent="0.25">
      <c r="E969" s="84" t="s">
        <v>632</v>
      </c>
      <c r="F969" s="79"/>
      <c r="G969" s="79"/>
      <c r="H969" s="80"/>
      <c r="I969" s="81"/>
      <c r="J969" s="83">
        <f>HYPERLINK("#Структура!E50",Структура!E50)</f>
        <v>48</v>
      </c>
      <c r="K969" s="115">
        <f>HYPERLINK("#Структура!G50",Структура!G50)</f>
        <v>8.6505899999999993</v>
      </c>
      <c r="L969" s="81">
        <f>M969/J969</f>
        <v>2624.3425000000002</v>
      </c>
      <c r="M969" s="81">
        <f>SUMIF(F970,"*",M970)*J969</f>
        <v>125968.44</v>
      </c>
      <c r="N969" s="124">
        <f>HYPERLINK("#Трудозатраты!B348",Трудозатраты!B348+SUMIF(F970,"*",O970))</f>
        <v>95</v>
      </c>
      <c r="O969" s="82">
        <f>N969*J969</f>
        <v>4560</v>
      </c>
      <c r="P969" s="81">
        <f>O969/60*(1+запас_труд)*стоимость_трудочаса</f>
        <v>178600</v>
      </c>
      <c r="Q969" s="129">
        <f>M969*(1+наценка_покупное)+P969</f>
        <v>329762.12800000003</v>
      </c>
    </row>
    <row r="970" spans="3:17" hidden="1" outlineLevel="4" x14ac:dyDescent="0.25">
      <c r="F970" s="74" t="s">
        <v>126</v>
      </c>
      <c r="G970" s="74"/>
      <c r="H970" s="75"/>
      <c r="I970" s="76"/>
      <c r="J970" s="78">
        <f>HYPERLINK("#Структура!E1304",Структура!E1304)</f>
        <v>10.49737</v>
      </c>
      <c r="K970" s="114" t="str">
        <f>HYPERLINK("#Структура!G1304","")</f>
        <v/>
      </c>
      <c r="L970" s="120">
        <f>HYPERLINK("#Покупные_изделия!D301",Покупные_изделия!D301)</f>
        <v>250</v>
      </c>
      <c r="M970" s="76">
        <f>J970*L970</f>
        <v>2624.3425000000002</v>
      </c>
      <c r="N970" s="77"/>
      <c r="O970" s="77"/>
      <c r="P970" s="76"/>
      <c r="Q970" s="76"/>
    </row>
    <row r="971" spans="3:17" hidden="1" outlineLevel="1" collapsed="1" x14ac:dyDescent="0.25">
      <c r="C971" s="96" t="s">
        <v>1056</v>
      </c>
      <c r="D971" s="91"/>
      <c r="E971" s="91"/>
      <c r="F971" s="91"/>
      <c r="G971" s="91"/>
      <c r="H971" s="92"/>
      <c r="I971" s="93"/>
      <c r="J971" s="95">
        <f>HYPERLINK("#Структура!E3250",Структура!E3250)</f>
        <v>1</v>
      </c>
      <c r="K971" s="116">
        <f>HYPERLINK("#Структура!G3250",Структура!G3250)</f>
        <v>707.89751000000001</v>
      </c>
      <c r="L971" s="93">
        <f>M971/J971</f>
        <v>200264.22923500001</v>
      </c>
      <c r="M971" s="93">
        <f>SUMIF(D972:D1021,"*",M972:M1021)*J971</f>
        <v>200264.22923500001</v>
      </c>
      <c r="N971" s="125">
        <f>HYPERLINK("#Трудозатраты!B370",Трудозатраты!B370+SUMIF(D972:D1021,"*",O972:O1021))</f>
        <v>4493.01</v>
      </c>
      <c r="O971" s="94">
        <f>N971*J971</f>
        <v>4493.01</v>
      </c>
      <c r="P971" s="93">
        <f>O971/60*(1+запас_труд)*стоимость_трудочаса</f>
        <v>175976.22500000001</v>
      </c>
      <c r="Q971" s="130">
        <f>M971*(1+наценка_покупное)+P971</f>
        <v>416293.30008199997</v>
      </c>
    </row>
    <row r="972" spans="3:17" hidden="1" outlineLevel="2" collapsed="1" x14ac:dyDescent="0.25">
      <c r="D972" s="97" t="s">
        <v>1055</v>
      </c>
      <c r="E972" s="98"/>
      <c r="F972" s="98"/>
      <c r="G972" s="98"/>
      <c r="H972" s="99"/>
      <c r="I972" s="100"/>
      <c r="J972" s="102">
        <f>HYPERLINK("#Структура!E1418",Структура!E1418)</f>
        <v>1</v>
      </c>
      <c r="K972" s="112">
        <f>HYPERLINK("#Структура!G1418",Структура!G1418)</f>
        <v>157.32232999999999</v>
      </c>
      <c r="L972" s="100">
        <f>M972/J972</f>
        <v>32969.508799999996</v>
      </c>
      <c r="M972" s="100">
        <f>SUMIF(E973:E992,"*",M973:M992)*J972</f>
        <v>32969.508799999996</v>
      </c>
      <c r="N972" s="122">
        <f>HYPERLINK("#Трудозатраты!B383",Трудозатраты!B383+SUMIF(E973:E992,"*",O973:O992))</f>
        <v>678.81000000000006</v>
      </c>
      <c r="O972" s="101">
        <f>N972*J972</f>
        <v>678.81000000000006</v>
      </c>
      <c r="P972" s="100">
        <f>O972/60*(1+запас_труд)*стоимость_трудочаса</f>
        <v>26586.725000000002</v>
      </c>
      <c r="Q972" s="127">
        <f>M972*(1+наценка_покупное)+P972</f>
        <v>66150.135559999995</v>
      </c>
    </row>
    <row r="973" spans="3:17" hidden="1" outlineLevel="3" collapsed="1" x14ac:dyDescent="0.25">
      <c r="E973" s="85" t="s">
        <v>1067</v>
      </c>
      <c r="F973" s="86"/>
      <c r="G973" s="86"/>
      <c r="H973" s="87"/>
      <c r="I973" s="88"/>
      <c r="J973" s="90">
        <f>HYPERLINK("#Структура!E1445",Структура!E1445)</f>
        <v>7</v>
      </c>
      <c r="K973" s="113">
        <f>HYPERLINK("#Структура!G1445",Структура!G1445)</f>
        <v>2.58155</v>
      </c>
      <c r="L973" s="88">
        <f>M973/J973</f>
        <v>812.19200000000001</v>
      </c>
      <c r="M973" s="88">
        <f>SUMIF(F974,"*",M974)*J973</f>
        <v>5685.3440000000001</v>
      </c>
      <c r="N973" s="123">
        <f>HYPERLINK("#Трудозатраты!B384",Трудозатраты!B384+SUMIF(F974,"*",O974))</f>
        <v>6.4</v>
      </c>
      <c r="O973" s="89">
        <f>N973*J973</f>
        <v>44.800000000000004</v>
      </c>
      <c r="P973" s="88">
        <f>O973/60*(1+запас_труд)*стоимость_трудочаса</f>
        <v>1754.6666666666667</v>
      </c>
      <c r="Q973" s="128">
        <f>M973*(1+наценка_покупное)+P973</f>
        <v>8577.0794666666661</v>
      </c>
    </row>
    <row r="974" spans="3:17" hidden="1" outlineLevel="4" x14ac:dyDescent="0.25">
      <c r="F974" s="74" t="s">
        <v>131</v>
      </c>
      <c r="G974" s="74"/>
      <c r="H974" s="75"/>
      <c r="I974" s="76"/>
      <c r="J974" s="78">
        <f>HYPERLINK("#Структура!E1455",Структура!E1455)</f>
        <v>5.0762</v>
      </c>
      <c r="K974" s="114" t="str">
        <f>HYPERLINK("#Структура!G1455","")</f>
        <v/>
      </c>
      <c r="L974" s="120">
        <f>HYPERLINK("#Покупные_изделия!D306",Покупные_изделия!D306)</f>
        <v>160</v>
      </c>
      <c r="M974" s="76">
        <f>J974*L974</f>
        <v>812.19200000000001</v>
      </c>
      <c r="N974" s="77"/>
      <c r="O974" s="77"/>
      <c r="P974" s="76"/>
      <c r="Q974" s="76"/>
    </row>
    <row r="975" spans="3:17" hidden="1" outlineLevel="3" collapsed="1" x14ac:dyDescent="0.25">
      <c r="E975" s="84" t="s">
        <v>1068</v>
      </c>
      <c r="F975" s="79"/>
      <c r="G975" s="79"/>
      <c r="H975" s="80"/>
      <c r="I975" s="81"/>
      <c r="J975" s="83">
        <f>HYPERLINK("#Структура!E1446",Структура!E1446)</f>
        <v>3</v>
      </c>
      <c r="K975" s="115">
        <f>HYPERLINK("#Структура!G1446",Структура!G1446)</f>
        <v>0.77581</v>
      </c>
      <c r="L975" s="81">
        <f>M975/J975</f>
        <v>168.20319999999998</v>
      </c>
      <c r="M975" s="81">
        <f>SUMIF(F976,"*",M976)*J975</f>
        <v>504.60959999999994</v>
      </c>
      <c r="N975" s="124">
        <f>HYPERLINK("#Трудозатраты!B385",Трудозатраты!B385+SUMIF(F976,"*",O976))</f>
        <v>6.1</v>
      </c>
      <c r="O975" s="82">
        <f>N975*J975</f>
        <v>18.299999999999997</v>
      </c>
      <c r="P975" s="81">
        <f>O975/60*(1+запас_труд)*стоимость_трудочаса</f>
        <v>716.74999999999989</v>
      </c>
      <c r="Q975" s="129">
        <f>M975*(1+наценка_покупное)+P975</f>
        <v>1322.2815199999998</v>
      </c>
    </row>
    <row r="976" spans="3:17" hidden="1" outlineLevel="4" x14ac:dyDescent="0.25">
      <c r="F976" s="74" t="s">
        <v>131</v>
      </c>
      <c r="G976" s="74"/>
      <c r="H976" s="75"/>
      <c r="I976" s="76"/>
      <c r="J976" s="78">
        <f>HYPERLINK("#Структура!E1456",Структура!E1456)</f>
        <v>1.0512699999999999</v>
      </c>
      <c r="K976" s="114" t="str">
        <f>HYPERLINK("#Структура!G1456","")</f>
        <v/>
      </c>
      <c r="L976" s="120">
        <f>HYPERLINK("#Покупные_изделия!D306",Покупные_изделия!D306)</f>
        <v>160</v>
      </c>
      <c r="M976" s="76">
        <f>J976*L976</f>
        <v>168.20319999999998</v>
      </c>
      <c r="N976" s="77"/>
      <c r="O976" s="77"/>
      <c r="P976" s="76"/>
      <c r="Q976" s="76"/>
    </row>
    <row r="977" spans="5:17" hidden="1" outlineLevel="3" collapsed="1" x14ac:dyDescent="0.25">
      <c r="E977" s="84" t="s">
        <v>1069</v>
      </c>
      <c r="F977" s="79"/>
      <c r="G977" s="79"/>
      <c r="H977" s="80"/>
      <c r="I977" s="81"/>
      <c r="J977" s="83">
        <f>HYPERLINK("#Структура!E1447",Структура!E1447)</f>
        <v>3</v>
      </c>
      <c r="K977" s="115">
        <f>HYPERLINK("#Структура!G1447",Структура!G1447)</f>
        <v>11.77399</v>
      </c>
      <c r="L977" s="81">
        <f>M977/J977</f>
        <v>2249.12</v>
      </c>
      <c r="M977" s="81">
        <f>SUMIF(F978,"*",M978)*J977</f>
        <v>6747.36</v>
      </c>
      <c r="N977" s="124">
        <f>HYPERLINK("#Трудозатраты!B386",Трудозатраты!B386+SUMIF(F978,"*",O978))</f>
        <v>7.7</v>
      </c>
      <c r="O977" s="82">
        <f>N977*J977</f>
        <v>23.1</v>
      </c>
      <c r="P977" s="81">
        <f>O977/60*(1+запас_труд)*стоимость_трудочаса</f>
        <v>904.75</v>
      </c>
      <c r="Q977" s="129">
        <f>M977*(1+наценка_покупное)+P977</f>
        <v>9001.5819999999985</v>
      </c>
    </row>
    <row r="978" spans="5:17" hidden="1" outlineLevel="4" x14ac:dyDescent="0.25">
      <c r="F978" s="74" t="s">
        <v>131</v>
      </c>
      <c r="G978" s="74"/>
      <c r="H978" s="75"/>
      <c r="I978" s="76"/>
      <c r="J978" s="78">
        <f>HYPERLINK("#Структура!E1457",Структура!E1457)</f>
        <v>14.057</v>
      </c>
      <c r="K978" s="114" t="str">
        <f>HYPERLINK("#Структура!G1457","")</f>
        <v/>
      </c>
      <c r="L978" s="120">
        <f>HYPERLINK("#Покупные_изделия!D306",Покупные_изделия!D306)</f>
        <v>160</v>
      </c>
      <c r="M978" s="76">
        <f>J978*L978</f>
        <v>2249.12</v>
      </c>
      <c r="N978" s="77"/>
      <c r="O978" s="77"/>
      <c r="P978" s="76"/>
      <c r="Q978" s="76"/>
    </row>
    <row r="979" spans="5:17" hidden="1" outlineLevel="3" collapsed="1" x14ac:dyDescent="0.25">
      <c r="E979" s="84" t="s">
        <v>1070</v>
      </c>
      <c r="F979" s="79"/>
      <c r="G979" s="79"/>
      <c r="H979" s="80"/>
      <c r="I979" s="81"/>
      <c r="J979" s="83">
        <f>HYPERLINK("#Структура!E1448",Структура!E1448)</f>
        <v>5</v>
      </c>
      <c r="K979" s="115">
        <f>HYPERLINK("#Структура!G1448",Структура!G1448)</f>
        <v>2.47926</v>
      </c>
      <c r="L979" s="81">
        <f>M979/J979</f>
        <v>471.78399999999999</v>
      </c>
      <c r="M979" s="81">
        <f>SUMIF(F980,"*",M980)*J979</f>
        <v>2358.92</v>
      </c>
      <c r="N979" s="124">
        <f>HYPERLINK("#Трудозатраты!B387",Трудозатраты!B387+SUMIF(F980,"*",O980))</f>
        <v>9.6000000000000014</v>
      </c>
      <c r="O979" s="82">
        <f>N979*J979</f>
        <v>48.000000000000007</v>
      </c>
      <c r="P979" s="81">
        <f>O979/60*(1+запас_труд)*стоимость_трудочаса</f>
        <v>1880.0000000000005</v>
      </c>
      <c r="Q979" s="129">
        <f>M979*(1+наценка_покупное)+P979</f>
        <v>4710.7040000000006</v>
      </c>
    </row>
    <row r="980" spans="5:17" hidden="1" outlineLevel="4" x14ac:dyDescent="0.25">
      <c r="F980" s="74" t="s">
        <v>131</v>
      </c>
      <c r="G980" s="74"/>
      <c r="H980" s="75"/>
      <c r="I980" s="76"/>
      <c r="J980" s="78">
        <f>HYPERLINK("#Структура!E1458",Структура!E1458)</f>
        <v>2.9486500000000002</v>
      </c>
      <c r="K980" s="114" t="str">
        <f>HYPERLINK("#Структура!G1458","")</f>
        <v/>
      </c>
      <c r="L980" s="120">
        <f>HYPERLINK("#Покупные_изделия!D306",Покупные_изделия!D306)</f>
        <v>160</v>
      </c>
      <c r="M980" s="76">
        <f>J980*L980</f>
        <v>471.78400000000005</v>
      </c>
      <c r="N980" s="77"/>
      <c r="O980" s="77"/>
      <c r="P980" s="76"/>
      <c r="Q980" s="76"/>
    </row>
    <row r="981" spans="5:17" hidden="1" outlineLevel="3" collapsed="1" x14ac:dyDescent="0.25">
      <c r="E981" s="84" t="s">
        <v>1071</v>
      </c>
      <c r="F981" s="79"/>
      <c r="G981" s="79"/>
      <c r="H981" s="80"/>
      <c r="I981" s="81"/>
      <c r="J981" s="83">
        <f>HYPERLINK("#Структура!E1449",Структура!E1449)</f>
        <v>1</v>
      </c>
      <c r="K981" s="115">
        <f>HYPERLINK("#Структура!G1449",Структура!G1449)</f>
        <v>2.4681600000000001</v>
      </c>
      <c r="L981" s="81">
        <f>M981/J981</f>
        <v>471.78400000000005</v>
      </c>
      <c r="M981" s="81">
        <f>SUMIF(F982,"*",M982)*J981</f>
        <v>471.78400000000005</v>
      </c>
      <c r="N981" s="124">
        <f>HYPERLINK("#Трудозатраты!B388",Трудозатраты!B388+SUMIF(F982,"*",O982))</f>
        <v>9.6000000000000014</v>
      </c>
      <c r="O981" s="82">
        <f>N981*J981</f>
        <v>9.6000000000000014</v>
      </c>
      <c r="P981" s="81">
        <f>O981/60*(1+запас_труд)*стоимость_трудочаса</f>
        <v>376.00000000000006</v>
      </c>
      <c r="Q981" s="129">
        <f>M981*(1+наценка_покупное)+P981</f>
        <v>942.14080000000013</v>
      </c>
    </row>
    <row r="982" spans="5:17" hidden="1" outlineLevel="4" x14ac:dyDescent="0.25">
      <c r="F982" s="74" t="s">
        <v>131</v>
      </c>
      <c r="G982" s="74"/>
      <c r="H982" s="75"/>
      <c r="I982" s="76"/>
      <c r="J982" s="78">
        <f>HYPERLINK("#Структура!E1459",Структура!E1459)</f>
        <v>2.9486500000000002</v>
      </c>
      <c r="K982" s="114" t="str">
        <f>HYPERLINK("#Структура!G1459","")</f>
        <v/>
      </c>
      <c r="L982" s="120">
        <f>HYPERLINK("#Покупные_изделия!D306",Покупные_изделия!D306)</f>
        <v>160</v>
      </c>
      <c r="M982" s="76">
        <f>J982*L982</f>
        <v>471.78400000000005</v>
      </c>
      <c r="N982" s="77"/>
      <c r="O982" s="77"/>
      <c r="P982" s="76"/>
      <c r="Q982" s="76"/>
    </row>
    <row r="983" spans="5:17" hidden="1" outlineLevel="3" collapsed="1" x14ac:dyDescent="0.25">
      <c r="E983" s="84" t="s">
        <v>1072</v>
      </c>
      <c r="F983" s="79"/>
      <c r="G983" s="79"/>
      <c r="H983" s="80"/>
      <c r="I983" s="81"/>
      <c r="J983" s="83">
        <f>HYPERLINK("#Структура!E1450",Структура!E1450)</f>
        <v>1</v>
      </c>
      <c r="K983" s="115">
        <f>HYPERLINK("#Структура!G1450",Структура!G1450)</f>
        <v>2.46244</v>
      </c>
      <c r="L983" s="81">
        <f>M983/J983</f>
        <v>471.78400000000005</v>
      </c>
      <c r="M983" s="81">
        <f>SUMIF(F984,"*",M984)*J983</f>
        <v>471.78400000000005</v>
      </c>
      <c r="N983" s="124">
        <f>HYPERLINK("#Трудозатраты!B389",Трудозатраты!B389+SUMIF(F984,"*",O984))</f>
        <v>9.6000000000000014</v>
      </c>
      <c r="O983" s="82">
        <f>N983*J983</f>
        <v>9.6000000000000014</v>
      </c>
      <c r="P983" s="81">
        <f>O983/60*(1+запас_труд)*стоимость_трудочаса</f>
        <v>376.00000000000006</v>
      </c>
      <c r="Q983" s="129">
        <f>M983*(1+наценка_покупное)+P983</f>
        <v>942.14080000000013</v>
      </c>
    </row>
    <row r="984" spans="5:17" hidden="1" outlineLevel="4" x14ac:dyDescent="0.25">
      <c r="F984" s="74" t="s">
        <v>131</v>
      </c>
      <c r="G984" s="74"/>
      <c r="H984" s="75"/>
      <c r="I984" s="76"/>
      <c r="J984" s="78">
        <f>HYPERLINK("#Структура!E1460",Структура!E1460)</f>
        <v>2.9486500000000002</v>
      </c>
      <c r="K984" s="114" t="str">
        <f>HYPERLINK("#Структура!G1460","")</f>
        <v/>
      </c>
      <c r="L984" s="120">
        <f>HYPERLINK("#Покупные_изделия!D306",Покупные_изделия!D306)</f>
        <v>160</v>
      </c>
      <c r="M984" s="76">
        <f>J984*L984</f>
        <v>471.78400000000005</v>
      </c>
      <c r="N984" s="77"/>
      <c r="O984" s="77"/>
      <c r="P984" s="76"/>
      <c r="Q984" s="76"/>
    </row>
    <row r="985" spans="5:17" hidden="1" outlineLevel="3" collapsed="1" x14ac:dyDescent="0.25">
      <c r="E985" s="84" t="s">
        <v>1073</v>
      </c>
      <c r="F985" s="79"/>
      <c r="G985" s="79"/>
      <c r="H985" s="80"/>
      <c r="I985" s="81"/>
      <c r="J985" s="83">
        <f>HYPERLINK("#Структура!E1451",Структура!E1451)</f>
        <v>9</v>
      </c>
      <c r="K985" s="115">
        <f>HYPERLINK("#Структура!G1451",Структура!G1451)</f>
        <v>3.7842699999999998</v>
      </c>
      <c r="L985" s="81">
        <f>M985/J985</f>
        <v>717.08960000000002</v>
      </c>
      <c r="M985" s="81">
        <f>SUMIF(F986,"*",M986)*J985</f>
        <v>6453.8064000000004</v>
      </c>
      <c r="N985" s="124">
        <f>HYPERLINK("#Трудозатраты!B390",Трудозатраты!B390+SUMIF(F986,"*",O986))</f>
        <v>11.6</v>
      </c>
      <c r="O985" s="82">
        <f>N985*J985</f>
        <v>104.39999999999999</v>
      </c>
      <c r="P985" s="81">
        <f>O985/60*(1+запас_труд)*стоимость_трудочаса</f>
        <v>4088.9999999999995</v>
      </c>
      <c r="Q985" s="129">
        <f>M985*(1+наценка_покупное)+P985</f>
        <v>11833.56768</v>
      </c>
    </row>
    <row r="986" spans="5:17" hidden="1" outlineLevel="4" x14ac:dyDescent="0.25">
      <c r="F986" s="74" t="s">
        <v>131</v>
      </c>
      <c r="G986" s="74"/>
      <c r="H986" s="75"/>
      <c r="I986" s="76"/>
      <c r="J986" s="78">
        <f>HYPERLINK("#Структура!E1461",Структура!E1461)</f>
        <v>4.4818100000000003</v>
      </c>
      <c r="K986" s="114" t="str">
        <f>HYPERLINK("#Структура!G1461","")</f>
        <v/>
      </c>
      <c r="L986" s="120">
        <f>HYPERLINK("#Покупные_изделия!D306",Покупные_изделия!D306)</f>
        <v>160</v>
      </c>
      <c r="M986" s="76">
        <f>J986*L986</f>
        <v>717.08960000000002</v>
      </c>
      <c r="N986" s="77"/>
      <c r="O986" s="77"/>
      <c r="P986" s="76"/>
      <c r="Q986" s="76"/>
    </row>
    <row r="987" spans="5:17" hidden="1" outlineLevel="3" collapsed="1" x14ac:dyDescent="0.25">
      <c r="E987" s="84" t="s">
        <v>1074</v>
      </c>
      <c r="F987" s="79"/>
      <c r="G987" s="79"/>
      <c r="H987" s="80"/>
      <c r="I987" s="81"/>
      <c r="J987" s="83">
        <f>HYPERLINK("#Структура!E1452",Структура!E1452)</f>
        <v>3</v>
      </c>
      <c r="K987" s="115">
        <f>HYPERLINK("#Структура!G1452",Структура!G1452)</f>
        <v>15.798260000000001</v>
      </c>
      <c r="L987" s="81">
        <f>M987/J987</f>
        <v>3272</v>
      </c>
      <c r="M987" s="81">
        <f>SUMIF(F988,"*",M988)*J987</f>
        <v>9816</v>
      </c>
      <c r="N987" s="124">
        <f>HYPERLINK("#Трудозатраты!B391",Трудозатраты!B391+SUMIF(F988,"*",O988))</f>
        <v>77.87</v>
      </c>
      <c r="O987" s="82">
        <f>N987*J987</f>
        <v>233.61</v>
      </c>
      <c r="P987" s="81">
        <f>O987/60*(1+запас_труд)*стоимость_трудочаса</f>
        <v>9149.7250000000004</v>
      </c>
      <c r="Q987" s="129">
        <f>M987*(1+наценка_покупное)+P987</f>
        <v>20928.924999999999</v>
      </c>
    </row>
    <row r="988" spans="5:17" hidden="1" outlineLevel="4" x14ac:dyDescent="0.25">
      <c r="F988" s="74" t="s">
        <v>130</v>
      </c>
      <c r="G988" s="74"/>
      <c r="H988" s="75"/>
      <c r="I988" s="76"/>
      <c r="J988" s="78">
        <f>HYPERLINK("#Структура!E1462",Структура!E1462)</f>
        <v>20.45</v>
      </c>
      <c r="K988" s="114" t="str">
        <f>HYPERLINK("#Структура!G1462","")</f>
        <v/>
      </c>
      <c r="L988" s="120">
        <f>HYPERLINK("#Покупные_изделия!D305",Покупные_изделия!D305)</f>
        <v>160</v>
      </c>
      <c r="M988" s="76">
        <f>J988*L988</f>
        <v>3272</v>
      </c>
      <c r="N988" s="77"/>
      <c r="O988" s="77"/>
      <c r="P988" s="76"/>
      <c r="Q988" s="76"/>
    </row>
    <row r="989" spans="5:17" hidden="1" outlineLevel="3" collapsed="1" x14ac:dyDescent="0.25">
      <c r="E989" s="84" t="s">
        <v>1075</v>
      </c>
      <c r="F989" s="79"/>
      <c r="G989" s="79"/>
      <c r="H989" s="80"/>
      <c r="I989" s="81"/>
      <c r="J989" s="83">
        <f>HYPERLINK("#Структура!E1453",Структура!E1453)</f>
        <v>18</v>
      </c>
      <c r="K989" s="115">
        <f>HYPERLINK("#Структура!G1453",Структура!G1453)</f>
        <v>9.3600000000000003E-3</v>
      </c>
      <c r="L989" s="81">
        <f>M989/J989</f>
        <v>3.0928</v>
      </c>
      <c r="M989" s="81">
        <f>SUMIF(F990,"*",M990)*J989</f>
        <v>55.670400000000001</v>
      </c>
      <c r="N989" s="124">
        <f>HYPERLINK("#Трудозатраты!B392",Трудозатраты!B392+SUMIF(F990,"*",O990))</f>
        <v>8.75</v>
      </c>
      <c r="O989" s="82">
        <f>N989*J989</f>
        <v>157.5</v>
      </c>
      <c r="P989" s="81">
        <f>O989/60*(1+запас_труд)*стоимость_трудочаса</f>
        <v>6168.75</v>
      </c>
      <c r="Q989" s="129">
        <f>M989*(1+наценка_покупное)+P989</f>
        <v>6235.5544799999998</v>
      </c>
    </row>
    <row r="990" spans="5:17" hidden="1" outlineLevel="4" x14ac:dyDescent="0.25">
      <c r="F990" s="74" t="s">
        <v>130</v>
      </c>
      <c r="G990" s="74"/>
      <c r="H990" s="75"/>
      <c r="I990" s="76"/>
      <c r="J990" s="78">
        <f>HYPERLINK("#Структура!E1463",Структура!E1463)</f>
        <v>1.933E-2</v>
      </c>
      <c r="K990" s="114" t="str">
        <f>HYPERLINK("#Структура!G1463","")</f>
        <v/>
      </c>
      <c r="L990" s="120">
        <f>HYPERLINK("#Покупные_изделия!D305",Покупные_изделия!D305)</f>
        <v>160</v>
      </c>
      <c r="M990" s="76">
        <f>J990*L990</f>
        <v>3.0928</v>
      </c>
      <c r="N990" s="77"/>
      <c r="O990" s="77"/>
      <c r="P990" s="76"/>
      <c r="Q990" s="76"/>
    </row>
    <row r="991" spans="5:17" hidden="1" outlineLevel="3" collapsed="1" x14ac:dyDescent="0.25">
      <c r="E991" s="84" t="s">
        <v>1076</v>
      </c>
      <c r="F991" s="79"/>
      <c r="G991" s="79"/>
      <c r="H991" s="80"/>
      <c r="I991" s="81"/>
      <c r="J991" s="83">
        <f>HYPERLINK("#Структура!E1454",Структура!E1454)</f>
        <v>2</v>
      </c>
      <c r="K991" s="115">
        <f>HYPERLINK("#Структура!G1454",Структура!G1454)</f>
        <v>1.0061100000000001</v>
      </c>
      <c r="L991" s="81">
        <f>M991/J991</f>
        <v>202.11520000000002</v>
      </c>
      <c r="M991" s="81">
        <f>SUMIF(F992,"*",M992)*J991</f>
        <v>404.23040000000003</v>
      </c>
      <c r="N991" s="124">
        <f>HYPERLINK("#Трудозатраты!B393",Трудозатраты!B393+SUMIF(F992,"*",O992))</f>
        <v>7.4499999999999993</v>
      </c>
      <c r="O991" s="82">
        <f>N991*J991</f>
        <v>14.899999999999999</v>
      </c>
      <c r="P991" s="81">
        <f>O991/60*(1+запас_труд)*стоимость_трудочаса</f>
        <v>583.58333333333326</v>
      </c>
      <c r="Q991" s="129">
        <f>M991*(1+наценка_покупное)+P991</f>
        <v>1068.6598133333332</v>
      </c>
    </row>
    <row r="992" spans="5:17" hidden="1" outlineLevel="4" x14ac:dyDescent="0.25">
      <c r="F992" s="74" t="s">
        <v>131</v>
      </c>
      <c r="G992" s="74"/>
      <c r="H992" s="75"/>
      <c r="I992" s="76"/>
      <c r="J992" s="78">
        <f>HYPERLINK("#Структура!E1464",Структура!E1464)</f>
        <v>1.26322</v>
      </c>
      <c r="K992" s="114" t="str">
        <f>HYPERLINK("#Структура!G1464","")</f>
        <v/>
      </c>
      <c r="L992" s="120">
        <f>HYPERLINK("#Покупные_изделия!D306",Покупные_изделия!D306)</f>
        <v>160</v>
      </c>
      <c r="M992" s="76">
        <f>J992*L992</f>
        <v>202.11520000000002</v>
      </c>
      <c r="N992" s="77"/>
      <c r="O992" s="77"/>
      <c r="P992" s="76"/>
      <c r="Q992" s="76"/>
    </row>
    <row r="993" spans="4:17" hidden="1" outlineLevel="2" collapsed="1" x14ac:dyDescent="0.25">
      <c r="D993" s="84" t="s">
        <v>1057</v>
      </c>
      <c r="E993" s="79"/>
      <c r="F993" s="79"/>
      <c r="G993" s="79"/>
      <c r="H993" s="80"/>
      <c r="I993" s="81"/>
      <c r="J993" s="83">
        <f>HYPERLINK("#Структура!E1419",Структура!E1419)</f>
        <v>2</v>
      </c>
      <c r="K993" s="115">
        <f>HYPERLINK("#Структура!G1419",Структура!G1419)</f>
        <v>19.948699999999999</v>
      </c>
      <c r="L993" s="81">
        <f>M993/J993</f>
        <v>4123.2864</v>
      </c>
      <c r="M993" s="81">
        <f>SUMIF(E994,"*",M994)*J993</f>
        <v>8246.5727999999999</v>
      </c>
      <c r="N993" s="124">
        <f>HYPERLINK("#Трудозатраты!B371",Трудозатраты!B371+SUMIF(E994,"*",O994))</f>
        <v>13</v>
      </c>
      <c r="O993" s="82">
        <f>N993*J993</f>
        <v>26</v>
      </c>
      <c r="P993" s="81">
        <f>O993/60*(1+запас_труд)*стоимость_трудочаса</f>
        <v>1018.3333333333334</v>
      </c>
      <c r="Q993" s="129">
        <f>M993*(1+наценка_покупное)+P993</f>
        <v>10914.220693333333</v>
      </c>
    </row>
    <row r="994" spans="4:17" hidden="1" outlineLevel="3" x14ac:dyDescent="0.25">
      <c r="E994" s="74" t="s">
        <v>124</v>
      </c>
      <c r="F994" s="74"/>
      <c r="G994" s="74"/>
      <c r="H994" s="75"/>
      <c r="I994" s="76"/>
      <c r="J994" s="78">
        <f>HYPERLINK("#Структура!E1433",Структура!E1433)</f>
        <v>25.77054</v>
      </c>
      <c r="K994" s="114" t="str">
        <f>HYPERLINK("#Структура!G1433","")</f>
        <v/>
      </c>
      <c r="L994" s="120">
        <f>HYPERLINK("#Покупные_изделия!D299",Покупные_изделия!D299)</f>
        <v>160</v>
      </c>
      <c r="M994" s="76">
        <f>J994*L994</f>
        <v>4123.2864</v>
      </c>
      <c r="N994" s="77"/>
      <c r="O994" s="77"/>
      <c r="P994" s="76"/>
      <c r="Q994" s="76"/>
    </row>
    <row r="995" spans="4:17" hidden="1" outlineLevel="2" collapsed="1" x14ac:dyDescent="0.25">
      <c r="D995" s="84" t="s">
        <v>1058</v>
      </c>
      <c r="E995" s="79"/>
      <c r="F995" s="79"/>
      <c r="G995" s="79"/>
      <c r="H995" s="80"/>
      <c r="I995" s="81"/>
      <c r="J995" s="83">
        <f>HYPERLINK("#Структура!E1420",Структура!E1420)</f>
        <v>2</v>
      </c>
      <c r="K995" s="115">
        <f>HYPERLINK("#Структура!G1420",Структура!G1420)</f>
        <v>0.49761</v>
      </c>
      <c r="L995" s="81">
        <f>M995/J995</f>
        <v>96.219200000000001</v>
      </c>
      <c r="M995" s="81">
        <f>SUMIF(E996,"*",M996)*J995</f>
        <v>192.4384</v>
      </c>
      <c r="N995" s="124">
        <f>HYPERLINK("#Трудозатраты!B372",Трудозатраты!B372+SUMIF(E996,"*",O996))</f>
        <v>7.8500000000000005</v>
      </c>
      <c r="O995" s="82">
        <f>N995*J995</f>
        <v>15.700000000000001</v>
      </c>
      <c r="P995" s="81">
        <f>O995/60*(1+запас_труд)*стоимость_трудочаса</f>
        <v>614.91666666666663</v>
      </c>
      <c r="Q995" s="129">
        <f>M995*(1+наценка_покупное)+P995</f>
        <v>845.84274666666659</v>
      </c>
    </row>
    <row r="996" spans="4:17" hidden="1" outlineLevel="3" x14ac:dyDescent="0.25">
      <c r="E996" s="74" t="s">
        <v>123</v>
      </c>
      <c r="F996" s="74"/>
      <c r="G996" s="74"/>
      <c r="H996" s="75"/>
      <c r="I996" s="76"/>
      <c r="J996" s="78">
        <f>HYPERLINK("#Структура!E1434",Структура!E1434)</f>
        <v>0.60136999999999996</v>
      </c>
      <c r="K996" s="114" t="str">
        <f>HYPERLINK("#Структура!G1434","")</f>
        <v/>
      </c>
      <c r="L996" s="120">
        <f>HYPERLINK("#Покупные_изделия!D298",Покупные_изделия!D298)</f>
        <v>160</v>
      </c>
      <c r="M996" s="76">
        <f>J996*L996</f>
        <v>96.219200000000001</v>
      </c>
      <c r="N996" s="77"/>
      <c r="O996" s="77"/>
      <c r="P996" s="76"/>
      <c r="Q996" s="76"/>
    </row>
    <row r="997" spans="4:17" hidden="1" outlineLevel="2" collapsed="1" x14ac:dyDescent="0.25">
      <c r="D997" s="84" t="s">
        <v>1059</v>
      </c>
      <c r="E997" s="79"/>
      <c r="F997" s="79"/>
      <c r="G997" s="79"/>
      <c r="H997" s="80"/>
      <c r="I997" s="81"/>
      <c r="J997" s="83">
        <f>HYPERLINK("#Структура!E1421",Структура!E1421)</f>
        <v>3</v>
      </c>
      <c r="K997" s="115">
        <f>HYPERLINK("#Структура!G1421",Структура!G1421)</f>
        <v>5.8953800000000003</v>
      </c>
      <c r="L997" s="81">
        <f>M997/J997</f>
        <v>1140.4816000000001</v>
      </c>
      <c r="M997" s="81">
        <f>SUMIF(E998,"*",M998)*J997</f>
        <v>3421.4448000000002</v>
      </c>
      <c r="N997" s="124">
        <f>HYPERLINK("#Трудозатраты!B373",Трудозатраты!B373+SUMIF(E998,"*",O998))</f>
        <v>32.25</v>
      </c>
      <c r="O997" s="82">
        <f>N997*J997</f>
        <v>96.75</v>
      </c>
      <c r="P997" s="81">
        <f>O997/60*(1+запас_труд)*стоимость_трудочаса</f>
        <v>3789.375</v>
      </c>
      <c r="Q997" s="129">
        <f>M997*(1+наценка_покупное)+P997</f>
        <v>7895.1087600000001</v>
      </c>
    </row>
    <row r="998" spans="4:17" hidden="1" outlineLevel="3" x14ac:dyDescent="0.25">
      <c r="E998" s="74" t="s">
        <v>128</v>
      </c>
      <c r="F998" s="74"/>
      <c r="G998" s="74"/>
      <c r="H998" s="75"/>
      <c r="I998" s="76"/>
      <c r="J998" s="78">
        <f>HYPERLINK("#Структура!E1435",Структура!E1435)</f>
        <v>7.1280099999999997</v>
      </c>
      <c r="K998" s="114" t="str">
        <f>HYPERLINK("#Структура!G1435","")</f>
        <v/>
      </c>
      <c r="L998" s="120">
        <f>HYPERLINK("#Покупные_изделия!D303",Покупные_изделия!D303)</f>
        <v>160</v>
      </c>
      <c r="M998" s="76">
        <f>J998*L998</f>
        <v>1140.4816000000001</v>
      </c>
      <c r="N998" s="77"/>
      <c r="O998" s="77"/>
      <c r="P998" s="76"/>
      <c r="Q998" s="76"/>
    </row>
    <row r="999" spans="4:17" hidden="1" outlineLevel="2" collapsed="1" x14ac:dyDescent="0.25">
      <c r="D999" s="84" t="s">
        <v>1060</v>
      </c>
      <c r="E999" s="79"/>
      <c r="F999" s="79"/>
      <c r="G999" s="79"/>
      <c r="H999" s="80"/>
      <c r="I999" s="81"/>
      <c r="J999" s="83">
        <f>HYPERLINK("#Структура!E1422",Структура!E1422)</f>
        <v>6</v>
      </c>
      <c r="K999" s="115">
        <f>HYPERLINK("#Структура!G1422",Структура!G1422)</f>
        <v>7.0056700000000003</v>
      </c>
      <c r="L999" s="81">
        <f>M999/J999</f>
        <v>1351.68</v>
      </c>
      <c r="M999" s="81">
        <f>SUMIF(E1000,"*",M1000)*J999</f>
        <v>8110.08</v>
      </c>
      <c r="N999" s="124">
        <f>HYPERLINK("#Трудозатраты!B374",Трудозатраты!B374+SUMIF(E1000,"*",O1000))</f>
        <v>37.5</v>
      </c>
      <c r="O999" s="82">
        <f>N999*J999</f>
        <v>225</v>
      </c>
      <c r="P999" s="81">
        <f>O999/60*(1+запас_труд)*стоимость_трудочаса</f>
        <v>8812.5</v>
      </c>
      <c r="Q999" s="129">
        <f>M999*(1+наценка_покупное)+P999</f>
        <v>18544.595999999998</v>
      </c>
    </row>
    <row r="1000" spans="4:17" hidden="1" outlineLevel="3" x14ac:dyDescent="0.25">
      <c r="E1000" s="74" t="s">
        <v>130</v>
      </c>
      <c r="F1000" s="74"/>
      <c r="G1000" s="74"/>
      <c r="H1000" s="75"/>
      <c r="I1000" s="76"/>
      <c r="J1000" s="78">
        <f>HYPERLINK("#Структура!E1436",Структура!E1436)</f>
        <v>8.4480000000000004</v>
      </c>
      <c r="K1000" s="114" t="str">
        <f>HYPERLINK("#Структура!G1436","")</f>
        <v/>
      </c>
      <c r="L1000" s="120">
        <f>HYPERLINK("#Покупные_изделия!D305",Покупные_изделия!D305)</f>
        <v>160</v>
      </c>
      <c r="M1000" s="76">
        <f>J1000*L1000</f>
        <v>1351.68</v>
      </c>
      <c r="N1000" s="77"/>
      <c r="O1000" s="77"/>
      <c r="P1000" s="76"/>
      <c r="Q1000" s="76"/>
    </row>
    <row r="1001" spans="4:17" hidden="1" outlineLevel="2" collapsed="1" x14ac:dyDescent="0.25">
      <c r="D1001" s="84" t="s">
        <v>1061</v>
      </c>
      <c r="E1001" s="79"/>
      <c r="F1001" s="79"/>
      <c r="G1001" s="79"/>
      <c r="H1001" s="80"/>
      <c r="I1001" s="81"/>
      <c r="J1001" s="83">
        <f>HYPERLINK("#Структура!E1423",Структура!E1423)</f>
        <v>3</v>
      </c>
      <c r="K1001" s="115">
        <f>HYPERLINK("#Структура!G1423",Структура!G1423)</f>
        <v>0.20745</v>
      </c>
      <c r="L1001" s="81">
        <f>M1001/J1001</f>
        <v>40.185600000000001</v>
      </c>
      <c r="M1001" s="81">
        <f>SUMIF(E1002,"*",M1002)*J1001</f>
        <v>120.55680000000001</v>
      </c>
      <c r="N1001" s="124">
        <f>HYPERLINK("#Трудозатраты!B375",Трудозатраты!B375+SUMIF(E1002,"*",O1002))</f>
        <v>3.8499999999999996</v>
      </c>
      <c r="O1001" s="82">
        <f>N1001*J1001</f>
        <v>11.549999999999999</v>
      </c>
      <c r="P1001" s="81">
        <f>O1001/60*(1+запас_труд)*стоимость_трудочаса</f>
        <v>452.37499999999994</v>
      </c>
      <c r="Q1001" s="129">
        <f>M1001*(1+наценка_покупное)+P1001</f>
        <v>597.04315999999994</v>
      </c>
    </row>
    <row r="1002" spans="4:17" hidden="1" outlineLevel="3" x14ac:dyDescent="0.25">
      <c r="E1002" s="74" t="s">
        <v>128</v>
      </c>
      <c r="F1002" s="74"/>
      <c r="G1002" s="74"/>
      <c r="H1002" s="75"/>
      <c r="I1002" s="76"/>
      <c r="J1002" s="78">
        <f>HYPERLINK("#Структура!E1437",Структура!E1437)</f>
        <v>0.25115999999999999</v>
      </c>
      <c r="K1002" s="114" t="str">
        <f>HYPERLINK("#Структура!G1437","")</f>
        <v/>
      </c>
      <c r="L1002" s="120">
        <f>HYPERLINK("#Покупные_изделия!D303",Покупные_изделия!D303)</f>
        <v>160</v>
      </c>
      <c r="M1002" s="76">
        <f>J1002*L1002</f>
        <v>40.185600000000001</v>
      </c>
      <c r="N1002" s="77"/>
      <c r="O1002" s="77"/>
      <c r="P1002" s="76"/>
      <c r="Q1002" s="76"/>
    </row>
    <row r="1003" spans="4:17" hidden="1" outlineLevel="2" collapsed="1" x14ac:dyDescent="0.25">
      <c r="D1003" s="84" t="s">
        <v>1062</v>
      </c>
      <c r="E1003" s="79"/>
      <c r="F1003" s="79"/>
      <c r="G1003" s="79"/>
      <c r="H1003" s="80"/>
      <c r="I1003" s="81"/>
      <c r="J1003" s="83">
        <f>HYPERLINK("#Структура!E1424",Структура!E1424)</f>
        <v>4</v>
      </c>
      <c r="K1003" s="115">
        <f>HYPERLINK("#Структура!G1424",Структура!G1424)</f>
        <v>0.53691999999999995</v>
      </c>
      <c r="L1003" s="81">
        <f>M1003/J1003</f>
        <v>104.336</v>
      </c>
      <c r="M1003" s="81">
        <f>SUMIF(E1004,"*",M1004)*J1003</f>
        <v>417.34399999999999</v>
      </c>
      <c r="N1003" s="124">
        <f>HYPERLINK("#Трудозатраты!B376",Трудозатраты!B376+SUMIF(E1004,"*",O1004))</f>
        <v>16.5</v>
      </c>
      <c r="O1003" s="82">
        <f>N1003*J1003</f>
        <v>66</v>
      </c>
      <c r="P1003" s="81">
        <f>O1003/60*(1+запас_труд)*стоимость_трудочаса</f>
        <v>2585</v>
      </c>
      <c r="Q1003" s="129">
        <f>M1003*(1+наценка_покупное)+P1003</f>
        <v>3085.8128000000002</v>
      </c>
    </row>
    <row r="1004" spans="4:17" hidden="1" outlineLevel="3" x14ac:dyDescent="0.25">
      <c r="E1004" s="74" t="s">
        <v>123</v>
      </c>
      <c r="F1004" s="74"/>
      <c r="G1004" s="74"/>
      <c r="H1004" s="75"/>
      <c r="I1004" s="76"/>
      <c r="J1004" s="78">
        <f>HYPERLINK("#Структура!E1438",Структура!E1438)</f>
        <v>0.65210000000000001</v>
      </c>
      <c r="K1004" s="114" t="str">
        <f>HYPERLINK("#Структура!G1438","")</f>
        <v/>
      </c>
      <c r="L1004" s="120">
        <f>HYPERLINK("#Покупные_изделия!D298",Покупные_изделия!D298)</f>
        <v>160</v>
      </c>
      <c r="M1004" s="76">
        <f>J1004*L1004</f>
        <v>104.336</v>
      </c>
      <c r="N1004" s="77"/>
      <c r="O1004" s="77"/>
      <c r="P1004" s="76"/>
      <c r="Q1004" s="76"/>
    </row>
    <row r="1005" spans="4:17" hidden="1" outlineLevel="2" collapsed="1" x14ac:dyDescent="0.25">
      <c r="D1005" s="84" t="s">
        <v>1063</v>
      </c>
      <c r="E1005" s="79"/>
      <c r="F1005" s="79"/>
      <c r="G1005" s="79"/>
      <c r="H1005" s="80"/>
      <c r="I1005" s="81"/>
      <c r="J1005" s="83">
        <f>HYPERLINK("#Структура!E1425",Структура!E1425)</f>
        <v>18</v>
      </c>
      <c r="K1005" s="115">
        <f>HYPERLINK("#Структура!G1425",Структура!G1425)</f>
        <v>3.2050800000000002</v>
      </c>
      <c r="L1005" s="81">
        <f>M1005/J1005</f>
        <v>629.94880000000001</v>
      </c>
      <c r="M1005" s="81">
        <f>SUMIF(E1006,"*",M1006)*J1005</f>
        <v>11339.0784</v>
      </c>
      <c r="N1005" s="124">
        <f>HYPERLINK("#Трудозатраты!B377",Трудозатраты!B377+SUMIF(E1006,"*",O1006))</f>
        <v>2.5999999999999996</v>
      </c>
      <c r="O1005" s="82">
        <f>N1005*J1005</f>
        <v>46.8</v>
      </c>
      <c r="P1005" s="81">
        <f>O1005/60*(1+запас_труд)*стоимость_трудочаса</f>
        <v>1832.9999999999998</v>
      </c>
      <c r="Q1005" s="129">
        <f>M1005*(1+наценка_покупное)+P1005</f>
        <v>15439.89408</v>
      </c>
    </row>
    <row r="1006" spans="4:17" hidden="1" outlineLevel="3" x14ac:dyDescent="0.25">
      <c r="E1006" s="74" t="s">
        <v>124</v>
      </c>
      <c r="F1006" s="74"/>
      <c r="G1006" s="74"/>
      <c r="H1006" s="75"/>
      <c r="I1006" s="76"/>
      <c r="J1006" s="78">
        <f>HYPERLINK("#Структура!E1439",Структура!E1439)</f>
        <v>3.9371800000000001</v>
      </c>
      <c r="K1006" s="114" t="str">
        <f>HYPERLINK("#Структура!G1439","")</f>
        <v/>
      </c>
      <c r="L1006" s="120">
        <f>HYPERLINK("#Покупные_изделия!D299",Покупные_изделия!D299)</f>
        <v>160</v>
      </c>
      <c r="M1006" s="76">
        <f>J1006*L1006</f>
        <v>629.94880000000001</v>
      </c>
      <c r="N1006" s="77"/>
      <c r="O1006" s="77"/>
      <c r="P1006" s="76"/>
      <c r="Q1006" s="76"/>
    </row>
    <row r="1007" spans="4:17" hidden="1" outlineLevel="2" collapsed="1" x14ac:dyDescent="0.25">
      <c r="D1007" s="84" t="s">
        <v>1064</v>
      </c>
      <c r="E1007" s="79"/>
      <c r="F1007" s="79"/>
      <c r="G1007" s="79"/>
      <c r="H1007" s="80"/>
      <c r="I1007" s="81"/>
      <c r="J1007" s="83">
        <f>HYPERLINK("#Структура!E1426",Структура!E1426)</f>
        <v>4</v>
      </c>
      <c r="K1007" s="115">
        <f>HYPERLINK("#Структура!G1426",Структура!G1426)</f>
        <v>3.75509</v>
      </c>
      <c r="L1007" s="81">
        <f>M1007/J1007</f>
        <v>864.83680000000004</v>
      </c>
      <c r="M1007" s="81">
        <f>SUMIF(E1008,"*",M1008)*J1007</f>
        <v>3459.3472000000002</v>
      </c>
      <c r="N1007" s="124">
        <f>HYPERLINK("#Трудозатраты!B378",Трудозатраты!B378+SUMIF(E1008,"*",O1008))</f>
        <v>3.5</v>
      </c>
      <c r="O1007" s="82">
        <f>N1007*J1007</f>
        <v>14</v>
      </c>
      <c r="P1007" s="81">
        <f>O1007/60*(1+запас_труд)*стоимость_трудочаса</f>
        <v>548.33333333333337</v>
      </c>
      <c r="Q1007" s="129">
        <f>M1007*(1+наценка_покупное)+P1007</f>
        <v>4699.5499733333327</v>
      </c>
    </row>
    <row r="1008" spans="4:17" hidden="1" outlineLevel="3" x14ac:dyDescent="0.25">
      <c r="E1008" s="74" t="s">
        <v>124</v>
      </c>
      <c r="F1008" s="74"/>
      <c r="G1008" s="74"/>
      <c r="H1008" s="75"/>
      <c r="I1008" s="76"/>
      <c r="J1008" s="78">
        <f>HYPERLINK("#Структура!E1440",Структура!E1440)</f>
        <v>5.4052300000000004</v>
      </c>
      <c r="K1008" s="114" t="str">
        <f>HYPERLINK("#Структура!G1440","")</f>
        <v/>
      </c>
      <c r="L1008" s="120">
        <f>HYPERLINK("#Покупные_изделия!D299",Покупные_изделия!D299)</f>
        <v>160</v>
      </c>
      <c r="M1008" s="76">
        <f>J1008*L1008</f>
        <v>864.83680000000004</v>
      </c>
      <c r="N1008" s="77"/>
      <c r="O1008" s="77"/>
      <c r="P1008" s="76"/>
      <c r="Q1008" s="76"/>
    </row>
    <row r="1009" spans="3:17" hidden="1" outlineLevel="2" collapsed="1" x14ac:dyDescent="0.25">
      <c r="D1009" s="84" t="s">
        <v>1065</v>
      </c>
      <c r="E1009" s="79"/>
      <c r="F1009" s="79"/>
      <c r="G1009" s="79"/>
      <c r="H1009" s="80"/>
      <c r="I1009" s="81"/>
      <c r="J1009" s="83">
        <f>HYPERLINK("#Структура!E1427",Структура!E1427)</f>
        <v>11</v>
      </c>
      <c r="K1009" s="115">
        <f>HYPERLINK("#Структура!G1427",Структура!G1427)</f>
        <v>1.2133700000000001</v>
      </c>
      <c r="L1009" s="81">
        <f>M1009/J1009</f>
        <v>233.5856</v>
      </c>
      <c r="M1009" s="81">
        <f>SUMIF(E1010,"*",M1010)*J1009</f>
        <v>2569.4416000000001</v>
      </c>
      <c r="N1009" s="124">
        <f>HYPERLINK("#Трудозатраты!B379",Трудозатраты!B379+SUMIF(E1010,"*",O1010))</f>
        <v>11</v>
      </c>
      <c r="O1009" s="82">
        <f>N1009*J1009</f>
        <v>121</v>
      </c>
      <c r="P1009" s="81">
        <f>O1009/60*(1+запас_труд)*стоимость_трудочаса</f>
        <v>4739.166666666667</v>
      </c>
      <c r="Q1009" s="129">
        <f>M1009*(1+наценка_покупное)+P1009</f>
        <v>7822.4965866666671</v>
      </c>
    </row>
    <row r="1010" spans="3:17" hidden="1" outlineLevel="3" x14ac:dyDescent="0.25">
      <c r="E1010" s="74" t="s">
        <v>131</v>
      </c>
      <c r="F1010" s="74"/>
      <c r="G1010" s="74"/>
      <c r="H1010" s="75"/>
      <c r="I1010" s="76"/>
      <c r="J1010" s="78">
        <f>HYPERLINK("#Структура!E1441",Структура!E1441)</f>
        <v>1.45991</v>
      </c>
      <c r="K1010" s="114" t="str">
        <f>HYPERLINK("#Структура!G1441","")</f>
        <v/>
      </c>
      <c r="L1010" s="120">
        <f>HYPERLINK("#Покупные_изделия!D306",Покупные_изделия!D306)</f>
        <v>160</v>
      </c>
      <c r="M1010" s="76">
        <f>J1010*L1010</f>
        <v>233.5856</v>
      </c>
      <c r="N1010" s="77"/>
      <c r="O1010" s="77"/>
      <c r="P1010" s="76"/>
      <c r="Q1010" s="76"/>
    </row>
    <row r="1011" spans="3:17" hidden="1" outlineLevel="2" x14ac:dyDescent="0.25">
      <c r="D1011" s="74" t="s">
        <v>622</v>
      </c>
      <c r="E1011" s="74"/>
      <c r="F1011" s="74"/>
      <c r="G1011" s="74"/>
      <c r="H1011" s="75"/>
      <c r="I1011" s="76"/>
      <c r="J1011" s="78">
        <f>HYPERLINK("#Структура!E1428",Структура!E1428)</f>
        <v>436</v>
      </c>
      <c r="K1011" s="114">
        <f>HYPERLINK("#Структура!G1428",Структура!G1428)</f>
        <v>1.52E-2</v>
      </c>
      <c r="L1011" s="120">
        <f>HYPERLINK("#Покупные_изделия!D85",Покупные_изделия!D85)</f>
        <v>8.6999999999999993</v>
      </c>
      <c r="M1011" s="76">
        <f>J1011*L1011</f>
        <v>3793.2</v>
      </c>
      <c r="N1011" s="77"/>
      <c r="O1011" s="77"/>
      <c r="P1011" s="76"/>
      <c r="Q1011" s="76"/>
    </row>
    <row r="1012" spans="3:17" hidden="1" outlineLevel="2" x14ac:dyDescent="0.25">
      <c r="D1012" s="74" t="s">
        <v>1066</v>
      </c>
      <c r="E1012" s="74"/>
      <c r="F1012" s="74"/>
      <c r="G1012" s="74"/>
      <c r="H1012" s="75"/>
      <c r="I1012" s="76"/>
      <c r="J1012" s="78">
        <f>HYPERLINK("#Структура!E1429",Структура!E1429)</f>
        <v>18</v>
      </c>
      <c r="K1012" s="114">
        <f>HYPERLINK("#Структура!G1429",Структура!G1429)</f>
        <v>2.53E-2</v>
      </c>
      <c r="L1012" s="120">
        <f>HYPERLINK("#Покупные_изделия!D137",Покупные_изделия!D137)</f>
        <v>40.163999999999994</v>
      </c>
      <c r="M1012" s="76">
        <f>J1012*L1012</f>
        <v>722.95199999999988</v>
      </c>
      <c r="N1012" s="77"/>
      <c r="O1012" s="77"/>
      <c r="P1012" s="76"/>
      <c r="Q1012" s="76"/>
    </row>
    <row r="1013" spans="3:17" hidden="1" outlineLevel="2" x14ac:dyDescent="0.25">
      <c r="D1013" s="74" t="s">
        <v>1001</v>
      </c>
      <c r="E1013" s="74"/>
      <c r="F1013" s="74"/>
      <c r="G1013" s="74"/>
      <c r="H1013" s="75"/>
      <c r="I1013" s="76"/>
      <c r="J1013" s="78">
        <f>HYPERLINK("#Структура!E1430",Структура!E1430)</f>
        <v>192</v>
      </c>
      <c r="K1013" s="114">
        <f>HYPERLINK("#Структура!G1430",Структура!G1430)</f>
        <v>9.5300000000000003E-3</v>
      </c>
      <c r="L1013" s="120">
        <f>HYPERLINK("#Покупные_изделия!D124",Покупные_изделия!D124)</f>
        <v>8.6999999999999993</v>
      </c>
      <c r="M1013" s="76">
        <f>J1013*L1013</f>
        <v>1670.3999999999999</v>
      </c>
      <c r="N1013" s="77"/>
      <c r="O1013" s="77"/>
      <c r="P1013" s="76"/>
      <c r="Q1013" s="76"/>
    </row>
    <row r="1014" spans="3:17" hidden="1" outlineLevel="2" x14ac:dyDescent="0.25">
      <c r="D1014" s="74" t="s">
        <v>625</v>
      </c>
      <c r="E1014" s="74"/>
      <c r="F1014" s="74"/>
      <c r="G1014" s="74"/>
      <c r="H1014" s="75"/>
      <c r="I1014" s="76"/>
      <c r="J1014" s="78">
        <f>HYPERLINK("#Структура!E1431",Структура!E1431)</f>
        <v>646</v>
      </c>
      <c r="K1014" s="114">
        <f>HYPERLINK("#Структура!G1431",Структура!G1431)</f>
        <v>7.1399999999999996E-3</v>
      </c>
      <c r="L1014" s="120">
        <f>HYPERLINK("#Покупные_изделия!D168",Покупные_изделия!D168)</f>
        <v>1.9715672368421051</v>
      </c>
      <c r="M1014" s="76">
        <f>J1014*L1014</f>
        <v>1273.632435</v>
      </c>
      <c r="N1014" s="77"/>
      <c r="O1014" s="77"/>
      <c r="P1014" s="76"/>
      <c r="Q1014" s="76"/>
    </row>
    <row r="1015" spans="3:17" hidden="1" outlineLevel="2" collapsed="1" x14ac:dyDescent="0.25">
      <c r="D1015" s="96" t="s">
        <v>627</v>
      </c>
      <c r="E1015" s="91"/>
      <c r="F1015" s="91"/>
      <c r="G1015" s="91"/>
      <c r="H1015" s="92"/>
      <c r="I1015" s="93"/>
      <c r="J1015" s="95">
        <f>HYPERLINK("#Структура!E1432",Структура!E1432)</f>
        <v>1</v>
      </c>
      <c r="K1015" s="117">
        <f t="array" ref="K1015">SUMPRODUCT(IF(ISTEXT(E1016:E1021),1,0),J1016:J1021,K1016:K1021)</f>
        <v>357.11261999999999</v>
      </c>
      <c r="L1015" s="93">
        <f>M1015/J1015</f>
        <v>121958.232</v>
      </c>
      <c r="M1015" s="93">
        <f>SUMIF(E1016:E1021,"*",M1016:M1021)*J1015</f>
        <v>121958.232</v>
      </c>
      <c r="N1015" s="125">
        <f>HYPERLINK("#Трудозатраты!B13",Трудозатраты!B13+SUMIF(E1016:E1021,"*",O1016:O1021))</f>
        <v>3059.4</v>
      </c>
      <c r="O1015" s="94">
        <f>N1015*J1015</f>
        <v>3059.4</v>
      </c>
      <c r="P1015" s="93">
        <f>O1015/60*(1+запас_труд)*стоимость_трудочаса</f>
        <v>119826.5</v>
      </c>
      <c r="Q1015" s="130">
        <f>M1015*(1+наценка_покупное)+P1015</f>
        <v>266176.37839999999</v>
      </c>
    </row>
    <row r="1016" spans="3:17" hidden="1" outlineLevel="3" collapsed="1" x14ac:dyDescent="0.25">
      <c r="E1016" s="85" t="s">
        <v>626</v>
      </c>
      <c r="F1016" s="86"/>
      <c r="G1016" s="86"/>
      <c r="H1016" s="87"/>
      <c r="I1016" s="88"/>
      <c r="J1016" s="90">
        <f>HYPERLINK("#Структура!E46",Структура!E46)</f>
        <v>6</v>
      </c>
      <c r="K1016" s="113">
        <f>HYPERLINK("#Структура!G46",Структура!G46)</f>
        <v>6.9958099999999996</v>
      </c>
      <c r="L1016" s="88">
        <f>M1016/J1016</f>
        <v>2575.9560000000001</v>
      </c>
      <c r="M1016" s="88">
        <f>SUMIF(F1017,"*",M1017)*J1016</f>
        <v>15455.736000000001</v>
      </c>
      <c r="N1016" s="123">
        <f>HYPERLINK("#Трудозатраты!B380",Трудозатраты!B380+SUMIF(F1017,"*",O1017))</f>
        <v>26.9</v>
      </c>
      <c r="O1016" s="89">
        <f>N1016*J1016</f>
        <v>161.39999999999998</v>
      </c>
      <c r="P1016" s="88">
        <f>O1016/60*(1+запас_труд)*стоимость_трудочаса</f>
        <v>6321.4999999999991</v>
      </c>
      <c r="Q1016" s="128">
        <f>M1016*(1+наценка_покупное)+P1016</f>
        <v>24868.3832</v>
      </c>
    </row>
    <row r="1017" spans="3:17" hidden="1" outlineLevel="4" x14ac:dyDescent="0.25">
      <c r="F1017" s="74" t="s">
        <v>45</v>
      </c>
      <c r="G1017" s="74"/>
      <c r="H1017" s="75"/>
      <c r="I1017" s="76"/>
      <c r="J1017" s="78">
        <f>HYPERLINK("#Структура!E1442",Структура!E1442)</f>
        <v>8.5865200000000002</v>
      </c>
      <c r="K1017" s="114" t="str">
        <f>HYPERLINK("#Структура!G1442","")</f>
        <v/>
      </c>
      <c r="L1017" s="120">
        <f>HYPERLINK("#Покупные_изделия!D64",Покупные_изделия!D64)</f>
        <v>300</v>
      </c>
      <c r="M1017" s="76">
        <f>J1017*L1017</f>
        <v>2575.9560000000001</v>
      </c>
      <c r="N1017" s="77"/>
      <c r="O1017" s="77"/>
      <c r="P1017" s="76"/>
      <c r="Q1017" s="76"/>
    </row>
    <row r="1018" spans="3:17" hidden="1" outlineLevel="3" collapsed="1" x14ac:dyDescent="0.25">
      <c r="E1018" s="84" t="s">
        <v>628</v>
      </c>
      <c r="F1018" s="79"/>
      <c r="G1018" s="79"/>
      <c r="H1018" s="80"/>
      <c r="I1018" s="81"/>
      <c r="J1018" s="83">
        <f>HYPERLINK("#Структура!E47",Структура!E47)</f>
        <v>24</v>
      </c>
      <c r="K1018" s="115">
        <f>HYPERLINK("#Структура!G47",Структура!G47)</f>
        <v>6.52644</v>
      </c>
      <c r="L1018" s="81">
        <f>M1018/J1018</f>
        <v>2407.8539999999998</v>
      </c>
      <c r="M1018" s="81">
        <f>SUMIF(F1019,"*",M1019)*J1018</f>
        <v>57788.495999999999</v>
      </c>
      <c r="N1018" s="124">
        <f>HYPERLINK("#Трудозатраты!B381",Трудозатраты!B381+SUMIF(F1019,"*",O1019))</f>
        <v>57</v>
      </c>
      <c r="O1018" s="82">
        <f>N1018*J1018</f>
        <v>1368</v>
      </c>
      <c r="P1018" s="81">
        <f>O1018/60*(1+запас_труд)*стоимость_трудочаса</f>
        <v>53580</v>
      </c>
      <c r="Q1018" s="129">
        <f>M1018*(1+наценка_покупное)+P1018</f>
        <v>122926.1952</v>
      </c>
    </row>
    <row r="1019" spans="3:17" hidden="1" outlineLevel="4" x14ac:dyDescent="0.25">
      <c r="F1019" s="74" t="s">
        <v>45</v>
      </c>
      <c r="G1019" s="74"/>
      <c r="H1019" s="75"/>
      <c r="I1019" s="76"/>
      <c r="J1019" s="78">
        <f>HYPERLINK("#Структура!E1443",Структура!E1443)</f>
        <v>8.0261800000000001</v>
      </c>
      <c r="K1019" s="114" t="str">
        <f>HYPERLINK("#Структура!G1443","")</f>
        <v/>
      </c>
      <c r="L1019" s="120">
        <f>HYPERLINK("#Покупные_изделия!D64",Покупные_изделия!D64)</f>
        <v>300</v>
      </c>
      <c r="M1019" s="76">
        <f>J1019*L1019</f>
        <v>2407.8539999999998</v>
      </c>
      <c r="N1019" s="77"/>
      <c r="O1019" s="77"/>
      <c r="P1019" s="76"/>
      <c r="Q1019" s="76"/>
    </row>
    <row r="1020" spans="3:17" hidden="1" outlineLevel="3" collapsed="1" x14ac:dyDescent="0.25">
      <c r="E1020" s="84" t="s">
        <v>629</v>
      </c>
      <c r="F1020" s="79"/>
      <c r="G1020" s="79"/>
      <c r="H1020" s="80"/>
      <c r="I1020" s="81"/>
      <c r="J1020" s="83">
        <f>HYPERLINK("#Структура!E48",Структура!E48)</f>
        <v>24</v>
      </c>
      <c r="K1020" s="115">
        <f>HYPERLINK("#Структура!G48",Структура!G48)</f>
        <v>6.6043000000000003</v>
      </c>
      <c r="L1020" s="81">
        <f>M1020/J1020</f>
        <v>2029.75</v>
      </c>
      <c r="M1020" s="81">
        <f>SUMIF(F1021,"*",M1021)*J1020</f>
        <v>48714</v>
      </c>
      <c r="N1020" s="124">
        <f>HYPERLINK("#Трудозатраты!B382",Трудозатраты!B382+SUMIF(F1021,"*",O1021))</f>
        <v>58.75</v>
      </c>
      <c r="O1020" s="82">
        <f>N1020*J1020</f>
        <v>1410</v>
      </c>
      <c r="P1020" s="81">
        <f>O1020/60*(1+запас_труд)*стоимость_трудочаса</f>
        <v>55225</v>
      </c>
      <c r="Q1020" s="129">
        <f>M1020*(1+наценка_покупное)+P1020</f>
        <v>113681.79999999999</v>
      </c>
    </row>
    <row r="1021" spans="3:17" hidden="1" outlineLevel="4" x14ac:dyDescent="0.25">
      <c r="F1021" s="74" t="s">
        <v>127</v>
      </c>
      <c r="G1021" s="74"/>
      <c r="H1021" s="75"/>
      <c r="I1021" s="76"/>
      <c r="J1021" s="78">
        <f>HYPERLINK("#Структура!E1444",Структура!E1444)</f>
        <v>8.1189999999999998</v>
      </c>
      <c r="K1021" s="114" t="str">
        <f>HYPERLINK("#Структура!G1444","")</f>
        <v/>
      </c>
      <c r="L1021" s="120">
        <f>HYPERLINK("#Покупные_изделия!D302",Покупные_изделия!D302)</f>
        <v>250</v>
      </c>
      <c r="M1021" s="76">
        <f>J1021*L1021</f>
        <v>2029.75</v>
      </c>
      <c r="N1021" s="77"/>
      <c r="O1021" s="77"/>
      <c r="P1021" s="76"/>
      <c r="Q1021" s="76"/>
    </row>
    <row r="1022" spans="3:17" hidden="1" outlineLevel="1" collapsed="1" x14ac:dyDescent="0.25">
      <c r="C1022" s="96" t="s">
        <v>1078</v>
      </c>
      <c r="D1022" s="91"/>
      <c r="E1022" s="91"/>
      <c r="F1022" s="91"/>
      <c r="G1022" s="91"/>
      <c r="H1022" s="92"/>
      <c r="I1022" s="93"/>
      <c r="J1022" s="95">
        <f>HYPERLINK("#Структура!E3251",Структура!E3251)</f>
        <v>1</v>
      </c>
      <c r="K1022" s="116">
        <f>HYPERLINK("#Структура!G3251",Структура!G3251)</f>
        <v>753.74256000000003</v>
      </c>
      <c r="L1022" s="93">
        <f>M1022/J1022</f>
        <v>182876.98544590452</v>
      </c>
      <c r="M1022" s="93">
        <f>SUMIF(D1023:D1291,"*",M1023:M1291)*J1022</f>
        <v>182876.98544590452</v>
      </c>
      <c r="N1022" s="125">
        <f>HYPERLINK("#Трудозатраты!B394",Трудозатраты!B394+SUMIF(D1023:D1291,"*",O1023:O1291))</f>
        <v>2503.1400000000003</v>
      </c>
      <c r="O1022" s="94">
        <f>N1022*J1022</f>
        <v>2503.1400000000003</v>
      </c>
      <c r="P1022" s="93">
        <f>O1022/60*(1+запас_труд)*стоимость_трудочаса</f>
        <v>98039.650000000023</v>
      </c>
      <c r="Q1022" s="130">
        <f>M1022*(1+наценка_покупное)+P1022</f>
        <v>317492.03253508545</v>
      </c>
    </row>
    <row r="1023" spans="3:17" hidden="1" outlineLevel="2" collapsed="1" x14ac:dyDescent="0.25">
      <c r="D1023" s="97" t="s">
        <v>1077</v>
      </c>
      <c r="E1023" s="98"/>
      <c r="F1023" s="98"/>
      <c r="G1023" s="98"/>
      <c r="H1023" s="99"/>
      <c r="I1023" s="100"/>
      <c r="J1023" s="102">
        <f>HYPERLINK("#Структура!E1465",Структура!E1465)</f>
        <v>1</v>
      </c>
      <c r="K1023" s="112">
        <f>HYPERLINK("#Структура!G1465",Структура!G1465)</f>
        <v>28.810279999999999</v>
      </c>
      <c r="L1023" s="100">
        <f>M1023/J1023</f>
        <v>5966.473143600002</v>
      </c>
      <c r="M1023" s="100">
        <f>SUMIF(E1024:E1033,"*",M1024:M1033)*J1023</f>
        <v>5966.473143600002</v>
      </c>
      <c r="N1023" s="122">
        <f>HYPERLINK("#Трудозатраты!B400",Трудозатраты!B400+SUMIF(E1024:E1033,"*",O1024:O1033))</f>
        <v>43</v>
      </c>
      <c r="O1023" s="101">
        <f>N1023*J1023</f>
        <v>43</v>
      </c>
      <c r="P1023" s="100">
        <f>O1023/60*(1+запас_труд)*стоимость_трудочаса</f>
        <v>1684.1666666666667</v>
      </c>
      <c r="Q1023" s="127">
        <f>M1023*(1+наценка_покупное)+P1023</f>
        <v>8843.9344389866692</v>
      </c>
    </row>
    <row r="1024" spans="3:17" hidden="1" outlineLevel="3" collapsed="1" x14ac:dyDescent="0.25">
      <c r="E1024" s="85" t="s">
        <v>1104</v>
      </c>
      <c r="F1024" s="86"/>
      <c r="G1024" s="86"/>
      <c r="H1024" s="87"/>
      <c r="I1024" s="88"/>
      <c r="J1024" s="90">
        <f>HYPERLINK("#Структура!E1519",Структура!E1519)</f>
        <v>1</v>
      </c>
      <c r="K1024" s="113">
        <f>HYPERLINK("#Структура!G1519",Структура!G1519)</f>
        <v>28.71969</v>
      </c>
      <c r="L1024" s="88">
        <f>M1024/J1024</f>
        <v>4465.1417880000008</v>
      </c>
      <c r="M1024" s="88">
        <f>SUMIF(F1025:F1029,"*",M1025:M1029)*J1024</f>
        <v>4465.1417880000008</v>
      </c>
      <c r="N1024" s="123">
        <f>HYPERLINK("#Трудозатраты!B402",Трудозатраты!B402+SUMIF(F1025:F1029,"*",O1025:O1029))</f>
        <v>29</v>
      </c>
      <c r="O1024" s="89">
        <f>N1024*J1024</f>
        <v>29</v>
      </c>
      <c r="P1024" s="88">
        <f>O1024/60*(1+запас_труд)*стоимость_трудочаса</f>
        <v>1135.8333333333333</v>
      </c>
      <c r="Q1024" s="128">
        <f>M1024*(1+наценка_покупное)+P1024</f>
        <v>6494.003478933334</v>
      </c>
    </row>
    <row r="1025" spans="4:17" hidden="1" outlineLevel="4" x14ac:dyDescent="0.25">
      <c r="F1025" s="74" t="s">
        <v>65</v>
      </c>
      <c r="G1025" s="74"/>
      <c r="H1025" s="75"/>
      <c r="I1025" s="76"/>
      <c r="J1025" s="78">
        <f>HYPERLINK("#Структура!E1527",Структура!E1527)</f>
        <v>0.17799999999999999</v>
      </c>
      <c r="K1025" s="114" t="str">
        <f>HYPERLINK("#Структура!G1527","")</f>
        <v/>
      </c>
      <c r="L1025" s="120">
        <f>HYPERLINK("#Покупные_изделия!D197",Покупные_изделия!D197)</f>
        <v>264.50399999999996</v>
      </c>
      <c r="M1025" s="76">
        <f>J1025*L1025</f>
        <v>47.081711999999989</v>
      </c>
      <c r="N1025" s="77"/>
      <c r="O1025" s="77"/>
      <c r="P1025" s="76"/>
      <c r="Q1025" s="76"/>
    </row>
    <row r="1026" spans="4:17" hidden="1" outlineLevel="4" x14ac:dyDescent="0.25">
      <c r="F1026" s="74" t="s">
        <v>118</v>
      </c>
      <c r="G1026" s="74"/>
      <c r="H1026" s="75"/>
      <c r="I1026" s="76"/>
      <c r="J1026" s="78">
        <f>HYPERLINK("#Структура!E1528",Структура!E1528)</f>
        <v>35.309170000000002</v>
      </c>
      <c r="K1026" s="114" t="str">
        <f>HYPERLINK("#Структура!G1528","")</f>
        <v/>
      </c>
      <c r="L1026" s="120">
        <f>HYPERLINK("#Покупные_изделия!D293",Покупные_изделия!D293)</f>
        <v>120</v>
      </c>
      <c r="M1026" s="76">
        <f>J1026*L1026</f>
        <v>4237.1004000000003</v>
      </c>
      <c r="N1026" s="77"/>
      <c r="O1026" s="77"/>
      <c r="P1026" s="76"/>
      <c r="Q1026" s="76"/>
    </row>
    <row r="1027" spans="4:17" hidden="1" outlineLevel="4" x14ac:dyDescent="0.25">
      <c r="F1027" s="74" t="s">
        <v>155</v>
      </c>
      <c r="G1027" s="74"/>
      <c r="H1027" s="75"/>
      <c r="I1027" s="76"/>
      <c r="J1027" s="78">
        <f>HYPERLINK("#Структура!E1529",Структура!E1529)</f>
        <v>5.2999999999999999E-2</v>
      </c>
      <c r="K1027" s="114" t="str">
        <f>HYPERLINK("#Структура!G1529","")</f>
        <v/>
      </c>
      <c r="L1027" s="120">
        <f>HYPERLINK("#Покупные_изделия!D423",Покупные_изделия!D423)</f>
        <v>218.28</v>
      </c>
      <c r="M1027" s="76">
        <f>J1027*L1027</f>
        <v>11.56884</v>
      </c>
      <c r="N1027" s="77"/>
      <c r="O1027" s="77"/>
      <c r="P1027" s="76"/>
      <c r="Q1027" s="76"/>
    </row>
    <row r="1028" spans="4:17" hidden="1" outlineLevel="4" x14ac:dyDescent="0.25">
      <c r="F1028" s="74" t="s">
        <v>156</v>
      </c>
      <c r="G1028" s="74"/>
      <c r="H1028" s="75"/>
      <c r="I1028" s="76"/>
      <c r="J1028" s="78">
        <f>HYPERLINK("#Структура!E1530",Структура!E1530)</f>
        <v>0.16300000000000001</v>
      </c>
      <c r="K1028" s="114" t="str">
        <f>HYPERLINK("#Структура!G1530","")</f>
        <v/>
      </c>
      <c r="L1028" s="120">
        <f>HYPERLINK("#Покупные_изделия!D427",Покупные_изделия!D427)</f>
        <v>155.53200000000001</v>
      </c>
      <c r="M1028" s="76">
        <f>J1028*L1028</f>
        <v>25.351716000000003</v>
      </c>
      <c r="N1028" s="77"/>
      <c r="O1028" s="77"/>
      <c r="P1028" s="76"/>
      <c r="Q1028" s="76"/>
    </row>
    <row r="1029" spans="4:17" hidden="1" outlineLevel="4" x14ac:dyDescent="0.25">
      <c r="F1029" s="74" t="s">
        <v>215</v>
      </c>
      <c r="G1029" s="74"/>
      <c r="H1029" s="75"/>
      <c r="I1029" s="76"/>
      <c r="J1029" s="78">
        <f>HYPERLINK("#Структура!E1531",Структура!E1531)</f>
        <v>0.35499999999999998</v>
      </c>
      <c r="K1029" s="114" t="str">
        <f>HYPERLINK("#Структура!G1531","")</f>
        <v/>
      </c>
      <c r="L1029" s="120">
        <f>HYPERLINK("#Покупные_изделия!D567",Покупные_изделия!D567)</f>
        <v>405.74399999999997</v>
      </c>
      <c r="M1029" s="76">
        <f>J1029*L1029</f>
        <v>144.03911999999997</v>
      </c>
      <c r="N1029" s="77"/>
      <c r="O1029" s="77"/>
      <c r="P1029" s="76"/>
      <c r="Q1029" s="76"/>
    </row>
    <row r="1030" spans="4:17" hidden="1" outlineLevel="3" collapsed="1" x14ac:dyDescent="0.25">
      <c r="E1030" s="84" t="s">
        <v>1105</v>
      </c>
      <c r="F1030" s="79"/>
      <c r="G1030" s="79"/>
      <c r="H1030" s="80"/>
      <c r="I1030" s="81"/>
      <c r="J1030" s="83">
        <f>HYPERLINK("#Структура!E1520",Структура!E1520)</f>
        <v>1</v>
      </c>
      <c r="K1030" s="115">
        <f>HYPERLINK("#Структура!G1520",Структура!G1520)</f>
        <v>16.988890000000001</v>
      </c>
      <c r="L1030" s="81">
        <f>M1030/J1030</f>
        <v>1472.5303956000002</v>
      </c>
      <c r="M1030" s="81">
        <f>SUMIF(F1031,"*",M1031)*J1030</f>
        <v>1472.5303956000002</v>
      </c>
      <c r="N1030" s="124">
        <f>HYPERLINK("#Трудозатраты!B405",Трудозатраты!B405+SUMIF(F1031,"*",O1031))</f>
        <v>10</v>
      </c>
      <c r="O1030" s="82">
        <f>N1030*J1030</f>
        <v>10</v>
      </c>
      <c r="P1030" s="81">
        <f>O1030/60*(1+запас_труд)*стоимость_трудочаса</f>
        <v>391.66666666666663</v>
      </c>
      <c r="Q1030" s="129">
        <f>M1030*(1+наценка_покупное)+P1030</f>
        <v>2158.7031413866671</v>
      </c>
    </row>
    <row r="1031" spans="4:17" hidden="1" outlineLevel="4" x14ac:dyDescent="0.25">
      <c r="F1031" s="74" t="s">
        <v>168</v>
      </c>
      <c r="G1031" s="74"/>
      <c r="H1031" s="75"/>
      <c r="I1031" s="76"/>
      <c r="J1031" s="78">
        <f>HYPERLINK("#Структура!E1538",Структура!E1538)</f>
        <v>0.999</v>
      </c>
      <c r="K1031" s="114" t="str">
        <f>HYPERLINK("#Структура!G1538","")</f>
        <v/>
      </c>
      <c r="L1031" s="120">
        <f>HYPERLINK("#Покупные_изделия!D453",Покупные_изделия!D453)</f>
        <v>1474.0044000000003</v>
      </c>
      <c r="M1031" s="76">
        <f>J1031*L1031</f>
        <v>1472.5303956000002</v>
      </c>
      <c r="N1031" s="77"/>
      <c r="O1031" s="77"/>
      <c r="P1031" s="76"/>
      <c r="Q1031" s="76"/>
    </row>
    <row r="1032" spans="4:17" hidden="1" outlineLevel="3" x14ac:dyDescent="0.25">
      <c r="E1032" s="74" t="s">
        <v>1103</v>
      </c>
      <c r="F1032" s="74"/>
      <c r="G1032" s="74"/>
      <c r="H1032" s="75"/>
      <c r="I1032" s="76"/>
      <c r="J1032" s="78">
        <f>HYPERLINK("#Структура!E1521",Структура!E1521)</f>
        <v>4</v>
      </c>
      <c r="K1032" s="114">
        <f>HYPERLINK("#Структура!G1521",Структура!G1521)</f>
        <v>4.1200000000000004E-3</v>
      </c>
      <c r="L1032" s="120">
        <f>HYPERLINK("#Покупные_изделия!D122",Покупные_изделия!D122)</f>
        <v>5.1348000000000003</v>
      </c>
      <c r="M1032" s="76">
        <f>J1032*L1032</f>
        <v>20.539200000000001</v>
      </c>
      <c r="N1032" s="77"/>
      <c r="O1032" s="77"/>
      <c r="P1032" s="76"/>
      <c r="Q1032" s="76"/>
    </row>
    <row r="1033" spans="4:17" hidden="1" outlineLevel="3" x14ac:dyDescent="0.25">
      <c r="E1033" s="74" t="s">
        <v>871</v>
      </c>
      <c r="F1033" s="74"/>
      <c r="G1033" s="74"/>
      <c r="H1033" s="75"/>
      <c r="I1033" s="76"/>
      <c r="J1033" s="78">
        <f>HYPERLINK("#Структура!E1522",Структура!E1522)</f>
        <v>4</v>
      </c>
      <c r="K1033" s="114">
        <f>HYPERLINK("#Структура!G1522",Структура!G1522)</f>
        <v>3.3E-3</v>
      </c>
      <c r="L1033" s="120">
        <f>HYPERLINK("#Покупные_изделия!D167",Покупные_изделия!D167)</f>
        <v>2.0654400000000002</v>
      </c>
      <c r="M1033" s="76">
        <f>J1033*L1033</f>
        <v>8.2617600000000007</v>
      </c>
      <c r="N1033" s="77"/>
      <c r="O1033" s="77"/>
      <c r="P1033" s="76"/>
      <c r="Q1033" s="76"/>
    </row>
    <row r="1034" spans="4:17" hidden="1" outlineLevel="2" collapsed="1" x14ac:dyDescent="0.25">
      <c r="D1034" s="96" t="s">
        <v>1079</v>
      </c>
      <c r="E1034" s="91"/>
      <c r="F1034" s="91"/>
      <c r="G1034" s="91"/>
      <c r="H1034" s="92"/>
      <c r="I1034" s="93"/>
      <c r="J1034" s="95">
        <f>HYPERLINK("#Структура!E1466",Структура!E1466)</f>
        <v>1</v>
      </c>
      <c r="K1034" s="116">
        <f>HYPERLINK("#Структура!G1466",Структура!G1466)</f>
        <v>28.813359999999999</v>
      </c>
      <c r="L1034" s="93">
        <f>M1034/J1034</f>
        <v>5966.473143600002</v>
      </c>
      <c r="M1034" s="93">
        <f>SUMIF(E1035:E1044,"*",M1035:M1044)*J1034</f>
        <v>5966.473143600002</v>
      </c>
      <c r="N1034" s="125">
        <f>HYPERLINK("#Трудозатраты!B401",Трудозатраты!B401+SUMIF(E1035:E1044,"*",O1035:O1044))</f>
        <v>43</v>
      </c>
      <c r="O1034" s="94">
        <f>N1034*J1034</f>
        <v>43</v>
      </c>
      <c r="P1034" s="93">
        <f>O1034/60*(1+запас_труд)*стоимость_трудочаса</f>
        <v>1684.1666666666667</v>
      </c>
      <c r="Q1034" s="130">
        <f>M1034*(1+наценка_покупное)+P1034</f>
        <v>8843.9344389866692</v>
      </c>
    </row>
    <row r="1035" spans="4:17" hidden="1" outlineLevel="3" collapsed="1" x14ac:dyDescent="0.25">
      <c r="E1035" s="85" t="s">
        <v>1106</v>
      </c>
      <c r="F1035" s="86"/>
      <c r="G1035" s="86"/>
      <c r="H1035" s="87"/>
      <c r="I1035" s="88"/>
      <c r="J1035" s="90">
        <f>HYPERLINK("#Структура!E1523",Структура!E1523)</f>
        <v>1</v>
      </c>
      <c r="K1035" s="113">
        <f>HYPERLINK("#Структура!G1523",Структура!G1523)</f>
        <v>28.72278</v>
      </c>
      <c r="L1035" s="88">
        <f>M1035/J1035</f>
        <v>4465.1417880000008</v>
      </c>
      <c r="M1035" s="88">
        <f>SUMIF(F1036:F1040,"*",M1036:M1040)*J1035</f>
        <v>4465.1417880000008</v>
      </c>
      <c r="N1035" s="123">
        <f>HYPERLINK("#Трудозатраты!B403",Трудозатраты!B403+SUMIF(F1036:F1040,"*",O1036:O1040))</f>
        <v>29</v>
      </c>
      <c r="O1035" s="89">
        <f>N1035*J1035</f>
        <v>29</v>
      </c>
      <c r="P1035" s="88">
        <f>O1035/60*(1+запас_труд)*стоимость_трудочаса</f>
        <v>1135.8333333333333</v>
      </c>
      <c r="Q1035" s="128">
        <f>M1035*(1+наценка_покупное)+P1035</f>
        <v>6494.003478933334</v>
      </c>
    </row>
    <row r="1036" spans="4:17" hidden="1" outlineLevel="4" x14ac:dyDescent="0.25">
      <c r="F1036" s="74" t="s">
        <v>65</v>
      </c>
      <c r="G1036" s="74"/>
      <c r="H1036" s="75"/>
      <c r="I1036" s="76"/>
      <c r="J1036" s="78">
        <f>HYPERLINK("#Структура!E1532",Структура!E1532)</f>
        <v>0.17799999999999999</v>
      </c>
      <c r="K1036" s="114" t="str">
        <f>HYPERLINK("#Структура!G1532","")</f>
        <v/>
      </c>
      <c r="L1036" s="120">
        <f>HYPERLINK("#Покупные_изделия!D197",Покупные_изделия!D197)</f>
        <v>264.50399999999996</v>
      </c>
      <c r="M1036" s="76">
        <f>J1036*L1036</f>
        <v>47.081711999999989</v>
      </c>
      <c r="N1036" s="77"/>
      <c r="O1036" s="77"/>
      <c r="P1036" s="76"/>
      <c r="Q1036" s="76"/>
    </row>
    <row r="1037" spans="4:17" hidden="1" outlineLevel="4" x14ac:dyDescent="0.25">
      <c r="F1037" s="74" t="s">
        <v>118</v>
      </c>
      <c r="G1037" s="74"/>
      <c r="H1037" s="75"/>
      <c r="I1037" s="76"/>
      <c r="J1037" s="78">
        <f>HYPERLINK("#Структура!E1533",Структура!E1533)</f>
        <v>35.309170000000002</v>
      </c>
      <c r="K1037" s="114" t="str">
        <f>HYPERLINK("#Структура!G1533","")</f>
        <v/>
      </c>
      <c r="L1037" s="120">
        <f>HYPERLINK("#Покупные_изделия!D293",Покупные_изделия!D293)</f>
        <v>120</v>
      </c>
      <c r="M1037" s="76">
        <f>J1037*L1037</f>
        <v>4237.1004000000003</v>
      </c>
      <c r="N1037" s="77"/>
      <c r="O1037" s="77"/>
      <c r="P1037" s="76"/>
      <c r="Q1037" s="76"/>
    </row>
    <row r="1038" spans="4:17" hidden="1" outlineLevel="4" x14ac:dyDescent="0.25">
      <c r="F1038" s="74" t="s">
        <v>155</v>
      </c>
      <c r="G1038" s="74"/>
      <c r="H1038" s="75"/>
      <c r="I1038" s="76"/>
      <c r="J1038" s="78">
        <f>HYPERLINK("#Структура!E1534",Структура!E1534)</f>
        <v>5.2999999999999999E-2</v>
      </c>
      <c r="K1038" s="114" t="str">
        <f>HYPERLINK("#Структура!G1534","")</f>
        <v/>
      </c>
      <c r="L1038" s="120">
        <f>HYPERLINK("#Покупные_изделия!D423",Покупные_изделия!D423)</f>
        <v>218.28</v>
      </c>
      <c r="M1038" s="76">
        <f>J1038*L1038</f>
        <v>11.56884</v>
      </c>
      <c r="N1038" s="77"/>
      <c r="O1038" s="77"/>
      <c r="P1038" s="76"/>
      <c r="Q1038" s="76"/>
    </row>
    <row r="1039" spans="4:17" hidden="1" outlineLevel="4" x14ac:dyDescent="0.25">
      <c r="F1039" s="74" t="s">
        <v>156</v>
      </c>
      <c r="G1039" s="74"/>
      <c r="H1039" s="75"/>
      <c r="I1039" s="76"/>
      <c r="J1039" s="78">
        <f>HYPERLINK("#Структура!E1535",Структура!E1535)</f>
        <v>0.16300000000000001</v>
      </c>
      <c r="K1039" s="114" t="str">
        <f>HYPERLINK("#Структура!G1535","")</f>
        <v/>
      </c>
      <c r="L1039" s="120">
        <f>HYPERLINK("#Покупные_изделия!D427",Покупные_изделия!D427)</f>
        <v>155.53200000000001</v>
      </c>
      <c r="M1039" s="76">
        <f>J1039*L1039</f>
        <v>25.351716000000003</v>
      </c>
      <c r="N1039" s="77"/>
      <c r="O1039" s="77"/>
      <c r="P1039" s="76"/>
      <c r="Q1039" s="76"/>
    </row>
    <row r="1040" spans="4:17" hidden="1" outlineLevel="4" x14ac:dyDescent="0.25">
      <c r="F1040" s="74" t="s">
        <v>215</v>
      </c>
      <c r="G1040" s="74"/>
      <c r="H1040" s="75"/>
      <c r="I1040" s="76"/>
      <c r="J1040" s="78">
        <f>HYPERLINK("#Структура!E1536",Структура!E1536)</f>
        <v>0.35499999999999998</v>
      </c>
      <c r="K1040" s="114" t="str">
        <f>HYPERLINK("#Структура!G1536","")</f>
        <v/>
      </c>
      <c r="L1040" s="120">
        <f>HYPERLINK("#Покупные_изделия!D567",Покупные_изделия!D567)</f>
        <v>405.74399999999997</v>
      </c>
      <c r="M1040" s="76">
        <f>J1040*L1040</f>
        <v>144.03911999999997</v>
      </c>
      <c r="N1040" s="77"/>
      <c r="O1040" s="77"/>
      <c r="P1040" s="76"/>
      <c r="Q1040" s="76"/>
    </row>
    <row r="1041" spans="4:17" hidden="1" outlineLevel="3" collapsed="1" x14ac:dyDescent="0.25">
      <c r="E1041" s="84" t="s">
        <v>1105</v>
      </c>
      <c r="F1041" s="79"/>
      <c r="G1041" s="79"/>
      <c r="H1041" s="80"/>
      <c r="I1041" s="81"/>
      <c r="J1041" s="83">
        <f>HYPERLINK("#Структура!E1524",Структура!E1524)</f>
        <v>1</v>
      </c>
      <c r="K1041" s="115">
        <f>HYPERLINK("#Структура!G1524",Структура!G1524)</f>
        <v>16.988890000000001</v>
      </c>
      <c r="L1041" s="81">
        <f>M1041/J1041</f>
        <v>1472.5303956000002</v>
      </c>
      <c r="M1041" s="81">
        <f>SUMIF(F1042,"*",M1042)*J1041</f>
        <v>1472.5303956000002</v>
      </c>
      <c r="N1041" s="124">
        <f>HYPERLINK("#Трудозатраты!B405",Трудозатраты!B405+SUMIF(F1042,"*",O1042))</f>
        <v>10</v>
      </c>
      <c r="O1041" s="82">
        <f>N1041*J1041</f>
        <v>10</v>
      </c>
      <c r="P1041" s="81">
        <f>O1041/60*(1+запас_труд)*стоимость_трудочаса</f>
        <v>391.66666666666663</v>
      </c>
      <c r="Q1041" s="129">
        <f>M1041*(1+наценка_покупное)+P1041</f>
        <v>2158.7031413866671</v>
      </c>
    </row>
    <row r="1042" spans="4:17" hidden="1" outlineLevel="4" x14ac:dyDescent="0.25">
      <c r="F1042" s="74" t="s">
        <v>168</v>
      </c>
      <c r="G1042" s="74"/>
      <c r="H1042" s="75"/>
      <c r="I1042" s="76"/>
      <c r="J1042" s="78">
        <f>HYPERLINK("#Структура!E1538",Структура!E1538)</f>
        <v>0.999</v>
      </c>
      <c r="K1042" s="114" t="str">
        <f>HYPERLINK("#Структура!G1538","")</f>
        <v/>
      </c>
      <c r="L1042" s="120">
        <f>HYPERLINK("#Покупные_изделия!D453",Покупные_изделия!D453)</f>
        <v>1474.0044000000003</v>
      </c>
      <c r="M1042" s="76">
        <f>J1042*L1042</f>
        <v>1472.5303956000002</v>
      </c>
      <c r="N1042" s="77"/>
      <c r="O1042" s="77"/>
      <c r="P1042" s="76"/>
      <c r="Q1042" s="76"/>
    </row>
    <row r="1043" spans="4:17" hidden="1" outlineLevel="3" x14ac:dyDescent="0.25">
      <c r="E1043" s="74" t="s">
        <v>1103</v>
      </c>
      <c r="F1043" s="74"/>
      <c r="G1043" s="74"/>
      <c r="H1043" s="75"/>
      <c r="I1043" s="76"/>
      <c r="J1043" s="78">
        <f>HYPERLINK("#Структура!E1525",Структура!E1525)</f>
        <v>4</v>
      </c>
      <c r="K1043" s="114">
        <f>HYPERLINK("#Структура!G1525",Структура!G1525)</f>
        <v>4.1200000000000004E-3</v>
      </c>
      <c r="L1043" s="120">
        <f>HYPERLINK("#Покупные_изделия!D122",Покупные_изделия!D122)</f>
        <v>5.1348000000000003</v>
      </c>
      <c r="M1043" s="76">
        <f>J1043*L1043</f>
        <v>20.539200000000001</v>
      </c>
      <c r="N1043" s="77"/>
      <c r="O1043" s="77"/>
      <c r="P1043" s="76"/>
      <c r="Q1043" s="76"/>
    </row>
    <row r="1044" spans="4:17" hidden="1" outlineLevel="3" x14ac:dyDescent="0.25">
      <c r="E1044" s="74" t="s">
        <v>871</v>
      </c>
      <c r="F1044" s="74"/>
      <c r="G1044" s="74"/>
      <c r="H1044" s="75"/>
      <c r="I1044" s="76"/>
      <c r="J1044" s="78">
        <f>HYPERLINK("#Структура!E1526",Структура!E1526)</f>
        <v>4</v>
      </c>
      <c r="K1044" s="114">
        <f>HYPERLINK("#Структура!G1526",Структура!G1526)</f>
        <v>3.3E-3</v>
      </c>
      <c r="L1044" s="120">
        <f>HYPERLINK("#Покупные_изделия!D167",Покупные_изделия!D167)</f>
        <v>2.0654400000000002</v>
      </c>
      <c r="M1044" s="76">
        <f>J1044*L1044</f>
        <v>8.2617600000000007</v>
      </c>
      <c r="N1044" s="77"/>
      <c r="O1044" s="77"/>
      <c r="P1044" s="76"/>
      <c r="Q1044" s="76"/>
    </row>
    <row r="1045" spans="4:17" hidden="1" outlineLevel="2" collapsed="1" x14ac:dyDescent="0.25">
      <c r="D1045" s="96" t="s">
        <v>1080</v>
      </c>
      <c r="E1045" s="91"/>
      <c r="F1045" s="91"/>
      <c r="G1045" s="91"/>
      <c r="H1045" s="92"/>
      <c r="I1045" s="93"/>
      <c r="J1045" s="95">
        <f>HYPERLINK("#Структура!E1467",Структура!E1467)</f>
        <v>1</v>
      </c>
      <c r="K1045" s="116">
        <f>HYPERLINK("#Структура!G1467",Структура!G1467)</f>
        <v>20.365870000000001</v>
      </c>
      <c r="L1045" s="93">
        <f>M1045/J1045</f>
        <v>3861.9194201188857</v>
      </c>
      <c r="M1045" s="93">
        <f>SUMIF(E1046:E1095,"*",M1046:M1095)*J1045</f>
        <v>3861.9194201188857</v>
      </c>
      <c r="N1045" s="125">
        <f>HYPERLINK("#Трудозатраты!B413",Трудозатраты!B413+SUMIF(E1046:E1095,"*",O1046:O1095))</f>
        <v>171.50000000000003</v>
      </c>
      <c r="O1045" s="94">
        <f>N1045*J1045</f>
        <v>171.50000000000003</v>
      </c>
      <c r="P1045" s="93">
        <f>O1045/60*(1+запас_труд)*стоимость_трудочаса</f>
        <v>6717.0833333333348</v>
      </c>
      <c r="Q1045" s="130">
        <f>M1045*(1+наценка_покупное)+P1045</f>
        <v>11351.386637475996</v>
      </c>
    </row>
    <row r="1046" spans="4:17" hidden="1" outlineLevel="3" collapsed="1" x14ac:dyDescent="0.25">
      <c r="E1046" s="97" t="s">
        <v>1107</v>
      </c>
      <c r="F1046" s="98"/>
      <c r="G1046" s="98"/>
      <c r="H1046" s="99"/>
      <c r="I1046" s="100"/>
      <c r="J1046" s="102">
        <f>HYPERLINK("#Структура!E1554",Структура!E1554)</f>
        <v>1</v>
      </c>
      <c r="K1046" s="112">
        <f>HYPERLINK("#Структура!G1554",Структура!G1554)</f>
        <v>15.32761</v>
      </c>
      <c r="L1046" s="100">
        <f>M1046/J1046</f>
        <v>2658.0724608000005</v>
      </c>
      <c r="M1046" s="100">
        <f>SUMIF(F1047:F1068,"*",M1047:M1068)*J1046</f>
        <v>2658.0724608000005</v>
      </c>
      <c r="N1046" s="122">
        <f>HYPERLINK("#Трудозатраты!B419",Трудозатраты!B419+SUMIF(F1047:F1068,"*",O1047:O1068))</f>
        <v>131.35</v>
      </c>
      <c r="O1046" s="101">
        <f>N1046*J1046</f>
        <v>131.35</v>
      </c>
      <c r="P1046" s="100">
        <f>O1046/60*(1+запас_труд)*стоимость_трудочаса</f>
        <v>5144.5416666666661</v>
      </c>
      <c r="Q1046" s="127">
        <f>M1046*(1+наценка_покупное)+P1046</f>
        <v>8334.2286196266668</v>
      </c>
    </row>
    <row r="1047" spans="4:17" hidden="1" outlineLevel="4" collapsed="1" x14ac:dyDescent="0.25">
      <c r="F1047" s="97" t="s">
        <v>1113</v>
      </c>
      <c r="G1047" s="98"/>
      <c r="H1047" s="99"/>
      <c r="I1047" s="100"/>
      <c r="J1047" s="102">
        <f>HYPERLINK("#Структура!E1582",Структура!E1582)</f>
        <v>1</v>
      </c>
      <c r="K1047" s="112">
        <f>HYPERLINK("#Структура!G1582",Структура!G1582)</f>
        <v>6.6944800000000004</v>
      </c>
      <c r="L1047" s="100">
        <f>M1047/J1047</f>
        <v>1016.6065272</v>
      </c>
      <c r="M1047" s="100">
        <f>SUMIF(G1048:G1053,"*",M1048:M1053)*J1047</f>
        <v>1016.6065272</v>
      </c>
      <c r="N1047" s="122">
        <f>HYPERLINK("#Трудозатраты!B422",Трудозатраты!B422+SUMIF(G1048:G1053,"*",O1048:O1053))</f>
        <v>22.1</v>
      </c>
      <c r="O1047" s="101">
        <f>N1047*J1047</f>
        <v>22.1</v>
      </c>
      <c r="P1047" s="100">
        <f>O1047/60*(1+запас_труд)*стоимость_трудочаса</f>
        <v>865.58333333333337</v>
      </c>
      <c r="Q1047" s="127">
        <f>M1047*(1+наценка_покупное)+P1047</f>
        <v>2085.5111659733334</v>
      </c>
    </row>
    <row r="1048" spans="4:17" hidden="1" outlineLevel="5" collapsed="1" x14ac:dyDescent="0.25">
      <c r="G1048" s="85" t="s">
        <v>1117</v>
      </c>
      <c r="H1048" s="87"/>
      <c r="I1048" s="88"/>
      <c r="J1048" s="90">
        <f>HYPERLINK("#Структура!E1594",Структура!E1594)</f>
        <v>1</v>
      </c>
      <c r="K1048" s="113">
        <f>HYPERLINK("#Структура!G1594",Структура!G1594)</f>
        <v>3.4752000000000001</v>
      </c>
      <c r="L1048" s="88">
        <f>M1048/J1048</f>
        <v>503.59319999999997</v>
      </c>
      <c r="M1048" s="88">
        <f>SUMIF(H1049,"*",M1049)*J1048</f>
        <v>503.59319999999997</v>
      </c>
      <c r="N1048" s="123">
        <f>HYPERLINK("#Трудозатраты!B423",Трудозатраты!B423+SUMIF(H1049,"*",O1049))</f>
        <v>8</v>
      </c>
      <c r="O1048" s="89">
        <f>N1048*J1048</f>
        <v>8</v>
      </c>
      <c r="P1048" s="88">
        <f>O1048/60*(1+запас_труд)*стоимость_трудочаса</f>
        <v>313.33333333333331</v>
      </c>
      <c r="Q1048" s="128">
        <f>M1048*(1+наценка_покупное)+P1048</f>
        <v>917.64517333333333</v>
      </c>
    </row>
    <row r="1049" spans="4:17" hidden="1" outlineLevel="6" x14ac:dyDescent="0.25">
      <c r="H1049" s="75" t="s">
        <v>115</v>
      </c>
      <c r="I1049" s="76"/>
      <c r="J1049" s="78">
        <f>HYPERLINK("#Структура!E1598",Структура!E1598)</f>
        <v>4.1966099999999997</v>
      </c>
      <c r="K1049" s="114" t="str">
        <f>HYPERLINK("#Структура!G1598","")</f>
        <v/>
      </c>
      <c r="L1049" s="120">
        <f>HYPERLINK("#Покупные_изделия!D289",Покупные_изделия!D289)</f>
        <v>120</v>
      </c>
      <c r="M1049" s="76">
        <f>J1049*L1049</f>
        <v>503.59319999999997</v>
      </c>
      <c r="N1049" s="77"/>
      <c r="O1049" s="77"/>
      <c r="P1049" s="76"/>
      <c r="Q1049" s="76"/>
    </row>
    <row r="1050" spans="4:17" hidden="1" outlineLevel="5" collapsed="1" x14ac:dyDescent="0.25">
      <c r="G1050" s="84" t="s">
        <v>1118</v>
      </c>
      <c r="H1050" s="80"/>
      <c r="I1050" s="81"/>
      <c r="J1050" s="83">
        <f>HYPERLINK("#Структура!E1595",Структура!E1595)</f>
        <v>1</v>
      </c>
      <c r="K1050" s="115">
        <f>HYPERLINK("#Структура!G1595",Структура!G1595)</f>
        <v>3.2192799999999999</v>
      </c>
      <c r="L1050" s="81">
        <f>M1050/J1050</f>
        <v>503.59319999999997</v>
      </c>
      <c r="M1050" s="81">
        <f>SUMIF(H1051,"*",M1051)*J1050</f>
        <v>503.59319999999997</v>
      </c>
      <c r="N1050" s="124">
        <f>HYPERLINK("#Трудозатраты!B424",Трудозатраты!B424+SUMIF(H1051,"*",O1051))</f>
        <v>8.1</v>
      </c>
      <c r="O1050" s="82">
        <f>N1050*J1050</f>
        <v>8.1</v>
      </c>
      <c r="P1050" s="81">
        <f>O1050/60*(1+запас_труд)*стоимость_трудочаса</f>
        <v>317.24999999999994</v>
      </c>
      <c r="Q1050" s="129">
        <f>M1050*(1+наценка_покупное)+P1050</f>
        <v>921.56183999999985</v>
      </c>
    </row>
    <row r="1051" spans="4:17" hidden="1" outlineLevel="6" x14ac:dyDescent="0.25">
      <c r="H1051" s="75" t="s">
        <v>115</v>
      </c>
      <c r="I1051" s="76"/>
      <c r="J1051" s="78">
        <f>HYPERLINK("#Структура!E1599",Структура!E1599)</f>
        <v>4.1966099999999997</v>
      </c>
      <c r="K1051" s="114" t="str">
        <f>HYPERLINK("#Структура!G1599","")</f>
        <v/>
      </c>
      <c r="L1051" s="120">
        <f>HYPERLINK("#Покупные_изделия!D289",Покупные_изделия!D289)</f>
        <v>120</v>
      </c>
      <c r="M1051" s="76">
        <f>J1051*L1051</f>
        <v>503.59319999999997</v>
      </c>
      <c r="N1051" s="77"/>
      <c r="O1051" s="77"/>
      <c r="P1051" s="76"/>
      <c r="Q1051" s="76"/>
    </row>
    <row r="1052" spans="4:17" hidden="1" outlineLevel="5" x14ac:dyDescent="0.25">
      <c r="G1052" s="74" t="s">
        <v>67</v>
      </c>
      <c r="H1052" s="75"/>
      <c r="I1052" s="76"/>
      <c r="J1052" s="78">
        <f>HYPERLINK("#Структура!E1596",Структура!E1596)</f>
        <v>0.10199999999999999</v>
      </c>
      <c r="K1052" s="114" t="str">
        <f>HYPERLINK("#Структура!G1596","")</f>
        <v/>
      </c>
      <c r="L1052" s="120">
        <f>HYPERLINK("#Покупные_изделия!D203",Покупные_изделия!D203)</f>
        <v>30.003600000000002</v>
      </c>
      <c r="M1052" s="76">
        <f>J1052*L1052</f>
        <v>3.0603672</v>
      </c>
      <c r="N1052" s="77"/>
      <c r="O1052" s="77"/>
      <c r="P1052" s="76"/>
      <c r="Q1052" s="76"/>
    </row>
    <row r="1053" spans="4:17" hidden="1" outlineLevel="5" x14ac:dyDescent="0.25">
      <c r="G1053" s="74" t="s">
        <v>146</v>
      </c>
      <c r="H1053" s="75"/>
      <c r="I1053" s="76"/>
      <c r="J1053" s="78">
        <f>HYPERLINK("#Структура!E1597",Структура!E1597)</f>
        <v>0.06</v>
      </c>
      <c r="K1053" s="114" t="str">
        <f>HYPERLINK("#Структура!G1597","")</f>
        <v/>
      </c>
      <c r="L1053" s="120">
        <f>HYPERLINK("#Покупные_изделия!D406",Покупные_изделия!D406)</f>
        <v>105.996</v>
      </c>
      <c r="M1053" s="76">
        <f>J1053*L1053</f>
        <v>6.3597599999999996</v>
      </c>
      <c r="N1053" s="77"/>
      <c r="O1053" s="77"/>
      <c r="P1053" s="76"/>
      <c r="Q1053" s="76"/>
    </row>
    <row r="1054" spans="4:17" hidden="1" outlineLevel="4" collapsed="1" x14ac:dyDescent="0.25">
      <c r="F1054" s="96" t="s">
        <v>1114</v>
      </c>
      <c r="G1054" s="91"/>
      <c r="H1054" s="92"/>
      <c r="I1054" s="93"/>
      <c r="J1054" s="95">
        <f>HYPERLINK("#Структура!E1583",Структура!E1583)</f>
        <v>1</v>
      </c>
      <c r="K1054" s="116">
        <f>HYPERLINK("#Структура!G1583",Структура!G1583)</f>
        <v>2.1735600000000002</v>
      </c>
      <c r="L1054" s="93">
        <f>M1054/J1054</f>
        <v>227.27605440000002</v>
      </c>
      <c r="M1054" s="93">
        <f>SUMIF(G1055:G1058,"*",M1055:M1058)*J1054</f>
        <v>227.27605440000002</v>
      </c>
      <c r="N1054" s="125">
        <f>HYPERLINK("#Трудозатраты!B425",Трудозатраты!B425+SUMIF(G1055:G1058,"*",O1055:O1058))</f>
        <v>33.5</v>
      </c>
      <c r="O1054" s="94">
        <f>N1054*J1054</f>
        <v>33.5</v>
      </c>
      <c r="P1054" s="93">
        <f>O1054/60*(1+запас_труд)*стоимость_трудочаса</f>
        <v>1312.0833333333333</v>
      </c>
      <c r="Q1054" s="130">
        <f>M1054*(1+наценка_покупное)+P1054</f>
        <v>1584.8145986133331</v>
      </c>
    </row>
    <row r="1055" spans="4:17" hidden="1" outlineLevel="5" collapsed="1" x14ac:dyDescent="0.25">
      <c r="G1055" s="85" t="s">
        <v>1119</v>
      </c>
      <c r="H1055" s="87"/>
      <c r="I1055" s="88"/>
      <c r="J1055" s="90">
        <f>HYPERLINK("#Структура!E1600",Структура!E1600)</f>
        <v>4</v>
      </c>
      <c r="K1055" s="113">
        <f>HYPERLINK("#Структура!G1600",Структура!G1600)</f>
        <v>0.54339000000000004</v>
      </c>
      <c r="L1055" s="88">
        <f>M1055/J1055</f>
        <v>55.800000000000004</v>
      </c>
      <c r="M1055" s="88">
        <f>SUMIF(H1056,"*",M1056)*J1055</f>
        <v>223.20000000000002</v>
      </c>
      <c r="N1055" s="123">
        <f>HYPERLINK("#Трудозатраты!B426",Трудозатраты!B426+SUMIF(H1056,"*",O1056))</f>
        <v>7</v>
      </c>
      <c r="O1055" s="89">
        <f>N1055*J1055</f>
        <v>28</v>
      </c>
      <c r="P1055" s="88">
        <f>O1055/60*(1+запас_труд)*стоимость_трудочаса</f>
        <v>1096.6666666666667</v>
      </c>
      <c r="Q1055" s="128">
        <f>M1055*(1+наценка_покупное)+P1055</f>
        <v>1364.5066666666667</v>
      </c>
    </row>
    <row r="1056" spans="4:17" hidden="1" outlineLevel="6" x14ac:dyDescent="0.25">
      <c r="H1056" s="75" t="s">
        <v>187</v>
      </c>
      <c r="I1056" s="76"/>
      <c r="J1056" s="78">
        <f>HYPERLINK("#Структура!E1603",Структура!E1603)</f>
        <v>0.55800000000000005</v>
      </c>
      <c r="K1056" s="114" t="str">
        <f>HYPERLINK("#Структура!G1603","")</f>
        <v/>
      </c>
      <c r="L1056" s="120">
        <f>HYPERLINK("#Покупные_изделия!D500",Покупные_изделия!D500)</f>
        <v>100</v>
      </c>
      <c r="M1056" s="76">
        <f>J1056*L1056</f>
        <v>55.800000000000004</v>
      </c>
      <c r="N1056" s="77"/>
      <c r="O1056" s="77"/>
      <c r="P1056" s="76"/>
      <c r="Q1056" s="76"/>
    </row>
    <row r="1057" spans="5:17" hidden="1" outlineLevel="5" x14ac:dyDescent="0.25">
      <c r="G1057" s="74" t="s">
        <v>67</v>
      </c>
      <c r="H1057" s="75"/>
      <c r="I1057" s="76"/>
      <c r="J1057" s="78">
        <f>HYPERLINK("#Структура!E1601",Структура!E1601)</f>
        <v>4.3999999999999997E-2</v>
      </c>
      <c r="K1057" s="114" t="str">
        <f>HYPERLINK("#Структура!G1601","")</f>
        <v/>
      </c>
      <c r="L1057" s="120">
        <f>HYPERLINK("#Покупные_изделия!D203",Покупные_изделия!D203)</f>
        <v>30.003600000000002</v>
      </c>
      <c r="M1057" s="76">
        <f>J1057*L1057</f>
        <v>1.3201584</v>
      </c>
      <c r="N1057" s="77"/>
      <c r="O1057" s="77"/>
      <c r="P1057" s="76"/>
      <c r="Q1057" s="76"/>
    </row>
    <row r="1058" spans="5:17" hidden="1" outlineLevel="5" x14ac:dyDescent="0.25">
      <c r="G1058" s="74" t="s">
        <v>146</v>
      </c>
      <c r="H1058" s="75"/>
      <c r="I1058" s="76"/>
      <c r="J1058" s="78">
        <f>HYPERLINK("#Структура!E1602",Структура!E1602)</f>
        <v>2.5999999999999999E-2</v>
      </c>
      <c r="K1058" s="114" t="str">
        <f>HYPERLINK("#Структура!G1602","")</f>
        <v/>
      </c>
      <c r="L1058" s="120">
        <f>HYPERLINK("#Покупные_изделия!D406",Покупные_изделия!D406)</f>
        <v>105.996</v>
      </c>
      <c r="M1058" s="76">
        <f>J1058*L1058</f>
        <v>2.7558959999999999</v>
      </c>
      <c r="N1058" s="77"/>
      <c r="O1058" s="77"/>
      <c r="P1058" s="76"/>
      <c r="Q1058" s="76"/>
    </row>
    <row r="1059" spans="5:17" hidden="1" outlineLevel="4" collapsed="1" x14ac:dyDescent="0.25">
      <c r="F1059" s="84" t="s">
        <v>1115</v>
      </c>
      <c r="G1059" s="79"/>
      <c r="H1059" s="80"/>
      <c r="I1059" s="81"/>
      <c r="J1059" s="83">
        <f>HYPERLINK("#Структура!E1584",Структура!E1584)</f>
        <v>1</v>
      </c>
      <c r="K1059" s="115">
        <f>HYPERLINK("#Структура!G1584",Структура!G1584)</f>
        <v>4.70153</v>
      </c>
      <c r="L1059" s="81">
        <f>M1059/J1059</f>
        <v>902.9076</v>
      </c>
      <c r="M1059" s="81">
        <f>SUMIF(G1060,"*",M1060)*J1059</f>
        <v>902.9076</v>
      </c>
      <c r="N1059" s="124">
        <f>HYPERLINK("#Трудозатраты!B420",Трудозатраты!B420+SUMIF(G1060,"*",O1060))</f>
        <v>22</v>
      </c>
      <c r="O1059" s="82">
        <f>N1059*J1059</f>
        <v>22</v>
      </c>
      <c r="P1059" s="81">
        <f>O1059/60*(1+запас_труд)*стоимость_трудочаса</f>
        <v>861.66666666666663</v>
      </c>
      <c r="Q1059" s="129">
        <f>M1059*(1+наценка_покупное)+P1059</f>
        <v>1945.1557866666667</v>
      </c>
    </row>
    <row r="1060" spans="5:17" hidden="1" outlineLevel="5" x14ac:dyDescent="0.25">
      <c r="G1060" s="74" t="s">
        <v>115</v>
      </c>
      <c r="H1060" s="75"/>
      <c r="I1060" s="76"/>
      <c r="J1060" s="78">
        <f>HYPERLINK("#Структура!E1592",Структура!E1592)</f>
        <v>7.5242300000000002</v>
      </c>
      <c r="K1060" s="114" t="str">
        <f>HYPERLINK("#Структура!G1592","")</f>
        <v/>
      </c>
      <c r="L1060" s="120">
        <f>HYPERLINK("#Покупные_изделия!D289",Покупные_изделия!D289)</f>
        <v>120</v>
      </c>
      <c r="M1060" s="76">
        <f>J1060*L1060</f>
        <v>902.9076</v>
      </c>
      <c r="N1060" s="77"/>
      <c r="O1060" s="77"/>
      <c r="P1060" s="76"/>
      <c r="Q1060" s="76"/>
    </row>
    <row r="1061" spans="5:17" hidden="1" outlineLevel="4" collapsed="1" x14ac:dyDescent="0.25">
      <c r="F1061" s="84" t="s">
        <v>1116</v>
      </c>
      <c r="G1061" s="79"/>
      <c r="H1061" s="80"/>
      <c r="I1061" s="81"/>
      <c r="J1061" s="83">
        <f>HYPERLINK("#Структура!E1585",Структура!E1585)</f>
        <v>1</v>
      </c>
      <c r="K1061" s="115">
        <f>HYPERLINK("#Структура!G1585",Структура!G1585)</f>
        <v>1.75804</v>
      </c>
      <c r="L1061" s="81">
        <f>M1061/J1061</f>
        <v>252</v>
      </c>
      <c r="M1061" s="81">
        <f>SUMIF(G1062,"*",M1062)*J1061</f>
        <v>252</v>
      </c>
      <c r="N1061" s="124">
        <f>HYPERLINK("#Трудозатраты!B421",Трудозатраты!B421+SUMIF(G1062,"*",O1062))</f>
        <v>9.25</v>
      </c>
      <c r="O1061" s="82">
        <f>N1061*J1061</f>
        <v>9.25</v>
      </c>
      <c r="P1061" s="81">
        <f>O1061/60*(1+запас_труд)*стоимость_трудочаса</f>
        <v>362.29166666666669</v>
      </c>
      <c r="Q1061" s="129">
        <f>M1061*(1+наценка_покупное)+P1061</f>
        <v>664.69166666666661</v>
      </c>
    </row>
    <row r="1062" spans="5:17" hidden="1" outlineLevel="5" x14ac:dyDescent="0.25">
      <c r="G1062" s="74" t="s">
        <v>115</v>
      </c>
      <c r="H1062" s="75"/>
      <c r="I1062" s="76"/>
      <c r="J1062" s="78">
        <f>HYPERLINK("#Структура!E1593",Структура!E1593)</f>
        <v>2.1</v>
      </c>
      <c r="K1062" s="114" t="str">
        <f>HYPERLINK("#Структура!G1593","")</f>
        <v/>
      </c>
      <c r="L1062" s="120">
        <f>HYPERLINK("#Покупные_изделия!D289",Покупные_изделия!D289)</f>
        <v>120</v>
      </c>
      <c r="M1062" s="76">
        <f t="shared" ref="M1062:M1068" si="39">J1062*L1062</f>
        <v>252</v>
      </c>
      <c r="N1062" s="77"/>
      <c r="O1062" s="77"/>
      <c r="P1062" s="76"/>
      <c r="Q1062" s="76"/>
    </row>
    <row r="1063" spans="5:17" hidden="1" outlineLevel="4" x14ac:dyDescent="0.25">
      <c r="F1063" s="74" t="s">
        <v>65</v>
      </c>
      <c r="G1063" s="74"/>
      <c r="H1063" s="75"/>
      <c r="I1063" s="76"/>
      <c r="J1063" s="78">
        <f>HYPERLINK("#Структура!E1586",Структура!E1586)</f>
        <v>0.155</v>
      </c>
      <c r="K1063" s="114" t="str">
        <f>HYPERLINK("#Структура!G1586","")</f>
        <v/>
      </c>
      <c r="L1063" s="120">
        <f>HYPERLINK("#Покупные_изделия!D197",Покупные_изделия!D197)</f>
        <v>264.50399999999996</v>
      </c>
      <c r="M1063" s="76">
        <f t="shared" si="39"/>
        <v>40.998119999999993</v>
      </c>
      <c r="N1063" s="77"/>
      <c r="O1063" s="77"/>
      <c r="P1063" s="76"/>
      <c r="Q1063" s="76"/>
    </row>
    <row r="1064" spans="5:17" hidden="1" outlineLevel="4" x14ac:dyDescent="0.25">
      <c r="F1064" s="74" t="s">
        <v>67</v>
      </c>
      <c r="G1064" s="74"/>
      <c r="H1064" s="75"/>
      <c r="I1064" s="76"/>
      <c r="J1064" s="78">
        <f>HYPERLINK("#Структура!E1587",Структура!E1587)</f>
        <v>0.65200000000000002</v>
      </c>
      <c r="K1064" s="114" t="str">
        <f>HYPERLINK("#Структура!G1587","")</f>
        <v/>
      </c>
      <c r="L1064" s="120">
        <f>HYPERLINK("#Покупные_изделия!D203",Покупные_изделия!D203)</f>
        <v>30.003600000000002</v>
      </c>
      <c r="M1064" s="76">
        <f t="shared" si="39"/>
        <v>19.562347200000001</v>
      </c>
      <c r="N1064" s="77"/>
      <c r="O1064" s="77"/>
      <c r="P1064" s="76"/>
      <c r="Q1064" s="76"/>
    </row>
    <row r="1065" spans="5:17" hidden="1" outlineLevel="4" x14ac:dyDescent="0.25">
      <c r="F1065" s="74" t="s">
        <v>146</v>
      </c>
      <c r="G1065" s="74"/>
      <c r="H1065" s="75"/>
      <c r="I1065" s="76"/>
      <c r="J1065" s="78">
        <f>HYPERLINK("#Структура!E1588",Структура!E1588)</f>
        <v>0.38300000000000001</v>
      </c>
      <c r="K1065" s="114" t="str">
        <f>HYPERLINK("#Структура!G1588","")</f>
        <v/>
      </c>
      <c r="L1065" s="120">
        <f>HYPERLINK("#Покупные_изделия!D406",Покупные_изделия!D406)</f>
        <v>105.996</v>
      </c>
      <c r="M1065" s="76">
        <f t="shared" si="39"/>
        <v>40.596468000000002</v>
      </c>
      <c r="N1065" s="77"/>
      <c r="O1065" s="77"/>
      <c r="P1065" s="76"/>
      <c r="Q1065" s="76"/>
    </row>
    <row r="1066" spans="5:17" hidden="1" outlineLevel="4" x14ac:dyDescent="0.25">
      <c r="F1066" s="74" t="s">
        <v>155</v>
      </c>
      <c r="G1066" s="74"/>
      <c r="H1066" s="75"/>
      <c r="I1066" s="76"/>
      <c r="J1066" s="78">
        <f>HYPERLINK("#Структура!E1589",Структура!E1589)</f>
        <v>4.7E-2</v>
      </c>
      <c r="K1066" s="114" t="str">
        <f>HYPERLINK("#Структура!G1589","")</f>
        <v/>
      </c>
      <c r="L1066" s="120">
        <f>HYPERLINK("#Покупные_изделия!D423",Покупные_изделия!D423)</f>
        <v>218.28</v>
      </c>
      <c r="M1066" s="76">
        <f t="shared" si="39"/>
        <v>10.25916</v>
      </c>
      <c r="N1066" s="77"/>
      <c r="O1066" s="77"/>
      <c r="P1066" s="76"/>
      <c r="Q1066" s="76"/>
    </row>
    <row r="1067" spans="5:17" hidden="1" outlineLevel="4" x14ac:dyDescent="0.25">
      <c r="F1067" s="74" t="s">
        <v>156</v>
      </c>
      <c r="G1067" s="74"/>
      <c r="H1067" s="75"/>
      <c r="I1067" s="76"/>
      <c r="J1067" s="78">
        <f>HYPERLINK("#Структура!E1590",Структура!E1590)</f>
        <v>0.14199999999999999</v>
      </c>
      <c r="K1067" s="114" t="str">
        <f>HYPERLINK("#Структура!G1590","")</f>
        <v/>
      </c>
      <c r="L1067" s="120">
        <f>HYPERLINK("#Покупные_изделия!D427",Покупные_изделия!D427)</f>
        <v>155.53200000000001</v>
      </c>
      <c r="M1067" s="76">
        <f t="shared" si="39"/>
        <v>22.085543999999999</v>
      </c>
      <c r="N1067" s="77"/>
      <c r="O1067" s="77"/>
      <c r="P1067" s="76"/>
      <c r="Q1067" s="76"/>
    </row>
    <row r="1068" spans="5:17" hidden="1" outlineLevel="4" x14ac:dyDescent="0.25">
      <c r="F1068" s="74" t="s">
        <v>215</v>
      </c>
      <c r="G1068" s="74"/>
      <c r="H1068" s="75"/>
      <c r="I1068" s="76"/>
      <c r="J1068" s="78">
        <f>HYPERLINK("#Структура!E1591",Структура!E1591)</f>
        <v>0.31</v>
      </c>
      <c r="K1068" s="114" t="str">
        <f>HYPERLINK("#Структура!G1591","")</f>
        <v/>
      </c>
      <c r="L1068" s="120">
        <f>HYPERLINK("#Покупные_изделия!D567",Покупные_изделия!D567)</f>
        <v>405.74399999999997</v>
      </c>
      <c r="M1068" s="76">
        <f t="shared" si="39"/>
        <v>125.78063999999999</v>
      </c>
      <c r="N1068" s="77"/>
      <c r="O1068" s="77"/>
      <c r="P1068" s="76"/>
      <c r="Q1068" s="76"/>
    </row>
    <row r="1069" spans="5:17" hidden="1" outlineLevel="3" collapsed="1" x14ac:dyDescent="0.25">
      <c r="E1069" s="84" t="s">
        <v>1108</v>
      </c>
      <c r="F1069" s="79"/>
      <c r="G1069" s="79"/>
      <c r="H1069" s="80"/>
      <c r="I1069" s="81"/>
      <c r="J1069" s="83">
        <f>HYPERLINK("#Структура!E1555",Структура!E1555)</f>
        <v>1</v>
      </c>
      <c r="K1069" s="115">
        <f>HYPERLINK("#Структура!G1555",Структура!G1555)</f>
        <v>1.43676</v>
      </c>
      <c r="L1069" s="81">
        <f>M1069/J1069</f>
        <v>261.69747599999999</v>
      </c>
      <c r="M1069" s="81">
        <f>SUMIF(F1070:F1074,"*",M1070:M1074)*J1069</f>
        <v>261.69747599999999</v>
      </c>
      <c r="N1069" s="124">
        <f>HYPERLINK("#Трудозатраты!B414",Трудозатраты!B414+SUMIF(F1070:F1074,"*",O1070:O1074))</f>
        <v>6.4</v>
      </c>
      <c r="O1069" s="82">
        <f>N1069*J1069</f>
        <v>6.4</v>
      </c>
      <c r="P1069" s="81">
        <f>O1069/60*(1+запас_труд)*стоимость_трудочаса</f>
        <v>250.66666666666669</v>
      </c>
      <c r="Q1069" s="129">
        <f>M1069*(1+наценка_покупное)+P1069</f>
        <v>564.70363786666667</v>
      </c>
    </row>
    <row r="1070" spans="5:17" hidden="1" outlineLevel="4" x14ac:dyDescent="0.25">
      <c r="F1070" s="74" t="s">
        <v>65</v>
      </c>
      <c r="G1070" s="74"/>
      <c r="H1070" s="75"/>
      <c r="I1070" s="76"/>
      <c r="J1070" s="78">
        <f>HYPERLINK("#Структура!E1565",Структура!E1565)</f>
        <v>1.2E-2</v>
      </c>
      <c r="K1070" s="114" t="str">
        <f>HYPERLINK("#Структура!G1565","")</f>
        <v/>
      </c>
      <c r="L1070" s="120">
        <f>HYPERLINK("#Покупные_изделия!D197",Покупные_изделия!D197)</f>
        <v>264.50399999999996</v>
      </c>
      <c r="M1070" s="76">
        <f>J1070*L1070</f>
        <v>3.1740479999999995</v>
      </c>
      <c r="N1070" s="77"/>
      <c r="O1070" s="77"/>
      <c r="P1070" s="76"/>
      <c r="Q1070" s="76"/>
    </row>
    <row r="1071" spans="5:17" hidden="1" outlineLevel="4" x14ac:dyDescent="0.25">
      <c r="F1071" s="74" t="s">
        <v>116</v>
      </c>
      <c r="G1071" s="74"/>
      <c r="H1071" s="75"/>
      <c r="I1071" s="76"/>
      <c r="J1071" s="78">
        <f>HYPERLINK("#Структура!E1566",Структура!E1566)</f>
        <v>2.0516800000000002</v>
      </c>
      <c r="K1071" s="114" t="str">
        <f>HYPERLINK("#Структура!G1566","")</f>
        <v/>
      </c>
      <c r="L1071" s="120">
        <f>HYPERLINK("#Покупные_изделия!D291",Покупные_изделия!D291)</f>
        <v>120</v>
      </c>
      <c r="M1071" s="76">
        <f>J1071*L1071</f>
        <v>246.20160000000001</v>
      </c>
      <c r="N1071" s="77"/>
      <c r="O1071" s="77"/>
      <c r="P1071" s="76"/>
      <c r="Q1071" s="76"/>
    </row>
    <row r="1072" spans="5:17" hidden="1" outlineLevel="4" x14ac:dyDescent="0.25">
      <c r="F1072" s="74" t="s">
        <v>155</v>
      </c>
      <c r="G1072" s="74"/>
      <c r="H1072" s="75"/>
      <c r="I1072" s="76"/>
      <c r="J1072" s="78">
        <f>HYPERLINK("#Структура!E1567",Структура!E1567)</f>
        <v>4.0000000000000001E-3</v>
      </c>
      <c r="K1072" s="114" t="str">
        <f>HYPERLINK("#Структура!G1567","")</f>
        <v/>
      </c>
      <c r="L1072" s="120">
        <f>HYPERLINK("#Покупные_изделия!D423",Покупные_изделия!D423)</f>
        <v>218.28</v>
      </c>
      <c r="M1072" s="76">
        <f>J1072*L1072</f>
        <v>0.87312000000000001</v>
      </c>
      <c r="N1072" s="77"/>
      <c r="O1072" s="77"/>
      <c r="P1072" s="76"/>
      <c r="Q1072" s="76"/>
    </row>
    <row r="1073" spans="5:17" hidden="1" outlineLevel="4" x14ac:dyDescent="0.25">
      <c r="F1073" s="74" t="s">
        <v>156</v>
      </c>
      <c r="G1073" s="74"/>
      <c r="H1073" s="75"/>
      <c r="I1073" s="76"/>
      <c r="J1073" s="78">
        <f>HYPERLINK("#Структура!E1568",Структура!E1568)</f>
        <v>1.0999999999999999E-2</v>
      </c>
      <c r="K1073" s="114" t="str">
        <f>HYPERLINK("#Структура!G1568","")</f>
        <v/>
      </c>
      <c r="L1073" s="120">
        <f>HYPERLINK("#Покупные_изделия!D427",Покупные_изделия!D427)</f>
        <v>155.53200000000001</v>
      </c>
      <c r="M1073" s="76">
        <f>J1073*L1073</f>
        <v>1.710852</v>
      </c>
      <c r="N1073" s="77"/>
      <c r="O1073" s="77"/>
      <c r="P1073" s="76"/>
      <c r="Q1073" s="76"/>
    </row>
    <row r="1074" spans="5:17" hidden="1" outlineLevel="4" x14ac:dyDescent="0.25">
      <c r="F1074" s="74" t="s">
        <v>215</v>
      </c>
      <c r="G1074" s="74"/>
      <c r="H1074" s="75"/>
      <c r="I1074" s="76"/>
      <c r="J1074" s="78">
        <f>HYPERLINK("#Структура!E1569",Структура!E1569)</f>
        <v>2.4E-2</v>
      </c>
      <c r="K1074" s="114" t="str">
        <f>HYPERLINK("#Структура!G1569","")</f>
        <v/>
      </c>
      <c r="L1074" s="120">
        <f>HYPERLINK("#Покупные_изделия!D567",Покупные_изделия!D567)</f>
        <v>405.74399999999997</v>
      </c>
      <c r="M1074" s="76">
        <f>J1074*L1074</f>
        <v>9.737855999999999</v>
      </c>
      <c r="N1074" s="77"/>
      <c r="O1074" s="77"/>
      <c r="P1074" s="76"/>
      <c r="Q1074" s="76"/>
    </row>
    <row r="1075" spans="5:17" hidden="1" outlineLevel="3" collapsed="1" x14ac:dyDescent="0.25">
      <c r="E1075" s="84" t="s">
        <v>1109</v>
      </c>
      <c r="F1075" s="79"/>
      <c r="G1075" s="79"/>
      <c r="H1075" s="80"/>
      <c r="I1075" s="81"/>
      <c r="J1075" s="83">
        <f>HYPERLINK("#Структура!E1556",Структура!E1556)</f>
        <v>1</v>
      </c>
      <c r="K1075" s="115">
        <f>HYPERLINK("#Структура!G1556",Структура!G1556)</f>
        <v>0.22227</v>
      </c>
      <c r="L1075" s="81">
        <f>M1075/J1075</f>
        <v>35.907575999999999</v>
      </c>
      <c r="M1075" s="81">
        <f>SUMIF(F1076:F1080,"*",M1076:M1080)*J1075</f>
        <v>35.907575999999999</v>
      </c>
      <c r="N1075" s="124">
        <f>HYPERLINK("#Трудозатраты!B415",Трудозатраты!B415+SUMIF(F1076:F1080,"*",O1076:O1080))</f>
        <v>2.75</v>
      </c>
      <c r="O1075" s="82">
        <f>N1075*J1075</f>
        <v>2.75</v>
      </c>
      <c r="P1075" s="81">
        <f>O1075/60*(1+запас_труд)*стоимость_трудочаса</f>
        <v>107.70833333333333</v>
      </c>
      <c r="Q1075" s="129">
        <f>M1075*(1+наценка_покупное)+P1075</f>
        <v>150.79742453333333</v>
      </c>
    </row>
    <row r="1076" spans="5:17" hidden="1" outlineLevel="4" x14ac:dyDescent="0.25">
      <c r="F1076" s="74" t="s">
        <v>65</v>
      </c>
      <c r="G1076" s="74"/>
      <c r="H1076" s="75"/>
      <c r="I1076" s="76"/>
      <c r="J1076" s="78">
        <f>HYPERLINK("#Структура!E1570",Структура!E1570)</f>
        <v>3.0000000000000001E-3</v>
      </c>
      <c r="K1076" s="114" t="str">
        <f>HYPERLINK("#Структура!G1570","")</f>
        <v/>
      </c>
      <c r="L1076" s="120">
        <f>HYPERLINK("#Покупные_изделия!D197",Покупные_изделия!D197)</f>
        <v>264.50399999999996</v>
      </c>
      <c r="M1076" s="76">
        <f>J1076*L1076</f>
        <v>0.79351199999999988</v>
      </c>
      <c r="N1076" s="77"/>
      <c r="O1076" s="77"/>
      <c r="P1076" s="76"/>
      <c r="Q1076" s="76"/>
    </row>
    <row r="1077" spans="5:17" hidden="1" outlineLevel="4" x14ac:dyDescent="0.25">
      <c r="F1077" s="74" t="s">
        <v>115</v>
      </c>
      <c r="G1077" s="74"/>
      <c r="H1077" s="75"/>
      <c r="I1077" s="76"/>
      <c r="J1077" s="78">
        <f>HYPERLINK("#Структура!E1571",Структура!E1571)</f>
        <v>0.27129999999999999</v>
      </c>
      <c r="K1077" s="114" t="str">
        <f>HYPERLINK("#Структура!G1571","")</f>
        <v/>
      </c>
      <c r="L1077" s="120">
        <f>HYPERLINK("#Покупные_изделия!D289",Покупные_изделия!D289)</f>
        <v>120</v>
      </c>
      <c r="M1077" s="76">
        <f>J1077*L1077</f>
        <v>32.555999999999997</v>
      </c>
      <c r="N1077" s="77"/>
      <c r="O1077" s="77"/>
      <c r="P1077" s="76"/>
      <c r="Q1077" s="76"/>
    </row>
    <row r="1078" spans="5:17" hidden="1" outlineLevel="4" x14ac:dyDescent="0.25">
      <c r="F1078" s="74" t="s">
        <v>155</v>
      </c>
      <c r="G1078" s="74"/>
      <c r="H1078" s="75"/>
      <c r="I1078" s="76"/>
      <c r="J1078" s="78">
        <f>HYPERLINK("#Структура!E1572",Структура!E1572)</f>
        <v>1E-3</v>
      </c>
      <c r="K1078" s="114" t="str">
        <f>HYPERLINK("#Структура!G1572","")</f>
        <v/>
      </c>
      <c r="L1078" s="120">
        <f>HYPERLINK("#Покупные_изделия!D423",Покупные_изделия!D423)</f>
        <v>218.28</v>
      </c>
      <c r="M1078" s="76">
        <f>J1078*L1078</f>
        <v>0.21828</v>
      </c>
      <c r="N1078" s="77"/>
      <c r="O1078" s="77"/>
      <c r="P1078" s="76"/>
      <c r="Q1078" s="76"/>
    </row>
    <row r="1079" spans="5:17" hidden="1" outlineLevel="4" x14ac:dyDescent="0.25">
      <c r="F1079" s="74" t="s">
        <v>156</v>
      </c>
      <c r="G1079" s="74"/>
      <c r="H1079" s="75"/>
      <c r="I1079" s="76"/>
      <c r="J1079" s="78">
        <f>HYPERLINK("#Структура!E1573",Структура!E1573)</f>
        <v>2E-3</v>
      </c>
      <c r="K1079" s="114" t="str">
        <f>HYPERLINK("#Структура!G1573","")</f>
        <v/>
      </c>
      <c r="L1079" s="120">
        <f>HYPERLINK("#Покупные_изделия!D427",Покупные_изделия!D427)</f>
        <v>155.53200000000001</v>
      </c>
      <c r="M1079" s="76">
        <f>J1079*L1079</f>
        <v>0.31106400000000001</v>
      </c>
      <c r="N1079" s="77"/>
      <c r="O1079" s="77"/>
      <c r="P1079" s="76"/>
      <c r="Q1079" s="76"/>
    </row>
    <row r="1080" spans="5:17" hidden="1" outlineLevel="4" x14ac:dyDescent="0.25">
      <c r="F1080" s="74" t="s">
        <v>215</v>
      </c>
      <c r="G1080" s="74"/>
      <c r="H1080" s="75"/>
      <c r="I1080" s="76"/>
      <c r="J1080" s="78">
        <f>HYPERLINK("#Структура!E1574",Структура!E1574)</f>
        <v>5.0000000000000001E-3</v>
      </c>
      <c r="K1080" s="114" t="str">
        <f>HYPERLINK("#Структура!G1574","")</f>
        <v/>
      </c>
      <c r="L1080" s="120">
        <f>HYPERLINK("#Покупные_изделия!D567",Покупные_изделия!D567)</f>
        <v>405.74399999999997</v>
      </c>
      <c r="M1080" s="76">
        <f>J1080*L1080</f>
        <v>2.0287199999999999</v>
      </c>
      <c r="N1080" s="77"/>
      <c r="O1080" s="77"/>
      <c r="P1080" s="76"/>
      <c r="Q1080" s="76"/>
    </row>
    <row r="1081" spans="5:17" hidden="1" outlineLevel="3" collapsed="1" x14ac:dyDescent="0.25">
      <c r="E1081" s="84" t="s">
        <v>1110</v>
      </c>
      <c r="F1081" s="79"/>
      <c r="G1081" s="79"/>
      <c r="H1081" s="80"/>
      <c r="I1081" s="81"/>
      <c r="J1081" s="83">
        <f>HYPERLINK("#Структура!E1557",Структура!E1557)</f>
        <v>2</v>
      </c>
      <c r="K1081" s="115">
        <f>HYPERLINK("#Структура!G1557",Структура!G1557)</f>
        <v>0.11022</v>
      </c>
      <c r="L1081" s="81">
        <f>M1081/J1081</f>
        <v>12.749804000000001</v>
      </c>
      <c r="M1081" s="81">
        <f>SUMIF(F1082:F1086,"*",M1082:M1086)*J1081</f>
        <v>25.499608000000002</v>
      </c>
      <c r="N1081" s="124">
        <f>HYPERLINK("#Трудозатраты!B416",Трудозатраты!B416+SUMIF(F1082:F1086,"*",O1082:O1086))</f>
        <v>9.4</v>
      </c>
      <c r="O1081" s="82">
        <f>N1081*J1081</f>
        <v>18.8</v>
      </c>
      <c r="P1081" s="81">
        <f>O1081/60*(1+запас_труд)*стоимость_трудочаса</f>
        <v>736.33333333333337</v>
      </c>
      <c r="Q1081" s="129">
        <f>M1081*(1+наценка_покупное)+P1081</f>
        <v>766.93286293333335</v>
      </c>
    </row>
    <row r="1082" spans="5:17" hidden="1" outlineLevel="4" x14ac:dyDescent="0.25">
      <c r="F1082" s="74" t="s">
        <v>65</v>
      </c>
      <c r="G1082" s="74"/>
      <c r="H1082" s="75"/>
      <c r="I1082" s="76"/>
      <c r="J1082" s="78">
        <f>HYPERLINK("#Структура!E1575",Структура!E1575)</f>
        <v>1E-3</v>
      </c>
      <c r="K1082" s="114" t="str">
        <f>HYPERLINK("#Структура!G1575","")</f>
        <v/>
      </c>
      <c r="L1082" s="120">
        <f>HYPERLINK("#Покупные_изделия!D197",Покупные_изделия!D197)</f>
        <v>264.50399999999996</v>
      </c>
      <c r="M1082" s="76">
        <f>J1082*L1082</f>
        <v>0.26450399999999996</v>
      </c>
      <c r="N1082" s="77"/>
      <c r="O1082" s="77"/>
      <c r="P1082" s="76"/>
      <c r="Q1082" s="76"/>
    </row>
    <row r="1083" spans="5:17" hidden="1" outlineLevel="4" x14ac:dyDescent="0.25">
      <c r="F1083" s="74" t="s">
        <v>105</v>
      </c>
      <c r="G1083" s="74"/>
      <c r="H1083" s="75"/>
      <c r="I1083" s="76"/>
      <c r="J1083" s="78">
        <f>HYPERLINK("#Структура!E1576",Структура!E1576)</f>
        <v>0.113</v>
      </c>
      <c r="K1083" s="114" t="str">
        <f>HYPERLINK("#Структура!G1576","")</f>
        <v/>
      </c>
      <c r="L1083" s="120">
        <f>HYPERLINK("#Покупные_изделия!D274",Покупные_изделия!D274)</f>
        <v>100</v>
      </c>
      <c r="M1083" s="76">
        <f>J1083*L1083</f>
        <v>11.3</v>
      </c>
      <c r="N1083" s="77"/>
      <c r="O1083" s="77"/>
      <c r="P1083" s="76"/>
      <c r="Q1083" s="76"/>
    </row>
    <row r="1084" spans="5:17" hidden="1" outlineLevel="4" x14ac:dyDescent="0.25">
      <c r="F1084" s="74" t="s">
        <v>155</v>
      </c>
      <c r="G1084" s="74"/>
      <c r="H1084" s="75"/>
      <c r="I1084" s="76"/>
      <c r="J1084" s="78">
        <f>HYPERLINK("#Структура!E1577",Структура!E1577)</f>
        <v>1E-3</v>
      </c>
      <c r="K1084" s="114" t="str">
        <f>HYPERLINK("#Структура!G1577","")</f>
        <v/>
      </c>
      <c r="L1084" s="120">
        <f>HYPERLINK("#Покупные_изделия!D423",Покупные_изделия!D423)</f>
        <v>218.28</v>
      </c>
      <c r="M1084" s="76">
        <f>J1084*L1084</f>
        <v>0.21828</v>
      </c>
      <c r="N1084" s="77"/>
      <c r="O1084" s="77"/>
      <c r="P1084" s="76"/>
      <c r="Q1084" s="76"/>
    </row>
    <row r="1085" spans="5:17" hidden="1" outlineLevel="4" x14ac:dyDescent="0.25">
      <c r="F1085" s="74" t="s">
        <v>156</v>
      </c>
      <c r="G1085" s="74"/>
      <c r="H1085" s="75"/>
      <c r="I1085" s="76"/>
      <c r="J1085" s="78">
        <f>HYPERLINK("#Структура!E1578",Структура!E1578)</f>
        <v>1E-3</v>
      </c>
      <c r="K1085" s="114" t="str">
        <f>HYPERLINK("#Структура!G1578","")</f>
        <v/>
      </c>
      <c r="L1085" s="120">
        <f>HYPERLINK("#Покупные_изделия!D427",Покупные_изделия!D427)</f>
        <v>155.53200000000001</v>
      </c>
      <c r="M1085" s="76">
        <f>J1085*L1085</f>
        <v>0.155532</v>
      </c>
      <c r="N1085" s="77"/>
      <c r="O1085" s="77"/>
      <c r="P1085" s="76"/>
      <c r="Q1085" s="76"/>
    </row>
    <row r="1086" spans="5:17" hidden="1" outlineLevel="4" x14ac:dyDescent="0.25">
      <c r="F1086" s="74" t="s">
        <v>215</v>
      </c>
      <c r="G1086" s="74"/>
      <c r="H1086" s="75"/>
      <c r="I1086" s="76"/>
      <c r="J1086" s="78">
        <f>HYPERLINK("#Структура!E1579",Структура!E1579)</f>
        <v>2E-3</v>
      </c>
      <c r="K1086" s="114" t="str">
        <f>HYPERLINK("#Структура!G1579","")</f>
        <v/>
      </c>
      <c r="L1086" s="120">
        <f>HYPERLINK("#Покупные_изделия!D567",Покупные_изделия!D567)</f>
        <v>405.74399999999997</v>
      </c>
      <c r="M1086" s="76">
        <f>J1086*L1086</f>
        <v>0.81148799999999999</v>
      </c>
      <c r="N1086" s="77"/>
      <c r="O1086" s="77"/>
      <c r="P1086" s="76"/>
      <c r="Q1086" s="76"/>
    </row>
    <row r="1087" spans="5:17" hidden="1" outlineLevel="3" collapsed="1" x14ac:dyDescent="0.25">
      <c r="E1087" s="84" t="s">
        <v>1111</v>
      </c>
      <c r="F1087" s="79"/>
      <c r="G1087" s="79"/>
      <c r="H1087" s="80"/>
      <c r="I1087" s="81"/>
      <c r="J1087" s="83">
        <f>HYPERLINK("#Структура!E1558",Структура!E1558)</f>
        <v>1</v>
      </c>
      <c r="K1087" s="115">
        <f>HYPERLINK("#Структура!G1558",Структура!G1558)</f>
        <v>0.71836</v>
      </c>
      <c r="L1087" s="81">
        <f>M1087/J1087</f>
        <v>139.97120000000001</v>
      </c>
      <c r="M1087" s="81">
        <f>SUMIF(F1088,"*",M1088)*J1087</f>
        <v>139.97120000000001</v>
      </c>
      <c r="N1087" s="124">
        <f>HYPERLINK("#Трудозатраты!B417",Трудозатраты!B417+SUMIF(F1088,"*",O1088))</f>
        <v>0.8</v>
      </c>
      <c r="O1087" s="82">
        <f>N1087*J1087</f>
        <v>0.8</v>
      </c>
      <c r="P1087" s="81">
        <f>O1087/60*(1+запас_труд)*стоимость_трудочаса</f>
        <v>31.333333333333336</v>
      </c>
      <c r="Q1087" s="129">
        <f>M1087*(1+наценка_покупное)+P1087</f>
        <v>199.29877333333334</v>
      </c>
    </row>
    <row r="1088" spans="5:17" hidden="1" outlineLevel="4" x14ac:dyDescent="0.25">
      <c r="F1088" s="74" t="s">
        <v>131</v>
      </c>
      <c r="G1088" s="74"/>
      <c r="H1088" s="75"/>
      <c r="I1088" s="76"/>
      <c r="J1088" s="78">
        <f>HYPERLINK("#Структура!E1580",Структура!E1580)</f>
        <v>0.87482000000000004</v>
      </c>
      <c r="K1088" s="114" t="str">
        <f>HYPERLINK("#Структура!G1580","")</f>
        <v/>
      </c>
      <c r="L1088" s="120">
        <f>HYPERLINK("#Покупные_изделия!D306",Покупные_изделия!D306)</f>
        <v>160</v>
      </c>
      <c r="M1088" s="76">
        <f>J1088*L1088</f>
        <v>139.97120000000001</v>
      </c>
      <c r="N1088" s="77"/>
      <c r="O1088" s="77"/>
      <c r="P1088" s="76"/>
      <c r="Q1088" s="76"/>
    </row>
    <row r="1089" spans="4:17" hidden="1" outlineLevel="3" collapsed="1" x14ac:dyDescent="0.25">
      <c r="E1089" s="84" t="s">
        <v>1112</v>
      </c>
      <c r="F1089" s="79"/>
      <c r="G1089" s="79"/>
      <c r="H1089" s="80"/>
      <c r="I1089" s="81"/>
      <c r="J1089" s="83">
        <f>HYPERLINK("#Структура!E1559",Структура!E1559)</f>
        <v>1</v>
      </c>
      <c r="K1089" s="115">
        <f>HYPERLINK("#Структура!G1559",Структура!G1559)</f>
        <v>2.3816700000000002</v>
      </c>
      <c r="L1089" s="81">
        <f>M1089/J1089</f>
        <v>460.1232</v>
      </c>
      <c r="M1089" s="81">
        <f>SUMIF(F1090,"*",M1090)*J1089</f>
        <v>460.1232</v>
      </c>
      <c r="N1089" s="124">
        <f>HYPERLINK("#Трудозатраты!B418",Трудозатраты!B418+SUMIF(F1090,"*",O1090))</f>
        <v>1.4</v>
      </c>
      <c r="O1089" s="82">
        <f>N1089*J1089</f>
        <v>1.4</v>
      </c>
      <c r="P1089" s="81">
        <f>O1089/60*(1+запас_труд)*стоимость_трудочаса</f>
        <v>54.833333333333329</v>
      </c>
      <c r="Q1089" s="129">
        <f>M1089*(1+наценка_покупное)+P1089</f>
        <v>606.98117333333334</v>
      </c>
    </row>
    <row r="1090" spans="4:17" hidden="1" outlineLevel="4" x14ac:dyDescent="0.25">
      <c r="F1090" s="74" t="s">
        <v>131</v>
      </c>
      <c r="G1090" s="74"/>
      <c r="H1090" s="75"/>
      <c r="I1090" s="76"/>
      <c r="J1090" s="78">
        <f>HYPERLINK("#Структура!E1581",Структура!E1581)</f>
        <v>2.8757700000000002</v>
      </c>
      <c r="K1090" s="114" t="str">
        <f>HYPERLINK("#Структура!G1581","")</f>
        <v/>
      </c>
      <c r="L1090" s="120">
        <f>HYPERLINK("#Покупные_изделия!D306",Покупные_изделия!D306)</f>
        <v>160</v>
      </c>
      <c r="M1090" s="76">
        <f t="shared" ref="M1090:M1095" si="40">J1090*L1090</f>
        <v>460.1232</v>
      </c>
      <c r="N1090" s="77"/>
      <c r="O1090" s="77"/>
      <c r="P1090" s="76"/>
      <c r="Q1090" s="76"/>
    </row>
    <row r="1091" spans="4:17" hidden="1" outlineLevel="3" x14ac:dyDescent="0.25">
      <c r="E1091" s="74" t="s">
        <v>622</v>
      </c>
      <c r="F1091" s="74"/>
      <c r="G1091" s="74"/>
      <c r="H1091" s="75"/>
      <c r="I1091" s="76"/>
      <c r="J1091" s="78">
        <f>HYPERLINK("#Структура!E1560",Структура!E1560)</f>
        <v>10</v>
      </c>
      <c r="K1091" s="114">
        <f>HYPERLINK("#Структура!G1560",Структура!G1560)</f>
        <v>1.52E-2</v>
      </c>
      <c r="L1091" s="120">
        <f>HYPERLINK("#Покупные_изделия!D85",Покупные_изделия!D85)</f>
        <v>8.6999999999999993</v>
      </c>
      <c r="M1091" s="76">
        <f t="shared" si="40"/>
        <v>87</v>
      </c>
      <c r="N1091" s="77"/>
      <c r="O1091" s="77"/>
      <c r="P1091" s="76"/>
      <c r="Q1091" s="76"/>
    </row>
    <row r="1092" spans="4:17" hidden="1" outlineLevel="3" x14ac:dyDescent="0.25">
      <c r="E1092" s="74" t="s">
        <v>50</v>
      </c>
      <c r="F1092" s="74"/>
      <c r="G1092" s="74"/>
      <c r="H1092" s="75"/>
      <c r="I1092" s="76"/>
      <c r="J1092" s="78">
        <f>HYPERLINK("#Структура!E1561",Структура!E1561)</f>
        <v>4</v>
      </c>
      <c r="K1092" s="114">
        <f>HYPERLINK("#Структура!G1561",Структура!G1561)</f>
        <v>2.2899999999999999E-3</v>
      </c>
      <c r="L1092" s="120">
        <f>HYPERLINK("#Покупные_изделия!D138",Покупные_изделия!D138)</f>
        <v>31.627200000000002</v>
      </c>
      <c r="M1092" s="76">
        <f t="shared" si="40"/>
        <v>126.50880000000001</v>
      </c>
      <c r="N1092" s="77"/>
      <c r="O1092" s="77"/>
      <c r="P1092" s="76"/>
      <c r="Q1092" s="76"/>
    </row>
    <row r="1093" spans="4:17" hidden="1" outlineLevel="3" x14ac:dyDescent="0.25">
      <c r="E1093" s="74" t="s">
        <v>56</v>
      </c>
      <c r="F1093" s="74"/>
      <c r="G1093" s="74"/>
      <c r="H1093" s="75"/>
      <c r="I1093" s="76"/>
      <c r="J1093" s="78">
        <f>HYPERLINK("#Структура!E1562",Структура!E1562)</f>
        <v>2</v>
      </c>
      <c r="K1093" s="114">
        <f>HYPERLINK("#Структура!G1562",Структура!G1562)</f>
        <v>9.6200000000000001E-3</v>
      </c>
      <c r="L1093" s="120">
        <f>HYPERLINK("#Покупные_изделия!D145",Покупные_изделия!D145)</f>
        <v>9.4919999999999991</v>
      </c>
      <c r="M1093" s="76">
        <f t="shared" si="40"/>
        <v>18.983999999999998</v>
      </c>
      <c r="N1093" s="77"/>
      <c r="O1093" s="77"/>
      <c r="P1093" s="76"/>
      <c r="Q1093" s="76"/>
    </row>
    <row r="1094" spans="4:17" hidden="1" outlineLevel="3" x14ac:dyDescent="0.25">
      <c r="E1094" s="74" t="s">
        <v>766</v>
      </c>
      <c r="F1094" s="74"/>
      <c r="G1094" s="74"/>
      <c r="H1094" s="75"/>
      <c r="I1094" s="76"/>
      <c r="J1094" s="78">
        <f>HYPERLINK("#Структура!E1563",Структура!E1563)</f>
        <v>4</v>
      </c>
      <c r="K1094" s="114">
        <f>HYPERLINK("#Структура!G1563",Структура!G1563)</f>
        <v>1.1299999999999999E-2</v>
      </c>
      <c r="L1094" s="120">
        <f>HYPERLINK("#Покупные_изделия!D163",Покупные_изделия!D163)</f>
        <v>4.1525058823529415</v>
      </c>
      <c r="M1094" s="76">
        <f t="shared" si="40"/>
        <v>16.610023529411766</v>
      </c>
      <c r="N1094" s="77"/>
      <c r="O1094" s="77"/>
      <c r="P1094" s="76"/>
      <c r="Q1094" s="76"/>
    </row>
    <row r="1095" spans="4:17" hidden="1" outlineLevel="3" x14ac:dyDescent="0.25">
      <c r="E1095" s="74" t="s">
        <v>625</v>
      </c>
      <c r="F1095" s="74"/>
      <c r="G1095" s="74"/>
      <c r="H1095" s="75"/>
      <c r="I1095" s="76"/>
      <c r="J1095" s="78">
        <f>HYPERLINK("#Структура!E1564",Структура!E1564)</f>
        <v>16</v>
      </c>
      <c r="K1095" s="114">
        <f>HYPERLINK("#Структура!G1564",Структура!G1564)</f>
        <v>7.1399999999999996E-3</v>
      </c>
      <c r="L1095" s="120">
        <f>HYPERLINK("#Покупные_изделия!D168",Покупные_изделия!D168)</f>
        <v>1.9715672368421051</v>
      </c>
      <c r="M1095" s="76">
        <f t="shared" si="40"/>
        <v>31.545075789473682</v>
      </c>
      <c r="N1095" s="77"/>
      <c r="O1095" s="77"/>
      <c r="P1095" s="76"/>
      <c r="Q1095" s="76"/>
    </row>
    <row r="1096" spans="4:17" hidden="1" outlineLevel="2" collapsed="1" x14ac:dyDescent="0.25">
      <c r="D1096" s="96" t="s">
        <v>1081</v>
      </c>
      <c r="E1096" s="91"/>
      <c r="F1096" s="91"/>
      <c r="G1096" s="91"/>
      <c r="H1096" s="92"/>
      <c r="I1096" s="93"/>
      <c r="J1096" s="95">
        <f>HYPERLINK("#Структура!E1468",Структура!E1468)</f>
        <v>2</v>
      </c>
      <c r="K1096" s="116">
        <f>HYPERLINK("#Структура!G1468",Структура!G1468)</f>
        <v>9.7375000000000007</v>
      </c>
      <c r="L1096" s="93">
        <f>M1096/J1096</f>
        <v>1692.7213964</v>
      </c>
      <c r="M1096" s="93">
        <f>SUMIF(E1097:E1114,"*",M1097:M1114)*J1096</f>
        <v>3385.4427928</v>
      </c>
      <c r="N1096" s="125">
        <f>HYPERLINK("#Трудозатраты!B427",Трудозатраты!B427+SUMIF(E1097:E1114,"*",O1097:O1114))</f>
        <v>61.5</v>
      </c>
      <c r="O1096" s="94">
        <f>N1096*J1096</f>
        <v>123</v>
      </c>
      <c r="P1096" s="93">
        <f>O1096/60*(1+запас_труд)*стоимость_трудочаса</f>
        <v>4817.5</v>
      </c>
      <c r="Q1096" s="130">
        <f>M1096*(1+наценка_покупное)+P1096</f>
        <v>8880.0313513599995</v>
      </c>
    </row>
    <row r="1097" spans="4:17" hidden="1" outlineLevel="3" collapsed="1" x14ac:dyDescent="0.25">
      <c r="E1097" s="97" t="s">
        <v>1120</v>
      </c>
      <c r="F1097" s="98"/>
      <c r="G1097" s="98"/>
      <c r="H1097" s="99"/>
      <c r="I1097" s="100"/>
      <c r="J1097" s="102">
        <f>HYPERLINK("#Структура!E1604",Структура!E1604)</f>
        <v>1</v>
      </c>
      <c r="K1097" s="112">
        <f>HYPERLINK("#Структура!G1604",Структура!G1604)</f>
        <v>9.0478500000000004</v>
      </c>
      <c r="L1097" s="100">
        <f>M1097/J1097</f>
        <v>1583.7677964</v>
      </c>
      <c r="M1097" s="100">
        <f>SUMIF(F1098:F1111,"*",M1098:M1111)*J1097</f>
        <v>1583.7677964</v>
      </c>
      <c r="N1097" s="122">
        <f>HYPERLINK("#Трудозатраты!B429",Трудозатраты!B429+SUMIF(F1098:F1111,"*",O1098:O1111))</f>
        <v>53.7</v>
      </c>
      <c r="O1097" s="101">
        <f>N1097*J1097</f>
        <v>53.7</v>
      </c>
      <c r="P1097" s="100">
        <f>O1097/60*(1+запас_труд)*стоимость_трудочаса</f>
        <v>2103.25</v>
      </c>
      <c r="Q1097" s="127">
        <f>M1097*(1+наценка_покупное)+P1097</f>
        <v>4003.7713556799999</v>
      </c>
    </row>
    <row r="1098" spans="4:17" hidden="1" outlineLevel="4" collapsed="1" x14ac:dyDescent="0.25">
      <c r="F1098" s="85" t="s">
        <v>1122</v>
      </c>
      <c r="G1098" s="86"/>
      <c r="H1098" s="87"/>
      <c r="I1098" s="88"/>
      <c r="J1098" s="90">
        <f>HYPERLINK("#Структура!E1608",Структура!E1608)</f>
        <v>1</v>
      </c>
      <c r="K1098" s="113">
        <f>HYPERLINK("#Структура!G1608",Структура!G1608)</f>
        <v>5.9438000000000004</v>
      </c>
      <c r="L1098" s="88">
        <f>M1098/J1098</f>
        <v>902.9076</v>
      </c>
      <c r="M1098" s="88">
        <f>SUMIF(G1099,"*",M1099)*J1098</f>
        <v>902.9076</v>
      </c>
      <c r="N1098" s="123">
        <f>HYPERLINK("#Трудозатраты!B430",Трудозатраты!B430+SUMIF(G1099,"*",O1099))</f>
        <v>11.3</v>
      </c>
      <c r="O1098" s="89">
        <f>N1098*J1098</f>
        <v>11.3</v>
      </c>
      <c r="P1098" s="88">
        <f>O1098/60*(1+запас_труд)*стоимость_трудочаса</f>
        <v>442.58333333333337</v>
      </c>
      <c r="Q1098" s="128">
        <f>M1098*(1+наценка_покупное)+P1098</f>
        <v>1526.0724533333332</v>
      </c>
    </row>
    <row r="1099" spans="4:17" hidden="1" outlineLevel="5" x14ac:dyDescent="0.25">
      <c r="G1099" s="74" t="s">
        <v>115</v>
      </c>
      <c r="H1099" s="75"/>
      <c r="I1099" s="76"/>
      <c r="J1099" s="78">
        <f>HYPERLINK("#Структура!E1619",Структура!E1619)</f>
        <v>7.5242300000000002</v>
      </c>
      <c r="K1099" s="114" t="str">
        <f>HYPERLINK("#Структура!G1619","")</f>
        <v/>
      </c>
      <c r="L1099" s="120">
        <f>HYPERLINK("#Покупные_изделия!D289",Покупные_изделия!D289)</f>
        <v>120</v>
      </c>
      <c r="M1099" s="76">
        <f>J1099*L1099</f>
        <v>902.9076</v>
      </c>
      <c r="N1099" s="77"/>
      <c r="O1099" s="77"/>
      <c r="P1099" s="76"/>
      <c r="Q1099" s="76"/>
    </row>
    <row r="1100" spans="4:17" hidden="1" outlineLevel="4" collapsed="1" x14ac:dyDescent="0.25">
      <c r="F1100" s="84" t="s">
        <v>1123</v>
      </c>
      <c r="G1100" s="79"/>
      <c r="H1100" s="80"/>
      <c r="I1100" s="81"/>
      <c r="J1100" s="83">
        <f>HYPERLINK("#Структура!E1609",Структура!E1609)</f>
        <v>1</v>
      </c>
      <c r="K1100" s="115">
        <f>HYPERLINK("#Структура!G1609",Структура!G1609)</f>
        <v>2.06264</v>
      </c>
      <c r="L1100" s="81">
        <f>M1100/J1100</f>
        <v>304.52999999999997</v>
      </c>
      <c r="M1100" s="81">
        <f>SUMIF(G1101,"*",M1101)*J1100</f>
        <v>304.52999999999997</v>
      </c>
      <c r="N1100" s="124">
        <f>HYPERLINK("#Трудозатраты!B431",Трудозатраты!B431+SUMIF(G1101,"*",O1101))</f>
        <v>0.7</v>
      </c>
      <c r="O1100" s="82">
        <f>N1100*J1100</f>
        <v>0.7</v>
      </c>
      <c r="P1100" s="81">
        <f>O1100/60*(1+запас_труд)*стоимость_трудочаса</f>
        <v>27.416666666666664</v>
      </c>
      <c r="Q1100" s="129">
        <f>M1100*(1+наценка_покупное)+P1100</f>
        <v>392.85266666666666</v>
      </c>
    </row>
    <row r="1101" spans="4:17" hidden="1" outlineLevel="5" x14ac:dyDescent="0.25">
      <c r="G1101" s="74" t="s">
        <v>120</v>
      </c>
      <c r="H1101" s="75"/>
      <c r="I1101" s="76"/>
      <c r="J1101" s="78">
        <f>HYPERLINK("#Структура!E1620",Структура!E1620)</f>
        <v>2.53775</v>
      </c>
      <c r="K1101" s="114" t="str">
        <f>HYPERLINK("#Структура!G1620","")</f>
        <v/>
      </c>
      <c r="L1101" s="120">
        <f>HYPERLINK("#Покупные_изделия!D295",Покупные_изделия!D295)</f>
        <v>120</v>
      </c>
      <c r="M1101" s="76">
        <f>J1101*L1101</f>
        <v>304.52999999999997</v>
      </c>
      <c r="N1101" s="77"/>
      <c r="O1101" s="77"/>
      <c r="P1101" s="76"/>
      <c r="Q1101" s="76"/>
    </row>
    <row r="1102" spans="4:17" hidden="1" outlineLevel="4" collapsed="1" x14ac:dyDescent="0.25">
      <c r="F1102" s="84" t="s">
        <v>1124</v>
      </c>
      <c r="G1102" s="79"/>
      <c r="H1102" s="80"/>
      <c r="I1102" s="81"/>
      <c r="J1102" s="83">
        <f>HYPERLINK("#Структура!E1610",Структура!E1610)</f>
        <v>2</v>
      </c>
      <c r="K1102" s="115">
        <f>HYPERLINK("#Структура!G1610",Структура!G1610)</f>
        <v>0.50961000000000001</v>
      </c>
      <c r="L1102" s="81">
        <f>M1102/J1102</f>
        <v>103.53959999999999</v>
      </c>
      <c r="M1102" s="81">
        <f>SUMIF(G1103,"*",M1103)*J1102</f>
        <v>207.07919999999999</v>
      </c>
      <c r="N1102" s="124">
        <f>HYPERLINK("#Трудозатраты!B432",Трудозатраты!B432+SUMIF(G1103,"*",O1103))</f>
        <v>0.6</v>
      </c>
      <c r="O1102" s="82">
        <f>N1102*J1102</f>
        <v>1.2</v>
      </c>
      <c r="P1102" s="81">
        <f>O1102/60*(1+запас_труд)*стоимость_трудочаса</f>
        <v>47</v>
      </c>
      <c r="Q1102" s="129">
        <f>M1102*(1+наценка_покупное)+P1102</f>
        <v>295.49503999999996</v>
      </c>
    </row>
    <row r="1103" spans="4:17" hidden="1" outlineLevel="5" x14ac:dyDescent="0.25">
      <c r="G1103" s="74" t="s">
        <v>120</v>
      </c>
      <c r="H1103" s="75"/>
      <c r="I1103" s="76"/>
      <c r="J1103" s="78">
        <f>HYPERLINK("#Структура!E1621",Структура!E1621)</f>
        <v>0.86282999999999999</v>
      </c>
      <c r="K1103" s="114" t="str">
        <f>HYPERLINK("#Структура!G1621","")</f>
        <v/>
      </c>
      <c r="L1103" s="120">
        <f>HYPERLINK("#Покупные_изделия!D295",Покупные_изделия!D295)</f>
        <v>120</v>
      </c>
      <c r="M1103" s="76">
        <f t="shared" ref="M1103:M1111" si="41">J1103*L1103</f>
        <v>103.53959999999999</v>
      </c>
      <c r="N1103" s="77"/>
      <c r="O1103" s="77"/>
      <c r="P1103" s="76"/>
      <c r="Q1103" s="76"/>
    </row>
    <row r="1104" spans="4:17" hidden="1" outlineLevel="4" x14ac:dyDescent="0.25">
      <c r="F1104" s="74" t="s">
        <v>746</v>
      </c>
      <c r="G1104" s="74"/>
      <c r="H1104" s="75"/>
      <c r="I1104" s="76"/>
      <c r="J1104" s="78">
        <f>HYPERLINK("#Структура!E1611",Структура!E1611)</f>
        <v>4</v>
      </c>
      <c r="K1104" s="114">
        <f>HYPERLINK("#Структура!G1611",Структура!G1611)</f>
        <v>5.5500000000000002E-3</v>
      </c>
      <c r="L1104" s="120">
        <f>HYPERLINK("#Покупные_изделия!D192",Покупные_изделия!D192)</f>
        <v>1.9799999999999998</v>
      </c>
      <c r="M1104" s="76">
        <f t="shared" si="41"/>
        <v>7.919999999999999</v>
      </c>
      <c r="N1104" s="77"/>
      <c r="O1104" s="77"/>
      <c r="P1104" s="76"/>
      <c r="Q1104" s="76"/>
    </row>
    <row r="1105" spans="4:17" hidden="1" outlineLevel="4" x14ac:dyDescent="0.25">
      <c r="F1105" s="74" t="s">
        <v>65</v>
      </c>
      <c r="G1105" s="74"/>
      <c r="H1105" s="75"/>
      <c r="I1105" s="76"/>
      <c r="J1105" s="78">
        <f>HYPERLINK("#Структура!E1612",Структура!E1612)</f>
        <v>0.08</v>
      </c>
      <c r="K1105" s="114" t="str">
        <f>HYPERLINK("#Структура!G1612","")</f>
        <v/>
      </c>
      <c r="L1105" s="120">
        <f>HYPERLINK("#Покупные_изделия!D197",Покупные_изделия!D197)</f>
        <v>264.50399999999996</v>
      </c>
      <c r="M1105" s="76">
        <f t="shared" si="41"/>
        <v>21.160319999999999</v>
      </c>
      <c r="N1105" s="77"/>
      <c r="O1105" s="77"/>
      <c r="P1105" s="76"/>
      <c r="Q1105" s="76"/>
    </row>
    <row r="1106" spans="4:17" hidden="1" outlineLevel="4" x14ac:dyDescent="0.25">
      <c r="F1106" s="74" t="s">
        <v>67</v>
      </c>
      <c r="G1106" s="74"/>
      <c r="H1106" s="75"/>
      <c r="I1106" s="76"/>
      <c r="J1106" s="78">
        <f>HYPERLINK("#Структура!E1613",Структура!E1613)</f>
        <v>0.28899999999999998</v>
      </c>
      <c r="K1106" s="114" t="str">
        <f>HYPERLINK("#Структура!G1613","")</f>
        <v/>
      </c>
      <c r="L1106" s="120">
        <f>HYPERLINK("#Покупные_изделия!D203",Покупные_изделия!D203)</f>
        <v>30.003600000000002</v>
      </c>
      <c r="M1106" s="76">
        <f t="shared" si="41"/>
        <v>8.6710404000000008</v>
      </c>
      <c r="N1106" s="77"/>
      <c r="O1106" s="77"/>
      <c r="P1106" s="76"/>
      <c r="Q1106" s="76"/>
    </row>
    <row r="1107" spans="4:17" hidden="1" outlineLevel="4" x14ac:dyDescent="0.25">
      <c r="F1107" s="74" t="s">
        <v>146</v>
      </c>
      <c r="G1107" s="74"/>
      <c r="H1107" s="75"/>
      <c r="I1107" s="76"/>
      <c r="J1107" s="78">
        <f>HYPERLINK("#Структура!E1614",Структура!E1614)</f>
        <v>0.17</v>
      </c>
      <c r="K1107" s="114" t="str">
        <f>HYPERLINK("#Структура!G1614","")</f>
        <v/>
      </c>
      <c r="L1107" s="120">
        <f>HYPERLINK("#Покупные_изделия!D406",Покупные_изделия!D406)</f>
        <v>105.996</v>
      </c>
      <c r="M1107" s="76">
        <f t="shared" si="41"/>
        <v>18.01932</v>
      </c>
      <c r="N1107" s="77"/>
      <c r="O1107" s="77"/>
      <c r="P1107" s="76"/>
      <c r="Q1107" s="76"/>
    </row>
    <row r="1108" spans="4:17" hidden="1" outlineLevel="4" x14ac:dyDescent="0.25">
      <c r="F1108" s="74" t="s">
        <v>155</v>
      </c>
      <c r="G1108" s="74"/>
      <c r="H1108" s="75"/>
      <c r="I1108" s="76"/>
      <c r="J1108" s="78">
        <f>HYPERLINK("#Структура!E1615",Структура!E1615)</f>
        <v>4.8000000000000001E-2</v>
      </c>
      <c r="K1108" s="114" t="str">
        <f>HYPERLINK("#Структура!G1615","")</f>
        <v/>
      </c>
      <c r="L1108" s="120">
        <f>HYPERLINK("#Покупные_изделия!D423",Покупные_изделия!D423)</f>
        <v>218.28</v>
      </c>
      <c r="M1108" s="76">
        <f t="shared" si="41"/>
        <v>10.47744</v>
      </c>
      <c r="N1108" s="77"/>
      <c r="O1108" s="77"/>
      <c r="P1108" s="76"/>
      <c r="Q1108" s="76"/>
    </row>
    <row r="1109" spans="4:17" hidden="1" outlineLevel="4" x14ac:dyDescent="0.25">
      <c r="F1109" s="74" t="s">
        <v>156</v>
      </c>
      <c r="G1109" s="74"/>
      <c r="H1109" s="75"/>
      <c r="I1109" s="76"/>
      <c r="J1109" s="78">
        <f>HYPERLINK("#Структура!E1616",Структура!E1616)</f>
        <v>7.2999999999999995E-2</v>
      </c>
      <c r="K1109" s="114" t="str">
        <f>HYPERLINK("#Структура!G1616","")</f>
        <v/>
      </c>
      <c r="L1109" s="120">
        <f>HYPERLINK("#Покупные_изделия!D427",Покупные_изделия!D427)</f>
        <v>155.53200000000001</v>
      </c>
      <c r="M1109" s="76">
        <f t="shared" si="41"/>
        <v>11.353835999999999</v>
      </c>
      <c r="N1109" s="77"/>
      <c r="O1109" s="77"/>
      <c r="P1109" s="76"/>
      <c r="Q1109" s="76"/>
    </row>
    <row r="1110" spans="4:17" hidden="1" outlineLevel="4" x14ac:dyDescent="0.25">
      <c r="F1110" s="74" t="s">
        <v>200</v>
      </c>
      <c r="G1110" s="74"/>
      <c r="H1110" s="75"/>
      <c r="I1110" s="76"/>
      <c r="J1110" s="78">
        <f>HYPERLINK("#Структура!E1617",Структура!E1617)</f>
        <v>9.9000000000000005E-2</v>
      </c>
      <c r="K1110" s="114" t="str">
        <f>HYPERLINK("#Структура!G1617","")</f>
        <v/>
      </c>
      <c r="L1110" s="120">
        <f>HYPERLINK("#Покупные_изделия!D518",Покупные_изделия!D518)</f>
        <v>270</v>
      </c>
      <c r="M1110" s="76">
        <f t="shared" si="41"/>
        <v>26.73</v>
      </c>
      <c r="N1110" s="77"/>
      <c r="O1110" s="77"/>
      <c r="P1110" s="76"/>
      <c r="Q1110" s="76"/>
    </row>
    <row r="1111" spans="4:17" hidden="1" outlineLevel="4" x14ac:dyDescent="0.25">
      <c r="F1111" s="74" t="s">
        <v>215</v>
      </c>
      <c r="G1111" s="74"/>
      <c r="H1111" s="75"/>
      <c r="I1111" s="76"/>
      <c r="J1111" s="78">
        <f>HYPERLINK("#Структура!E1618",Структура!E1618)</f>
        <v>0.16</v>
      </c>
      <c r="K1111" s="114" t="str">
        <f>HYPERLINK("#Структура!G1618","")</f>
        <v/>
      </c>
      <c r="L1111" s="120">
        <f>HYPERLINK("#Покупные_изделия!D567",Покупные_изделия!D567)</f>
        <v>405.74399999999997</v>
      </c>
      <c r="M1111" s="76">
        <f t="shared" si="41"/>
        <v>64.919039999999995</v>
      </c>
      <c r="N1111" s="77"/>
      <c r="O1111" s="77"/>
      <c r="P1111" s="76"/>
      <c r="Q1111" s="76"/>
    </row>
    <row r="1112" spans="4:17" hidden="1" outlineLevel="3" collapsed="1" x14ac:dyDescent="0.25">
      <c r="E1112" s="84" t="s">
        <v>1121</v>
      </c>
      <c r="F1112" s="79"/>
      <c r="G1112" s="79"/>
      <c r="H1112" s="80"/>
      <c r="I1112" s="81"/>
      <c r="J1112" s="83">
        <f>HYPERLINK("#Структура!E1605",Структура!E1605)</f>
        <v>1</v>
      </c>
      <c r="K1112" s="115">
        <f>HYPERLINK("#Структура!G1605",Структура!G1605)</f>
        <v>0.38252000000000003</v>
      </c>
      <c r="L1112" s="81">
        <f>M1112/J1112</f>
        <v>74.153599999999997</v>
      </c>
      <c r="M1112" s="81">
        <f>SUMIF(F1113,"*",M1113)*J1112</f>
        <v>74.153599999999997</v>
      </c>
      <c r="N1112" s="124">
        <f>HYPERLINK("#Трудозатраты!B428",Трудозатраты!B428+SUMIF(F1113,"*",O1113))</f>
        <v>0.8</v>
      </c>
      <c r="O1112" s="82">
        <f>N1112*J1112</f>
        <v>0.8</v>
      </c>
      <c r="P1112" s="81">
        <f>O1112/60*(1+запас_труд)*стоимость_трудочаса</f>
        <v>31.333333333333336</v>
      </c>
      <c r="Q1112" s="129">
        <f>M1112*(1+наценка_покупное)+P1112</f>
        <v>120.31765333333334</v>
      </c>
    </row>
    <row r="1113" spans="4:17" hidden="1" outlineLevel="4" x14ac:dyDescent="0.25">
      <c r="F1113" s="74" t="s">
        <v>128</v>
      </c>
      <c r="G1113" s="74"/>
      <c r="H1113" s="75"/>
      <c r="I1113" s="76"/>
      <c r="J1113" s="78">
        <f>HYPERLINK("#Структура!E1607",Структура!E1607)</f>
        <v>0.46345999999999998</v>
      </c>
      <c r="K1113" s="114" t="str">
        <f>HYPERLINK("#Структура!G1607","")</f>
        <v/>
      </c>
      <c r="L1113" s="120">
        <f>HYPERLINK("#Покупные_изделия!D303",Покупные_изделия!D303)</f>
        <v>160</v>
      </c>
      <c r="M1113" s="76">
        <f>J1113*L1113</f>
        <v>74.153599999999997</v>
      </c>
      <c r="N1113" s="77"/>
      <c r="O1113" s="77"/>
      <c r="P1113" s="76"/>
      <c r="Q1113" s="76"/>
    </row>
    <row r="1114" spans="4:17" hidden="1" outlineLevel="3" x14ac:dyDescent="0.25">
      <c r="E1114" s="74" t="s">
        <v>622</v>
      </c>
      <c r="F1114" s="74"/>
      <c r="G1114" s="74"/>
      <c r="H1114" s="75"/>
      <c r="I1114" s="76"/>
      <c r="J1114" s="78">
        <f>HYPERLINK("#Структура!E1606",Структура!E1606)</f>
        <v>4</v>
      </c>
      <c r="K1114" s="114">
        <f>HYPERLINK("#Структура!G1606",Структура!G1606)</f>
        <v>1.52E-2</v>
      </c>
      <c r="L1114" s="120">
        <f>HYPERLINK("#Покупные_изделия!D85",Покупные_изделия!D85)</f>
        <v>8.6999999999999993</v>
      </c>
      <c r="M1114" s="76">
        <f>J1114*L1114</f>
        <v>34.799999999999997</v>
      </c>
      <c r="N1114" s="77"/>
      <c r="O1114" s="77"/>
      <c r="P1114" s="76"/>
      <c r="Q1114" s="76"/>
    </row>
    <row r="1115" spans="4:17" hidden="1" outlineLevel="2" collapsed="1" x14ac:dyDescent="0.25">
      <c r="D1115" s="96" t="s">
        <v>1082</v>
      </c>
      <c r="E1115" s="91"/>
      <c r="F1115" s="91"/>
      <c r="G1115" s="91"/>
      <c r="H1115" s="92"/>
      <c r="I1115" s="93"/>
      <c r="J1115" s="95">
        <f>HYPERLINK("#Структура!E1469",Структура!E1469)</f>
        <v>2</v>
      </c>
      <c r="K1115" s="116">
        <f>HYPERLINK("#Структура!G1469",Структура!G1469)</f>
        <v>2.2124100000000002</v>
      </c>
      <c r="L1115" s="93">
        <f>M1115/J1115</f>
        <v>4436.37673</v>
      </c>
      <c r="M1115" s="93">
        <f>SUMIF(E1116:E1138,"*",M1116:M1138)*J1115</f>
        <v>8872.7534599999999</v>
      </c>
      <c r="N1115" s="125">
        <f>HYPERLINK("#Трудозатраты!B433",Трудозатраты!B433+SUMIF(E1116:E1138,"*",O1116:O1138))</f>
        <v>58.42</v>
      </c>
      <c r="O1115" s="94">
        <f>N1115*J1115</f>
        <v>116.84</v>
      </c>
      <c r="P1115" s="93">
        <f>O1115/60*(1+запас_труд)*стоимость_трудочаса</f>
        <v>4576.2333333333336</v>
      </c>
      <c r="Q1115" s="130">
        <f>M1115*(1+наценка_покупное)+P1115</f>
        <v>15223.537485333332</v>
      </c>
    </row>
    <row r="1116" spans="4:17" hidden="1" outlineLevel="3" collapsed="1" x14ac:dyDescent="0.25">
      <c r="E1116" s="97" t="s">
        <v>1125</v>
      </c>
      <c r="F1116" s="98"/>
      <c r="G1116" s="98"/>
      <c r="H1116" s="99"/>
      <c r="I1116" s="100"/>
      <c r="J1116" s="102">
        <f>HYPERLINK("#Структура!E1622",Структура!E1622)</f>
        <v>1</v>
      </c>
      <c r="K1116" s="112">
        <f>HYPERLINK("#Структура!G1622",Структура!G1622)</f>
        <v>1.5304500000000001</v>
      </c>
      <c r="L1116" s="100">
        <f>M1116/J1116</f>
        <v>243.92826599999998</v>
      </c>
      <c r="M1116" s="100">
        <f>SUMIF(F1117:F1128,"*",M1117:M1128)*J1116</f>
        <v>243.92826599999998</v>
      </c>
      <c r="N1116" s="122">
        <f>HYPERLINK("#Трудозатраты!B435",Трудозатраты!B435+SUMIF(F1117:F1128,"*",O1117:O1128))</f>
        <v>45.620000000000005</v>
      </c>
      <c r="O1116" s="101">
        <f>N1116*J1116</f>
        <v>45.620000000000005</v>
      </c>
      <c r="P1116" s="100">
        <f>O1116/60*(1+запас_труд)*стоимость_трудочаса</f>
        <v>1786.7833333333335</v>
      </c>
      <c r="Q1116" s="127">
        <f>M1116*(1+наценка_покупное)+P1116</f>
        <v>2079.4972525333333</v>
      </c>
    </row>
    <row r="1117" spans="4:17" hidden="1" outlineLevel="4" collapsed="1" x14ac:dyDescent="0.25">
      <c r="F1117" s="85" t="s">
        <v>1128</v>
      </c>
      <c r="G1117" s="86"/>
      <c r="H1117" s="87"/>
      <c r="I1117" s="88"/>
      <c r="J1117" s="90">
        <f>HYPERLINK("#Структура!E1633",Структура!E1633)</f>
        <v>1</v>
      </c>
      <c r="K1117" s="113">
        <f>HYPERLINK("#Структура!G1633",Структура!G1633)</f>
        <v>0.82903000000000004</v>
      </c>
      <c r="L1117" s="88">
        <f>M1117/J1117</f>
        <v>120.20159999999998</v>
      </c>
      <c r="M1117" s="88">
        <f>SUMIF(G1118,"*",M1118)*J1117</f>
        <v>120.20159999999998</v>
      </c>
      <c r="N1117" s="123">
        <f>HYPERLINK("#Трудозатраты!B436",Трудозатраты!B436+SUMIF(G1118,"*",O1118))</f>
        <v>7.3</v>
      </c>
      <c r="O1117" s="89">
        <f>N1117*J1117</f>
        <v>7.3</v>
      </c>
      <c r="P1117" s="88">
        <f>O1117/60*(1+запас_труд)*стоимость_трудочаса</f>
        <v>285.91666666666663</v>
      </c>
      <c r="Q1117" s="128">
        <f>M1117*(1+наценка_покупное)+P1117</f>
        <v>430.15858666666657</v>
      </c>
    </row>
    <row r="1118" spans="4:17" hidden="1" outlineLevel="5" x14ac:dyDescent="0.25">
      <c r="G1118" s="74" t="s">
        <v>118</v>
      </c>
      <c r="H1118" s="75"/>
      <c r="I1118" s="76"/>
      <c r="J1118" s="78">
        <f>HYPERLINK("#Структура!E1642",Структура!E1642)</f>
        <v>1.0016799999999999</v>
      </c>
      <c r="K1118" s="114" t="str">
        <f>HYPERLINK("#Структура!G1642","")</f>
        <v/>
      </c>
      <c r="L1118" s="120">
        <f>HYPERLINK("#Покупные_изделия!D293",Покупные_изделия!D293)</f>
        <v>120</v>
      </c>
      <c r="M1118" s="76">
        <f>J1118*L1118</f>
        <v>120.20159999999998</v>
      </c>
      <c r="N1118" s="77"/>
      <c r="O1118" s="77"/>
      <c r="P1118" s="76"/>
      <c r="Q1118" s="76"/>
    </row>
    <row r="1119" spans="4:17" hidden="1" outlineLevel="4" collapsed="1" x14ac:dyDescent="0.25">
      <c r="F1119" s="84" t="s">
        <v>1129</v>
      </c>
      <c r="G1119" s="79"/>
      <c r="H1119" s="80"/>
      <c r="I1119" s="81"/>
      <c r="J1119" s="83">
        <f>HYPERLINK("#Структура!E1634",Структура!E1634)</f>
        <v>1</v>
      </c>
      <c r="K1119" s="115">
        <f>HYPERLINK("#Структура!G1634",Структура!G1634)</f>
        <v>0.56047999999999998</v>
      </c>
      <c r="L1119" s="81">
        <f>M1119/J1119</f>
        <v>84.746399999999994</v>
      </c>
      <c r="M1119" s="81">
        <f>SUMIF(G1120,"*",M1120)*J1119</f>
        <v>84.746399999999994</v>
      </c>
      <c r="N1119" s="124">
        <f>HYPERLINK("#Трудозатраты!B437",Трудозатраты!B437+SUMIF(G1120,"*",O1120))</f>
        <v>1.1200000000000001</v>
      </c>
      <c r="O1119" s="82">
        <f>N1119*J1119</f>
        <v>1.1200000000000001</v>
      </c>
      <c r="P1119" s="81">
        <f>O1119/60*(1+запас_труд)*стоимость_трудочаса</f>
        <v>43.866666666666667</v>
      </c>
      <c r="Q1119" s="129">
        <f>M1119*(1+наценка_покупное)+P1119</f>
        <v>145.56234666666666</v>
      </c>
    </row>
    <row r="1120" spans="4:17" hidden="1" outlineLevel="5" x14ac:dyDescent="0.25">
      <c r="G1120" s="74" t="s">
        <v>118</v>
      </c>
      <c r="H1120" s="75"/>
      <c r="I1120" s="76"/>
      <c r="J1120" s="78">
        <f>HYPERLINK("#Структура!E1643",Структура!E1643)</f>
        <v>0.70621999999999996</v>
      </c>
      <c r="K1120" s="114" t="str">
        <f>HYPERLINK("#Структура!G1643","")</f>
        <v/>
      </c>
      <c r="L1120" s="120">
        <f>HYPERLINK("#Покупные_изделия!D293",Покупные_изделия!D293)</f>
        <v>120</v>
      </c>
      <c r="M1120" s="76">
        <f>J1120*L1120</f>
        <v>84.746399999999994</v>
      </c>
      <c r="N1120" s="77"/>
      <c r="O1120" s="77"/>
      <c r="P1120" s="76"/>
      <c r="Q1120" s="76"/>
    </row>
    <row r="1121" spans="5:17" hidden="1" outlineLevel="4" collapsed="1" x14ac:dyDescent="0.25">
      <c r="F1121" s="84" t="s">
        <v>1130</v>
      </c>
      <c r="G1121" s="79"/>
      <c r="H1121" s="80"/>
      <c r="I1121" s="81"/>
      <c r="J1121" s="83">
        <f>HYPERLINK("#Структура!E1635",Структура!E1635)</f>
        <v>2</v>
      </c>
      <c r="K1121" s="115">
        <f>HYPERLINK("#Структура!G1635",Структура!G1635)</f>
        <v>7.0470000000000005E-2</v>
      </c>
      <c r="L1121" s="81">
        <f>M1121/J1121</f>
        <v>8.4</v>
      </c>
      <c r="M1121" s="81">
        <f>SUMIF(G1122,"*",M1122)*J1121</f>
        <v>16.8</v>
      </c>
      <c r="N1121" s="124">
        <f>HYPERLINK("#Трудозатраты!B438",Трудозатраты!B438+SUMIF(G1122,"*",O1122))</f>
        <v>2.5</v>
      </c>
      <c r="O1121" s="82">
        <f>N1121*J1121</f>
        <v>5</v>
      </c>
      <c r="P1121" s="81">
        <f>O1121/60*(1+запас_труд)*стоимость_трудочаса</f>
        <v>195.83333333333331</v>
      </c>
      <c r="Q1121" s="129">
        <f>M1121*(1+наценка_покупное)+P1121</f>
        <v>215.99333333333331</v>
      </c>
    </row>
    <row r="1122" spans="5:17" hidden="1" outlineLevel="5" x14ac:dyDescent="0.25">
      <c r="G1122" s="74" t="s">
        <v>74</v>
      </c>
      <c r="H1122" s="75"/>
      <c r="I1122" s="76"/>
      <c r="J1122" s="78">
        <f>HYPERLINK("#Структура!E1644",Структура!E1644)</f>
        <v>8.4000000000000005E-2</v>
      </c>
      <c r="K1122" s="114" t="str">
        <f>HYPERLINK("#Структура!G1644","")</f>
        <v/>
      </c>
      <c r="L1122" s="120">
        <f>HYPERLINK("#Покупные_изделия!D243",Покупные_изделия!D243)</f>
        <v>100</v>
      </c>
      <c r="M1122" s="76">
        <f t="shared" ref="M1122:M1128" si="42">J1122*L1122</f>
        <v>8.4</v>
      </c>
      <c r="N1122" s="77"/>
      <c r="O1122" s="77"/>
      <c r="P1122" s="76"/>
      <c r="Q1122" s="76"/>
    </row>
    <row r="1123" spans="5:17" hidden="1" outlineLevel="4" x14ac:dyDescent="0.25">
      <c r="F1123" s="74" t="s">
        <v>65</v>
      </c>
      <c r="G1123" s="74"/>
      <c r="H1123" s="75"/>
      <c r="I1123" s="76"/>
      <c r="J1123" s="78">
        <f>HYPERLINK("#Структура!E1636",Структура!E1636)</f>
        <v>1.0999999999999999E-2</v>
      </c>
      <c r="K1123" s="114" t="str">
        <f>HYPERLINK("#Структура!G1636","")</f>
        <v/>
      </c>
      <c r="L1123" s="120">
        <f>HYPERLINK("#Покупные_изделия!D197",Покупные_изделия!D197)</f>
        <v>264.50399999999996</v>
      </c>
      <c r="M1123" s="76">
        <f t="shared" si="42"/>
        <v>2.9095439999999995</v>
      </c>
      <c r="N1123" s="77"/>
      <c r="O1123" s="77"/>
      <c r="P1123" s="76"/>
      <c r="Q1123" s="76"/>
    </row>
    <row r="1124" spans="5:17" hidden="1" outlineLevel="4" x14ac:dyDescent="0.25">
      <c r="F1124" s="74" t="s">
        <v>67</v>
      </c>
      <c r="G1124" s="74"/>
      <c r="H1124" s="75"/>
      <c r="I1124" s="76"/>
      <c r="J1124" s="78">
        <f>HYPERLINK("#Структура!E1637",Структура!E1637)</f>
        <v>5.5E-2</v>
      </c>
      <c r="K1124" s="114" t="str">
        <f>HYPERLINK("#Структура!G1637","")</f>
        <v/>
      </c>
      <c r="L1124" s="120">
        <f>HYPERLINK("#Покупные_изделия!D203",Покупные_изделия!D203)</f>
        <v>30.003600000000002</v>
      </c>
      <c r="M1124" s="76">
        <f t="shared" si="42"/>
        <v>1.6501980000000001</v>
      </c>
      <c r="N1124" s="77"/>
      <c r="O1124" s="77"/>
      <c r="P1124" s="76"/>
      <c r="Q1124" s="76"/>
    </row>
    <row r="1125" spans="5:17" hidden="1" outlineLevel="4" x14ac:dyDescent="0.25">
      <c r="F1125" s="74" t="s">
        <v>146</v>
      </c>
      <c r="G1125" s="74"/>
      <c r="H1125" s="75"/>
      <c r="I1125" s="76"/>
      <c r="J1125" s="78">
        <f>HYPERLINK("#Структура!E1638",Структура!E1638)</f>
        <v>6.5000000000000002E-2</v>
      </c>
      <c r="K1125" s="114" t="str">
        <f>HYPERLINK("#Структура!G1638","")</f>
        <v/>
      </c>
      <c r="L1125" s="120">
        <f>HYPERLINK("#Покупные_изделия!D406",Покупные_изделия!D406)</f>
        <v>105.996</v>
      </c>
      <c r="M1125" s="76">
        <f t="shared" si="42"/>
        <v>6.8897399999999998</v>
      </c>
      <c r="N1125" s="77"/>
      <c r="O1125" s="77"/>
      <c r="P1125" s="76"/>
      <c r="Q1125" s="76"/>
    </row>
    <row r="1126" spans="5:17" hidden="1" outlineLevel="4" x14ac:dyDescent="0.25">
      <c r="F1126" s="74" t="s">
        <v>155</v>
      </c>
      <c r="G1126" s="74"/>
      <c r="H1126" s="75"/>
      <c r="I1126" s="76"/>
      <c r="J1126" s="78">
        <f>HYPERLINK("#Структура!E1639",Структура!E1639)</f>
        <v>3.0000000000000001E-3</v>
      </c>
      <c r="K1126" s="114" t="str">
        <f>HYPERLINK("#Структура!G1639","")</f>
        <v/>
      </c>
      <c r="L1126" s="120">
        <f>HYPERLINK("#Покупные_изделия!D423",Покупные_изделия!D423)</f>
        <v>218.28</v>
      </c>
      <c r="M1126" s="76">
        <f t="shared" si="42"/>
        <v>0.65483999999999998</v>
      </c>
      <c r="N1126" s="77"/>
      <c r="O1126" s="77"/>
      <c r="P1126" s="76"/>
      <c r="Q1126" s="76"/>
    </row>
    <row r="1127" spans="5:17" hidden="1" outlineLevel="4" x14ac:dyDescent="0.25">
      <c r="F1127" s="74" t="s">
        <v>156</v>
      </c>
      <c r="G1127" s="74"/>
      <c r="H1127" s="75"/>
      <c r="I1127" s="76"/>
      <c r="J1127" s="78">
        <f>HYPERLINK("#Структура!E1640",Структура!E1640)</f>
        <v>0.01</v>
      </c>
      <c r="K1127" s="114" t="str">
        <f>HYPERLINK("#Структура!G1640","")</f>
        <v/>
      </c>
      <c r="L1127" s="120">
        <f>HYPERLINK("#Покупные_изделия!D427",Покупные_изделия!D427)</f>
        <v>155.53200000000001</v>
      </c>
      <c r="M1127" s="76">
        <f t="shared" si="42"/>
        <v>1.55532</v>
      </c>
      <c r="N1127" s="77"/>
      <c r="O1127" s="77"/>
      <c r="P1127" s="76"/>
      <c r="Q1127" s="76"/>
    </row>
    <row r="1128" spans="5:17" hidden="1" outlineLevel="4" x14ac:dyDescent="0.25">
      <c r="F1128" s="74" t="s">
        <v>215</v>
      </c>
      <c r="G1128" s="74"/>
      <c r="H1128" s="75"/>
      <c r="I1128" s="76"/>
      <c r="J1128" s="78">
        <f>HYPERLINK("#Структура!E1641",Структура!E1641)</f>
        <v>2.1000000000000001E-2</v>
      </c>
      <c r="K1128" s="114" t="str">
        <f>HYPERLINK("#Структура!G1641","")</f>
        <v/>
      </c>
      <c r="L1128" s="120">
        <f>HYPERLINK("#Покупные_изделия!D567",Покупные_изделия!D567)</f>
        <v>405.74399999999997</v>
      </c>
      <c r="M1128" s="76">
        <f t="shared" si="42"/>
        <v>8.5206239999999998</v>
      </c>
      <c r="N1128" s="77"/>
      <c r="O1128" s="77"/>
      <c r="P1128" s="76"/>
      <c r="Q1128" s="76"/>
    </row>
    <row r="1129" spans="5:17" hidden="1" outlineLevel="3" collapsed="1" x14ac:dyDescent="0.25">
      <c r="E1129" s="84" t="s">
        <v>1126</v>
      </c>
      <c r="F1129" s="79"/>
      <c r="G1129" s="79"/>
      <c r="H1129" s="80"/>
      <c r="I1129" s="81"/>
      <c r="J1129" s="83">
        <f>HYPERLINK("#Структура!E1623",Структура!E1623)</f>
        <v>1</v>
      </c>
      <c r="K1129" s="115">
        <f>HYPERLINK("#Структура!G1623",Структура!G1623)</f>
        <v>0.24196000000000001</v>
      </c>
      <c r="L1129" s="81">
        <f>M1129/J1129</f>
        <v>39.289728000000004</v>
      </c>
      <c r="M1129" s="81">
        <f>SUMIF(F1130:F1134,"*",M1130:M1134)*J1129</f>
        <v>39.289728000000004</v>
      </c>
      <c r="N1129" s="124">
        <f>HYPERLINK("#Трудозатраты!B434",Трудозатраты!B434+SUMIF(F1130:F1134,"*",O1130:O1134))</f>
        <v>2.8000000000000003</v>
      </c>
      <c r="O1129" s="82">
        <f>N1129*J1129</f>
        <v>2.8000000000000003</v>
      </c>
      <c r="P1129" s="81">
        <f>O1129/60*(1+запас_труд)*стоимость_трудочаса</f>
        <v>109.66666666666667</v>
      </c>
      <c r="Q1129" s="129">
        <f>M1129*(1+наценка_покупное)+P1129</f>
        <v>156.81434026666668</v>
      </c>
    </row>
    <row r="1130" spans="5:17" hidden="1" outlineLevel="4" x14ac:dyDescent="0.25">
      <c r="F1130" s="74" t="s">
        <v>65</v>
      </c>
      <c r="G1130" s="74"/>
      <c r="H1130" s="75"/>
      <c r="I1130" s="76"/>
      <c r="J1130" s="78">
        <f>HYPERLINK("#Структура!E1628",Структура!E1628)</f>
        <v>2E-3</v>
      </c>
      <c r="K1130" s="114" t="str">
        <f>HYPERLINK("#Структура!G1628","")</f>
        <v/>
      </c>
      <c r="L1130" s="120">
        <f>HYPERLINK("#Покупные_изделия!D197",Покупные_изделия!D197)</f>
        <v>264.50399999999996</v>
      </c>
      <c r="M1130" s="76">
        <f t="shared" ref="M1130:M1138" si="43">J1130*L1130</f>
        <v>0.52900799999999992</v>
      </c>
      <c r="N1130" s="77"/>
      <c r="O1130" s="77"/>
      <c r="P1130" s="76"/>
      <c r="Q1130" s="76"/>
    </row>
    <row r="1131" spans="5:17" hidden="1" outlineLevel="4" x14ac:dyDescent="0.25">
      <c r="F1131" s="74" t="s">
        <v>118</v>
      </c>
      <c r="G1131" s="74"/>
      <c r="H1131" s="75"/>
      <c r="I1131" s="76"/>
      <c r="J1131" s="78">
        <f>HYPERLINK("#Структура!E1629",Структура!E1629)</f>
        <v>0.30507000000000001</v>
      </c>
      <c r="K1131" s="114" t="str">
        <f>HYPERLINK("#Структура!G1629","")</f>
        <v/>
      </c>
      <c r="L1131" s="120">
        <f>HYPERLINK("#Покупные_изделия!D293",Покупные_изделия!D293)</f>
        <v>120</v>
      </c>
      <c r="M1131" s="76">
        <f t="shared" si="43"/>
        <v>36.608400000000003</v>
      </c>
      <c r="N1131" s="77"/>
      <c r="O1131" s="77"/>
      <c r="P1131" s="76"/>
      <c r="Q1131" s="76"/>
    </row>
    <row r="1132" spans="5:17" hidden="1" outlineLevel="4" x14ac:dyDescent="0.25">
      <c r="F1132" s="74" t="s">
        <v>155</v>
      </c>
      <c r="G1132" s="74"/>
      <c r="H1132" s="75"/>
      <c r="I1132" s="76"/>
      <c r="J1132" s="78">
        <f>HYPERLINK("#Структура!E1630",Структура!E1630)</f>
        <v>1E-3</v>
      </c>
      <c r="K1132" s="114" t="str">
        <f>HYPERLINK("#Структура!G1630","")</f>
        <v/>
      </c>
      <c r="L1132" s="120">
        <f>HYPERLINK("#Покупные_изделия!D423",Покупные_изделия!D423)</f>
        <v>218.28</v>
      </c>
      <c r="M1132" s="76">
        <f t="shared" si="43"/>
        <v>0.21828</v>
      </c>
      <c r="N1132" s="77"/>
      <c r="O1132" s="77"/>
      <c r="P1132" s="76"/>
      <c r="Q1132" s="76"/>
    </row>
    <row r="1133" spans="5:17" hidden="1" outlineLevel="4" x14ac:dyDescent="0.25">
      <c r="F1133" s="74" t="s">
        <v>156</v>
      </c>
      <c r="G1133" s="74"/>
      <c r="H1133" s="75"/>
      <c r="I1133" s="76"/>
      <c r="J1133" s="78">
        <f>HYPERLINK("#Структура!E1631",Структура!E1631)</f>
        <v>2E-3</v>
      </c>
      <c r="K1133" s="114" t="str">
        <f>HYPERLINK("#Структура!G1631","")</f>
        <v/>
      </c>
      <c r="L1133" s="120">
        <f>HYPERLINK("#Покупные_изделия!D427",Покупные_изделия!D427)</f>
        <v>155.53200000000001</v>
      </c>
      <c r="M1133" s="76">
        <f t="shared" si="43"/>
        <v>0.31106400000000001</v>
      </c>
      <c r="N1133" s="77"/>
      <c r="O1133" s="77"/>
      <c r="P1133" s="76"/>
      <c r="Q1133" s="76"/>
    </row>
    <row r="1134" spans="5:17" hidden="1" outlineLevel="4" x14ac:dyDescent="0.25">
      <c r="F1134" s="74" t="s">
        <v>215</v>
      </c>
      <c r="G1134" s="74"/>
      <c r="H1134" s="75"/>
      <c r="I1134" s="76"/>
      <c r="J1134" s="78">
        <f>HYPERLINK("#Структура!E1632",Структура!E1632)</f>
        <v>4.0000000000000001E-3</v>
      </c>
      <c r="K1134" s="114" t="str">
        <f>HYPERLINK("#Структура!G1632","")</f>
        <v/>
      </c>
      <c r="L1134" s="120">
        <f>HYPERLINK("#Покупные_изделия!D567",Покупные_изделия!D567)</f>
        <v>405.74399999999997</v>
      </c>
      <c r="M1134" s="76">
        <f t="shared" si="43"/>
        <v>1.622976</v>
      </c>
      <c r="N1134" s="77"/>
      <c r="O1134" s="77"/>
      <c r="P1134" s="76"/>
      <c r="Q1134" s="76"/>
    </row>
    <row r="1135" spans="5:17" hidden="1" outlineLevel="3" x14ac:dyDescent="0.25">
      <c r="E1135" s="74" t="s">
        <v>1127</v>
      </c>
      <c r="F1135" s="74"/>
      <c r="G1135" s="74"/>
      <c r="H1135" s="75"/>
      <c r="I1135" s="76"/>
      <c r="J1135" s="78">
        <f>HYPERLINK("#Структура!E1624",Структура!E1624)</f>
        <v>2</v>
      </c>
      <c r="K1135" s="114">
        <f>HYPERLINK("#Структура!G1624",Структура!G1624)</f>
        <v>0.10557</v>
      </c>
      <c r="L1135" s="120">
        <f>HYPERLINK("#Покупные_изделия!D92",Покупные_изделия!D92)</f>
        <v>110.00000000000001</v>
      </c>
      <c r="M1135" s="76">
        <f t="shared" si="43"/>
        <v>220.00000000000003</v>
      </c>
      <c r="N1135" s="77"/>
      <c r="O1135" s="77"/>
      <c r="P1135" s="76"/>
      <c r="Q1135" s="76"/>
    </row>
    <row r="1136" spans="5:17" hidden="1" outlineLevel="3" x14ac:dyDescent="0.25">
      <c r="E1136" s="74" t="s">
        <v>864</v>
      </c>
      <c r="F1136" s="74"/>
      <c r="G1136" s="74"/>
      <c r="H1136" s="75"/>
      <c r="I1136" s="76"/>
      <c r="J1136" s="78">
        <f>HYPERLINK("#Структура!E1625",Структура!E1625)</f>
        <v>4</v>
      </c>
      <c r="K1136" s="114">
        <f>HYPERLINK("#Структура!G1625",Структура!G1625)</f>
        <v>1.567E-2</v>
      </c>
      <c r="L1136" s="120">
        <f>HYPERLINK("#Покупные_изделия!D175",Покупные_изделия!D175)</f>
        <v>3.3659999999999997</v>
      </c>
      <c r="M1136" s="76">
        <f t="shared" si="43"/>
        <v>13.463999999999999</v>
      </c>
      <c r="N1136" s="77"/>
      <c r="O1136" s="77"/>
      <c r="P1136" s="76"/>
      <c r="Q1136" s="76"/>
    </row>
    <row r="1137" spans="4:17" hidden="1" outlineLevel="3" x14ac:dyDescent="0.25">
      <c r="E1137" s="74" t="s">
        <v>865</v>
      </c>
      <c r="F1137" s="74"/>
      <c r="G1137" s="74"/>
      <c r="H1137" s="75"/>
      <c r="I1137" s="76"/>
      <c r="J1137" s="78">
        <f>HYPERLINK("#Структура!E1626",Структура!E1626)</f>
        <v>2</v>
      </c>
      <c r="K1137" s="114">
        <f>HYPERLINK("#Структура!G1626",Структура!G1626)</f>
        <v>3.4499999999999999E-3</v>
      </c>
      <c r="L1137" s="120">
        <f>HYPERLINK("#Покупные_изделия!D523",Покупные_изделия!D523)</f>
        <v>1.5973680000000001</v>
      </c>
      <c r="M1137" s="76">
        <f t="shared" si="43"/>
        <v>3.1947360000000002</v>
      </c>
      <c r="N1137" s="77"/>
      <c r="O1137" s="77"/>
      <c r="P1137" s="76"/>
      <c r="Q1137" s="76"/>
    </row>
    <row r="1138" spans="4:17" hidden="1" outlineLevel="3" x14ac:dyDescent="0.25">
      <c r="E1138" s="74" t="s">
        <v>31</v>
      </c>
      <c r="F1138" s="74"/>
      <c r="G1138" s="74"/>
      <c r="H1138" s="75"/>
      <c r="I1138" s="76"/>
      <c r="J1138" s="78">
        <f>HYPERLINK("#Структура!E1627",Структура!E1627)</f>
        <v>1</v>
      </c>
      <c r="K1138" s="114">
        <f>HYPERLINK("#Структура!G1627",Структура!G1627)</f>
        <v>0.14835999999999999</v>
      </c>
      <c r="L1138" s="120">
        <f>HYPERLINK("#Покупные_изделия!D42",Покупные_изделия!D42)</f>
        <v>3916.5</v>
      </c>
      <c r="M1138" s="76">
        <f t="shared" si="43"/>
        <v>3916.5</v>
      </c>
      <c r="N1138" s="77"/>
      <c r="O1138" s="77"/>
      <c r="P1138" s="76"/>
      <c r="Q1138" s="76"/>
    </row>
    <row r="1139" spans="4:17" hidden="1" outlineLevel="2" collapsed="1" x14ac:dyDescent="0.25">
      <c r="D1139" s="96" t="s">
        <v>1083</v>
      </c>
      <c r="E1139" s="91"/>
      <c r="F1139" s="91"/>
      <c r="G1139" s="91"/>
      <c r="H1139" s="92"/>
      <c r="I1139" s="93"/>
      <c r="J1139" s="95">
        <f>HYPERLINK("#Структура!E1470",Структура!E1470)</f>
        <v>1</v>
      </c>
      <c r="K1139" s="116">
        <f>HYPERLINK("#Структура!G1470",Структура!G1470)</f>
        <v>21.904620000000001</v>
      </c>
      <c r="L1139" s="93">
        <f>M1139/J1139</f>
        <v>3920.0208840000005</v>
      </c>
      <c r="M1139" s="93">
        <f>SUMIF(E1140:E1165,"*",M1140:M1165)*J1139</f>
        <v>3920.0208840000005</v>
      </c>
      <c r="N1139" s="125">
        <f>HYPERLINK("#Трудозатраты!B439",Трудозатраты!B439+SUMIF(E1140:E1165,"*",O1140:O1165))</f>
        <v>61</v>
      </c>
      <c r="O1139" s="94">
        <f>N1139*J1139</f>
        <v>61</v>
      </c>
      <c r="P1139" s="93">
        <f>O1139/60*(1+запас_труд)*стоимость_трудочаса</f>
        <v>2389.1666666666665</v>
      </c>
      <c r="Q1139" s="130">
        <f>M1139*(1+наценка_покупное)+P1139</f>
        <v>7093.1917274666666</v>
      </c>
    </row>
    <row r="1140" spans="4:17" hidden="1" outlineLevel="3" collapsed="1" x14ac:dyDescent="0.25">
      <c r="E1140" s="97" t="s">
        <v>1131</v>
      </c>
      <c r="F1140" s="98"/>
      <c r="G1140" s="98"/>
      <c r="H1140" s="99"/>
      <c r="I1140" s="100"/>
      <c r="J1140" s="102">
        <f>HYPERLINK("#Структура!E1645",Структура!E1645)</f>
        <v>1</v>
      </c>
      <c r="K1140" s="112">
        <f>HYPERLINK("#Структура!G1645",Структура!G1645)</f>
        <v>14.679930000000001</v>
      </c>
      <c r="L1140" s="100">
        <f>M1140/J1140</f>
        <v>2341.9254288000006</v>
      </c>
      <c r="M1140" s="100">
        <f>SUMIF(F1141:F1156,"*",M1141:M1156)*J1140</f>
        <v>2341.9254288000006</v>
      </c>
      <c r="N1140" s="122">
        <f>HYPERLINK("#Трудозатраты!B441",Трудозатраты!B441+SUMIF(F1141:F1156,"*",O1141:O1156))</f>
        <v>52.4</v>
      </c>
      <c r="O1140" s="101">
        <f>N1140*J1140</f>
        <v>52.4</v>
      </c>
      <c r="P1140" s="100">
        <f>O1140/60*(1+запас_труд)*стоимость_трудочаса</f>
        <v>2052.333333333333</v>
      </c>
      <c r="Q1140" s="127">
        <f>M1140*(1+наценка_покупное)+P1140</f>
        <v>4862.6438478933342</v>
      </c>
    </row>
    <row r="1141" spans="4:17" hidden="1" outlineLevel="4" collapsed="1" x14ac:dyDescent="0.25">
      <c r="F1141" s="85" t="s">
        <v>1134</v>
      </c>
      <c r="G1141" s="86"/>
      <c r="H1141" s="87"/>
      <c r="I1141" s="88"/>
      <c r="J1141" s="90">
        <f>HYPERLINK("#Структура!E1655",Структура!E1655)</f>
        <v>1</v>
      </c>
      <c r="K1141" s="113">
        <f>HYPERLINK("#Структура!G1655",Структура!G1655)</f>
        <v>6.2394499999999997</v>
      </c>
      <c r="L1141" s="88">
        <f>M1141/J1141</f>
        <v>902.9076</v>
      </c>
      <c r="M1141" s="88">
        <f>SUMIF(G1142,"*",M1142)*J1141</f>
        <v>902.9076</v>
      </c>
      <c r="N1141" s="123">
        <f>HYPERLINK("#Трудозатраты!B442",Трудозатраты!B442+SUMIF(G1142,"*",O1142))</f>
        <v>11</v>
      </c>
      <c r="O1141" s="89">
        <f>N1141*J1141</f>
        <v>11</v>
      </c>
      <c r="P1141" s="88">
        <f>O1141/60*(1+запас_труд)*стоимость_трудочаса</f>
        <v>430.83333333333331</v>
      </c>
      <c r="Q1141" s="128">
        <f>M1141*(1+наценка_покупное)+P1141</f>
        <v>1514.3224533333332</v>
      </c>
    </row>
    <row r="1142" spans="4:17" hidden="1" outlineLevel="5" x14ac:dyDescent="0.25">
      <c r="G1142" s="74" t="s">
        <v>115</v>
      </c>
      <c r="H1142" s="75"/>
      <c r="I1142" s="76"/>
      <c r="J1142" s="78">
        <f>HYPERLINK("#Структура!E1666",Структура!E1666)</f>
        <v>7.5242300000000002</v>
      </c>
      <c r="K1142" s="114" t="str">
        <f>HYPERLINK("#Структура!G1666","")</f>
        <v/>
      </c>
      <c r="L1142" s="120">
        <f>HYPERLINK("#Покупные_изделия!D289",Покупные_изделия!D289)</f>
        <v>120</v>
      </c>
      <c r="M1142" s="76">
        <f>J1142*L1142</f>
        <v>902.9076</v>
      </c>
      <c r="N1142" s="77"/>
      <c r="O1142" s="77"/>
      <c r="P1142" s="76"/>
      <c r="Q1142" s="76"/>
    </row>
    <row r="1143" spans="4:17" hidden="1" outlineLevel="4" collapsed="1" x14ac:dyDescent="0.25">
      <c r="F1143" s="84" t="s">
        <v>1135</v>
      </c>
      <c r="G1143" s="79"/>
      <c r="H1143" s="80"/>
      <c r="I1143" s="81"/>
      <c r="J1143" s="83">
        <f>HYPERLINK("#Структура!E1656",Структура!E1656)</f>
        <v>1</v>
      </c>
      <c r="K1143" s="115">
        <f>HYPERLINK("#Структура!G1656",Структура!G1656)</f>
        <v>0.31386999999999998</v>
      </c>
      <c r="L1143" s="81">
        <f>M1143/J1143</f>
        <v>45.198</v>
      </c>
      <c r="M1143" s="81">
        <f>SUMIF(G1144,"*",M1144)*J1143</f>
        <v>45.198</v>
      </c>
      <c r="N1143" s="124">
        <f>HYPERLINK("#Трудозатраты!B443",Трудозатраты!B443+SUMIF(G1144,"*",O1144))</f>
        <v>0.5</v>
      </c>
      <c r="O1143" s="82">
        <f>N1143*J1143</f>
        <v>0.5</v>
      </c>
      <c r="P1143" s="81">
        <f>O1143/60*(1+запас_труд)*стоимость_трудочаса</f>
        <v>19.583333333333332</v>
      </c>
      <c r="Q1143" s="129">
        <f>M1143*(1+наценка_покупное)+P1143</f>
        <v>73.820933333333329</v>
      </c>
    </row>
    <row r="1144" spans="4:17" hidden="1" outlineLevel="5" x14ac:dyDescent="0.25">
      <c r="G1144" s="74" t="s">
        <v>120</v>
      </c>
      <c r="H1144" s="75"/>
      <c r="I1144" s="76"/>
      <c r="J1144" s="78">
        <f>HYPERLINK("#Структура!E1667",Структура!E1667)</f>
        <v>0.37664999999999998</v>
      </c>
      <c r="K1144" s="114" t="str">
        <f>HYPERLINK("#Структура!G1667","")</f>
        <v/>
      </c>
      <c r="L1144" s="120">
        <f>HYPERLINK("#Покупные_изделия!D295",Покупные_изделия!D295)</f>
        <v>120</v>
      </c>
      <c r="M1144" s="76">
        <f>J1144*L1144</f>
        <v>45.198</v>
      </c>
      <c r="N1144" s="77"/>
      <c r="O1144" s="77"/>
      <c r="P1144" s="76"/>
      <c r="Q1144" s="76"/>
    </row>
    <row r="1145" spans="4:17" hidden="1" outlineLevel="4" collapsed="1" x14ac:dyDescent="0.25">
      <c r="F1145" s="84" t="s">
        <v>1136</v>
      </c>
      <c r="G1145" s="79"/>
      <c r="H1145" s="80"/>
      <c r="I1145" s="81"/>
      <c r="J1145" s="83">
        <f>HYPERLINK("#Структура!E1657",Структура!E1657)</f>
        <v>1</v>
      </c>
      <c r="K1145" s="115">
        <f>HYPERLINK("#Структура!G1657",Структура!G1657)</f>
        <v>1.0661499999999999</v>
      </c>
      <c r="L1145" s="81">
        <f>M1145/J1145</f>
        <v>155.65559999999999</v>
      </c>
      <c r="M1145" s="81">
        <f>SUMIF(G1146,"*",M1146)*J1145</f>
        <v>155.65559999999999</v>
      </c>
      <c r="N1145" s="124">
        <f>HYPERLINK("#Трудозатраты!B444",Трудозатраты!B444+SUMIF(G1146,"*",O1146))</f>
        <v>0.9</v>
      </c>
      <c r="O1145" s="82">
        <f>N1145*J1145</f>
        <v>0.9</v>
      </c>
      <c r="P1145" s="81">
        <f>O1145/60*(1+запас_труд)*стоимость_трудочаса</f>
        <v>35.25</v>
      </c>
      <c r="Q1145" s="129">
        <f>M1145*(1+наценка_покупное)+P1145</f>
        <v>222.03671999999997</v>
      </c>
    </row>
    <row r="1146" spans="4:17" hidden="1" outlineLevel="5" x14ac:dyDescent="0.25">
      <c r="G1146" s="74" t="s">
        <v>120</v>
      </c>
      <c r="H1146" s="75"/>
      <c r="I1146" s="76"/>
      <c r="J1146" s="78">
        <f>HYPERLINK("#Структура!E1668",Структура!E1668)</f>
        <v>1.2971299999999999</v>
      </c>
      <c r="K1146" s="114" t="str">
        <f>HYPERLINK("#Структура!G1668","")</f>
        <v/>
      </c>
      <c r="L1146" s="120">
        <f>HYPERLINK("#Покупные_изделия!D295",Покупные_изделия!D295)</f>
        <v>120</v>
      </c>
      <c r="M1146" s="76">
        <f>J1146*L1146</f>
        <v>155.65559999999999</v>
      </c>
      <c r="N1146" s="77"/>
      <c r="O1146" s="77"/>
      <c r="P1146" s="76"/>
      <c r="Q1146" s="76"/>
    </row>
    <row r="1147" spans="4:17" hidden="1" outlineLevel="4" collapsed="1" x14ac:dyDescent="0.25">
      <c r="F1147" s="84" t="s">
        <v>1137</v>
      </c>
      <c r="G1147" s="79"/>
      <c r="H1147" s="80"/>
      <c r="I1147" s="81"/>
      <c r="J1147" s="83">
        <f>HYPERLINK("#Структура!E1658",Структура!E1658)</f>
        <v>1</v>
      </c>
      <c r="K1147" s="115">
        <f>HYPERLINK("#Структура!G1658",Структура!G1658)</f>
        <v>5.3024199999999997</v>
      </c>
      <c r="L1147" s="81">
        <f>M1147/J1147</f>
        <v>770.77440000000001</v>
      </c>
      <c r="M1147" s="81">
        <f>SUMIF(G1148,"*",M1148)*J1147</f>
        <v>770.77440000000001</v>
      </c>
      <c r="N1147" s="124">
        <f>HYPERLINK("#Трудозатраты!B445",Трудозатраты!B445+SUMIF(G1148,"*",O1148))</f>
        <v>8.5</v>
      </c>
      <c r="O1147" s="82">
        <f>N1147*J1147</f>
        <v>8.5</v>
      </c>
      <c r="P1147" s="81">
        <f>O1147/60*(1+запас_труд)*стоимость_трудочаса</f>
        <v>332.91666666666669</v>
      </c>
      <c r="Q1147" s="129">
        <f>M1147*(1+наценка_покупное)+P1147</f>
        <v>1257.8459466666666</v>
      </c>
    </row>
    <row r="1148" spans="4:17" hidden="1" outlineLevel="5" x14ac:dyDescent="0.25">
      <c r="G1148" s="74" t="s">
        <v>118</v>
      </c>
      <c r="H1148" s="75"/>
      <c r="I1148" s="76"/>
      <c r="J1148" s="78">
        <f>HYPERLINK("#Структура!E1669",Структура!E1669)</f>
        <v>6.4231199999999999</v>
      </c>
      <c r="K1148" s="114" t="str">
        <f>HYPERLINK("#Структура!G1669","")</f>
        <v/>
      </c>
      <c r="L1148" s="120">
        <f>HYPERLINK("#Покупные_изделия!D293",Покупные_изделия!D293)</f>
        <v>120</v>
      </c>
      <c r="M1148" s="76">
        <f>J1148*L1148</f>
        <v>770.77440000000001</v>
      </c>
      <c r="N1148" s="77"/>
      <c r="O1148" s="77"/>
      <c r="P1148" s="76"/>
      <c r="Q1148" s="76"/>
    </row>
    <row r="1149" spans="4:17" hidden="1" outlineLevel="4" collapsed="1" x14ac:dyDescent="0.25">
      <c r="F1149" s="84" t="s">
        <v>1138</v>
      </c>
      <c r="G1149" s="79"/>
      <c r="H1149" s="80"/>
      <c r="I1149" s="81"/>
      <c r="J1149" s="83">
        <f>HYPERLINK("#Структура!E1659",Структура!E1659)</f>
        <v>1</v>
      </c>
      <c r="K1149" s="115">
        <f>HYPERLINK("#Структура!G1659",Структура!G1659)</f>
        <v>1.75804</v>
      </c>
      <c r="L1149" s="81">
        <f>M1149/J1149</f>
        <v>254.58359999999999</v>
      </c>
      <c r="M1149" s="81">
        <f>SUMIF(G1150,"*",M1150)*J1149</f>
        <v>254.58359999999999</v>
      </c>
      <c r="N1149" s="124">
        <f>HYPERLINK("#Трудозатраты!B446",Трудозатраты!B446+SUMIF(G1150,"*",O1150))</f>
        <v>6.5</v>
      </c>
      <c r="O1149" s="82">
        <f>N1149*J1149</f>
        <v>6.5</v>
      </c>
      <c r="P1149" s="81">
        <f>O1149/60*(1+запас_труд)*стоимость_трудочаса</f>
        <v>254.58333333333334</v>
      </c>
      <c r="Q1149" s="129">
        <f>M1149*(1+наценка_покупное)+P1149</f>
        <v>560.08365333333336</v>
      </c>
    </row>
    <row r="1150" spans="4:17" hidden="1" outlineLevel="5" x14ac:dyDescent="0.25">
      <c r="G1150" s="74" t="s">
        <v>115</v>
      </c>
      <c r="H1150" s="75"/>
      <c r="I1150" s="76"/>
      <c r="J1150" s="78">
        <f>HYPERLINK("#Структура!E1670",Структура!E1670)</f>
        <v>2.1215299999999999</v>
      </c>
      <c r="K1150" s="114" t="str">
        <f>HYPERLINK("#Структура!G1670","")</f>
        <v/>
      </c>
      <c r="L1150" s="120">
        <f>HYPERLINK("#Покупные_изделия!D289",Покупные_изделия!D289)</f>
        <v>120</v>
      </c>
      <c r="M1150" s="76">
        <f t="shared" ref="M1150:M1156" si="44">J1150*L1150</f>
        <v>254.58359999999999</v>
      </c>
      <c r="N1150" s="77"/>
      <c r="O1150" s="77"/>
      <c r="P1150" s="76"/>
      <c r="Q1150" s="76"/>
    </row>
    <row r="1151" spans="4:17" hidden="1" outlineLevel="4" x14ac:dyDescent="0.25">
      <c r="F1151" s="74" t="s">
        <v>65</v>
      </c>
      <c r="G1151" s="74"/>
      <c r="H1151" s="75"/>
      <c r="I1151" s="76"/>
      <c r="J1151" s="78">
        <f>HYPERLINK("#Структура!E1660",Структура!E1660)</f>
        <v>0.125</v>
      </c>
      <c r="K1151" s="114" t="str">
        <f>HYPERLINK("#Структура!G1660","")</f>
        <v/>
      </c>
      <c r="L1151" s="120">
        <f>HYPERLINK("#Покупные_изделия!D197",Покупные_изделия!D197)</f>
        <v>264.50399999999996</v>
      </c>
      <c r="M1151" s="76">
        <f t="shared" si="44"/>
        <v>33.062999999999995</v>
      </c>
      <c r="N1151" s="77"/>
      <c r="O1151" s="77"/>
      <c r="P1151" s="76"/>
      <c r="Q1151" s="76"/>
    </row>
    <row r="1152" spans="4:17" hidden="1" outlineLevel="4" x14ac:dyDescent="0.25">
      <c r="F1152" s="74" t="s">
        <v>67</v>
      </c>
      <c r="G1152" s="74"/>
      <c r="H1152" s="75"/>
      <c r="I1152" s="76"/>
      <c r="J1152" s="78">
        <f>HYPERLINK("#Структура!E1661",Структура!E1661)</f>
        <v>0.32800000000000001</v>
      </c>
      <c r="K1152" s="114" t="str">
        <f>HYPERLINK("#Структура!G1661","")</f>
        <v/>
      </c>
      <c r="L1152" s="120">
        <f>HYPERLINK("#Покупные_изделия!D203",Покупные_изделия!D203)</f>
        <v>30.003600000000002</v>
      </c>
      <c r="M1152" s="76">
        <f t="shared" si="44"/>
        <v>9.8411808000000018</v>
      </c>
      <c r="N1152" s="77"/>
      <c r="O1152" s="77"/>
      <c r="P1152" s="76"/>
      <c r="Q1152" s="76"/>
    </row>
    <row r="1153" spans="4:17" hidden="1" outlineLevel="4" x14ac:dyDescent="0.25">
      <c r="F1153" s="74" t="s">
        <v>146</v>
      </c>
      <c r="G1153" s="74"/>
      <c r="H1153" s="75"/>
      <c r="I1153" s="76"/>
      <c r="J1153" s="78">
        <f>HYPERLINK("#Структура!E1662",Структура!E1662)</f>
        <v>0.193</v>
      </c>
      <c r="K1153" s="114" t="str">
        <f>HYPERLINK("#Структура!G1662","")</f>
        <v/>
      </c>
      <c r="L1153" s="120">
        <f>HYPERLINK("#Покупные_изделия!D406",Покупные_изделия!D406)</f>
        <v>105.996</v>
      </c>
      <c r="M1153" s="76">
        <f t="shared" si="44"/>
        <v>20.457228000000001</v>
      </c>
      <c r="N1153" s="77"/>
      <c r="O1153" s="77"/>
      <c r="P1153" s="76"/>
      <c r="Q1153" s="76"/>
    </row>
    <row r="1154" spans="4:17" hidden="1" outlineLevel="4" x14ac:dyDescent="0.25">
      <c r="F1154" s="74" t="s">
        <v>155</v>
      </c>
      <c r="G1154" s="74"/>
      <c r="H1154" s="75"/>
      <c r="I1154" s="76"/>
      <c r="J1154" s="78">
        <f>HYPERLINK("#Структура!E1663",Структура!E1663)</f>
        <v>0.13800000000000001</v>
      </c>
      <c r="K1154" s="114" t="str">
        <f>HYPERLINK("#Структура!G1663","")</f>
        <v/>
      </c>
      <c r="L1154" s="120">
        <f>HYPERLINK("#Покупные_изделия!D423",Покупные_изделия!D423)</f>
        <v>218.28</v>
      </c>
      <c r="M1154" s="76">
        <f t="shared" si="44"/>
        <v>30.122640000000004</v>
      </c>
      <c r="N1154" s="77"/>
      <c r="O1154" s="77"/>
      <c r="P1154" s="76"/>
      <c r="Q1154" s="76"/>
    </row>
    <row r="1155" spans="4:17" hidden="1" outlineLevel="4" x14ac:dyDescent="0.25">
      <c r="F1155" s="74" t="s">
        <v>156</v>
      </c>
      <c r="G1155" s="74"/>
      <c r="H1155" s="75"/>
      <c r="I1155" s="76"/>
      <c r="J1155" s="78">
        <f>HYPERLINK("#Структура!E1664",Структура!E1664)</f>
        <v>0.115</v>
      </c>
      <c r="K1155" s="114" t="str">
        <f>HYPERLINK("#Структура!G1664","")</f>
        <v/>
      </c>
      <c r="L1155" s="120">
        <f>HYPERLINK("#Покупные_изделия!D427",Покупные_изделия!D427)</f>
        <v>155.53200000000001</v>
      </c>
      <c r="M1155" s="76">
        <f t="shared" si="44"/>
        <v>17.886180000000003</v>
      </c>
      <c r="N1155" s="77"/>
      <c r="O1155" s="77"/>
      <c r="P1155" s="76"/>
      <c r="Q1155" s="76"/>
    </row>
    <row r="1156" spans="4:17" hidden="1" outlineLevel="4" x14ac:dyDescent="0.25">
      <c r="F1156" s="74" t="s">
        <v>215</v>
      </c>
      <c r="G1156" s="74"/>
      <c r="H1156" s="75"/>
      <c r="I1156" s="76"/>
      <c r="J1156" s="78">
        <f>HYPERLINK("#Структура!E1665",Структура!E1665)</f>
        <v>0.25</v>
      </c>
      <c r="K1156" s="114" t="str">
        <f>HYPERLINK("#Структура!G1665","")</f>
        <v/>
      </c>
      <c r="L1156" s="120">
        <f>HYPERLINK("#Покупные_изделия!D567",Покупные_изделия!D567)</f>
        <v>405.74399999999997</v>
      </c>
      <c r="M1156" s="76">
        <f t="shared" si="44"/>
        <v>101.43599999999999</v>
      </c>
      <c r="N1156" s="77"/>
      <c r="O1156" s="77"/>
      <c r="P1156" s="76"/>
      <c r="Q1156" s="76"/>
    </row>
    <row r="1157" spans="4:17" hidden="1" outlineLevel="3" collapsed="1" x14ac:dyDescent="0.25">
      <c r="E1157" s="84" t="s">
        <v>1132</v>
      </c>
      <c r="F1157" s="79"/>
      <c r="G1157" s="79"/>
      <c r="H1157" s="80"/>
      <c r="I1157" s="81"/>
      <c r="J1157" s="83">
        <f>HYPERLINK("#Структура!E1646",Структура!E1646)</f>
        <v>1</v>
      </c>
      <c r="K1157" s="115">
        <f>HYPERLINK("#Структура!G1646",Структура!G1646)</f>
        <v>6.0002199999999997</v>
      </c>
      <c r="L1157" s="81">
        <f>M1157/J1157</f>
        <v>917.73327599999993</v>
      </c>
      <c r="M1157" s="81">
        <f>SUMIF(F1158:F1162,"*",M1158:M1162)*J1157</f>
        <v>917.73327599999993</v>
      </c>
      <c r="N1157" s="124">
        <f>HYPERLINK("#Трудозатраты!B440",Трудозатраты!B440+SUMIF(F1158:F1162,"*",O1158:O1162))</f>
        <v>3.6</v>
      </c>
      <c r="O1157" s="82">
        <f>N1157*J1157</f>
        <v>3.6</v>
      </c>
      <c r="P1157" s="81">
        <f>O1157/60*(1+запас_труд)*стоимость_трудочаса</f>
        <v>141</v>
      </c>
      <c r="Q1157" s="129">
        <f>M1157*(1+наценка_покупное)+P1157</f>
        <v>1242.2799312</v>
      </c>
    </row>
    <row r="1158" spans="4:17" hidden="1" outlineLevel="4" x14ac:dyDescent="0.25">
      <c r="F1158" s="74" t="s">
        <v>65</v>
      </c>
      <c r="G1158" s="74"/>
      <c r="H1158" s="75"/>
      <c r="I1158" s="76"/>
      <c r="J1158" s="78">
        <f>HYPERLINK("#Структура!E1650",Структура!E1650)</f>
        <v>2.5000000000000001E-2</v>
      </c>
      <c r="K1158" s="114" t="str">
        <f>HYPERLINK("#Структура!G1650","")</f>
        <v/>
      </c>
      <c r="L1158" s="120">
        <f>HYPERLINK("#Покупные_изделия!D197",Покупные_изделия!D197)</f>
        <v>264.50399999999996</v>
      </c>
      <c r="M1158" s="76">
        <f t="shared" ref="M1158:M1165" si="45">J1158*L1158</f>
        <v>6.6125999999999996</v>
      </c>
      <c r="N1158" s="77"/>
      <c r="O1158" s="77"/>
      <c r="P1158" s="76"/>
      <c r="Q1158" s="76"/>
    </row>
    <row r="1159" spans="4:17" hidden="1" outlineLevel="4" x14ac:dyDescent="0.25">
      <c r="F1159" s="74" t="s">
        <v>122</v>
      </c>
      <c r="G1159" s="74"/>
      <c r="H1159" s="75"/>
      <c r="I1159" s="76"/>
      <c r="J1159" s="78">
        <f>HYPERLINK("#Структура!E1651",Структура!E1651)</f>
        <v>7.3792499999999999</v>
      </c>
      <c r="K1159" s="114" t="str">
        <f>HYPERLINK("#Структура!G1651","")</f>
        <v/>
      </c>
      <c r="L1159" s="120">
        <f>HYPERLINK("#Покупные_изделия!D297",Покупные_изделия!D297)</f>
        <v>120</v>
      </c>
      <c r="M1159" s="76">
        <f t="shared" si="45"/>
        <v>885.51</v>
      </c>
      <c r="N1159" s="77"/>
      <c r="O1159" s="77"/>
      <c r="P1159" s="76"/>
      <c r="Q1159" s="76"/>
    </row>
    <row r="1160" spans="4:17" hidden="1" outlineLevel="4" x14ac:dyDescent="0.25">
      <c r="F1160" s="74" t="s">
        <v>155</v>
      </c>
      <c r="G1160" s="74"/>
      <c r="H1160" s="75"/>
      <c r="I1160" s="76"/>
      <c r="J1160" s="78">
        <f>HYPERLINK("#Структура!E1652",Структура!E1652)</f>
        <v>8.0000000000000002E-3</v>
      </c>
      <c r="K1160" s="114" t="str">
        <f>HYPERLINK("#Структура!G1652","")</f>
        <v/>
      </c>
      <c r="L1160" s="120">
        <f>HYPERLINK("#Покупные_изделия!D423",Покупные_изделия!D423)</f>
        <v>218.28</v>
      </c>
      <c r="M1160" s="76">
        <f t="shared" si="45"/>
        <v>1.74624</v>
      </c>
      <c r="N1160" s="77"/>
      <c r="O1160" s="77"/>
      <c r="P1160" s="76"/>
      <c r="Q1160" s="76"/>
    </row>
    <row r="1161" spans="4:17" hidden="1" outlineLevel="4" x14ac:dyDescent="0.25">
      <c r="F1161" s="74" t="s">
        <v>156</v>
      </c>
      <c r="G1161" s="74"/>
      <c r="H1161" s="75"/>
      <c r="I1161" s="76"/>
      <c r="J1161" s="78">
        <f>HYPERLINK("#Структура!E1653",Структура!E1653)</f>
        <v>2.3E-2</v>
      </c>
      <c r="K1161" s="114" t="str">
        <f>HYPERLINK("#Структура!G1653","")</f>
        <v/>
      </c>
      <c r="L1161" s="120">
        <f>HYPERLINK("#Покупные_изделия!D427",Покупные_изделия!D427)</f>
        <v>155.53200000000001</v>
      </c>
      <c r="M1161" s="76">
        <f t="shared" si="45"/>
        <v>3.5772360000000001</v>
      </c>
      <c r="N1161" s="77"/>
      <c r="O1161" s="77"/>
      <c r="P1161" s="76"/>
      <c r="Q1161" s="76"/>
    </row>
    <row r="1162" spans="4:17" hidden="1" outlineLevel="4" x14ac:dyDescent="0.25">
      <c r="F1162" s="74" t="s">
        <v>215</v>
      </c>
      <c r="G1162" s="74"/>
      <c r="H1162" s="75"/>
      <c r="I1162" s="76"/>
      <c r="J1162" s="78">
        <f>HYPERLINK("#Структура!E1654",Структура!E1654)</f>
        <v>0.05</v>
      </c>
      <c r="K1162" s="114" t="str">
        <f>HYPERLINK("#Структура!G1654","")</f>
        <v/>
      </c>
      <c r="L1162" s="120">
        <f>HYPERLINK("#Покупные_изделия!D567",Покупные_изделия!D567)</f>
        <v>405.74399999999997</v>
      </c>
      <c r="M1162" s="76">
        <f t="shared" si="45"/>
        <v>20.287199999999999</v>
      </c>
      <c r="N1162" s="77"/>
      <c r="O1162" s="77"/>
      <c r="P1162" s="76"/>
      <c r="Q1162" s="76"/>
    </row>
    <row r="1163" spans="4:17" hidden="1" outlineLevel="3" x14ac:dyDescent="0.25">
      <c r="E1163" s="74" t="s">
        <v>1133</v>
      </c>
      <c r="F1163" s="74"/>
      <c r="G1163" s="74"/>
      <c r="H1163" s="75"/>
      <c r="I1163" s="76"/>
      <c r="J1163" s="78">
        <f>HYPERLINK("#Структура!E1647",Структура!E1647)</f>
        <v>4</v>
      </c>
      <c r="K1163" s="114">
        <f>HYPERLINK("#Структура!G1647",Структура!G1647)</f>
        <v>0.22420000000000001</v>
      </c>
      <c r="L1163" s="120">
        <f>HYPERLINK("#Покупные_изделия!D94",Покупные_изделия!D94)</f>
        <v>132</v>
      </c>
      <c r="M1163" s="76">
        <f t="shared" si="45"/>
        <v>528</v>
      </c>
      <c r="N1163" s="77"/>
      <c r="O1163" s="77"/>
      <c r="P1163" s="76"/>
      <c r="Q1163" s="76"/>
    </row>
    <row r="1164" spans="4:17" hidden="1" outlineLevel="3" x14ac:dyDescent="0.25">
      <c r="E1164" s="74" t="s">
        <v>818</v>
      </c>
      <c r="F1164" s="74"/>
      <c r="G1164" s="74"/>
      <c r="H1164" s="75"/>
      <c r="I1164" s="76"/>
      <c r="J1164" s="78">
        <f>HYPERLINK("#Структура!E1648",Структура!E1648)</f>
        <v>8</v>
      </c>
      <c r="K1164" s="114">
        <f>HYPERLINK("#Структура!G1648",Структура!G1648)</f>
        <v>3.7609999999999998E-2</v>
      </c>
      <c r="L1164" s="120">
        <f>HYPERLINK("#Покупные_изделия!D177",Покупные_изделия!D177)</f>
        <v>9.4320000000000004</v>
      </c>
      <c r="M1164" s="76">
        <f t="shared" si="45"/>
        <v>75.456000000000003</v>
      </c>
      <c r="N1164" s="77"/>
      <c r="O1164" s="77"/>
      <c r="P1164" s="76"/>
      <c r="Q1164" s="76"/>
    </row>
    <row r="1165" spans="4:17" hidden="1" outlineLevel="3" x14ac:dyDescent="0.25">
      <c r="E1165" s="74" t="s">
        <v>734</v>
      </c>
      <c r="F1165" s="74"/>
      <c r="G1165" s="74"/>
      <c r="H1165" s="75"/>
      <c r="I1165" s="76"/>
      <c r="J1165" s="78">
        <f>HYPERLINK("#Структура!E1649",Структура!E1649)</f>
        <v>4</v>
      </c>
      <c r="K1165" s="114">
        <f>HYPERLINK("#Структура!G1649",Структура!G1649)</f>
        <v>4.65E-2</v>
      </c>
      <c r="L1165" s="120">
        <f>HYPERLINK("#Покупные_изделия!D165",Покупные_изделия!D165)</f>
        <v>14.226544799999999</v>
      </c>
      <c r="M1165" s="76">
        <f t="shared" si="45"/>
        <v>56.906179199999997</v>
      </c>
      <c r="N1165" s="77"/>
      <c r="O1165" s="77"/>
      <c r="P1165" s="76"/>
      <c r="Q1165" s="76"/>
    </row>
    <row r="1166" spans="4:17" hidden="1" outlineLevel="2" collapsed="1" x14ac:dyDescent="0.25">
      <c r="D1166" s="96" t="s">
        <v>1084</v>
      </c>
      <c r="E1166" s="91"/>
      <c r="F1166" s="91"/>
      <c r="G1166" s="91"/>
      <c r="H1166" s="92"/>
      <c r="I1166" s="93"/>
      <c r="J1166" s="95">
        <f>HYPERLINK("#Структура!E1471",Структура!E1471)</f>
        <v>1</v>
      </c>
      <c r="K1166" s="116">
        <f>HYPERLINK("#Структура!G1471",Структура!G1471)</f>
        <v>113.03103</v>
      </c>
      <c r="L1166" s="93">
        <f>M1166/J1166</f>
        <v>39472.074922400003</v>
      </c>
      <c r="M1166" s="93">
        <f>SUMIF(E1167:E1215,"*",M1167:M1215)*J1166</f>
        <v>39472.074922400003</v>
      </c>
      <c r="N1166" s="125">
        <f>HYPERLINK("#Трудозатраты!B447",Трудозатраты!B447+SUMIF(E1167:E1215,"*",O1167:O1215))</f>
        <v>712.5</v>
      </c>
      <c r="O1166" s="94">
        <f>N1166*J1166</f>
        <v>712.5</v>
      </c>
      <c r="P1166" s="93">
        <f>O1166/60*(1+запас_труд)*стоимость_трудочаса</f>
        <v>27906.25</v>
      </c>
      <c r="Q1166" s="130">
        <f>M1166*(1+наценка_покупное)+P1166</f>
        <v>75272.73990688</v>
      </c>
    </row>
    <row r="1167" spans="4:17" hidden="1" outlineLevel="3" collapsed="1" x14ac:dyDescent="0.25">
      <c r="E1167" s="97" t="s">
        <v>1139</v>
      </c>
      <c r="F1167" s="98"/>
      <c r="G1167" s="98"/>
      <c r="H1167" s="99"/>
      <c r="I1167" s="100"/>
      <c r="J1167" s="102">
        <f>HYPERLINK("#Структура!E1671",Структура!E1671)</f>
        <v>2</v>
      </c>
      <c r="K1167" s="112">
        <f>HYPERLINK("#Структура!G1671",Структура!G1671)</f>
        <v>32.074730000000002</v>
      </c>
      <c r="L1167" s="100">
        <f>M1167/J1167</f>
        <v>11471.817821999999</v>
      </c>
      <c r="M1167" s="100">
        <f>SUMIF(F1168:F1183,"*",M1168:M1183)*J1167</f>
        <v>22943.635643999998</v>
      </c>
      <c r="N1167" s="122">
        <f>HYPERLINK("#Трудозатраты!B452",Трудозатраты!B452+SUMIF(F1168:F1183,"*",O1168:O1183))</f>
        <v>159.6</v>
      </c>
      <c r="O1167" s="101">
        <f>N1167*J1167</f>
        <v>319.2</v>
      </c>
      <c r="P1167" s="100">
        <f>O1167/60*(1+запас_труд)*стоимость_трудочаса</f>
        <v>12501.999999999998</v>
      </c>
      <c r="Q1167" s="127">
        <f>M1167*(1+наценка_покупное)+P1167</f>
        <v>40034.362772799992</v>
      </c>
    </row>
    <row r="1168" spans="4:17" hidden="1" outlineLevel="4" collapsed="1" x14ac:dyDescent="0.25">
      <c r="F1168" s="97" t="s">
        <v>1147</v>
      </c>
      <c r="G1168" s="98"/>
      <c r="H1168" s="99"/>
      <c r="I1168" s="100"/>
      <c r="J1168" s="102">
        <f>HYPERLINK("#Структура!E1688",Структура!E1688)</f>
        <v>1</v>
      </c>
      <c r="K1168" s="112">
        <f>HYPERLINK("#Структура!G1688",Структура!G1688)</f>
        <v>26.240349999999999</v>
      </c>
      <c r="L1168" s="100">
        <f>M1168/J1168</f>
        <v>3591.2800848000002</v>
      </c>
      <c r="M1168" s="100">
        <f>SUMIF(G1169:G1174,"*",M1169:M1174)*J1168</f>
        <v>3591.2800848000002</v>
      </c>
      <c r="N1168" s="122">
        <f>HYPERLINK("#Трудозатраты!B455",Трудозатраты!B455+SUMIF(G1169:G1174,"*",O1169:O1174))</f>
        <v>122</v>
      </c>
      <c r="O1168" s="101">
        <f>N1168*J1168</f>
        <v>122</v>
      </c>
      <c r="P1168" s="100">
        <f>O1168/60*(1+запас_труд)*стоимость_трудочаса</f>
        <v>4778.333333333333</v>
      </c>
      <c r="Q1168" s="127">
        <f>M1168*(1+наценка_покупное)+P1168</f>
        <v>9087.8694350933329</v>
      </c>
    </row>
    <row r="1169" spans="5:17" hidden="1" outlineLevel="5" collapsed="1" x14ac:dyDescent="0.25">
      <c r="G1169" s="85" t="s">
        <v>1149</v>
      </c>
      <c r="H1169" s="87"/>
      <c r="I1169" s="88"/>
      <c r="J1169" s="90">
        <f>HYPERLINK("#Структура!E1707",Структура!E1707)</f>
        <v>1</v>
      </c>
      <c r="K1169" s="113">
        <f>HYPERLINK("#Структура!G1707",Структура!G1707)</f>
        <v>23.992789999999999</v>
      </c>
      <c r="L1169" s="88">
        <f>M1169/J1169</f>
        <v>2953.7999999999997</v>
      </c>
      <c r="M1169" s="88">
        <f>SUMIF(H1170,"*",M1170)*J1169</f>
        <v>2953.7999999999997</v>
      </c>
      <c r="N1169" s="123">
        <f>HYPERLINK("#Трудозатраты!B456",Трудозатраты!B456+SUMIF(H1170,"*",O1170))</f>
        <v>20</v>
      </c>
      <c r="O1169" s="89">
        <f>N1169*J1169</f>
        <v>20</v>
      </c>
      <c r="P1169" s="88">
        <f>O1169/60*(1+запас_труд)*стоимость_трудочаса</f>
        <v>783.33333333333326</v>
      </c>
      <c r="Q1169" s="128">
        <f>M1169*(1+наценка_покупное)+P1169</f>
        <v>4327.8933333333325</v>
      </c>
    </row>
    <row r="1170" spans="5:17" hidden="1" outlineLevel="6" x14ac:dyDescent="0.25">
      <c r="H1170" s="75" t="s">
        <v>184</v>
      </c>
      <c r="I1170" s="76"/>
      <c r="J1170" s="78">
        <f>HYPERLINK("#Структура!E1711",Структура!E1711)</f>
        <v>24.614999999999998</v>
      </c>
      <c r="K1170" s="114" t="str">
        <f>HYPERLINK("#Структура!G1711","")</f>
        <v/>
      </c>
      <c r="L1170" s="120">
        <f>HYPERLINK("#Покупные_изделия!D495",Покупные_изделия!D495)</f>
        <v>120</v>
      </c>
      <c r="M1170" s="76">
        <f>J1170*L1170</f>
        <v>2953.7999999999997</v>
      </c>
      <c r="N1170" s="77"/>
      <c r="O1170" s="77"/>
      <c r="P1170" s="76"/>
      <c r="Q1170" s="76"/>
    </row>
    <row r="1171" spans="5:17" hidden="1" outlineLevel="5" collapsed="1" x14ac:dyDescent="0.25">
      <c r="G1171" s="84" t="s">
        <v>1150</v>
      </c>
      <c r="H1171" s="80"/>
      <c r="I1171" s="81"/>
      <c r="J1171" s="83">
        <f>HYPERLINK("#Структура!E1708",Структура!E1708)</f>
        <v>2</v>
      </c>
      <c r="K1171" s="115">
        <f>HYPERLINK("#Структура!G1708",Структура!G1708)</f>
        <v>1.12378</v>
      </c>
      <c r="L1171" s="81">
        <f>M1171/J1171</f>
        <v>315.60000000000002</v>
      </c>
      <c r="M1171" s="81">
        <f>SUMIF(H1172,"*",M1172)*J1171</f>
        <v>631.20000000000005</v>
      </c>
      <c r="N1171" s="124">
        <f>HYPERLINK("#Трудозатраты!B457",Трудозатраты!B457+SUMIF(H1172,"*",O1172))</f>
        <v>19</v>
      </c>
      <c r="O1171" s="82">
        <f>N1171*J1171</f>
        <v>38</v>
      </c>
      <c r="P1171" s="81">
        <f>O1171/60*(1+запас_труд)*стоимость_трудочаса</f>
        <v>1488.3333333333333</v>
      </c>
      <c r="Q1171" s="129">
        <f>M1171*(1+наценка_покупное)+P1171</f>
        <v>2245.7733333333335</v>
      </c>
    </row>
    <row r="1172" spans="5:17" hidden="1" outlineLevel="6" x14ac:dyDescent="0.25">
      <c r="H1172" s="75" t="s">
        <v>103</v>
      </c>
      <c r="I1172" s="76"/>
      <c r="J1172" s="78">
        <f>HYPERLINK("#Структура!E1712",Структура!E1712)</f>
        <v>3.1560000000000001</v>
      </c>
      <c r="K1172" s="114" t="str">
        <f>HYPERLINK("#Структура!G1712","")</f>
        <v/>
      </c>
      <c r="L1172" s="120">
        <f>HYPERLINK("#Покупные_изделия!D272",Покупные_изделия!D272)</f>
        <v>100</v>
      </c>
      <c r="M1172" s="76">
        <f>J1172*L1172</f>
        <v>315.60000000000002</v>
      </c>
      <c r="N1172" s="77"/>
      <c r="O1172" s="77"/>
      <c r="P1172" s="76"/>
      <c r="Q1172" s="76"/>
    </row>
    <row r="1173" spans="5:17" hidden="1" outlineLevel="5" x14ac:dyDescent="0.25">
      <c r="G1173" s="74" t="s">
        <v>67</v>
      </c>
      <c r="H1173" s="75"/>
      <c r="I1173" s="76"/>
      <c r="J1173" s="78">
        <f>HYPERLINK("#Структура!E1709",Структура!E1709)</f>
        <v>6.8000000000000005E-2</v>
      </c>
      <c r="K1173" s="114" t="str">
        <f>HYPERLINK("#Структура!G1709","")</f>
        <v/>
      </c>
      <c r="L1173" s="120">
        <f>HYPERLINK("#Покупные_изделия!D203",Покупные_изделия!D203)</f>
        <v>30.003600000000002</v>
      </c>
      <c r="M1173" s="76">
        <f>J1173*L1173</f>
        <v>2.0402448000000004</v>
      </c>
      <c r="N1173" s="77"/>
      <c r="O1173" s="77"/>
      <c r="P1173" s="76"/>
      <c r="Q1173" s="76"/>
    </row>
    <row r="1174" spans="5:17" hidden="1" outlineLevel="5" x14ac:dyDescent="0.25">
      <c r="G1174" s="74" t="s">
        <v>146</v>
      </c>
      <c r="H1174" s="75"/>
      <c r="I1174" s="76"/>
      <c r="J1174" s="78">
        <f>HYPERLINK("#Структура!E1710",Структура!E1710)</f>
        <v>0.04</v>
      </c>
      <c r="K1174" s="114" t="str">
        <f>HYPERLINK("#Структура!G1710","")</f>
        <v/>
      </c>
      <c r="L1174" s="120">
        <f>HYPERLINK("#Покупные_изделия!D406",Покупные_изделия!D406)</f>
        <v>105.996</v>
      </c>
      <c r="M1174" s="76">
        <f>J1174*L1174</f>
        <v>4.2398400000000001</v>
      </c>
      <c r="N1174" s="77"/>
      <c r="O1174" s="77"/>
      <c r="P1174" s="76"/>
      <c r="Q1174" s="76"/>
    </row>
    <row r="1175" spans="5:17" hidden="1" outlineLevel="4" collapsed="1" x14ac:dyDescent="0.25">
      <c r="F1175" s="84" t="s">
        <v>1148</v>
      </c>
      <c r="G1175" s="79"/>
      <c r="H1175" s="80"/>
      <c r="I1175" s="81"/>
      <c r="J1175" s="83">
        <f>HYPERLINK("#Структура!E1689",Структура!E1689)</f>
        <v>2</v>
      </c>
      <c r="K1175" s="115">
        <f>HYPERLINK("#Структура!G1689",Структура!G1689)</f>
        <v>7.6160000000000005E-2</v>
      </c>
      <c r="L1175" s="81">
        <f>M1175/J1175</f>
        <v>11.485200000000001</v>
      </c>
      <c r="M1175" s="81">
        <f>SUMIF(G1176,"*",M1176)*J1175</f>
        <v>22.970400000000001</v>
      </c>
      <c r="N1175" s="124">
        <f>HYPERLINK("#Трудозатраты!B454",Трудозатраты!B454+SUMIF(G1176,"*",O1176))</f>
        <v>0.3</v>
      </c>
      <c r="O1175" s="82">
        <f>N1175*J1175</f>
        <v>0.6</v>
      </c>
      <c r="P1175" s="81">
        <f>O1175/60*(1+запас_труд)*стоимость_трудочаса</f>
        <v>23.5</v>
      </c>
      <c r="Q1175" s="129">
        <f>M1175*(1+наценка_покупное)+P1175</f>
        <v>51.064480000000003</v>
      </c>
    </row>
    <row r="1176" spans="5:17" hidden="1" outlineLevel="5" x14ac:dyDescent="0.25">
      <c r="G1176" s="74" t="s">
        <v>116</v>
      </c>
      <c r="H1176" s="75"/>
      <c r="I1176" s="76"/>
      <c r="J1176" s="78">
        <f>HYPERLINK("#Структура!E1706",Структура!E1706)</f>
        <v>9.5710000000000003E-2</v>
      </c>
      <c r="K1176" s="114" t="str">
        <f>HYPERLINK("#Структура!G1706","")</f>
        <v/>
      </c>
      <c r="L1176" s="120">
        <f>HYPERLINK("#Покупные_изделия!D291",Покупные_изделия!D291)</f>
        <v>120</v>
      </c>
      <c r="M1176" s="76">
        <f t="shared" ref="M1176:M1183" si="46">J1176*L1176</f>
        <v>11.485200000000001</v>
      </c>
      <c r="N1176" s="77"/>
      <c r="O1176" s="77"/>
      <c r="P1176" s="76"/>
      <c r="Q1176" s="76"/>
    </row>
    <row r="1177" spans="5:17" hidden="1" outlineLevel="4" x14ac:dyDescent="0.25">
      <c r="F1177" s="74" t="s">
        <v>164</v>
      </c>
      <c r="G1177" s="74"/>
      <c r="H1177" s="75"/>
      <c r="I1177" s="76"/>
      <c r="J1177" s="78">
        <f>HYPERLINK("#Структура!E1690",Структура!E1690)</f>
        <v>2.3719999999999999</v>
      </c>
      <c r="K1177" s="114">
        <f>HYPERLINK("#Структура!G1690",Структура!G1690)</f>
        <v>5.3179400000000001</v>
      </c>
      <c r="L1177" s="120">
        <f>HYPERLINK("#Покупные_изделия!D449",Покупные_изделия!D449)</f>
        <v>3143.3952000000004</v>
      </c>
      <c r="M1177" s="76">
        <f t="shared" si="46"/>
        <v>7456.1334144000002</v>
      </c>
      <c r="N1177" s="77"/>
      <c r="O1177" s="77"/>
      <c r="P1177" s="76"/>
      <c r="Q1177" s="76"/>
    </row>
    <row r="1178" spans="5:17" hidden="1" outlineLevel="4" x14ac:dyDescent="0.25">
      <c r="F1178" s="74" t="s">
        <v>65</v>
      </c>
      <c r="G1178" s="74"/>
      <c r="H1178" s="75"/>
      <c r="I1178" s="76"/>
      <c r="J1178" s="78">
        <f>HYPERLINK("#Структура!E1691",Структура!E1691)</f>
        <v>0.29099999999999998</v>
      </c>
      <c r="K1178" s="114" t="str">
        <f>HYPERLINK("#Структура!G1691","")</f>
        <v/>
      </c>
      <c r="L1178" s="120">
        <f>HYPERLINK("#Покупные_изделия!D197",Покупные_изделия!D197)</f>
        <v>264.50399999999996</v>
      </c>
      <c r="M1178" s="76">
        <f t="shared" si="46"/>
        <v>76.970663999999985</v>
      </c>
      <c r="N1178" s="77"/>
      <c r="O1178" s="77"/>
      <c r="P1178" s="76"/>
      <c r="Q1178" s="76"/>
    </row>
    <row r="1179" spans="5:17" hidden="1" outlineLevel="4" x14ac:dyDescent="0.25">
      <c r="F1179" s="74" t="s">
        <v>67</v>
      </c>
      <c r="G1179" s="74"/>
      <c r="H1179" s="75"/>
      <c r="I1179" s="76"/>
      <c r="J1179" s="78">
        <f>HYPERLINK("#Структура!E1692",Структура!E1692)</f>
        <v>0.30299999999999999</v>
      </c>
      <c r="K1179" s="114" t="str">
        <f>HYPERLINK("#Структура!G1692","")</f>
        <v/>
      </c>
      <c r="L1179" s="120">
        <f>HYPERLINK("#Покупные_изделия!D203",Покупные_изделия!D203)</f>
        <v>30.003600000000002</v>
      </c>
      <c r="M1179" s="76">
        <f t="shared" si="46"/>
        <v>9.0910907999999999</v>
      </c>
      <c r="N1179" s="77"/>
      <c r="O1179" s="77"/>
      <c r="P1179" s="76"/>
      <c r="Q1179" s="76"/>
    </row>
    <row r="1180" spans="5:17" hidden="1" outlineLevel="4" x14ac:dyDescent="0.25">
      <c r="F1180" s="74" t="s">
        <v>146</v>
      </c>
      <c r="G1180" s="74"/>
      <c r="H1180" s="75"/>
      <c r="I1180" s="76"/>
      <c r="J1180" s="78">
        <f>HYPERLINK("#Структура!E1693",Структура!E1693)</f>
        <v>0.17799999999999999</v>
      </c>
      <c r="K1180" s="114" t="str">
        <f>HYPERLINK("#Структура!G1693","")</f>
        <v/>
      </c>
      <c r="L1180" s="120">
        <f>HYPERLINK("#Покупные_изделия!D406",Покупные_изделия!D406)</f>
        <v>105.996</v>
      </c>
      <c r="M1180" s="76">
        <f t="shared" si="46"/>
        <v>18.867287999999999</v>
      </c>
      <c r="N1180" s="77"/>
      <c r="O1180" s="77"/>
      <c r="P1180" s="76"/>
      <c r="Q1180" s="76"/>
    </row>
    <row r="1181" spans="5:17" hidden="1" outlineLevel="4" x14ac:dyDescent="0.25">
      <c r="F1181" s="74" t="s">
        <v>155</v>
      </c>
      <c r="G1181" s="74"/>
      <c r="H1181" s="75"/>
      <c r="I1181" s="76"/>
      <c r="J1181" s="78">
        <f>HYPERLINK("#Структура!E1694",Структура!E1694)</f>
        <v>8.6999999999999994E-2</v>
      </c>
      <c r="K1181" s="114" t="str">
        <f>HYPERLINK("#Структура!G1694","")</f>
        <v/>
      </c>
      <c r="L1181" s="120">
        <f>HYPERLINK("#Покупные_изделия!D423",Покупные_изделия!D423)</f>
        <v>218.28</v>
      </c>
      <c r="M1181" s="76">
        <f t="shared" si="46"/>
        <v>18.990359999999999</v>
      </c>
      <c r="N1181" s="77"/>
      <c r="O1181" s="77"/>
      <c r="P1181" s="76"/>
      <c r="Q1181" s="76"/>
    </row>
    <row r="1182" spans="5:17" hidden="1" outlineLevel="4" x14ac:dyDescent="0.25">
      <c r="F1182" s="74" t="s">
        <v>156</v>
      </c>
      <c r="G1182" s="74"/>
      <c r="H1182" s="75"/>
      <c r="I1182" s="76"/>
      <c r="J1182" s="78">
        <f>HYPERLINK("#Структура!E1695",Структура!E1695)</f>
        <v>0.26600000000000001</v>
      </c>
      <c r="K1182" s="114" t="str">
        <f>HYPERLINK("#Структура!G1695","")</f>
        <v/>
      </c>
      <c r="L1182" s="120">
        <f>HYPERLINK("#Покупные_изделия!D427",Покупные_изделия!D427)</f>
        <v>155.53200000000001</v>
      </c>
      <c r="M1182" s="76">
        <f t="shared" si="46"/>
        <v>41.371512000000003</v>
      </c>
      <c r="N1182" s="77"/>
      <c r="O1182" s="77"/>
      <c r="P1182" s="76"/>
      <c r="Q1182" s="76"/>
    </row>
    <row r="1183" spans="5:17" hidden="1" outlineLevel="4" x14ac:dyDescent="0.25">
      <c r="F1183" s="74" t="s">
        <v>215</v>
      </c>
      <c r="G1183" s="74"/>
      <c r="H1183" s="75"/>
      <c r="I1183" s="76"/>
      <c r="J1183" s="78">
        <f>HYPERLINK("#Структура!E1696",Структура!E1696)</f>
        <v>0.58199999999999996</v>
      </c>
      <c r="K1183" s="114" t="str">
        <f>HYPERLINK("#Структура!G1696","")</f>
        <v/>
      </c>
      <c r="L1183" s="120">
        <f>HYPERLINK("#Покупные_изделия!D567",Покупные_изделия!D567)</f>
        <v>405.74399999999997</v>
      </c>
      <c r="M1183" s="76">
        <f t="shared" si="46"/>
        <v>236.14300799999998</v>
      </c>
      <c r="N1183" s="77"/>
      <c r="O1183" s="77"/>
      <c r="P1183" s="76"/>
      <c r="Q1183" s="76"/>
    </row>
    <row r="1184" spans="5:17" hidden="1" outlineLevel="3" collapsed="1" x14ac:dyDescent="0.25">
      <c r="E1184" s="96" t="s">
        <v>1140</v>
      </c>
      <c r="F1184" s="91"/>
      <c r="G1184" s="91"/>
      <c r="H1184" s="92"/>
      <c r="I1184" s="93"/>
      <c r="J1184" s="95">
        <f>HYPERLINK("#Структура!E1672",Структура!E1672)</f>
        <v>1</v>
      </c>
      <c r="K1184" s="116">
        <f>HYPERLINK("#Структура!G1672",Структура!G1672)</f>
        <v>31.710619999999999</v>
      </c>
      <c r="L1184" s="93">
        <f>M1184/J1184</f>
        <v>10979.231438400004</v>
      </c>
      <c r="M1184" s="93">
        <f>SUMIF(F1185:F1200,"*",M1185:M1200)*J1184</f>
        <v>10979.231438400004</v>
      </c>
      <c r="N1184" s="125">
        <f>HYPERLINK("#Трудозатраты!B453",Трудозатраты!B453+SUMIF(F1185:F1200,"*",O1185:O1200))</f>
        <v>158.1</v>
      </c>
      <c r="O1184" s="94">
        <f>N1184*J1184</f>
        <v>158.1</v>
      </c>
      <c r="P1184" s="93">
        <f>O1184/60*(1+запас_труд)*стоимость_трудочаса</f>
        <v>6192.2499999999991</v>
      </c>
      <c r="Q1184" s="130">
        <f>M1184*(1+наценка_покупное)+P1184</f>
        <v>19367.327726080002</v>
      </c>
    </row>
    <row r="1185" spans="6:17" hidden="1" outlineLevel="4" collapsed="1" x14ac:dyDescent="0.25">
      <c r="F1185" s="97" t="s">
        <v>1147</v>
      </c>
      <c r="G1185" s="98"/>
      <c r="H1185" s="99"/>
      <c r="I1185" s="100"/>
      <c r="J1185" s="102">
        <f>HYPERLINK("#Структура!E1697",Структура!E1697)</f>
        <v>1</v>
      </c>
      <c r="K1185" s="112">
        <f>HYPERLINK("#Структура!G1697",Структура!G1697)</f>
        <v>26.240349999999999</v>
      </c>
      <c r="L1185" s="100">
        <f>M1185/J1185</f>
        <v>3591.2800848000002</v>
      </c>
      <c r="M1185" s="100">
        <f>SUMIF(G1186:G1191,"*",M1186:M1191)*J1185</f>
        <v>3591.2800848000002</v>
      </c>
      <c r="N1185" s="122">
        <f>HYPERLINK("#Трудозатраты!B455",Трудозатраты!B455+SUMIF(G1186:G1191,"*",O1186:O1191))</f>
        <v>122</v>
      </c>
      <c r="O1185" s="101">
        <f>N1185*J1185</f>
        <v>122</v>
      </c>
      <c r="P1185" s="100">
        <f>O1185/60*(1+запас_труд)*стоимость_трудочаса</f>
        <v>4778.333333333333</v>
      </c>
      <c r="Q1185" s="127">
        <f>M1185*(1+наценка_покупное)+P1185</f>
        <v>9087.8694350933329</v>
      </c>
    </row>
    <row r="1186" spans="6:17" hidden="1" outlineLevel="5" collapsed="1" x14ac:dyDescent="0.25">
      <c r="G1186" s="85" t="s">
        <v>1149</v>
      </c>
      <c r="H1186" s="87"/>
      <c r="I1186" s="88"/>
      <c r="J1186" s="90">
        <f>HYPERLINK("#Структура!E1707",Структура!E1707)</f>
        <v>1</v>
      </c>
      <c r="K1186" s="113">
        <f>HYPERLINK("#Структура!G1707",Структура!G1707)</f>
        <v>23.992789999999999</v>
      </c>
      <c r="L1186" s="88">
        <f>M1186/J1186</f>
        <v>2953.7999999999997</v>
      </c>
      <c r="M1186" s="88">
        <f>SUMIF(H1187,"*",M1187)*J1186</f>
        <v>2953.7999999999997</v>
      </c>
      <c r="N1186" s="123">
        <f>HYPERLINK("#Трудозатраты!B456",Трудозатраты!B456+SUMIF(H1187,"*",O1187))</f>
        <v>20</v>
      </c>
      <c r="O1186" s="89">
        <f>N1186*J1186</f>
        <v>20</v>
      </c>
      <c r="P1186" s="88">
        <f>O1186/60*(1+запас_труд)*стоимость_трудочаса</f>
        <v>783.33333333333326</v>
      </c>
      <c r="Q1186" s="128">
        <f>M1186*(1+наценка_покупное)+P1186</f>
        <v>4327.8933333333325</v>
      </c>
    </row>
    <row r="1187" spans="6:17" hidden="1" outlineLevel="6" x14ac:dyDescent="0.25">
      <c r="H1187" s="75" t="s">
        <v>184</v>
      </c>
      <c r="I1187" s="76"/>
      <c r="J1187" s="78">
        <f>HYPERLINK("#Структура!E1711",Структура!E1711)</f>
        <v>24.614999999999998</v>
      </c>
      <c r="K1187" s="114" t="str">
        <f>HYPERLINK("#Структура!G1711","")</f>
        <v/>
      </c>
      <c r="L1187" s="120">
        <f>HYPERLINK("#Покупные_изделия!D495",Покупные_изделия!D495)</f>
        <v>120</v>
      </c>
      <c r="M1187" s="76">
        <f>J1187*L1187</f>
        <v>2953.7999999999997</v>
      </c>
      <c r="N1187" s="77"/>
      <c r="O1187" s="77"/>
      <c r="P1187" s="76"/>
      <c r="Q1187" s="76"/>
    </row>
    <row r="1188" spans="6:17" hidden="1" outlineLevel="5" collapsed="1" x14ac:dyDescent="0.25">
      <c r="G1188" s="84" t="s">
        <v>1150</v>
      </c>
      <c r="H1188" s="80"/>
      <c r="I1188" s="81"/>
      <c r="J1188" s="83">
        <f>HYPERLINK("#Структура!E1708",Структура!E1708)</f>
        <v>2</v>
      </c>
      <c r="K1188" s="115">
        <f>HYPERLINK("#Структура!G1708",Структура!G1708)</f>
        <v>1.12378</v>
      </c>
      <c r="L1188" s="81">
        <f>M1188/J1188</f>
        <v>315.60000000000002</v>
      </c>
      <c r="M1188" s="81">
        <f>SUMIF(H1189,"*",M1189)*J1188</f>
        <v>631.20000000000005</v>
      </c>
      <c r="N1188" s="124">
        <f>HYPERLINK("#Трудозатраты!B457",Трудозатраты!B457+SUMIF(H1189,"*",O1189))</f>
        <v>19</v>
      </c>
      <c r="O1188" s="82">
        <f>N1188*J1188</f>
        <v>38</v>
      </c>
      <c r="P1188" s="81">
        <f>O1188/60*(1+запас_труд)*стоимость_трудочаса</f>
        <v>1488.3333333333333</v>
      </c>
      <c r="Q1188" s="129">
        <f>M1188*(1+наценка_покупное)+P1188</f>
        <v>2245.7733333333335</v>
      </c>
    </row>
    <row r="1189" spans="6:17" hidden="1" outlineLevel="6" x14ac:dyDescent="0.25">
      <c r="H1189" s="75" t="s">
        <v>103</v>
      </c>
      <c r="I1189" s="76"/>
      <c r="J1189" s="78">
        <f>HYPERLINK("#Структура!E1712",Структура!E1712)</f>
        <v>3.1560000000000001</v>
      </c>
      <c r="K1189" s="114" t="str">
        <f>HYPERLINK("#Структура!G1712","")</f>
        <v/>
      </c>
      <c r="L1189" s="120">
        <f>HYPERLINK("#Покупные_изделия!D272",Покупные_изделия!D272)</f>
        <v>100</v>
      </c>
      <c r="M1189" s="76">
        <f>J1189*L1189</f>
        <v>315.60000000000002</v>
      </c>
      <c r="N1189" s="77"/>
      <c r="O1189" s="77"/>
      <c r="P1189" s="76"/>
      <c r="Q1189" s="76"/>
    </row>
    <row r="1190" spans="6:17" hidden="1" outlineLevel="5" x14ac:dyDescent="0.25">
      <c r="G1190" s="74" t="s">
        <v>67</v>
      </c>
      <c r="H1190" s="75"/>
      <c r="I1190" s="76"/>
      <c r="J1190" s="78">
        <f>HYPERLINK("#Структура!E1709",Структура!E1709)</f>
        <v>6.8000000000000005E-2</v>
      </c>
      <c r="K1190" s="114" t="str">
        <f>HYPERLINK("#Структура!G1709","")</f>
        <v/>
      </c>
      <c r="L1190" s="120">
        <f>HYPERLINK("#Покупные_изделия!D203",Покупные_изделия!D203)</f>
        <v>30.003600000000002</v>
      </c>
      <c r="M1190" s="76">
        <f>J1190*L1190</f>
        <v>2.0402448000000004</v>
      </c>
      <c r="N1190" s="77"/>
      <c r="O1190" s="77"/>
      <c r="P1190" s="76"/>
      <c r="Q1190" s="76"/>
    </row>
    <row r="1191" spans="6:17" hidden="1" outlineLevel="5" x14ac:dyDescent="0.25">
      <c r="G1191" s="74" t="s">
        <v>146</v>
      </c>
      <c r="H1191" s="75"/>
      <c r="I1191" s="76"/>
      <c r="J1191" s="78">
        <f>HYPERLINK("#Структура!E1710",Структура!E1710)</f>
        <v>0.04</v>
      </c>
      <c r="K1191" s="114" t="str">
        <f>HYPERLINK("#Структура!G1710","")</f>
        <v/>
      </c>
      <c r="L1191" s="120">
        <f>HYPERLINK("#Покупные_изделия!D406",Покупные_изделия!D406)</f>
        <v>105.996</v>
      </c>
      <c r="M1191" s="76">
        <f>J1191*L1191</f>
        <v>4.2398400000000001</v>
      </c>
      <c r="N1191" s="77"/>
      <c r="O1191" s="77"/>
      <c r="P1191" s="76"/>
      <c r="Q1191" s="76"/>
    </row>
    <row r="1192" spans="6:17" hidden="1" outlineLevel="4" collapsed="1" x14ac:dyDescent="0.25">
      <c r="F1192" s="84" t="s">
        <v>1148</v>
      </c>
      <c r="G1192" s="79"/>
      <c r="H1192" s="80"/>
      <c r="I1192" s="81"/>
      <c r="J1192" s="83">
        <f>HYPERLINK("#Структура!E1698",Структура!E1698)</f>
        <v>2</v>
      </c>
      <c r="K1192" s="115">
        <f>HYPERLINK("#Структура!G1698",Структура!G1698)</f>
        <v>7.6160000000000005E-2</v>
      </c>
      <c r="L1192" s="81">
        <f>M1192/J1192</f>
        <v>11.485200000000001</v>
      </c>
      <c r="M1192" s="81">
        <f>SUMIF(G1193,"*",M1193)*J1192</f>
        <v>22.970400000000001</v>
      </c>
      <c r="N1192" s="124">
        <f>HYPERLINK("#Трудозатраты!B454",Трудозатраты!B454+SUMIF(G1193,"*",O1193))</f>
        <v>0.3</v>
      </c>
      <c r="O1192" s="82">
        <f>N1192*J1192</f>
        <v>0.6</v>
      </c>
      <c r="P1192" s="81">
        <f>O1192/60*(1+запас_труд)*стоимость_трудочаса</f>
        <v>23.5</v>
      </c>
      <c r="Q1192" s="129">
        <f>M1192*(1+наценка_покупное)+P1192</f>
        <v>51.064480000000003</v>
      </c>
    </row>
    <row r="1193" spans="6:17" hidden="1" outlineLevel="5" x14ac:dyDescent="0.25">
      <c r="G1193" s="74" t="s">
        <v>116</v>
      </c>
      <c r="H1193" s="75"/>
      <c r="I1193" s="76"/>
      <c r="J1193" s="78">
        <f>HYPERLINK("#Структура!E1706",Структура!E1706)</f>
        <v>9.5710000000000003E-2</v>
      </c>
      <c r="K1193" s="114" t="str">
        <f>HYPERLINK("#Структура!G1706","")</f>
        <v/>
      </c>
      <c r="L1193" s="120">
        <f>HYPERLINK("#Покупные_изделия!D291",Покупные_изделия!D291)</f>
        <v>120</v>
      </c>
      <c r="M1193" s="76">
        <f t="shared" ref="M1193:M1200" si="47">J1193*L1193</f>
        <v>11.485200000000001</v>
      </c>
      <c r="N1193" s="77"/>
      <c r="O1193" s="77"/>
      <c r="P1193" s="76"/>
      <c r="Q1193" s="76"/>
    </row>
    <row r="1194" spans="6:17" hidden="1" outlineLevel="4" x14ac:dyDescent="0.25">
      <c r="F1194" s="74" t="s">
        <v>164</v>
      </c>
      <c r="G1194" s="74"/>
      <c r="H1194" s="75"/>
      <c r="I1194" s="76"/>
      <c r="J1194" s="78">
        <f>HYPERLINK("#Структура!E1699",Структура!E1699)</f>
        <v>2.2200000000000002</v>
      </c>
      <c r="K1194" s="114">
        <f>HYPERLINK("#Структура!G1699",Структура!G1699)</f>
        <v>5.3179400000000001</v>
      </c>
      <c r="L1194" s="120">
        <f>HYPERLINK("#Покупные_изделия!D449",Покупные_изделия!D449)</f>
        <v>3143.3952000000004</v>
      </c>
      <c r="M1194" s="76">
        <f t="shared" si="47"/>
        <v>6978.3373440000014</v>
      </c>
      <c r="N1194" s="77"/>
      <c r="O1194" s="77"/>
      <c r="P1194" s="76"/>
      <c r="Q1194" s="76"/>
    </row>
    <row r="1195" spans="6:17" hidden="1" outlineLevel="4" x14ac:dyDescent="0.25">
      <c r="F1195" s="74" t="s">
        <v>65</v>
      </c>
      <c r="G1195" s="74"/>
      <c r="H1195" s="75"/>
      <c r="I1195" s="76"/>
      <c r="J1195" s="78">
        <f>HYPERLINK("#Структура!E1700",Структура!E1700)</f>
        <v>0.28100000000000003</v>
      </c>
      <c r="K1195" s="114" t="str">
        <f>HYPERLINK("#Структура!G1700","")</f>
        <v/>
      </c>
      <c r="L1195" s="120">
        <f>HYPERLINK("#Покупные_изделия!D197",Покупные_изделия!D197)</f>
        <v>264.50399999999996</v>
      </c>
      <c r="M1195" s="76">
        <f t="shared" si="47"/>
        <v>74.325623999999991</v>
      </c>
      <c r="N1195" s="77"/>
      <c r="O1195" s="77"/>
      <c r="P1195" s="76"/>
      <c r="Q1195" s="76"/>
    </row>
    <row r="1196" spans="6:17" hidden="1" outlineLevel="4" x14ac:dyDescent="0.25">
      <c r="F1196" s="74" t="s">
        <v>67</v>
      </c>
      <c r="G1196" s="74"/>
      <c r="H1196" s="75"/>
      <c r="I1196" s="76"/>
      <c r="J1196" s="78">
        <f>HYPERLINK("#Структура!E1701",Структура!E1701)</f>
        <v>0.28599999999999998</v>
      </c>
      <c r="K1196" s="114" t="str">
        <f>HYPERLINK("#Структура!G1701","")</f>
        <v/>
      </c>
      <c r="L1196" s="120">
        <f>HYPERLINK("#Покупные_изделия!D203",Покупные_изделия!D203)</f>
        <v>30.003600000000002</v>
      </c>
      <c r="M1196" s="76">
        <f t="shared" si="47"/>
        <v>8.5810296000000008</v>
      </c>
      <c r="N1196" s="77"/>
      <c r="O1196" s="77"/>
      <c r="P1196" s="76"/>
      <c r="Q1196" s="76"/>
    </row>
    <row r="1197" spans="6:17" hidden="1" outlineLevel="4" x14ac:dyDescent="0.25">
      <c r="F1197" s="74" t="s">
        <v>146</v>
      </c>
      <c r="G1197" s="74"/>
      <c r="H1197" s="75"/>
      <c r="I1197" s="76"/>
      <c r="J1197" s="78">
        <f>HYPERLINK("#Структура!E1702",Структура!E1702)</f>
        <v>0.16800000000000001</v>
      </c>
      <c r="K1197" s="114" t="str">
        <f>HYPERLINK("#Структура!G1702","")</f>
        <v/>
      </c>
      <c r="L1197" s="120">
        <f>HYPERLINK("#Покупные_изделия!D406",Покупные_изделия!D406)</f>
        <v>105.996</v>
      </c>
      <c r="M1197" s="76">
        <f t="shared" si="47"/>
        <v>17.807328000000002</v>
      </c>
      <c r="N1197" s="77"/>
      <c r="O1197" s="77"/>
      <c r="P1197" s="76"/>
      <c r="Q1197" s="76"/>
    </row>
    <row r="1198" spans="6:17" hidden="1" outlineLevel="4" x14ac:dyDescent="0.25">
      <c r="F1198" s="74" t="s">
        <v>155</v>
      </c>
      <c r="G1198" s="74"/>
      <c r="H1198" s="75"/>
      <c r="I1198" s="76"/>
      <c r="J1198" s="78">
        <f>HYPERLINK("#Структура!E1703",Структура!E1703)</f>
        <v>8.4000000000000005E-2</v>
      </c>
      <c r="K1198" s="114" t="str">
        <f>HYPERLINK("#Структура!G1703","")</f>
        <v/>
      </c>
      <c r="L1198" s="120">
        <f>HYPERLINK("#Покупные_изделия!D423",Покупные_изделия!D423)</f>
        <v>218.28</v>
      </c>
      <c r="M1198" s="76">
        <f t="shared" si="47"/>
        <v>18.335520000000002</v>
      </c>
      <c r="N1198" s="77"/>
      <c r="O1198" s="77"/>
      <c r="P1198" s="76"/>
      <c r="Q1198" s="76"/>
    </row>
    <row r="1199" spans="6:17" hidden="1" outlineLevel="4" x14ac:dyDescent="0.25">
      <c r="F1199" s="74" t="s">
        <v>156</v>
      </c>
      <c r="G1199" s="74"/>
      <c r="H1199" s="75"/>
      <c r="I1199" s="76"/>
      <c r="J1199" s="78">
        <f>HYPERLINK("#Структура!E1704",Структура!E1704)</f>
        <v>0.25700000000000001</v>
      </c>
      <c r="K1199" s="114" t="str">
        <f>HYPERLINK("#Структура!G1704","")</f>
        <v/>
      </c>
      <c r="L1199" s="120">
        <f>HYPERLINK("#Покупные_изделия!D427",Покупные_изделия!D427)</f>
        <v>155.53200000000001</v>
      </c>
      <c r="M1199" s="76">
        <f t="shared" si="47"/>
        <v>39.971724000000002</v>
      </c>
      <c r="N1199" s="77"/>
      <c r="O1199" s="77"/>
      <c r="P1199" s="76"/>
      <c r="Q1199" s="76"/>
    </row>
    <row r="1200" spans="6:17" hidden="1" outlineLevel="4" x14ac:dyDescent="0.25">
      <c r="F1200" s="74" t="s">
        <v>215</v>
      </c>
      <c r="G1200" s="74"/>
      <c r="H1200" s="75"/>
      <c r="I1200" s="76"/>
      <c r="J1200" s="78">
        <f>HYPERLINK("#Структура!E1705",Структура!E1705)</f>
        <v>0.56100000000000005</v>
      </c>
      <c r="K1200" s="114" t="str">
        <f>HYPERLINK("#Структура!G1705","")</f>
        <v/>
      </c>
      <c r="L1200" s="120">
        <f>HYPERLINK("#Покупные_изделия!D567",Покупные_изделия!D567)</f>
        <v>405.74399999999997</v>
      </c>
      <c r="M1200" s="76">
        <f t="shared" si="47"/>
        <v>227.62238400000001</v>
      </c>
      <c r="N1200" s="77"/>
      <c r="O1200" s="77"/>
      <c r="P1200" s="76"/>
      <c r="Q1200" s="76"/>
    </row>
    <row r="1201" spans="4:17" hidden="1" outlineLevel="3" collapsed="1" x14ac:dyDescent="0.25">
      <c r="E1201" s="84" t="s">
        <v>1141</v>
      </c>
      <c r="F1201" s="79"/>
      <c r="G1201" s="79"/>
      <c r="H1201" s="80"/>
      <c r="I1201" s="81"/>
      <c r="J1201" s="83">
        <f>HYPERLINK("#Структура!E1673",Структура!E1673)</f>
        <v>1</v>
      </c>
      <c r="K1201" s="115">
        <f>HYPERLINK("#Структура!G1673",Структура!G1673)</f>
        <v>4.3845400000000003</v>
      </c>
      <c r="L1201" s="81">
        <f>M1201/J1201</f>
        <v>601.4</v>
      </c>
      <c r="M1201" s="81">
        <f>SUMIF(F1202,"*",M1202)*J1201</f>
        <v>601.4</v>
      </c>
      <c r="N1201" s="124">
        <f>HYPERLINK("#Трудозатраты!B448",Трудозатраты!B448+SUMIF(F1202,"*",O1202))</f>
        <v>33</v>
      </c>
      <c r="O1201" s="82">
        <f>N1201*J1201</f>
        <v>33</v>
      </c>
      <c r="P1201" s="81">
        <f>O1201/60*(1+запас_труд)*стоимость_трудочаса</f>
        <v>1292.5</v>
      </c>
      <c r="Q1201" s="129">
        <f>M1201*(1+наценка_покупное)+P1201</f>
        <v>2014.1799999999998</v>
      </c>
    </row>
    <row r="1202" spans="4:17" hidden="1" outlineLevel="4" x14ac:dyDescent="0.25">
      <c r="F1202" s="74" t="s">
        <v>101</v>
      </c>
      <c r="G1202" s="74"/>
      <c r="H1202" s="75"/>
      <c r="I1202" s="76"/>
      <c r="J1202" s="78">
        <f>HYPERLINK("#Структура!E1680",Структура!E1680)</f>
        <v>6.0140000000000002</v>
      </c>
      <c r="K1202" s="114" t="str">
        <f>HYPERLINK("#Структура!G1680","")</f>
        <v/>
      </c>
      <c r="L1202" s="120">
        <f>HYPERLINK("#Покупные_изделия!D270",Покупные_изделия!D270)</f>
        <v>100</v>
      </c>
      <c r="M1202" s="76">
        <f>J1202*L1202</f>
        <v>601.4</v>
      </c>
      <c r="N1202" s="77"/>
      <c r="O1202" s="77"/>
      <c r="P1202" s="76"/>
      <c r="Q1202" s="76"/>
    </row>
    <row r="1203" spans="4:17" hidden="1" outlineLevel="3" collapsed="1" x14ac:dyDescent="0.25">
      <c r="E1203" s="84" t="s">
        <v>1142</v>
      </c>
      <c r="F1203" s="79"/>
      <c r="G1203" s="79"/>
      <c r="H1203" s="80"/>
      <c r="I1203" s="81"/>
      <c r="J1203" s="83">
        <f>HYPERLINK("#Структура!E1674",Структура!E1674)</f>
        <v>2</v>
      </c>
      <c r="K1203" s="115">
        <f>HYPERLINK("#Структура!G1674",Структура!G1674)</f>
        <v>3.2457099999999999</v>
      </c>
      <c r="L1203" s="81">
        <f>M1203/J1203</f>
        <v>543.70000000000005</v>
      </c>
      <c r="M1203" s="81">
        <f>SUMIF(F1204,"*",M1204)*J1203</f>
        <v>1087.4000000000001</v>
      </c>
      <c r="N1203" s="124">
        <f>HYPERLINK("#Трудозатраты!B449",Трудозатраты!B449+SUMIF(F1204,"*",O1204))</f>
        <v>38</v>
      </c>
      <c r="O1203" s="82">
        <f>N1203*J1203</f>
        <v>76</v>
      </c>
      <c r="P1203" s="81">
        <f>O1203/60*(1+запас_труд)*стоимость_трудочаса</f>
        <v>2976.6666666666665</v>
      </c>
      <c r="Q1203" s="129">
        <f>M1203*(1+наценка_покупное)+P1203</f>
        <v>4281.5466666666671</v>
      </c>
    </row>
    <row r="1204" spans="4:17" hidden="1" outlineLevel="4" x14ac:dyDescent="0.25">
      <c r="F1204" s="74" t="s">
        <v>101</v>
      </c>
      <c r="G1204" s="74"/>
      <c r="H1204" s="75"/>
      <c r="I1204" s="76"/>
      <c r="J1204" s="78">
        <f>HYPERLINK("#Структура!E1681",Структура!E1681)</f>
        <v>5.4370000000000003</v>
      </c>
      <c r="K1204" s="114" t="str">
        <f>HYPERLINK("#Структура!G1681","")</f>
        <v/>
      </c>
      <c r="L1204" s="120">
        <f>HYPERLINK("#Покупные_изделия!D270",Покупные_изделия!D270)</f>
        <v>100</v>
      </c>
      <c r="M1204" s="76">
        <f>J1204*L1204</f>
        <v>543.70000000000005</v>
      </c>
      <c r="N1204" s="77"/>
      <c r="O1204" s="77"/>
      <c r="P1204" s="76"/>
      <c r="Q1204" s="76"/>
    </row>
    <row r="1205" spans="4:17" hidden="1" outlineLevel="3" collapsed="1" x14ac:dyDescent="0.25">
      <c r="E1205" s="84" t="s">
        <v>1143</v>
      </c>
      <c r="F1205" s="79"/>
      <c r="G1205" s="79"/>
      <c r="H1205" s="80"/>
      <c r="I1205" s="81"/>
      <c r="J1205" s="83">
        <f>HYPERLINK("#Структура!E1675",Структура!E1675)</f>
        <v>1</v>
      </c>
      <c r="K1205" s="115">
        <f>HYPERLINK("#Структура!G1675",Структура!G1675)</f>
        <v>2.8942700000000001</v>
      </c>
      <c r="L1205" s="81">
        <f>M1205/J1205</f>
        <v>421.6</v>
      </c>
      <c r="M1205" s="81">
        <f>SUMIF(F1206,"*",M1206)*J1205</f>
        <v>421.6</v>
      </c>
      <c r="N1205" s="124">
        <f>HYPERLINK("#Трудозатраты!B450",Трудозатраты!B450+SUMIF(F1206,"*",O1206))</f>
        <v>58</v>
      </c>
      <c r="O1205" s="82">
        <f>N1205*J1205</f>
        <v>58</v>
      </c>
      <c r="P1205" s="81">
        <f>O1205/60*(1+запас_труд)*стоимость_трудочаса</f>
        <v>2271.6666666666665</v>
      </c>
      <c r="Q1205" s="129">
        <f>M1205*(1+наценка_покупное)+P1205</f>
        <v>2777.5866666666666</v>
      </c>
    </row>
    <row r="1206" spans="4:17" hidden="1" outlineLevel="4" x14ac:dyDescent="0.25">
      <c r="F1206" s="74" t="s">
        <v>101</v>
      </c>
      <c r="G1206" s="74"/>
      <c r="H1206" s="75"/>
      <c r="I1206" s="76"/>
      <c r="J1206" s="78">
        <f>HYPERLINK("#Структура!E1682",Структура!E1682)</f>
        <v>4.2160000000000002</v>
      </c>
      <c r="K1206" s="114" t="str">
        <f>HYPERLINK("#Структура!G1682","")</f>
        <v/>
      </c>
      <c r="L1206" s="120">
        <f>HYPERLINK("#Покупные_изделия!D270",Покупные_изделия!D270)</f>
        <v>100</v>
      </c>
      <c r="M1206" s="76">
        <f>J1206*L1206</f>
        <v>421.6</v>
      </c>
      <c r="N1206" s="77"/>
      <c r="O1206" s="77"/>
      <c r="P1206" s="76"/>
      <c r="Q1206" s="76"/>
    </row>
    <row r="1207" spans="4:17" hidden="1" outlineLevel="3" collapsed="1" x14ac:dyDescent="0.25">
      <c r="E1207" s="84" t="s">
        <v>1144</v>
      </c>
      <c r="F1207" s="79"/>
      <c r="G1207" s="79"/>
      <c r="H1207" s="80"/>
      <c r="I1207" s="81"/>
      <c r="J1207" s="83">
        <f>HYPERLINK("#Структура!E1676",Структура!E1676)</f>
        <v>24</v>
      </c>
      <c r="K1207" s="115">
        <f>HYPERLINK("#Структура!G1676",Структура!G1676)</f>
        <v>1.435E-2</v>
      </c>
      <c r="L1207" s="81">
        <f>M1207/J1207</f>
        <v>4.0956600000000005</v>
      </c>
      <c r="M1207" s="81">
        <f>SUMIF(F1208:F1212,"*",M1208:M1212)*J1207</f>
        <v>98.295840000000013</v>
      </c>
      <c r="N1207" s="124">
        <f>HYPERLINK("#Трудозатраты!B451",Трудозатраты!B451+SUMIF(F1208:F1212,"*",O1208:O1212))</f>
        <v>1.7999999999999998</v>
      </c>
      <c r="O1207" s="82">
        <f>N1207*J1207</f>
        <v>43.199999999999996</v>
      </c>
      <c r="P1207" s="81">
        <f>O1207/60*(1+запас_труд)*стоимость_трудочаса</f>
        <v>1692</v>
      </c>
      <c r="Q1207" s="129">
        <f>M1207*(1+наценка_покупное)+P1207</f>
        <v>1809.9550079999999</v>
      </c>
    </row>
    <row r="1208" spans="4:17" hidden="1" outlineLevel="4" x14ac:dyDescent="0.25">
      <c r="F1208" s="74" t="s">
        <v>65</v>
      </c>
      <c r="G1208" s="74"/>
      <c r="H1208" s="75"/>
      <c r="I1208" s="76"/>
      <c r="J1208" s="78">
        <f>HYPERLINK("#Структура!E1683",Структура!E1683)</f>
        <v>1E-3</v>
      </c>
      <c r="K1208" s="114" t="str">
        <f>HYPERLINK("#Структура!G1683","")</f>
        <v/>
      </c>
      <c r="L1208" s="120">
        <f>HYPERLINK("#Покупные_изделия!D197",Покупные_изделия!D197)</f>
        <v>264.50399999999996</v>
      </c>
      <c r="M1208" s="76">
        <f t="shared" ref="M1208:M1215" si="48">J1208*L1208</f>
        <v>0.26450399999999996</v>
      </c>
      <c r="N1208" s="77"/>
      <c r="O1208" s="77"/>
      <c r="P1208" s="76"/>
      <c r="Q1208" s="76"/>
    </row>
    <row r="1209" spans="4:17" hidden="1" outlineLevel="4" x14ac:dyDescent="0.25">
      <c r="F1209" s="74" t="s">
        <v>115</v>
      </c>
      <c r="G1209" s="74"/>
      <c r="H1209" s="75"/>
      <c r="I1209" s="76"/>
      <c r="J1209" s="78">
        <f>HYPERLINK("#Структура!E1684",Структура!E1684)</f>
        <v>2.5430000000000001E-2</v>
      </c>
      <c r="K1209" s="114" t="str">
        <f>HYPERLINK("#Структура!G1684","")</f>
        <v/>
      </c>
      <c r="L1209" s="120">
        <f>HYPERLINK("#Покупные_изделия!D289",Покупные_изделия!D289)</f>
        <v>120</v>
      </c>
      <c r="M1209" s="76">
        <f t="shared" si="48"/>
        <v>3.0516000000000001</v>
      </c>
      <c r="N1209" s="77"/>
      <c r="O1209" s="77"/>
      <c r="P1209" s="76"/>
      <c r="Q1209" s="76"/>
    </row>
    <row r="1210" spans="4:17" hidden="1" outlineLevel="4" x14ac:dyDescent="0.25">
      <c r="F1210" s="74" t="s">
        <v>155</v>
      </c>
      <c r="G1210" s="74"/>
      <c r="H1210" s="75"/>
      <c r="I1210" s="76"/>
      <c r="J1210" s="78">
        <f>HYPERLINK("#Структура!E1685",Структура!E1685)</f>
        <v>1E-3</v>
      </c>
      <c r="K1210" s="114" t="str">
        <f>HYPERLINK("#Структура!G1685","")</f>
        <v/>
      </c>
      <c r="L1210" s="120">
        <f>HYPERLINK("#Покупные_изделия!D423",Покупные_изделия!D423)</f>
        <v>218.28</v>
      </c>
      <c r="M1210" s="76">
        <f t="shared" si="48"/>
        <v>0.21828</v>
      </c>
      <c r="N1210" s="77"/>
      <c r="O1210" s="77"/>
      <c r="P1210" s="76"/>
      <c r="Q1210" s="76"/>
    </row>
    <row r="1211" spans="4:17" hidden="1" outlineLevel="4" x14ac:dyDescent="0.25">
      <c r="F1211" s="74" t="s">
        <v>156</v>
      </c>
      <c r="G1211" s="74"/>
      <c r="H1211" s="75"/>
      <c r="I1211" s="76"/>
      <c r="J1211" s="78">
        <f>HYPERLINK("#Структура!E1686",Структура!E1686)</f>
        <v>1E-3</v>
      </c>
      <c r="K1211" s="114" t="str">
        <f>HYPERLINK("#Структура!G1686","")</f>
        <v/>
      </c>
      <c r="L1211" s="120">
        <f>HYPERLINK("#Покупные_изделия!D427",Покупные_изделия!D427)</f>
        <v>155.53200000000001</v>
      </c>
      <c r="M1211" s="76">
        <f t="shared" si="48"/>
        <v>0.155532</v>
      </c>
      <c r="N1211" s="77"/>
      <c r="O1211" s="77"/>
      <c r="P1211" s="76"/>
      <c r="Q1211" s="76"/>
    </row>
    <row r="1212" spans="4:17" hidden="1" outlineLevel="4" x14ac:dyDescent="0.25">
      <c r="F1212" s="74" t="s">
        <v>215</v>
      </c>
      <c r="G1212" s="74"/>
      <c r="H1212" s="75"/>
      <c r="I1212" s="76"/>
      <c r="J1212" s="78">
        <f>HYPERLINK("#Структура!E1687",Структура!E1687)</f>
        <v>1E-3</v>
      </c>
      <c r="K1212" s="114" t="str">
        <f>HYPERLINK("#Структура!G1687","")</f>
        <v/>
      </c>
      <c r="L1212" s="120">
        <f>HYPERLINK("#Покупные_изделия!D567",Покупные_изделия!D567)</f>
        <v>405.74399999999997</v>
      </c>
      <c r="M1212" s="76">
        <f t="shared" si="48"/>
        <v>0.40574399999999999</v>
      </c>
      <c r="N1212" s="77"/>
      <c r="O1212" s="77"/>
      <c r="P1212" s="76"/>
      <c r="Q1212" s="76"/>
    </row>
    <row r="1213" spans="4:17" hidden="1" outlineLevel="3" x14ac:dyDescent="0.25">
      <c r="E1213" s="74" t="s">
        <v>1145</v>
      </c>
      <c r="F1213" s="74"/>
      <c r="G1213" s="74"/>
      <c r="H1213" s="75"/>
      <c r="I1213" s="76"/>
      <c r="J1213" s="78">
        <f>HYPERLINK("#Структура!E1677",Структура!E1677)</f>
        <v>12</v>
      </c>
      <c r="K1213" s="114">
        <f>HYPERLINK("#Структура!G1677",Структура!G1677)</f>
        <v>0.10100000000000001</v>
      </c>
      <c r="L1213" s="120">
        <f>HYPERLINK("#Покупные_изделия!D70",Покупные_изделия!D70)</f>
        <v>259.512</v>
      </c>
      <c r="M1213" s="76">
        <f t="shared" si="48"/>
        <v>3114.1440000000002</v>
      </c>
      <c r="N1213" s="77"/>
      <c r="O1213" s="77"/>
      <c r="P1213" s="76"/>
      <c r="Q1213" s="76"/>
    </row>
    <row r="1214" spans="4:17" hidden="1" outlineLevel="3" x14ac:dyDescent="0.25">
      <c r="E1214" s="74" t="s">
        <v>818</v>
      </c>
      <c r="F1214" s="74"/>
      <c r="G1214" s="74"/>
      <c r="H1214" s="75"/>
      <c r="I1214" s="76"/>
      <c r="J1214" s="78">
        <f>HYPERLINK("#Структура!E1678",Структура!E1678)</f>
        <v>12</v>
      </c>
      <c r="K1214" s="114">
        <f>HYPERLINK("#Структура!G1678",Структура!G1678)</f>
        <v>3.7609999999999998E-2</v>
      </c>
      <c r="L1214" s="120">
        <f>HYPERLINK("#Покупные_изделия!D177",Покупные_изделия!D177)</f>
        <v>9.4320000000000004</v>
      </c>
      <c r="M1214" s="76">
        <f t="shared" si="48"/>
        <v>113.184</v>
      </c>
      <c r="N1214" s="77"/>
      <c r="O1214" s="77"/>
      <c r="P1214" s="76"/>
      <c r="Q1214" s="76"/>
    </row>
    <row r="1215" spans="4:17" hidden="1" outlineLevel="3" x14ac:dyDescent="0.25">
      <c r="E1215" s="74" t="s">
        <v>1146</v>
      </c>
      <c r="F1215" s="74"/>
      <c r="G1215" s="74"/>
      <c r="H1215" s="75"/>
      <c r="I1215" s="76"/>
      <c r="J1215" s="78">
        <f>HYPERLINK("#Структура!E1679",Структура!E1679)</f>
        <v>12</v>
      </c>
      <c r="K1215" s="114">
        <f>HYPERLINK("#Структура!G1679",Структура!G1679)</f>
        <v>1.7680000000000001E-2</v>
      </c>
      <c r="L1215" s="120">
        <f>HYPERLINK("#Покупные_изделия!D178",Покупные_изделия!D178)</f>
        <v>9.4320000000000004</v>
      </c>
      <c r="M1215" s="76">
        <f t="shared" si="48"/>
        <v>113.184</v>
      </c>
      <c r="N1215" s="77"/>
      <c r="O1215" s="77"/>
      <c r="P1215" s="76"/>
      <c r="Q1215" s="76"/>
    </row>
    <row r="1216" spans="4:17" hidden="1" outlineLevel="2" collapsed="1" x14ac:dyDescent="0.25">
      <c r="D1216" s="96" t="s">
        <v>1085</v>
      </c>
      <c r="E1216" s="91"/>
      <c r="F1216" s="91"/>
      <c r="G1216" s="91"/>
      <c r="H1216" s="92"/>
      <c r="I1216" s="93"/>
      <c r="J1216" s="95">
        <f>HYPERLINK("#Структура!E1472",Структура!E1472)</f>
        <v>1</v>
      </c>
      <c r="K1216" s="116">
        <f>HYPERLINK("#Структура!G1472",Структура!G1472)</f>
        <v>6.6650200000000002</v>
      </c>
      <c r="L1216" s="93">
        <f>M1216/J1216</f>
        <v>4366.3819888000007</v>
      </c>
      <c r="M1216" s="93">
        <f>SUMIF(E1217:E1225,"*",M1217:M1225)*J1216</f>
        <v>4366.3819888000007</v>
      </c>
      <c r="N1216" s="125">
        <f>HYPERLINK("#Трудозатраты!B458",Трудозатраты!B458+SUMIF(E1217:E1225,"*",O1217:O1225))</f>
        <v>69.099999999999994</v>
      </c>
      <c r="O1216" s="94">
        <f>N1216*J1216</f>
        <v>69.099999999999994</v>
      </c>
      <c r="P1216" s="93">
        <f>O1216/60*(1+запас_труд)*стоимость_трудочаса</f>
        <v>2706.4166666666665</v>
      </c>
      <c r="Q1216" s="130">
        <f>M1216*(1+наценка_покупное)+P1216</f>
        <v>7946.0750532266666</v>
      </c>
    </row>
    <row r="1217" spans="4:17" hidden="1" outlineLevel="3" collapsed="1" x14ac:dyDescent="0.25">
      <c r="E1217" s="85" t="s">
        <v>1151</v>
      </c>
      <c r="F1217" s="86"/>
      <c r="G1217" s="86"/>
      <c r="H1217" s="87"/>
      <c r="I1217" s="88"/>
      <c r="J1217" s="90">
        <f>HYPERLINK("#Структура!E1713",Структура!E1713)</f>
        <v>1</v>
      </c>
      <c r="K1217" s="113">
        <f>HYPERLINK("#Структура!G1713",Структура!G1713)</f>
        <v>3.4929299999999999</v>
      </c>
      <c r="L1217" s="88">
        <f>M1217/J1217</f>
        <v>846.55840000000001</v>
      </c>
      <c r="M1217" s="88">
        <f>SUMIF(F1218,"*",M1218)*J1217</f>
        <v>846.55840000000001</v>
      </c>
      <c r="N1217" s="123">
        <f>HYPERLINK("#Трудозатраты!B459",Трудозатраты!B459+SUMIF(F1218,"*",O1218))</f>
        <v>19.399999999999999</v>
      </c>
      <c r="O1217" s="89">
        <f>N1217*J1217</f>
        <v>19.399999999999999</v>
      </c>
      <c r="P1217" s="88">
        <f>O1217/60*(1+запас_труд)*стоимость_трудочаса</f>
        <v>759.83333333333326</v>
      </c>
      <c r="Q1217" s="128">
        <f>M1217*(1+наценка_покупное)+P1217</f>
        <v>1775.7034133333332</v>
      </c>
    </row>
    <row r="1218" spans="4:17" hidden="1" outlineLevel="4" x14ac:dyDescent="0.25">
      <c r="F1218" s="74" t="s">
        <v>128</v>
      </c>
      <c r="G1218" s="74"/>
      <c r="H1218" s="75"/>
      <c r="I1218" s="76"/>
      <c r="J1218" s="78">
        <f>HYPERLINK("#Структура!E1719",Структура!E1719)</f>
        <v>5.2909899999999999</v>
      </c>
      <c r="K1218" s="114" t="str">
        <f>HYPERLINK("#Структура!G1719","")</f>
        <v/>
      </c>
      <c r="L1218" s="120">
        <f>HYPERLINK("#Покупные_изделия!D303",Покупные_изделия!D303)</f>
        <v>160</v>
      </c>
      <c r="M1218" s="76">
        <f>J1218*L1218</f>
        <v>846.55840000000001</v>
      </c>
      <c r="N1218" s="77"/>
      <c r="O1218" s="77"/>
      <c r="P1218" s="76"/>
      <c r="Q1218" s="76"/>
    </row>
    <row r="1219" spans="4:17" hidden="1" outlineLevel="3" collapsed="1" x14ac:dyDescent="0.25">
      <c r="E1219" s="84" t="s">
        <v>1152</v>
      </c>
      <c r="F1219" s="79"/>
      <c r="G1219" s="79"/>
      <c r="H1219" s="80"/>
      <c r="I1219" s="81"/>
      <c r="J1219" s="83">
        <f>HYPERLINK("#Структура!E1714",Структура!E1714)</f>
        <v>1</v>
      </c>
      <c r="K1219" s="115">
        <f>HYPERLINK("#Структура!G1714",Структура!G1714)</f>
        <v>1.7297199999999999</v>
      </c>
      <c r="L1219" s="81">
        <f>M1219/J1219</f>
        <v>336.40639999999996</v>
      </c>
      <c r="M1219" s="81">
        <f>SUMIF(F1220,"*",M1220)*J1219</f>
        <v>336.40639999999996</v>
      </c>
      <c r="N1219" s="124">
        <f>HYPERLINK("#Трудозатраты!B460",Трудозатраты!B460+SUMIF(F1220,"*",O1220))</f>
        <v>19.700000000000003</v>
      </c>
      <c r="O1219" s="82">
        <f>N1219*J1219</f>
        <v>19.700000000000003</v>
      </c>
      <c r="P1219" s="81">
        <f>O1219/60*(1+запас_труд)*стоимость_трудочаса</f>
        <v>771.58333333333337</v>
      </c>
      <c r="Q1219" s="129">
        <f>M1219*(1+наценка_покупное)+P1219</f>
        <v>1175.2710133333333</v>
      </c>
    </row>
    <row r="1220" spans="4:17" hidden="1" outlineLevel="4" x14ac:dyDescent="0.25">
      <c r="F1220" s="74" t="s">
        <v>128</v>
      </c>
      <c r="G1220" s="74"/>
      <c r="H1220" s="75"/>
      <c r="I1220" s="76"/>
      <c r="J1220" s="78">
        <f>HYPERLINK("#Структура!E1720",Структура!E1720)</f>
        <v>2.1025399999999999</v>
      </c>
      <c r="K1220" s="114" t="str">
        <f>HYPERLINK("#Структура!G1720","")</f>
        <v/>
      </c>
      <c r="L1220" s="120">
        <f>HYPERLINK("#Покупные_изделия!D303",Покупные_изделия!D303)</f>
        <v>160</v>
      </c>
      <c r="M1220" s="76">
        <f>J1220*L1220</f>
        <v>336.40639999999996</v>
      </c>
      <c r="N1220" s="77"/>
      <c r="O1220" s="77"/>
      <c r="P1220" s="76"/>
      <c r="Q1220" s="76"/>
    </row>
    <row r="1221" spans="4:17" hidden="1" outlineLevel="3" collapsed="1" x14ac:dyDescent="0.25">
      <c r="E1221" s="84" t="s">
        <v>1153</v>
      </c>
      <c r="F1221" s="79"/>
      <c r="G1221" s="79"/>
      <c r="H1221" s="80"/>
      <c r="I1221" s="81"/>
      <c r="J1221" s="83">
        <f>HYPERLINK("#Структура!E1715",Структура!E1715)</f>
        <v>2</v>
      </c>
      <c r="K1221" s="115">
        <f>HYPERLINK("#Структура!G1715",Структура!G1715)</f>
        <v>0.69589999999999996</v>
      </c>
      <c r="L1221" s="81">
        <f>M1221/J1221</f>
        <v>1512.3285144000004</v>
      </c>
      <c r="M1221" s="81">
        <f>SUMIF(F1222,"*",M1222)*J1221</f>
        <v>3024.6570288000007</v>
      </c>
      <c r="N1221" s="124">
        <f>HYPERLINK("#Трудозатраты!B461",Трудозатраты!B461+SUMIF(F1222,"*",O1222))</f>
        <v>10</v>
      </c>
      <c r="O1221" s="82">
        <f>N1221*J1221</f>
        <v>20</v>
      </c>
      <c r="P1221" s="81">
        <f>O1221/60*(1+запас_труд)*стоимость_трудочаса</f>
        <v>783.33333333333326</v>
      </c>
      <c r="Q1221" s="129">
        <f>M1221*(1+наценка_покупное)+P1221</f>
        <v>4412.9217678933337</v>
      </c>
    </row>
    <row r="1222" spans="4:17" hidden="1" outlineLevel="4" x14ac:dyDescent="0.25">
      <c r="F1222" s="74" t="s">
        <v>168</v>
      </c>
      <c r="G1222" s="74"/>
      <c r="H1222" s="75"/>
      <c r="I1222" s="76"/>
      <c r="J1222" s="78">
        <f>HYPERLINK("#Структура!E1721",Структура!E1721)</f>
        <v>1.026</v>
      </c>
      <c r="K1222" s="114" t="str">
        <f>HYPERLINK("#Структура!G1721","")</f>
        <v/>
      </c>
      <c r="L1222" s="120">
        <f>HYPERLINK("#Покупные_изделия!D453",Покупные_изделия!D453)</f>
        <v>1474.0044000000003</v>
      </c>
      <c r="M1222" s="76">
        <f>J1222*L1222</f>
        <v>1512.3285144000004</v>
      </c>
      <c r="N1222" s="77"/>
      <c r="O1222" s="77"/>
      <c r="P1222" s="76"/>
      <c r="Q1222" s="76"/>
    </row>
    <row r="1223" spans="4:17" hidden="1" outlineLevel="3" x14ac:dyDescent="0.25">
      <c r="E1223" s="74" t="s">
        <v>55</v>
      </c>
      <c r="F1223" s="74"/>
      <c r="G1223" s="74"/>
      <c r="H1223" s="75"/>
      <c r="I1223" s="76"/>
      <c r="J1223" s="78">
        <f>HYPERLINK("#Структура!E1716",Структура!E1716)</f>
        <v>14</v>
      </c>
      <c r="K1223" s="114">
        <f>HYPERLINK("#Структура!G1716",Структура!G1716)</f>
        <v>3.81E-3</v>
      </c>
      <c r="L1223" s="120">
        <f>HYPERLINK("#Покупные_изделия!D144",Покупные_изделия!D144)</f>
        <v>5.3460000000000001</v>
      </c>
      <c r="M1223" s="76">
        <f>J1223*L1223</f>
        <v>74.843999999999994</v>
      </c>
      <c r="N1223" s="77"/>
      <c r="O1223" s="77"/>
      <c r="P1223" s="76"/>
      <c r="Q1223" s="76"/>
    </row>
    <row r="1224" spans="4:17" hidden="1" outlineLevel="3" x14ac:dyDescent="0.25">
      <c r="E1224" s="74" t="s">
        <v>871</v>
      </c>
      <c r="F1224" s="74"/>
      <c r="G1224" s="74"/>
      <c r="H1224" s="75"/>
      <c r="I1224" s="76"/>
      <c r="J1224" s="78">
        <f>HYPERLINK("#Структура!E1717",Структура!E1717)</f>
        <v>14</v>
      </c>
      <c r="K1224" s="114">
        <f>HYPERLINK("#Структура!G1717",Структура!G1717)</f>
        <v>3.3E-3</v>
      </c>
      <c r="L1224" s="120">
        <f>HYPERLINK("#Покупные_изделия!D167",Покупные_изделия!D167)</f>
        <v>2.0654400000000002</v>
      </c>
      <c r="M1224" s="76">
        <f>J1224*L1224</f>
        <v>28.916160000000001</v>
      </c>
      <c r="N1224" s="77"/>
      <c r="O1224" s="77"/>
      <c r="P1224" s="76"/>
      <c r="Q1224" s="76"/>
    </row>
    <row r="1225" spans="4:17" hidden="1" outlineLevel="3" x14ac:dyDescent="0.25">
      <c r="E1225" s="74" t="s">
        <v>149</v>
      </c>
      <c r="F1225" s="74"/>
      <c r="G1225" s="74"/>
      <c r="H1225" s="75"/>
      <c r="I1225" s="76"/>
      <c r="J1225" s="78">
        <f>HYPERLINK("#Структура!E1718",Структура!E1718)</f>
        <v>1</v>
      </c>
      <c r="K1225" s="114">
        <f>HYPERLINK("#Структура!G1718",Структура!G1718)</f>
        <v>3.5360000000000003E-2</v>
      </c>
      <c r="L1225" s="120">
        <f>HYPERLINK("#Покупные_изделия!D417",Покупные_изделия!D417)</f>
        <v>55.000000000000007</v>
      </c>
      <c r="M1225" s="76">
        <f>J1225*L1225</f>
        <v>55.000000000000007</v>
      </c>
      <c r="N1225" s="77"/>
      <c r="O1225" s="77"/>
      <c r="P1225" s="76"/>
      <c r="Q1225" s="76"/>
    </row>
    <row r="1226" spans="4:17" hidden="1" outlineLevel="2" collapsed="1" x14ac:dyDescent="0.25">
      <c r="D1226" s="96" t="s">
        <v>1086</v>
      </c>
      <c r="E1226" s="91"/>
      <c r="F1226" s="91"/>
      <c r="G1226" s="91"/>
      <c r="H1226" s="92"/>
      <c r="I1226" s="93"/>
      <c r="J1226" s="95">
        <f>HYPERLINK("#Структура!E1473",Структура!E1473)</f>
        <v>1</v>
      </c>
      <c r="K1226" s="116">
        <f>HYPERLINK("#Структура!G1473",Структура!G1473)</f>
        <v>19.211739999999999</v>
      </c>
      <c r="L1226" s="93">
        <f>M1226/J1226</f>
        <v>3746.6687999999999</v>
      </c>
      <c r="M1226" s="93">
        <f>SUMIF(E1227:E1229,"*",M1227:M1229)*J1226</f>
        <v>3746.6687999999999</v>
      </c>
      <c r="N1226" s="125">
        <f>HYPERLINK("#Трудозатраты!B462",Трудозатраты!B462+SUMIF(E1227:E1229,"*",O1227:O1229))</f>
        <v>22.5</v>
      </c>
      <c r="O1226" s="94">
        <f>N1226*J1226</f>
        <v>22.5</v>
      </c>
      <c r="P1226" s="93">
        <f>O1226/60*(1+запас_труд)*стоимость_трудочаса</f>
        <v>881.25</v>
      </c>
      <c r="Q1226" s="130">
        <f>M1226*(1+наценка_покупное)+P1226</f>
        <v>5377.2525599999999</v>
      </c>
    </row>
    <row r="1227" spans="4:17" hidden="1" outlineLevel="3" collapsed="1" x14ac:dyDescent="0.25">
      <c r="E1227" s="85" t="s">
        <v>1154</v>
      </c>
      <c r="F1227" s="86"/>
      <c r="G1227" s="86"/>
      <c r="H1227" s="87"/>
      <c r="I1227" s="88"/>
      <c r="J1227" s="90">
        <f>HYPERLINK("#Структура!E1722",Структура!E1722)</f>
        <v>1</v>
      </c>
      <c r="K1227" s="113">
        <f>HYPERLINK("#Структура!G1722",Структура!G1722)</f>
        <v>19.18497</v>
      </c>
      <c r="L1227" s="88">
        <f>M1227/J1227</f>
        <v>3724.6687999999999</v>
      </c>
      <c r="M1227" s="88">
        <f>SUMIF(F1228,"*",M1228)*J1227</f>
        <v>3724.6687999999999</v>
      </c>
      <c r="N1227" s="123">
        <f>HYPERLINK("#Трудозатраты!B463",Трудозатраты!B463+SUMIF(F1228,"*",O1228))</f>
        <v>17.5</v>
      </c>
      <c r="O1227" s="89">
        <f>N1227*J1227</f>
        <v>17.5</v>
      </c>
      <c r="P1227" s="88">
        <f>O1227/60*(1+запас_труд)*стоимость_трудочаса</f>
        <v>685.41666666666674</v>
      </c>
      <c r="Q1227" s="128">
        <f>M1227*(1+наценка_покупное)+P1227</f>
        <v>5155.0192266666663</v>
      </c>
    </row>
    <row r="1228" spans="4:17" hidden="1" outlineLevel="4" x14ac:dyDescent="0.25">
      <c r="F1228" s="74" t="s">
        <v>128</v>
      </c>
      <c r="G1228" s="74"/>
      <c r="H1228" s="75"/>
      <c r="I1228" s="76"/>
      <c r="J1228" s="78">
        <f>HYPERLINK("#Структура!E1724",Структура!E1724)</f>
        <v>23.27918</v>
      </c>
      <c r="K1228" s="114" t="str">
        <f>HYPERLINK("#Структура!G1724","")</f>
        <v/>
      </c>
      <c r="L1228" s="120">
        <f>HYPERLINK("#Покупные_изделия!D303",Покупные_изделия!D303)</f>
        <v>160</v>
      </c>
      <c r="M1228" s="76">
        <f>J1228*L1228</f>
        <v>3724.6687999999999</v>
      </c>
      <c r="N1228" s="77"/>
      <c r="O1228" s="77"/>
      <c r="P1228" s="76"/>
      <c r="Q1228" s="76"/>
    </row>
    <row r="1229" spans="4:17" hidden="1" outlineLevel="3" x14ac:dyDescent="0.25">
      <c r="E1229" s="74" t="s">
        <v>69</v>
      </c>
      <c r="F1229" s="74"/>
      <c r="G1229" s="74"/>
      <c r="H1229" s="75"/>
      <c r="I1229" s="76"/>
      <c r="J1229" s="78">
        <f>HYPERLINK("#Структура!E1723",Структура!E1723)</f>
        <v>4</v>
      </c>
      <c r="K1229" s="114">
        <f>HYPERLINK("#Структура!G1723",Структура!G1723)</f>
        <v>6.6899999999999998E-3</v>
      </c>
      <c r="L1229" s="120">
        <f>HYPERLINK("#Покупные_изделия!D207",Покупные_изделия!D207)</f>
        <v>5.5</v>
      </c>
      <c r="M1229" s="76">
        <f>J1229*L1229</f>
        <v>22</v>
      </c>
      <c r="N1229" s="77"/>
      <c r="O1229" s="77"/>
      <c r="P1229" s="76"/>
      <c r="Q1229" s="76"/>
    </row>
    <row r="1230" spans="4:17" hidden="1" outlineLevel="2" collapsed="1" x14ac:dyDescent="0.25">
      <c r="D1230" s="84" t="s">
        <v>1087</v>
      </c>
      <c r="E1230" s="79"/>
      <c r="F1230" s="79"/>
      <c r="G1230" s="79"/>
      <c r="H1230" s="80"/>
      <c r="I1230" s="81"/>
      <c r="J1230" s="83">
        <f>HYPERLINK("#Структура!E1474",Структура!E1474)</f>
        <v>2</v>
      </c>
      <c r="K1230" s="115">
        <f>HYPERLINK("#Структура!G1474",Структура!G1474)</f>
        <v>12.77689</v>
      </c>
      <c r="L1230" s="81">
        <f>M1230/J1230</f>
        <v>2007.1029720000001</v>
      </c>
      <c r="M1230" s="81">
        <f>SUMIF(E1231:E1235,"*",M1231:M1235)*J1230</f>
        <v>4014.2059440000003</v>
      </c>
      <c r="N1230" s="124">
        <f>HYPERLINK("#Трудозатраты!B395",Трудозатраты!B395+SUMIF(E1231:E1235,"*",O1231:O1235))</f>
        <v>19.5</v>
      </c>
      <c r="O1230" s="82">
        <f>N1230*J1230</f>
        <v>39</v>
      </c>
      <c r="P1230" s="81">
        <f>O1230/60*(1+запас_труд)*стоимость_трудочаса</f>
        <v>1527.5</v>
      </c>
      <c r="Q1230" s="129">
        <f>M1230*(1+наценка_покупное)+P1230</f>
        <v>6344.5471328000003</v>
      </c>
    </row>
    <row r="1231" spans="4:17" hidden="1" outlineLevel="3" x14ac:dyDescent="0.25">
      <c r="E1231" s="74" t="s">
        <v>65</v>
      </c>
      <c r="F1231" s="74"/>
      <c r="G1231" s="74"/>
      <c r="H1231" s="75"/>
      <c r="I1231" s="76"/>
      <c r="J1231" s="78">
        <f>HYPERLINK("#Структура!E1510",Структура!E1510)</f>
        <v>0.08</v>
      </c>
      <c r="K1231" s="114" t="str">
        <f>HYPERLINK("#Структура!G1510","")</f>
        <v/>
      </c>
      <c r="L1231" s="120">
        <f>HYPERLINK("#Покупные_изделия!D197",Покупные_изделия!D197)</f>
        <v>264.50399999999996</v>
      </c>
      <c r="M1231" s="76">
        <f>J1231*L1231</f>
        <v>21.160319999999999</v>
      </c>
      <c r="N1231" s="77"/>
      <c r="O1231" s="77"/>
      <c r="P1231" s="76"/>
      <c r="Q1231" s="76"/>
    </row>
    <row r="1232" spans="4:17" hidden="1" outlineLevel="3" x14ac:dyDescent="0.25">
      <c r="E1232" s="74" t="s">
        <v>118</v>
      </c>
      <c r="F1232" s="74"/>
      <c r="G1232" s="74"/>
      <c r="H1232" s="75"/>
      <c r="I1232" s="76"/>
      <c r="J1232" s="78">
        <f>HYPERLINK("#Структура!E1511",Структура!E1511)</f>
        <v>15.87364</v>
      </c>
      <c r="K1232" s="114" t="str">
        <f>HYPERLINK("#Структура!G1511","")</f>
        <v/>
      </c>
      <c r="L1232" s="120">
        <f>HYPERLINK("#Покупные_изделия!D293",Покупные_изделия!D293)</f>
        <v>120</v>
      </c>
      <c r="M1232" s="76">
        <f>J1232*L1232</f>
        <v>1904.8368</v>
      </c>
      <c r="N1232" s="77"/>
      <c r="O1232" s="77"/>
      <c r="P1232" s="76"/>
      <c r="Q1232" s="76"/>
    </row>
    <row r="1233" spans="4:17" hidden="1" outlineLevel="3" x14ac:dyDescent="0.25">
      <c r="E1233" s="74" t="s">
        <v>155</v>
      </c>
      <c r="F1233" s="74"/>
      <c r="G1233" s="74"/>
      <c r="H1233" s="75"/>
      <c r="I1233" s="76"/>
      <c r="J1233" s="78">
        <f>HYPERLINK("#Структура!E1512",Структура!E1512)</f>
        <v>2.4E-2</v>
      </c>
      <c r="K1233" s="114" t="str">
        <f>HYPERLINK("#Структура!G1512","")</f>
        <v/>
      </c>
      <c r="L1233" s="120">
        <f>HYPERLINK("#Покупные_изделия!D423",Покупные_изделия!D423)</f>
        <v>218.28</v>
      </c>
      <c r="M1233" s="76">
        <f>J1233*L1233</f>
        <v>5.2387199999999998</v>
      </c>
      <c r="N1233" s="77"/>
      <c r="O1233" s="77"/>
      <c r="P1233" s="76"/>
      <c r="Q1233" s="76"/>
    </row>
    <row r="1234" spans="4:17" hidden="1" outlineLevel="3" x14ac:dyDescent="0.25">
      <c r="E1234" s="74" t="s">
        <v>156</v>
      </c>
      <c r="F1234" s="74"/>
      <c r="G1234" s="74"/>
      <c r="H1234" s="75"/>
      <c r="I1234" s="76"/>
      <c r="J1234" s="78">
        <f>HYPERLINK("#Структура!E1513",Структура!E1513)</f>
        <v>7.2999999999999995E-2</v>
      </c>
      <c r="K1234" s="114" t="str">
        <f>HYPERLINK("#Структура!G1513","")</f>
        <v/>
      </c>
      <c r="L1234" s="120">
        <f>HYPERLINK("#Покупные_изделия!D427",Покупные_изделия!D427)</f>
        <v>155.53200000000001</v>
      </c>
      <c r="M1234" s="76">
        <f>J1234*L1234</f>
        <v>11.353835999999999</v>
      </c>
      <c r="N1234" s="77"/>
      <c r="O1234" s="77"/>
      <c r="P1234" s="76"/>
      <c r="Q1234" s="76"/>
    </row>
    <row r="1235" spans="4:17" hidden="1" outlineLevel="3" x14ac:dyDescent="0.25">
      <c r="E1235" s="74" t="s">
        <v>215</v>
      </c>
      <c r="F1235" s="74"/>
      <c r="G1235" s="74"/>
      <c r="H1235" s="75"/>
      <c r="I1235" s="76"/>
      <c r="J1235" s="78">
        <f>HYPERLINK("#Структура!E1514",Структура!E1514)</f>
        <v>0.159</v>
      </c>
      <c r="K1235" s="114" t="str">
        <f>HYPERLINK("#Структура!G1514","")</f>
        <v/>
      </c>
      <c r="L1235" s="120">
        <f>HYPERLINK("#Покупные_изделия!D567",Покупные_изделия!D567)</f>
        <v>405.74399999999997</v>
      </c>
      <c r="M1235" s="76">
        <f>J1235*L1235</f>
        <v>64.513295999999997</v>
      </c>
      <c r="N1235" s="77"/>
      <c r="O1235" s="77"/>
      <c r="P1235" s="76"/>
      <c r="Q1235" s="76"/>
    </row>
    <row r="1236" spans="4:17" hidden="1" outlineLevel="2" collapsed="1" x14ac:dyDescent="0.25">
      <c r="D1236" s="84" t="s">
        <v>1088</v>
      </c>
      <c r="E1236" s="79"/>
      <c r="F1236" s="79"/>
      <c r="G1236" s="79"/>
      <c r="H1236" s="80"/>
      <c r="I1236" s="81"/>
      <c r="J1236" s="83">
        <f>HYPERLINK("#Структура!E1475",Структура!E1475)</f>
        <v>11</v>
      </c>
      <c r="K1236" s="115">
        <f>HYPERLINK("#Структура!G1475",Структура!G1475)</f>
        <v>19.27468</v>
      </c>
      <c r="L1236" s="81">
        <f>M1236/J1236</f>
        <v>3724.6687999999999</v>
      </c>
      <c r="M1236" s="81">
        <f>SUMIF(E1237,"*",M1237)*J1236</f>
        <v>40971.356800000001</v>
      </c>
      <c r="N1236" s="124">
        <f>HYPERLINK("#Трудозатраты!B396",Трудозатраты!B396+SUMIF(E1237,"*",O1237))</f>
        <v>17.5</v>
      </c>
      <c r="O1236" s="82">
        <f>N1236*J1236</f>
        <v>192.5</v>
      </c>
      <c r="P1236" s="81">
        <f>O1236/60*(1+запас_труд)*стоимость_трудочаса</f>
        <v>7539.5833333333339</v>
      </c>
      <c r="Q1236" s="129">
        <f>M1236*(1+наценка_покупное)+P1236</f>
        <v>56705.211493333336</v>
      </c>
    </row>
    <row r="1237" spans="4:17" hidden="1" outlineLevel="3" x14ac:dyDescent="0.25">
      <c r="E1237" s="74" t="s">
        <v>128</v>
      </c>
      <c r="F1237" s="74"/>
      <c r="G1237" s="74"/>
      <c r="H1237" s="75"/>
      <c r="I1237" s="76"/>
      <c r="J1237" s="78">
        <f>HYPERLINK("#Структура!E1515",Структура!E1515)</f>
        <v>23.27918</v>
      </c>
      <c r="K1237" s="114" t="str">
        <f>HYPERLINK("#Структура!G1515","")</f>
        <v/>
      </c>
      <c r="L1237" s="120">
        <f>HYPERLINK("#Покупные_изделия!D303",Покупные_изделия!D303)</f>
        <v>160</v>
      </c>
      <c r="M1237" s="76">
        <f>J1237*L1237</f>
        <v>3724.6687999999999</v>
      </c>
      <c r="N1237" s="77"/>
      <c r="O1237" s="77"/>
      <c r="P1237" s="76"/>
      <c r="Q1237" s="76"/>
    </row>
    <row r="1238" spans="4:17" hidden="1" outlineLevel="2" collapsed="1" x14ac:dyDescent="0.25">
      <c r="D1238" s="84" t="s">
        <v>1089</v>
      </c>
      <c r="E1238" s="79"/>
      <c r="F1238" s="79"/>
      <c r="G1238" s="79"/>
      <c r="H1238" s="80"/>
      <c r="I1238" s="81"/>
      <c r="J1238" s="83">
        <f>HYPERLINK("#Структура!E1476",Структура!E1476)</f>
        <v>1</v>
      </c>
      <c r="K1238" s="115">
        <f>HYPERLINK("#Структура!G1476",Структура!G1476)</f>
        <v>1.61625</v>
      </c>
      <c r="L1238" s="81">
        <f>M1238/J1238</f>
        <v>310.36320000000001</v>
      </c>
      <c r="M1238" s="81">
        <f>SUMIF(E1239,"*",M1239)*J1238</f>
        <v>310.36320000000001</v>
      </c>
      <c r="N1238" s="124">
        <f>HYPERLINK("#Трудозатраты!B397",Трудозатраты!B397+SUMIF(E1239,"*",O1239))</f>
        <v>11.25</v>
      </c>
      <c r="O1238" s="82">
        <f>N1238*J1238</f>
        <v>11.25</v>
      </c>
      <c r="P1238" s="81">
        <f>O1238/60*(1+запас_труд)*стоимость_трудочаса</f>
        <v>440.625</v>
      </c>
      <c r="Q1238" s="129">
        <f>M1238*(1+наценка_покупное)+P1238</f>
        <v>813.06083999999998</v>
      </c>
    </row>
    <row r="1239" spans="4:17" hidden="1" outlineLevel="3" x14ac:dyDescent="0.25">
      <c r="E1239" s="74" t="s">
        <v>130</v>
      </c>
      <c r="F1239" s="74"/>
      <c r="G1239" s="74"/>
      <c r="H1239" s="75"/>
      <c r="I1239" s="76"/>
      <c r="J1239" s="78">
        <f>HYPERLINK("#Структура!E1516",Структура!E1516)</f>
        <v>1.93977</v>
      </c>
      <c r="K1239" s="114" t="str">
        <f>HYPERLINK("#Структура!G1516","")</f>
        <v/>
      </c>
      <c r="L1239" s="120">
        <f>HYPERLINK("#Покупные_изделия!D305",Покупные_изделия!D305)</f>
        <v>160</v>
      </c>
      <c r="M1239" s="76">
        <f>J1239*L1239</f>
        <v>310.36320000000001</v>
      </c>
      <c r="N1239" s="77"/>
      <c r="O1239" s="77"/>
      <c r="P1239" s="76"/>
      <c r="Q1239" s="76"/>
    </row>
    <row r="1240" spans="4:17" hidden="1" outlineLevel="2" collapsed="1" x14ac:dyDescent="0.25">
      <c r="D1240" s="84" t="s">
        <v>1090</v>
      </c>
      <c r="E1240" s="79"/>
      <c r="F1240" s="79"/>
      <c r="G1240" s="79"/>
      <c r="H1240" s="80"/>
      <c r="I1240" s="81"/>
      <c r="J1240" s="83">
        <f>HYPERLINK("#Структура!E1477",Структура!E1477)</f>
        <v>1</v>
      </c>
      <c r="K1240" s="115">
        <f>HYPERLINK("#Структура!G1477",Структура!G1477)</f>
        <v>12.756270000000001</v>
      </c>
      <c r="L1240" s="81">
        <f>M1240/J1240</f>
        <v>2449.7215999999999</v>
      </c>
      <c r="M1240" s="81">
        <f>SUMIF(E1241,"*",M1241)*J1240</f>
        <v>2449.7215999999999</v>
      </c>
      <c r="N1240" s="124">
        <f>HYPERLINK("#Трудозатраты!B398",Трудозатраты!B398+SUMIF(E1241,"*",O1241))</f>
        <v>64</v>
      </c>
      <c r="O1240" s="82">
        <f>N1240*J1240</f>
        <v>64</v>
      </c>
      <c r="P1240" s="81">
        <f>O1240/60*(1+запас_труд)*стоимость_трудочаса</f>
        <v>2506.6666666666665</v>
      </c>
      <c r="Q1240" s="129">
        <f>M1240*(1+наценка_покупное)+P1240</f>
        <v>5446.3325866666664</v>
      </c>
    </row>
    <row r="1241" spans="4:17" hidden="1" outlineLevel="3" x14ac:dyDescent="0.25">
      <c r="E1241" s="74" t="s">
        <v>128</v>
      </c>
      <c r="F1241" s="74"/>
      <c r="G1241" s="74"/>
      <c r="H1241" s="75"/>
      <c r="I1241" s="76"/>
      <c r="J1241" s="78">
        <f>HYPERLINK("#Структура!E1517",Структура!E1517)</f>
        <v>15.31076</v>
      </c>
      <c r="K1241" s="114" t="str">
        <f>HYPERLINK("#Структура!G1517","")</f>
        <v/>
      </c>
      <c r="L1241" s="120">
        <f>HYPERLINK("#Покупные_изделия!D303",Покупные_изделия!D303)</f>
        <v>160</v>
      </c>
      <c r="M1241" s="76">
        <f>J1241*L1241</f>
        <v>2449.7215999999999</v>
      </c>
      <c r="N1241" s="77"/>
      <c r="O1241" s="77"/>
      <c r="P1241" s="76"/>
      <c r="Q1241" s="76"/>
    </row>
    <row r="1242" spans="4:17" hidden="1" outlineLevel="2" collapsed="1" x14ac:dyDescent="0.25">
      <c r="D1242" s="84" t="s">
        <v>1091</v>
      </c>
      <c r="E1242" s="79"/>
      <c r="F1242" s="79"/>
      <c r="G1242" s="79"/>
      <c r="H1242" s="80"/>
      <c r="I1242" s="81"/>
      <c r="J1242" s="83">
        <f>HYPERLINK("#Структура!E1478",Структура!E1478)</f>
        <v>1</v>
      </c>
      <c r="K1242" s="115">
        <f>HYPERLINK("#Структура!G1478",Структура!G1478)</f>
        <v>2.44536</v>
      </c>
      <c r="L1242" s="81">
        <f>M1242/J1242</f>
        <v>746.80000000000007</v>
      </c>
      <c r="M1242" s="81">
        <f>SUMIF(E1243,"*",M1243)*J1242</f>
        <v>746.80000000000007</v>
      </c>
      <c r="N1242" s="124">
        <f>HYPERLINK("#Трудозатраты!B399",Трудозатраты!B399+SUMIF(E1243,"*",O1243))</f>
        <v>8.3000000000000007</v>
      </c>
      <c r="O1242" s="82">
        <f>N1242*J1242</f>
        <v>8.3000000000000007</v>
      </c>
      <c r="P1242" s="81">
        <f>O1242/60*(1+запас_труд)*стоимость_трудочаса</f>
        <v>325.08333333333331</v>
      </c>
      <c r="Q1242" s="129">
        <f>M1242*(1+наценка_покупное)+P1242</f>
        <v>1221.2433333333333</v>
      </c>
    </row>
    <row r="1243" spans="4:17" hidden="1" outlineLevel="3" x14ac:dyDescent="0.25">
      <c r="E1243" s="74" t="s">
        <v>130</v>
      </c>
      <c r="F1243" s="74"/>
      <c r="G1243" s="74"/>
      <c r="H1243" s="75"/>
      <c r="I1243" s="76"/>
      <c r="J1243" s="78">
        <f>HYPERLINK("#Структура!E1518",Структура!E1518)</f>
        <v>4.6675000000000004</v>
      </c>
      <c r="K1243" s="114" t="str">
        <f>HYPERLINK("#Структура!G1518","")</f>
        <v/>
      </c>
      <c r="L1243" s="120">
        <f>HYPERLINK("#Покупные_изделия!D305",Покупные_изделия!D305)</f>
        <v>160</v>
      </c>
      <c r="M1243" s="76">
        <f>J1243*L1243</f>
        <v>746.80000000000007</v>
      </c>
      <c r="N1243" s="77"/>
      <c r="O1243" s="77"/>
      <c r="P1243" s="76"/>
      <c r="Q1243" s="76"/>
    </row>
    <row r="1244" spans="4:17" hidden="1" outlineLevel="2" collapsed="1" x14ac:dyDescent="0.25">
      <c r="D1244" s="84" t="s">
        <v>1092</v>
      </c>
      <c r="E1244" s="79"/>
      <c r="F1244" s="79"/>
      <c r="G1244" s="79"/>
      <c r="H1244" s="80"/>
      <c r="I1244" s="81"/>
      <c r="J1244" s="83">
        <f>HYPERLINK("#Структура!E1479",Структура!E1479)</f>
        <v>1</v>
      </c>
      <c r="K1244" s="115">
        <f>HYPERLINK("#Структура!G1479",Структура!G1479)</f>
        <v>24.748419999999999</v>
      </c>
      <c r="L1244" s="81">
        <f>M1244/J1244</f>
        <v>178.512</v>
      </c>
      <c r="M1244" s="81">
        <f>SUMIF(E1245,"*",M1245)*J1244</f>
        <v>178.512</v>
      </c>
      <c r="N1244" s="124">
        <f>HYPERLINK("#Трудозатраты!B404",Трудозатраты!B404+SUMIF(E1245,"*",O1245))</f>
        <v>11.15</v>
      </c>
      <c r="O1244" s="82">
        <f>N1244*J1244</f>
        <v>11.15</v>
      </c>
      <c r="P1244" s="81">
        <f>O1244/60*(1+запас_труд)*стоимость_трудочаса</f>
        <v>436.70833333333337</v>
      </c>
      <c r="Q1244" s="129">
        <f>M1244*(1+наценка_покупное)+P1244</f>
        <v>650.92273333333333</v>
      </c>
    </row>
    <row r="1245" spans="4:17" hidden="1" outlineLevel="3" x14ac:dyDescent="0.25">
      <c r="E1245" s="74" t="s">
        <v>130</v>
      </c>
      <c r="F1245" s="74"/>
      <c r="G1245" s="74"/>
      <c r="H1245" s="75"/>
      <c r="I1245" s="76"/>
      <c r="J1245" s="78">
        <f>HYPERLINK("#Структура!E1537",Структура!E1537)</f>
        <v>1.1156999999999999</v>
      </c>
      <c r="K1245" s="114" t="str">
        <f>HYPERLINK("#Структура!G1537","")</f>
        <v/>
      </c>
      <c r="L1245" s="120">
        <f>HYPERLINK("#Покупные_изделия!D305",Покупные_изделия!D305)</f>
        <v>160</v>
      </c>
      <c r="M1245" s="76">
        <f>J1245*L1245</f>
        <v>178.512</v>
      </c>
      <c r="N1245" s="77"/>
      <c r="O1245" s="77"/>
      <c r="P1245" s="76"/>
      <c r="Q1245" s="76"/>
    </row>
    <row r="1246" spans="4:17" hidden="1" outlineLevel="2" collapsed="1" x14ac:dyDescent="0.25">
      <c r="D1246" s="84" t="s">
        <v>1093</v>
      </c>
      <c r="E1246" s="79"/>
      <c r="F1246" s="79"/>
      <c r="G1246" s="79"/>
      <c r="H1246" s="80"/>
      <c r="I1246" s="81"/>
      <c r="J1246" s="83">
        <f>HYPERLINK("#Структура!E1480",Структура!E1480)</f>
        <v>1</v>
      </c>
      <c r="K1246" s="115">
        <f>HYPERLINK("#Структура!G1480",Структура!G1480)</f>
        <v>11.68929</v>
      </c>
      <c r="L1246" s="81">
        <f>M1246/J1246</f>
        <v>2245.0416</v>
      </c>
      <c r="M1246" s="81">
        <f>SUMIF(E1247,"*",M1247)*J1246</f>
        <v>2245.0416</v>
      </c>
      <c r="N1246" s="124">
        <f>HYPERLINK("#Трудозатраты!B406",Трудозатраты!B406+SUMIF(E1247,"*",O1247))</f>
        <v>60.5</v>
      </c>
      <c r="O1246" s="82">
        <f>N1246*J1246</f>
        <v>60.5</v>
      </c>
      <c r="P1246" s="81">
        <f>O1246/60*(1+запас_труд)*стоимость_трудочаса</f>
        <v>2369.5833333333335</v>
      </c>
      <c r="Q1246" s="129">
        <f>M1246*(1+наценка_покупное)+P1246</f>
        <v>5063.6332533333334</v>
      </c>
    </row>
    <row r="1247" spans="4:17" hidden="1" outlineLevel="3" x14ac:dyDescent="0.25">
      <c r="E1247" s="74" t="s">
        <v>128</v>
      </c>
      <c r="F1247" s="74"/>
      <c r="G1247" s="74"/>
      <c r="H1247" s="75"/>
      <c r="I1247" s="76"/>
      <c r="J1247" s="78">
        <f>HYPERLINK("#Структура!E1539",Структура!E1539)</f>
        <v>14.031510000000001</v>
      </c>
      <c r="K1247" s="114" t="str">
        <f>HYPERLINK("#Структура!G1539","")</f>
        <v/>
      </c>
      <c r="L1247" s="120">
        <f>HYPERLINK("#Покупные_изделия!D303",Покупные_изделия!D303)</f>
        <v>160</v>
      </c>
      <c r="M1247" s="76">
        <f>J1247*L1247</f>
        <v>2245.0416</v>
      </c>
      <c r="N1247" s="77"/>
      <c r="O1247" s="77"/>
      <c r="P1247" s="76"/>
      <c r="Q1247" s="76"/>
    </row>
    <row r="1248" spans="4:17" hidden="1" outlineLevel="2" collapsed="1" x14ac:dyDescent="0.25">
      <c r="D1248" s="84" t="s">
        <v>1094</v>
      </c>
      <c r="E1248" s="79"/>
      <c r="F1248" s="79"/>
      <c r="G1248" s="79"/>
      <c r="H1248" s="80"/>
      <c r="I1248" s="81"/>
      <c r="J1248" s="83">
        <f>HYPERLINK("#Структура!E1481",Структура!E1481)</f>
        <v>4</v>
      </c>
      <c r="K1248" s="115">
        <f>HYPERLINK("#Структура!G1481",Структура!G1481)</f>
        <v>0.46046999999999999</v>
      </c>
      <c r="L1248" s="81">
        <f>M1248/J1248</f>
        <v>89.12</v>
      </c>
      <c r="M1248" s="81">
        <f>SUMIF(E1249,"*",M1249)*J1248</f>
        <v>356.48</v>
      </c>
      <c r="N1248" s="124">
        <f>HYPERLINK("#Трудозатраты!B407",Трудозатраты!B407+SUMIF(E1249,"*",O1249))</f>
        <v>1.75</v>
      </c>
      <c r="O1248" s="82">
        <f>N1248*J1248</f>
        <v>7</v>
      </c>
      <c r="P1248" s="81">
        <f>O1248/60*(1+запас_труд)*стоимость_трудочаса</f>
        <v>274.16666666666669</v>
      </c>
      <c r="Q1248" s="129">
        <f>M1248*(1+наценка_покупное)+P1248</f>
        <v>701.9426666666667</v>
      </c>
    </row>
    <row r="1249" spans="4:17" hidden="1" outlineLevel="3" x14ac:dyDescent="0.25">
      <c r="E1249" s="74" t="s">
        <v>131</v>
      </c>
      <c r="F1249" s="74"/>
      <c r="G1249" s="74"/>
      <c r="H1249" s="75"/>
      <c r="I1249" s="76"/>
      <c r="J1249" s="78">
        <f>HYPERLINK("#Структура!E1540",Структура!E1540)</f>
        <v>0.55700000000000005</v>
      </c>
      <c r="K1249" s="114" t="str">
        <f>HYPERLINK("#Структура!G1540","")</f>
        <v/>
      </c>
      <c r="L1249" s="120">
        <f>HYPERLINK("#Покупные_изделия!D306",Покупные_изделия!D306)</f>
        <v>160</v>
      </c>
      <c r="M1249" s="76">
        <f>J1249*L1249</f>
        <v>89.12</v>
      </c>
      <c r="N1249" s="77"/>
      <c r="O1249" s="77"/>
      <c r="P1249" s="76"/>
      <c r="Q1249" s="76"/>
    </row>
    <row r="1250" spans="4:17" hidden="1" outlineLevel="2" collapsed="1" x14ac:dyDescent="0.25">
      <c r="D1250" s="84" t="s">
        <v>1095</v>
      </c>
      <c r="E1250" s="79"/>
      <c r="F1250" s="79"/>
      <c r="G1250" s="79"/>
      <c r="H1250" s="80"/>
      <c r="I1250" s="81"/>
      <c r="J1250" s="83">
        <f>HYPERLINK("#Структура!E1482",Структура!E1482)</f>
        <v>2</v>
      </c>
      <c r="K1250" s="115">
        <f>HYPERLINK("#Структура!G1482",Структура!G1482)</f>
        <v>0.87734999999999996</v>
      </c>
      <c r="L1250" s="81">
        <f>M1250/J1250</f>
        <v>140.25705600000001</v>
      </c>
      <c r="M1250" s="81">
        <f>SUMIF(E1251:E1255,"*",M1251:M1255)*J1250</f>
        <v>280.51411200000001</v>
      </c>
      <c r="N1250" s="124">
        <f>HYPERLINK("#Трудозатраты!B408",Трудозатраты!B408+SUMIF(E1251:E1255,"*",O1251:O1255))</f>
        <v>9.3000000000000007</v>
      </c>
      <c r="O1250" s="82">
        <f>N1250*J1250</f>
        <v>18.600000000000001</v>
      </c>
      <c r="P1250" s="81">
        <f>O1250/60*(1+запас_труд)*стоимость_трудочаса</f>
        <v>728.5</v>
      </c>
      <c r="Q1250" s="129">
        <f>M1250*(1+наценка_покупное)+P1250</f>
        <v>1065.1169344</v>
      </c>
    </row>
    <row r="1251" spans="4:17" hidden="1" outlineLevel="3" x14ac:dyDescent="0.25">
      <c r="E1251" s="74" t="s">
        <v>65</v>
      </c>
      <c r="F1251" s="74"/>
      <c r="G1251" s="74"/>
      <c r="H1251" s="75"/>
      <c r="I1251" s="76"/>
      <c r="J1251" s="78">
        <f>HYPERLINK("#Структура!E1541",Структура!E1541)</f>
        <v>0.01</v>
      </c>
      <c r="K1251" s="114" t="str">
        <f>HYPERLINK("#Структура!G1541","")</f>
        <v/>
      </c>
      <c r="L1251" s="120">
        <f>HYPERLINK("#Покупные_изделия!D197",Покупные_изделия!D197)</f>
        <v>264.50399999999996</v>
      </c>
      <c r="M1251" s="76">
        <f>J1251*L1251</f>
        <v>2.6450399999999998</v>
      </c>
      <c r="N1251" s="77"/>
      <c r="O1251" s="77"/>
      <c r="P1251" s="76"/>
      <c r="Q1251" s="76"/>
    </row>
    <row r="1252" spans="4:17" hidden="1" outlineLevel="3" x14ac:dyDescent="0.25">
      <c r="E1252" s="74" t="s">
        <v>115</v>
      </c>
      <c r="F1252" s="74"/>
      <c r="G1252" s="74"/>
      <c r="H1252" s="75"/>
      <c r="I1252" s="76"/>
      <c r="J1252" s="78">
        <f>HYPERLINK("#Структура!E1542",Структура!E1542)</f>
        <v>1.05786</v>
      </c>
      <c r="K1252" s="114" t="str">
        <f>HYPERLINK("#Структура!G1542","")</f>
        <v/>
      </c>
      <c r="L1252" s="120">
        <f>HYPERLINK("#Покупные_изделия!D289",Покупные_изделия!D289)</f>
        <v>120</v>
      </c>
      <c r="M1252" s="76">
        <f>J1252*L1252</f>
        <v>126.9432</v>
      </c>
      <c r="N1252" s="77"/>
      <c r="O1252" s="77"/>
      <c r="P1252" s="76"/>
      <c r="Q1252" s="76"/>
    </row>
    <row r="1253" spans="4:17" hidden="1" outlineLevel="3" x14ac:dyDescent="0.25">
      <c r="E1253" s="74" t="s">
        <v>155</v>
      </c>
      <c r="F1253" s="74"/>
      <c r="G1253" s="74"/>
      <c r="H1253" s="75"/>
      <c r="I1253" s="76"/>
      <c r="J1253" s="78">
        <f>HYPERLINK("#Структура!E1543",Структура!E1543)</f>
        <v>6.0000000000000001E-3</v>
      </c>
      <c r="K1253" s="114" t="str">
        <f>HYPERLINK("#Структура!G1543","")</f>
        <v/>
      </c>
      <c r="L1253" s="120">
        <f>HYPERLINK("#Покупные_изделия!D423",Покупные_изделия!D423)</f>
        <v>218.28</v>
      </c>
      <c r="M1253" s="76">
        <f>J1253*L1253</f>
        <v>1.30968</v>
      </c>
      <c r="N1253" s="77"/>
      <c r="O1253" s="77"/>
      <c r="P1253" s="76"/>
      <c r="Q1253" s="76"/>
    </row>
    <row r="1254" spans="4:17" hidden="1" outlineLevel="3" x14ac:dyDescent="0.25">
      <c r="E1254" s="74" t="s">
        <v>156</v>
      </c>
      <c r="F1254" s="74"/>
      <c r="G1254" s="74"/>
      <c r="H1254" s="75"/>
      <c r="I1254" s="76"/>
      <c r="J1254" s="78">
        <f>HYPERLINK("#Структура!E1544",Структура!E1544)</f>
        <v>8.0000000000000002E-3</v>
      </c>
      <c r="K1254" s="114" t="str">
        <f>HYPERLINK("#Структура!G1544","")</f>
        <v/>
      </c>
      <c r="L1254" s="120">
        <f>HYPERLINK("#Покупные_изделия!D427",Покупные_изделия!D427)</f>
        <v>155.53200000000001</v>
      </c>
      <c r="M1254" s="76">
        <f>J1254*L1254</f>
        <v>1.244256</v>
      </c>
      <c r="N1254" s="77"/>
      <c r="O1254" s="77"/>
      <c r="P1254" s="76"/>
      <c r="Q1254" s="76"/>
    </row>
    <row r="1255" spans="4:17" hidden="1" outlineLevel="3" x14ac:dyDescent="0.25">
      <c r="E1255" s="74" t="s">
        <v>215</v>
      </c>
      <c r="F1255" s="74"/>
      <c r="G1255" s="74"/>
      <c r="H1255" s="75"/>
      <c r="I1255" s="76"/>
      <c r="J1255" s="78">
        <f>HYPERLINK("#Структура!E1545",Структура!E1545)</f>
        <v>0.02</v>
      </c>
      <c r="K1255" s="114" t="str">
        <f>HYPERLINK("#Структура!G1545","")</f>
        <v/>
      </c>
      <c r="L1255" s="120">
        <f>HYPERLINK("#Покупные_изделия!D567",Покупные_изделия!D567)</f>
        <v>405.74399999999997</v>
      </c>
      <c r="M1255" s="76">
        <f>J1255*L1255</f>
        <v>8.1148799999999994</v>
      </c>
      <c r="N1255" s="77"/>
      <c r="O1255" s="77"/>
      <c r="P1255" s="76"/>
      <c r="Q1255" s="76"/>
    </row>
    <row r="1256" spans="4:17" hidden="1" outlineLevel="2" collapsed="1" x14ac:dyDescent="0.25">
      <c r="D1256" s="84" t="s">
        <v>1096</v>
      </c>
      <c r="E1256" s="79"/>
      <c r="F1256" s="79"/>
      <c r="G1256" s="79"/>
      <c r="H1256" s="80"/>
      <c r="I1256" s="81"/>
      <c r="J1256" s="83">
        <f>HYPERLINK("#Структура!E1483",Структура!E1483)</f>
        <v>1</v>
      </c>
      <c r="K1256" s="115">
        <f>HYPERLINK("#Структура!G1483",Структура!G1483)</f>
        <v>22.704139999999999</v>
      </c>
      <c r="L1256" s="81">
        <f>M1256/J1256</f>
        <v>4563.2704000000003</v>
      </c>
      <c r="M1256" s="81">
        <f>SUMIF(E1257,"*",M1257)*J1256</f>
        <v>4563.2704000000003</v>
      </c>
      <c r="N1256" s="124">
        <f>HYPERLINK("#Трудозатраты!B409",Трудозатраты!B409+SUMIF(E1257,"*",O1257))</f>
        <v>18</v>
      </c>
      <c r="O1256" s="82">
        <f>N1256*J1256</f>
        <v>18</v>
      </c>
      <c r="P1256" s="81">
        <f>O1256/60*(1+запас_труд)*стоимость_трудочаса</f>
        <v>705</v>
      </c>
      <c r="Q1256" s="129">
        <f>M1256*(1+наценка_покупное)+P1256</f>
        <v>6180.9244800000006</v>
      </c>
    </row>
    <row r="1257" spans="4:17" hidden="1" outlineLevel="3" x14ac:dyDescent="0.25">
      <c r="E1257" s="74" t="s">
        <v>131</v>
      </c>
      <c r="F1257" s="74"/>
      <c r="G1257" s="74"/>
      <c r="H1257" s="75"/>
      <c r="I1257" s="76"/>
      <c r="J1257" s="78">
        <f>HYPERLINK("#Структура!E1546",Структура!E1546)</f>
        <v>28.520440000000001</v>
      </c>
      <c r="K1257" s="114" t="str">
        <f>HYPERLINK("#Структура!G1546","")</f>
        <v/>
      </c>
      <c r="L1257" s="120">
        <f>HYPERLINK("#Покупные_изделия!D306",Покупные_изделия!D306)</f>
        <v>160</v>
      </c>
      <c r="M1257" s="76">
        <f>J1257*L1257</f>
        <v>4563.2704000000003</v>
      </c>
      <c r="N1257" s="77"/>
      <c r="O1257" s="77"/>
      <c r="P1257" s="76"/>
      <c r="Q1257" s="76"/>
    </row>
    <row r="1258" spans="4:17" hidden="1" outlineLevel="2" collapsed="1" x14ac:dyDescent="0.25">
      <c r="D1258" s="84" t="s">
        <v>1097</v>
      </c>
      <c r="E1258" s="79"/>
      <c r="F1258" s="79"/>
      <c r="G1258" s="79"/>
      <c r="H1258" s="80"/>
      <c r="I1258" s="81"/>
      <c r="J1258" s="83">
        <f>HYPERLINK("#Структура!E1484",Структура!E1484)</f>
        <v>2</v>
      </c>
      <c r="K1258" s="115">
        <f>HYPERLINK("#Структура!G1484",Структура!G1484)</f>
        <v>9.9633800000000008</v>
      </c>
      <c r="L1258" s="81">
        <f>M1258/J1258</f>
        <v>1840</v>
      </c>
      <c r="M1258" s="81">
        <f>SUMIF(E1259,"*",M1259)*J1258</f>
        <v>3680</v>
      </c>
      <c r="N1258" s="124">
        <f>HYPERLINK("#Трудозатраты!B410",Трудозатраты!B410+SUMIF(E1259,"*",O1259))</f>
        <v>40.25</v>
      </c>
      <c r="O1258" s="82">
        <f>N1258*J1258</f>
        <v>80.5</v>
      </c>
      <c r="P1258" s="81">
        <f>O1258/60*(1+запас_труд)*стоимость_трудочаса</f>
        <v>3152.9166666666665</v>
      </c>
      <c r="Q1258" s="129">
        <f>M1258*(1+наценка_покупное)+P1258</f>
        <v>7568.9166666666661</v>
      </c>
    </row>
    <row r="1259" spans="4:17" hidden="1" outlineLevel="3" x14ac:dyDescent="0.25">
      <c r="E1259" s="74" t="s">
        <v>131</v>
      </c>
      <c r="F1259" s="74"/>
      <c r="G1259" s="74"/>
      <c r="H1259" s="75"/>
      <c r="I1259" s="76"/>
      <c r="J1259" s="78">
        <f>HYPERLINK("#Структура!E1547",Структура!E1547)</f>
        <v>11.5</v>
      </c>
      <c r="K1259" s="114" t="str">
        <f>HYPERLINK("#Структура!G1547","")</f>
        <v/>
      </c>
      <c r="L1259" s="120">
        <f>HYPERLINK("#Покупные_изделия!D306",Покупные_изделия!D306)</f>
        <v>160</v>
      </c>
      <c r="M1259" s="76">
        <f>J1259*L1259</f>
        <v>1840</v>
      </c>
      <c r="N1259" s="77"/>
      <c r="O1259" s="77"/>
      <c r="P1259" s="76"/>
      <c r="Q1259" s="76"/>
    </row>
    <row r="1260" spans="4:17" hidden="1" outlineLevel="2" collapsed="1" x14ac:dyDescent="0.25">
      <c r="D1260" s="84" t="s">
        <v>1098</v>
      </c>
      <c r="E1260" s="79"/>
      <c r="F1260" s="79"/>
      <c r="G1260" s="79"/>
      <c r="H1260" s="80"/>
      <c r="I1260" s="81"/>
      <c r="J1260" s="83">
        <f>HYPERLINK("#Структура!E1485",Структура!E1485)</f>
        <v>4</v>
      </c>
      <c r="K1260" s="115">
        <f>HYPERLINK("#Структура!G1485",Структура!G1485)</f>
        <v>4.6763700000000004</v>
      </c>
      <c r="L1260" s="81">
        <f>M1260/J1260</f>
        <v>736.65230400000007</v>
      </c>
      <c r="M1260" s="81">
        <f>SUMIF(E1261:E1265,"*",M1261:M1265)*J1260</f>
        <v>2946.6092160000003</v>
      </c>
      <c r="N1260" s="124">
        <f>HYPERLINK("#Трудозатраты!B411",Трудозатраты!B411+SUMIF(E1261:E1265,"*",O1261:O1265))</f>
        <v>4.5999999999999996</v>
      </c>
      <c r="O1260" s="82">
        <f>N1260*J1260</f>
        <v>18.399999999999999</v>
      </c>
      <c r="P1260" s="81">
        <f>O1260/60*(1+запас_труд)*стоимость_трудочаса</f>
        <v>720.66666666666663</v>
      </c>
      <c r="Q1260" s="129">
        <f>M1260*(1+наценка_покупное)+P1260</f>
        <v>4256.5977258666671</v>
      </c>
    </row>
    <row r="1261" spans="4:17" hidden="1" outlineLevel="3" x14ac:dyDescent="0.25">
      <c r="E1261" s="74" t="s">
        <v>65</v>
      </c>
      <c r="F1261" s="74"/>
      <c r="G1261" s="74"/>
      <c r="H1261" s="75"/>
      <c r="I1261" s="76"/>
      <c r="J1261" s="78">
        <f>HYPERLINK("#Структура!E1548",Структура!E1548)</f>
        <v>2.5999999999999999E-2</v>
      </c>
      <c r="K1261" s="114" t="str">
        <f>HYPERLINK("#Структура!G1548","")</f>
        <v/>
      </c>
      <c r="L1261" s="120">
        <f>HYPERLINK("#Покупные_изделия!D197",Покупные_изделия!D197)</f>
        <v>264.50399999999996</v>
      </c>
      <c r="M1261" s="76">
        <f>J1261*L1261</f>
        <v>6.8771039999999983</v>
      </c>
      <c r="N1261" s="77"/>
      <c r="O1261" s="77"/>
      <c r="P1261" s="76"/>
      <c r="Q1261" s="76"/>
    </row>
    <row r="1262" spans="4:17" hidden="1" outlineLevel="3" x14ac:dyDescent="0.25">
      <c r="E1262" s="74" t="s">
        <v>120</v>
      </c>
      <c r="F1262" s="74"/>
      <c r="G1262" s="74"/>
      <c r="H1262" s="75"/>
      <c r="I1262" s="76"/>
      <c r="J1262" s="78">
        <f>HYPERLINK("#Структура!E1549",Структура!E1549)</f>
        <v>5.7684300000000004</v>
      </c>
      <c r="K1262" s="114" t="str">
        <f>HYPERLINK("#Структура!G1549","")</f>
        <v/>
      </c>
      <c r="L1262" s="120">
        <f>HYPERLINK("#Покупные_изделия!D295",Покупные_изделия!D295)</f>
        <v>120</v>
      </c>
      <c r="M1262" s="76">
        <f>J1262*L1262</f>
        <v>692.21160000000009</v>
      </c>
      <c r="N1262" s="77"/>
      <c r="O1262" s="77"/>
      <c r="P1262" s="76"/>
      <c r="Q1262" s="76"/>
    </row>
    <row r="1263" spans="4:17" hidden="1" outlineLevel="3" x14ac:dyDescent="0.25">
      <c r="E1263" s="74" t="s">
        <v>155</v>
      </c>
      <c r="F1263" s="74"/>
      <c r="G1263" s="74"/>
      <c r="H1263" s="75"/>
      <c r="I1263" s="76"/>
      <c r="J1263" s="78">
        <f>HYPERLINK("#Структура!E1550",Структура!E1550)</f>
        <v>0.01</v>
      </c>
      <c r="K1263" s="114" t="str">
        <f>HYPERLINK("#Структура!G1550","")</f>
        <v/>
      </c>
      <c r="L1263" s="120">
        <f>HYPERLINK("#Покупные_изделия!D423",Покупные_изделия!D423)</f>
        <v>218.28</v>
      </c>
      <c r="M1263" s="76">
        <f>J1263*L1263</f>
        <v>2.1827999999999999</v>
      </c>
      <c r="N1263" s="77"/>
      <c r="O1263" s="77"/>
      <c r="P1263" s="76"/>
      <c r="Q1263" s="76"/>
    </row>
    <row r="1264" spans="4:17" hidden="1" outlineLevel="3" x14ac:dyDescent="0.25">
      <c r="E1264" s="74" t="s">
        <v>156</v>
      </c>
      <c r="F1264" s="74"/>
      <c r="G1264" s="74"/>
      <c r="H1264" s="75"/>
      <c r="I1264" s="76"/>
      <c r="J1264" s="78">
        <f>HYPERLINK("#Структура!E1551",Структура!E1551)</f>
        <v>2.4E-2</v>
      </c>
      <c r="K1264" s="114" t="str">
        <f>HYPERLINK("#Структура!G1551","")</f>
        <v/>
      </c>
      <c r="L1264" s="120">
        <f>HYPERLINK("#Покупные_изделия!D427",Покупные_изделия!D427)</f>
        <v>155.53200000000001</v>
      </c>
      <c r="M1264" s="76">
        <f>J1264*L1264</f>
        <v>3.7327680000000005</v>
      </c>
      <c r="N1264" s="77"/>
      <c r="O1264" s="77"/>
      <c r="P1264" s="76"/>
      <c r="Q1264" s="76"/>
    </row>
    <row r="1265" spans="4:17" hidden="1" outlineLevel="3" x14ac:dyDescent="0.25">
      <c r="E1265" s="74" t="s">
        <v>215</v>
      </c>
      <c r="F1265" s="74"/>
      <c r="G1265" s="74"/>
      <c r="H1265" s="75"/>
      <c r="I1265" s="76"/>
      <c r="J1265" s="78">
        <f>HYPERLINK("#Структура!E1552",Структура!E1552)</f>
        <v>7.8E-2</v>
      </c>
      <c r="K1265" s="114" t="str">
        <f>HYPERLINK("#Структура!G1552","")</f>
        <v/>
      </c>
      <c r="L1265" s="120">
        <f>HYPERLINK("#Покупные_изделия!D567",Покупные_изделия!D567)</f>
        <v>405.74399999999997</v>
      </c>
      <c r="M1265" s="76">
        <f>J1265*L1265</f>
        <v>31.648031999999997</v>
      </c>
      <c r="N1265" s="77"/>
      <c r="O1265" s="77"/>
      <c r="P1265" s="76"/>
      <c r="Q1265" s="76"/>
    </row>
    <row r="1266" spans="4:17" hidden="1" outlineLevel="2" collapsed="1" x14ac:dyDescent="0.25">
      <c r="D1266" s="84" t="s">
        <v>1099</v>
      </c>
      <c r="E1266" s="79"/>
      <c r="F1266" s="79"/>
      <c r="G1266" s="79"/>
      <c r="H1266" s="80"/>
      <c r="I1266" s="81"/>
      <c r="J1266" s="83">
        <f>HYPERLINK("#Структура!E1486",Структура!E1486)</f>
        <v>2</v>
      </c>
      <c r="K1266" s="115">
        <f>HYPERLINK("#Структура!G1486",Структура!G1486)</f>
        <v>16.989180000000001</v>
      </c>
      <c r="L1266" s="81">
        <f>M1266/J1266</f>
        <v>3265.7263999999996</v>
      </c>
      <c r="M1266" s="81">
        <f>SUMIF(E1267,"*",M1267)*J1266</f>
        <v>6531.4527999999991</v>
      </c>
      <c r="N1266" s="124">
        <f>HYPERLINK("#Трудозатраты!B412",Трудозатраты!B412+SUMIF(E1267,"*",O1267))</f>
        <v>93</v>
      </c>
      <c r="O1266" s="82">
        <f>N1266*J1266</f>
        <v>186</v>
      </c>
      <c r="P1266" s="81">
        <f>O1266/60*(1+запас_труд)*стоимость_трудочаса</f>
        <v>7285</v>
      </c>
      <c r="Q1266" s="129">
        <f>M1266*(1+наценка_покупное)+P1266</f>
        <v>15122.743359999999</v>
      </c>
    </row>
    <row r="1267" spans="4:17" hidden="1" outlineLevel="3" x14ac:dyDescent="0.25">
      <c r="E1267" s="74" t="s">
        <v>128</v>
      </c>
      <c r="F1267" s="74"/>
      <c r="G1267" s="74"/>
      <c r="H1267" s="75"/>
      <c r="I1267" s="76"/>
      <c r="J1267" s="78">
        <f>HYPERLINK("#Структура!E1553",Структура!E1553)</f>
        <v>20.410789999999999</v>
      </c>
      <c r="K1267" s="114" t="str">
        <f>HYPERLINK("#Структура!G1553","")</f>
        <v/>
      </c>
      <c r="L1267" s="120">
        <f>HYPERLINK("#Покупные_изделия!D303",Покупные_изделия!D303)</f>
        <v>160</v>
      </c>
      <c r="M1267" s="76">
        <f>J1267*L1267</f>
        <v>3265.7263999999996</v>
      </c>
      <c r="N1267" s="77"/>
      <c r="O1267" s="77"/>
      <c r="P1267" s="76"/>
      <c r="Q1267" s="76"/>
    </row>
    <row r="1268" spans="4:17" hidden="1" outlineLevel="2" collapsed="1" x14ac:dyDescent="0.25">
      <c r="D1268" s="84" t="s">
        <v>705</v>
      </c>
      <c r="E1268" s="79"/>
      <c r="F1268" s="79"/>
      <c r="G1268" s="79"/>
      <c r="H1268" s="80"/>
      <c r="I1268" s="81"/>
      <c r="J1268" s="83">
        <f>HYPERLINK("#Структура!E1487",Структура!E1487)</f>
        <v>1</v>
      </c>
      <c r="K1268" s="115">
        <f>HYPERLINK("#Структура!G1487",Структура!G1487)</f>
        <v>7.4569999999999997E-2</v>
      </c>
      <c r="L1268" s="81">
        <f>M1268/J1268</f>
        <v>97.332206400000018</v>
      </c>
      <c r="M1268" s="81">
        <f>SUMIF(E1269,"*",M1269)*J1268</f>
        <v>97.332206400000018</v>
      </c>
      <c r="N1268" s="124">
        <f>HYPERLINK("#Трудозатраты!B883",Трудозатраты!B883+SUMIF(E1269,"*",O1269))</f>
        <v>5.5</v>
      </c>
      <c r="O1268" s="82">
        <f>N1268*J1268</f>
        <v>5.5</v>
      </c>
      <c r="P1268" s="81">
        <f>O1268/60*(1+запас_труд)*стоимость_трудочаса</f>
        <v>215.41666666666666</v>
      </c>
      <c r="Q1268" s="129">
        <f>M1268*(1+наценка_покупное)+P1268</f>
        <v>332.21531434666667</v>
      </c>
    </row>
    <row r="1269" spans="4:17" hidden="1" outlineLevel="3" x14ac:dyDescent="0.25">
      <c r="E1269" s="74" t="s">
        <v>166</v>
      </c>
      <c r="F1269" s="74"/>
      <c r="G1269" s="74"/>
      <c r="H1269" s="75"/>
      <c r="I1269" s="76"/>
      <c r="J1269" s="78">
        <f>HYPERLINK("#Структура!E3754",Структура!E3754)</f>
        <v>6.6000000000000003E-2</v>
      </c>
      <c r="K1269" s="114" t="str">
        <f>HYPERLINK("#Структура!G3754","")</f>
        <v/>
      </c>
      <c r="L1269" s="120">
        <f>HYPERLINK("#Покупные_изделия!D451",Покупные_изделия!D451)</f>
        <v>1474.7304000000001</v>
      </c>
      <c r="M1269" s="76">
        <f t="shared" ref="M1269:M1291" si="49">J1269*L1269</f>
        <v>97.332206400000018</v>
      </c>
      <c r="N1269" s="77"/>
      <c r="O1269" s="77"/>
      <c r="P1269" s="76"/>
      <c r="Q1269" s="76"/>
    </row>
    <row r="1270" spans="4:17" hidden="1" outlineLevel="2" x14ac:dyDescent="0.25">
      <c r="D1270" s="74" t="s">
        <v>622</v>
      </c>
      <c r="E1270" s="74"/>
      <c r="F1270" s="74"/>
      <c r="G1270" s="74"/>
      <c r="H1270" s="75"/>
      <c r="I1270" s="76"/>
      <c r="J1270" s="78">
        <f>HYPERLINK("#Структура!E1488",Структура!E1488)</f>
        <v>136</v>
      </c>
      <c r="K1270" s="114">
        <f>HYPERLINK("#Структура!G1488",Структура!G1488)</f>
        <v>1.52E-2</v>
      </c>
      <c r="L1270" s="120">
        <f>HYPERLINK("#Покупные_изделия!D85",Покупные_изделия!D85)</f>
        <v>8.6999999999999993</v>
      </c>
      <c r="M1270" s="76">
        <f t="shared" si="49"/>
        <v>1183.1999999999998</v>
      </c>
      <c r="N1270" s="77"/>
      <c r="O1270" s="77"/>
      <c r="P1270" s="76"/>
      <c r="Q1270" s="76"/>
    </row>
    <row r="1271" spans="4:17" hidden="1" outlineLevel="2" x14ac:dyDescent="0.25">
      <c r="D1271" s="74" t="s">
        <v>623</v>
      </c>
      <c r="E1271" s="74"/>
      <c r="F1271" s="74"/>
      <c r="G1271" s="74"/>
      <c r="H1271" s="75"/>
      <c r="I1271" s="76"/>
      <c r="J1271" s="78">
        <f>HYPERLINK("#Структура!E1489",Структура!E1489)</f>
        <v>40</v>
      </c>
      <c r="K1271" s="114">
        <f>HYPERLINK("#Структура!G1489",Структура!G1489)</f>
        <v>1.67E-2</v>
      </c>
      <c r="L1271" s="120">
        <f>HYPERLINK("#Покупные_изделия!D86",Покупные_изделия!D86)</f>
        <v>8.7719999999999985</v>
      </c>
      <c r="M1271" s="76">
        <f t="shared" si="49"/>
        <v>350.87999999999994</v>
      </c>
      <c r="N1271" s="77"/>
      <c r="O1271" s="77"/>
      <c r="P1271" s="76"/>
      <c r="Q1271" s="76"/>
    </row>
    <row r="1272" spans="4:17" hidden="1" outlineLevel="2" x14ac:dyDescent="0.25">
      <c r="D1272" s="74" t="s">
        <v>1100</v>
      </c>
      <c r="E1272" s="74"/>
      <c r="F1272" s="74"/>
      <c r="G1272" s="74"/>
      <c r="H1272" s="75"/>
      <c r="I1272" s="76"/>
      <c r="J1272" s="78">
        <f>HYPERLINK("#Структура!E1490",Структура!E1490)</f>
        <v>1</v>
      </c>
      <c r="K1272" s="114">
        <f>HYPERLINK("#Структура!G1490",Структура!G1490)</f>
        <v>2.1700000000000001E-2</v>
      </c>
      <c r="L1272" s="120">
        <f>HYPERLINK("#Покупные_изделия!D87",Покупные_изделия!D87)</f>
        <v>12.051600000000002</v>
      </c>
      <c r="M1272" s="76">
        <f t="shared" si="49"/>
        <v>12.051600000000002</v>
      </c>
      <c r="N1272" s="77"/>
      <c r="O1272" s="77"/>
      <c r="P1272" s="76"/>
      <c r="Q1272" s="76"/>
    </row>
    <row r="1273" spans="4:17" hidden="1" outlineLevel="2" x14ac:dyDescent="0.25">
      <c r="D1273" s="74" t="s">
        <v>761</v>
      </c>
      <c r="E1273" s="74"/>
      <c r="F1273" s="74"/>
      <c r="G1273" s="74"/>
      <c r="H1273" s="75"/>
      <c r="I1273" s="76"/>
      <c r="J1273" s="78">
        <f>HYPERLINK("#Структура!E1491",Структура!E1491)</f>
        <v>4</v>
      </c>
      <c r="K1273" s="114">
        <f>HYPERLINK("#Структура!G1491",Структура!G1491)</f>
        <v>3.696E-2</v>
      </c>
      <c r="L1273" s="120">
        <f>HYPERLINK("#Покупные_изделия!D91",Покупные_изделия!D91)</f>
        <v>13.452</v>
      </c>
      <c r="M1273" s="76">
        <f t="shared" si="49"/>
        <v>53.808</v>
      </c>
      <c r="N1273" s="77"/>
      <c r="O1273" s="77"/>
      <c r="P1273" s="76"/>
      <c r="Q1273" s="76"/>
    </row>
    <row r="1274" spans="4:17" hidden="1" outlineLevel="2" x14ac:dyDescent="0.25">
      <c r="D1274" s="74" t="s">
        <v>1101</v>
      </c>
      <c r="E1274" s="74"/>
      <c r="F1274" s="74"/>
      <c r="G1274" s="74"/>
      <c r="H1274" s="75"/>
      <c r="I1274" s="76"/>
      <c r="J1274" s="78">
        <f>HYPERLINK("#Структура!E1492",Структура!E1492)</f>
        <v>8</v>
      </c>
      <c r="K1274" s="114">
        <f>HYPERLINK("#Структура!G1492",Структура!G1492)</f>
        <v>0.11360000000000001</v>
      </c>
      <c r="L1274" s="120">
        <f>HYPERLINK("#Покупные_изделия!D97",Покупные_изделия!D97)</f>
        <v>16.5</v>
      </c>
      <c r="M1274" s="76">
        <f t="shared" si="49"/>
        <v>132</v>
      </c>
      <c r="N1274" s="77"/>
      <c r="O1274" s="77"/>
      <c r="P1274" s="76"/>
      <c r="Q1274" s="76"/>
    </row>
    <row r="1275" spans="4:17" hidden="1" outlineLevel="2" x14ac:dyDescent="0.25">
      <c r="D1275" s="74" t="s">
        <v>1102</v>
      </c>
      <c r="E1275" s="74"/>
      <c r="F1275" s="74"/>
      <c r="G1275" s="74"/>
      <c r="H1275" s="75"/>
      <c r="I1275" s="76"/>
      <c r="J1275" s="78">
        <f>HYPERLINK("#Структура!E1493",Структура!E1493)</f>
        <v>12</v>
      </c>
      <c r="K1275" s="114">
        <f>HYPERLINK("#Структура!G1493",Структура!G1493)</f>
        <v>3.2910000000000002E-2</v>
      </c>
      <c r="L1275" s="120">
        <f>HYPERLINK("#Покупные_изделия!D112",Покупные_изделия!D112)</f>
        <v>5.4959652000000006</v>
      </c>
      <c r="M1275" s="76">
        <f t="shared" si="49"/>
        <v>65.951582400000007</v>
      </c>
      <c r="N1275" s="77"/>
      <c r="O1275" s="77"/>
      <c r="P1275" s="76"/>
      <c r="Q1275" s="76"/>
    </row>
    <row r="1276" spans="4:17" hidden="1" outlineLevel="2" x14ac:dyDescent="0.25">
      <c r="D1276" s="74" t="s">
        <v>1103</v>
      </c>
      <c r="E1276" s="74"/>
      <c r="F1276" s="74"/>
      <c r="G1276" s="74"/>
      <c r="H1276" s="75"/>
      <c r="I1276" s="76"/>
      <c r="J1276" s="78">
        <f>HYPERLINK("#Структура!E1494",Структура!E1494)</f>
        <v>1</v>
      </c>
      <c r="K1276" s="114">
        <f>HYPERLINK("#Структура!G1494",Структура!G1494)</f>
        <v>4.1200000000000004E-3</v>
      </c>
      <c r="L1276" s="120">
        <f>HYPERLINK("#Покупные_изделия!D122",Покупные_изделия!D122)</f>
        <v>5.1348000000000003</v>
      </c>
      <c r="M1276" s="76">
        <f t="shared" si="49"/>
        <v>5.1348000000000003</v>
      </c>
      <c r="N1276" s="77"/>
      <c r="O1276" s="77"/>
      <c r="P1276" s="76"/>
      <c r="Q1276" s="76"/>
    </row>
    <row r="1277" spans="4:17" hidden="1" outlineLevel="2" x14ac:dyDescent="0.25">
      <c r="D1277" s="74" t="s">
        <v>745</v>
      </c>
      <c r="E1277" s="74"/>
      <c r="F1277" s="74"/>
      <c r="G1277" s="74"/>
      <c r="H1277" s="75"/>
      <c r="I1277" s="76"/>
      <c r="J1277" s="78">
        <f>HYPERLINK("#Структура!E1495",Структура!E1495)</f>
        <v>4</v>
      </c>
      <c r="K1277" s="114">
        <f>HYPERLINK("#Структура!G1495",Структура!G1495)</f>
        <v>1.022E-2</v>
      </c>
      <c r="L1277" s="120">
        <f>HYPERLINK("#Покупные_изделия!D174",Покупные_изделия!D174)</f>
        <v>4.7160000000000002</v>
      </c>
      <c r="M1277" s="76">
        <f t="shared" si="49"/>
        <v>18.864000000000001</v>
      </c>
      <c r="N1277" s="77"/>
      <c r="O1277" s="77"/>
      <c r="P1277" s="76"/>
      <c r="Q1277" s="76"/>
    </row>
    <row r="1278" spans="4:17" hidden="1" outlineLevel="2" x14ac:dyDescent="0.25">
      <c r="D1278" s="74" t="s">
        <v>734</v>
      </c>
      <c r="E1278" s="74"/>
      <c r="F1278" s="74"/>
      <c r="G1278" s="74"/>
      <c r="H1278" s="75"/>
      <c r="I1278" s="76"/>
      <c r="J1278" s="78">
        <f>HYPERLINK("#Структура!E1496",Структура!E1496)</f>
        <v>8</v>
      </c>
      <c r="K1278" s="114">
        <f>HYPERLINK("#Структура!G1496",Структура!G1496)</f>
        <v>4.65E-2</v>
      </c>
      <c r="L1278" s="120">
        <f>HYPERLINK("#Покупные_изделия!D165",Покупные_изделия!D165)</f>
        <v>14.226544799999999</v>
      </c>
      <c r="M1278" s="76">
        <f t="shared" si="49"/>
        <v>113.81235839999999</v>
      </c>
      <c r="N1278" s="77"/>
      <c r="O1278" s="77"/>
      <c r="P1278" s="76"/>
      <c r="Q1278" s="76"/>
    </row>
    <row r="1279" spans="4:17" hidden="1" outlineLevel="2" x14ac:dyDescent="0.25">
      <c r="D1279" s="74" t="s">
        <v>871</v>
      </c>
      <c r="E1279" s="74"/>
      <c r="F1279" s="74"/>
      <c r="G1279" s="74"/>
      <c r="H1279" s="75"/>
      <c r="I1279" s="76"/>
      <c r="J1279" s="78">
        <f>HYPERLINK("#Структура!E1497",Структура!E1497)</f>
        <v>1</v>
      </c>
      <c r="K1279" s="114">
        <f>HYPERLINK("#Структура!G1497",Структура!G1497)</f>
        <v>3.3E-3</v>
      </c>
      <c r="L1279" s="120">
        <f>HYPERLINK("#Покупные_изделия!D167",Покупные_изделия!D167)</f>
        <v>2.0654400000000002</v>
      </c>
      <c r="M1279" s="76">
        <f t="shared" si="49"/>
        <v>2.0654400000000002</v>
      </c>
      <c r="N1279" s="77"/>
      <c r="O1279" s="77"/>
      <c r="P1279" s="76"/>
      <c r="Q1279" s="76"/>
    </row>
    <row r="1280" spans="4:17" hidden="1" outlineLevel="2" x14ac:dyDescent="0.25">
      <c r="D1280" s="74" t="s">
        <v>625</v>
      </c>
      <c r="E1280" s="74"/>
      <c r="F1280" s="74"/>
      <c r="G1280" s="74"/>
      <c r="H1280" s="75"/>
      <c r="I1280" s="76"/>
      <c r="J1280" s="78">
        <f>HYPERLINK("#Структура!E1498",Структура!E1498)</f>
        <v>190</v>
      </c>
      <c r="K1280" s="114">
        <f>HYPERLINK("#Структура!G1498",Структура!G1498)</f>
        <v>7.1399999999999996E-3</v>
      </c>
      <c r="L1280" s="120">
        <f>HYPERLINK("#Покупные_изделия!D168",Покупные_изделия!D168)</f>
        <v>1.9715672368421051</v>
      </c>
      <c r="M1280" s="76">
        <f t="shared" si="49"/>
        <v>374.59777499999996</v>
      </c>
      <c r="N1280" s="77"/>
      <c r="O1280" s="77"/>
      <c r="P1280" s="76"/>
      <c r="Q1280" s="76"/>
    </row>
    <row r="1281" spans="3:17" hidden="1" outlineLevel="2" x14ac:dyDescent="0.25">
      <c r="D1281" s="74" t="s">
        <v>767</v>
      </c>
      <c r="E1281" s="74"/>
      <c r="F1281" s="74"/>
      <c r="G1281" s="74"/>
      <c r="H1281" s="75"/>
      <c r="I1281" s="76"/>
      <c r="J1281" s="78">
        <f>HYPERLINK("#Структура!E1499",Структура!E1499)</f>
        <v>4</v>
      </c>
      <c r="K1281" s="114">
        <f>HYPERLINK("#Структура!G1499",Структура!G1499)</f>
        <v>2.0100000000000001E-3</v>
      </c>
      <c r="L1281" s="120">
        <f>HYPERLINK("#Покупные_изделия!D522",Покупные_изделия!D522)</f>
        <v>1.6500000000000001</v>
      </c>
      <c r="M1281" s="76">
        <f t="shared" si="49"/>
        <v>6.6000000000000005</v>
      </c>
      <c r="N1281" s="77"/>
      <c r="O1281" s="77"/>
      <c r="P1281" s="76"/>
      <c r="Q1281" s="76"/>
    </row>
    <row r="1282" spans="3:17" hidden="1" outlineLevel="2" x14ac:dyDescent="0.25">
      <c r="D1282" s="74" t="s">
        <v>662</v>
      </c>
      <c r="E1282" s="74"/>
      <c r="F1282" s="74"/>
      <c r="G1282" s="74"/>
      <c r="H1282" s="75"/>
      <c r="I1282" s="76"/>
      <c r="J1282" s="78">
        <f>HYPERLINK("#Структура!E1500",Структура!E1500)</f>
        <v>8</v>
      </c>
      <c r="K1282" s="114">
        <f>HYPERLINK("#Структура!G1500",Структура!G1500)</f>
        <v>1.098E-2</v>
      </c>
      <c r="L1282" s="120">
        <f>HYPERLINK("#Покупные_изделия!D541",Покупные_изделия!D541)</f>
        <v>1.713367999999998</v>
      </c>
      <c r="M1282" s="76">
        <f t="shared" si="49"/>
        <v>13.706943999999984</v>
      </c>
      <c r="N1282" s="77"/>
      <c r="O1282" s="77"/>
      <c r="P1282" s="76"/>
      <c r="Q1282" s="76"/>
    </row>
    <row r="1283" spans="3:17" hidden="1" outlineLevel="2" x14ac:dyDescent="0.25">
      <c r="D1283" s="74" t="s">
        <v>737</v>
      </c>
      <c r="E1283" s="74"/>
      <c r="F1283" s="74"/>
      <c r="G1283" s="74"/>
      <c r="H1283" s="75"/>
      <c r="I1283" s="76"/>
      <c r="J1283" s="78">
        <f>HYPERLINK("#Структура!E1501",Структура!E1501)</f>
        <v>24</v>
      </c>
      <c r="K1283" s="114">
        <f>HYPERLINK("#Структура!G1501",Структура!G1501)</f>
        <v>1.73E-3</v>
      </c>
      <c r="L1283" s="120">
        <f>HYPERLINK("#Покупные_изделия!D547",Покупные_изделия!D547)</f>
        <v>1.0415213493975914</v>
      </c>
      <c r="M1283" s="76">
        <f t="shared" si="49"/>
        <v>24.996512385542196</v>
      </c>
      <c r="N1283" s="77"/>
      <c r="O1283" s="77"/>
      <c r="P1283" s="76"/>
      <c r="Q1283" s="76"/>
    </row>
    <row r="1284" spans="3:17" hidden="1" outlineLevel="2" x14ac:dyDescent="0.25">
      <c r="D1284" s="74" t="s">
        <v>5</v>
      </c>
      <c r="E1284" s="74"/>
      <c r="F1284" s="74"/>
      <c r="G1284" s="74"/>
      <c r="H1284" s="75"/>
      <c r="I1284" s="76"/>
      <c r="J1284" s="78">
        <f>HYPERLINK("#Структура!E1502",Структура!E1502)</f>
        <v>1</v>
      </c>
      <c r="K1284" s="114">
        <f>HYPERLINK("#Структура!G1502",Структура!G1502)</f>
        <v>62</v>
      </c>
      <c r="L1284" s="120">
        <f>HYPERLINK("#Покупные_изделия!D7",Покупные_изделия!D7)</f>
        <v>14650.008</v>
      </c>
      <c r="M1284" s="76">
        <f t="shared" si="49"/>
        <v>14650.008</v>
      </c>
      <c r="N1284" s="77"/>
      <c r="O1284" s="77"/>
      <c r="P1284" s="76"/>
      <c r="Q1284" s="76"/>
    </row>
    <row r="1285" spans="3:17" hidden="1" outlineLevel="2" x14ac:dyDescent="0.25">
      <c r="D1285" s="74" t="s">
        <v>21</v>
      </c>
      <c r="E1285" s="74"/>
      <c r="F1285" s="74"/>
      <c r="G1285" s="74"/>
      <c r="H1285" s="75"/>
      <c r="I1285" s="76"/>
      <c r="J1285" s="78">
        <f>HYPERLINK("#Структура!E1503",Структура!E1503)</f>
        <v>1</v>
      </c>
      <c r="K1285" s="114">
        <f>HYPERLINK("#Структура!G1503",Структура!G1503)</f>
        <v>0.23000999999999999</v>
      </c>
      <c r="L1285" s="120">
        <f>HYPERLINK("#Покупные_изделия!D30",Покупные_изделия!D30)</f>
        <v>366.9864</v>
      </c>
      <c r="M1285" s="76">
        <f t="shared" si="49"/>
        <v>366.9864</v>
      </c>
      <c r="N1285" s="77"/>
      <c r="O1285" s="77"/>
      <c r="P1285" s="76"/>
      <c r="Q1285" s="76"/>
    </row>
    <row r="1286" spans="3:17" hidden="1" outlineLevel="2" x14ac:dyDescent="0.25">
      <c r="D1286" s="74" t="s">
        <v>24</v>
      </c>
      <c r="E1286" s="74"/>
      <c r="F1286" s="74"/>
      <c r="G1286" s="74"/>
      <c r="H1286" s="75"/>
      <c r="I1286" s="76"/>
      <c r="J1286" s="78">
        <f>HYPERLINK("#Структура!E1504",Структура!E1504)</f>
        <v>1</v>
      </c>
      <c r="K1286" s="114">
        <f>HYPERLINK("#Структура!G1504",Структура!G1504)</f>
        <v>0.96411999999999998</v>
      </c>
      <c r="L1286" s="120">
        <f>HYPERLINK("#Покупные_изделия!D33",Покупные_изделия!D33)</f>
        <v>730.76400000000001</v>
      </c>
      <c r="M1286" s="76">
        <f t="shared" si="49"/>
        <v>730.76400000000001</v>
      </c>
      <c r="N1286" s="77"/>
      <c r="O1286" s="77"/>
      <c r="P1286" s="76"/>
      <c r="Q1286" s="76"/>
    </row>
    <row r="1287" spans="3:17" hidden="1" outlineLevel="2" x14ac:dyDescent="0.25">
      <c r="D1287" s="74" t="s">
        <v>27</v>
      </c>
      <c r="E1287" s="74"/>
      <c r="F1287" s="74"/>
      <c r="G1287" s="74"/>
      <c r="H1287" s="75"/>
      <c r="I1287" s="76"/>
      <c r="J1287" s="78">
        <f>HYPERLINK("#Структура!E1505",Структура!E1505)</f>
        <v>1</v>
      </c>
      <c r="K1287" s="114">
        <f>HYPERLINK("#Структура!G1505",Структура!G1505)</f>
        <v>2.01275</v>
      </c>
      <c r="L1287" s="120">
        <f>HYPERLINK("#Покупные_изделия!D36",Покупные_изделия!D36)</f>
        <v>1030.2336</v>
      </c>
      <c r="M1287" s="76">
        <f t="shared" si="49"/>
        <v>1030.2336</v>
      </c>
      <c r="N1287" s="77"/>
      <c r="O1287" s="77"/>
      <c r="P1287" s="76"/>
      <c r="Q1287" s="76"/>
    </row>
    <row r="1288" spans="3:17" hidden="1" outlineLevel="2" x14ac:dyDescent="0.25">
      <c r="D1288" s="74" t="s">
        <v>30</v>
      </c>
      <c r="E1288" s="74"/>
      <c r="F1288" s="74"/>
      <c r="G1288" s="74"/>
      <c r="H1288" s="75"/>
      <c r="I1288" s="76"/>
      <c r="J1288" s="78">
        <f>HYPERLINK("#Структура!E1506",Структура!E1506)</f>
        <v>1</v>
      </c>
      <c r="K1288" s="114">
        <f>HYPERLINK("#Структура!G1506",Структура!G1506)</f>
        <v>11.24105</v>
      </c>
      <c r="L1288" s="120">
        <f>HYPERLINK("#Покупные_изделия!D39",Покупные_изделия!D39)</f>
        <v>7424.8944000000001</v>
      </c>
      <c r="M1288" s="76">
        <f t="shared" si="49"/>
        <v>7424.8944000000001</v>
      </c>
      <c r="N1288" s="77"/>
      <c r="O1288" s="77"/>
      <c r="P1288" s="76"/>
      <c r="Q1288" s="76"/>
    </row>
    <row r="1289" spans="3:17" hidden="1" outlineLevel="2" x14ac:dyDescent="0.25">
      <c r="D1289" s="74" t="s">
        <v>34</v>
      </c>
      <c r="E1289" s="74"/>
      <c r="F1289" s="74"/>
      <c r="G1289" s="74"/>
      <c r="H1289" s="75"/>
      <c r="I1289" s="76"/>
      <c r="J1289" s="78">
        <f>HYPERLINK("#Структура!E1507",Структура!E1507)</f>
        <v>2</v>
      </c>
      <c r="K1289" s="114">
        <f>HYPERLINK("#Структура!G1507",Структура!G1507)</f>
        <v>0.26</v>
      </c>
      <c r="L1289" s="120">
        <f>HYPERLINK("#Покупные_изделия!D45",Покупные_изделия!D45)</f>
        <v>685.44960000000003</v>
      </c>
      <c r="M1289" s="76">
        <f t="shared" si="49"/>
        <v>1370.8992000000001</v>
      </c>
      <c r="N1289" s="77"/>
      <c r="O1289" s="77"/>
      <c r="P1289" s="76"/>
      <c r="Q1289" s="76"/>
    </row>
    <row r="1290" spans="3:17" hidden="1" outlineLevel="2" x14ac:dyDescent="0.25">
      <c r="D1290" s="74" t="s">
        <v>39</v>
      </c>
      <c r="E1290" s="74"/>
      <c r="F1290" s="74"/>
      <c r="G1290" s="74"/>
      <c r="H1290" s="75"/>
      <c r="I1290" s="76"/>
      <c r="J1290" s="78">
        <f>HYPERLINK("#Структура!E1508",Структура!E1508)</f>
        <v>2</v>
      </c>
      <c r="K1290" s="114">
        <f>HYPERLINK("#Структура!G1508",Структура!G1508)</f>
        <v>5.2294099999999997</v>
      </c>
      <c r="L1290" s="120">
        <f>HYPERLINK("#Покупные_изделия!D50",Покупные_изделия!D50)</f>
        <v>2337.0072000000005</v>
      </c>
      <c r="M1290" s="76">
        <f t="shared" si="49"/>
        <v>4674.0144000000009</v>
      </c>
      <c r="N1290" s="77"/>
      <c r="O1290" s="77"/>
      <c r="P1290" s="76"/>
      <c r="Q1290" s="76"/>
    </row>
    <row r="1291" spans="3:17" hidden="1" outlineLevel="2" x14ac:dyDescent="0.25">
      <c r="D1291" s="74" t="s">
        <v>135</v>
      </c>
      <c r="E1291" s="74"/>
      <c r="F1291" s="74"/>
      <c r="G1291" s="74"/>
      <c r="H1291" s="75"/>
      <c r="I1291" s="76"/>
      <c r="J1291" s="78">
        <f>HYPERLINK("#Структура!E1509",Структура!E1509)</f>
        <v>12</v>
      </c>
      <c r="K1291" s="114">
        <f>HYPERLINK("#Структура!G1509",Структура!G1509)</f>
        <v>4.96E-3</v>
      </c>
      <c r="L1291" s="120">
        <f>HYPERLINK("#Покупные_изделия!D330",Покупные_изделия!D330)</f>
        <v>111.80400000000002</v>
      </c>
      <c r="M1291" s="76">
        <f t="shared" si="49"/>
        <v>1341.6480000000001</v>
      </c>
      <c r="N1291" s="77"/>
      <c r="O1291" s="77"/>
      <c r="P1291" s="76"/>
      <c r="Q1291" s="76"/>
    </row>
    <row r="1292" spans="3:17" hidden="1" outlineLevel="1" collapsed="1" x14ac:dyDescent="0.25">
      <c r="C1292" s="96" t="s">
        <v>1156</v>
      </c>
      <c r="D1292" s="91"/>
      <c r="E1292" s="91"/>
      <c r="F1292" s="91"/>
      <c r="G1292" s="91"/>
      <c r="H1292" s="92"/>
      <c r="I1292" s="93"/>
      <c r="J1292" s="95">
        <f>HYPERLINK("#Структура!E3252",Структура!E3252)</f>
        <v>7</v>
      </c>
      <c r="K1292" s="116">
        <f>HYPERLINK("#Структура!G3252",Структура!G3252)</f>
        <v>180.69044</v>
      </c>
      <c r="L1292" s="93">
        <f>M1292/J1292</f>
        <v>56965.070829642107</v>
      </c>
      <c r="M1292" s="93">
        <f>SUMIF(D1293:D1333,"*",M1293:M1333)*J1292</f>
        <v>398755.49580749474</v>
      </c>
      <c r="N1292" s="125">
        <f>HYPERLINK("#Трудозатраты!B464",Трудозатраты!B464+SUMIF(D1293:D1333,"*",O1293:O1333))</f>
        <v>753.2</v>
      </c>
      <c r="O1292" s="94">
        <f>N1292*J1292</f>
        <v>5272.4000000000005</v>
      </c>
      <c r="P1292" s="93">
        <f>O1292/60*(1+запас_труд)*стоимость_трудочаса</f>
        <v>206502.33333333337</v>
      </c>
      <c r="Q1292" s="130">
        <f>M1292*(1+наценка_покупное)+P1292</f>
        <v>685008.92830232705</v>
      </c>
    </row>
    <row r="1293" spans="3:17" hidden="1" outlineLevel="2" collapsed="1" x14ac:dyDescent="0.25">
      <c r="D1293" s="97" t="s">
        <v>1155</v>
      </c>
      <c r="E1293" s="98"/>
      <c r="F1293" s="98"/>
      <c r="G1293" s="98"/>
      <c r="H1293" s="99"/>
      <c r="I1293" s="100"/>
      <c r="J1293" s="102">
        <f>HYPERLINK("#Структура!E1725",Структура!E1725)</f>
        <v>1</v>
      </c>
      <c r="K1293" s="112">
        <f>HYPERLINK("#Структура!G1725",Структура!G1725)</f>
        <v>20.203959999999999</v>
      </c>
      <c r="L1293" s="100">
        <f>M1293/J1293</f>
        <v>4237.5426927999997</v>
      </c>
      <c r="M1293" s="100">
        <f>SUMIF(E1294:E1316,"*",M1294:M1316)*J1293</f>
        <v>4237.5426927999997</v>
      </c>
      <c r="N1293" s="122">
        <f>HYPERLINK("#Трудозатраты!B472",Трудозатраты!B472+SUMIF(E1294:E1316,"*",O1294:O1316))</f>
        <v>123.7</v>
      </c>
      <c r="O1293" s="101">
        <f>N1293*J1293</f>
        <v>123.7</v>
      </c>
      <c r="P1293" s="100">
        <f>O1293/60*(1+запас_труд)*стоимость_трудочаса</f>
        <v>4844.9166666666661</v>
      </c>
      <c r="Q1293" s="127">
        <f>M1293*(1+наценка_покупное)+P1293</f>
        <v>9929.9678980266654</v>
      </c>
    </row>
    <row r="1294" spans="3:17" hidden="1" outlineLevel="3" collapsed="1" x14ac:dyDescent="0.25">
      <c r="E1294" s="97" t="s">
        <v>1164</v>
      </c>
      <c r="F1294" s="98"/>
      <c r="G1294" s="98"/>
      <c r="H1294" s="99"/>
      <c r="I1294" s="100"/>
      <c r="J1294" s="102">
        <f>HYPERLINK("#Структура!E1743",Структура!E1743)</f>
        <v>1</v>
      </c>
      <c r="K1294" s="112">
        <f>HYPERLINK("#Структура!G1743",Структура!G1743)</f>
        <v>9.0946499999999997</v>
      </c>
      <c r="L1294" s="100">
        <f>M1294/J1294</f>
        <v>1829.8175999999999</v>
      </c>
      <c r="M1294" s="100">
        <f>SUMIF(F1295:F1299,"*",M1295:M1299)*J1294</f>
        <v>1829.8175999999999</v>
      </c>
      <c r="N1294" s="122">
        <f>HYPERLINK("#Трудозатраты!B473",Трудозатраты!B473+SUMIF(F1295:F1299,"*",O1295:O1299))</f>
        <v>66</v>
      </c>
      <c r="O1294" s="101">
        <f>N1294*J1294</f>
        <v>66</v>
      </c>
      <c r="P1294" s="100">
        <f>O1294/60*(1+запас_труд)*стоимость_трудочаса</f>
        <v>2585</v>
      </c>
      <c r="Q1294" s="127">
        <f>M1294*(1+наценка_покупное)+P1294</f>
        <v>4780.7811199999996</v>
      </c>
    </row>
    <row r="1295" spans="3:17" hidden="1" outlineLevel="4" collapsed="1" x14ac:dyDescent="0.25">
      <c r="F1295" s="85" t="s">
        <v>1166</v>
      </c>
      <c r="G1295" s="86"/>
      <c r="H1295" s="87"/>
      <c r="I1295" s="88"/>
      <c r="J1295" s="90">
        <f>HYPERLINK("#Структура!E1745",Структура!E1745)</f>
        <v>2</v>
      </c>
      <c r="K1295" s="113">
        <f>HYPERLINK("#Структура!G1745",Структура!G1745)</f>
        <v>2.0538599999999998</v>
      </c>
      <c r="L1295" s="88">
        <f>M1295/J1295</f>
        <v>423.46719999999999</v>
      </c>
      <c r="M1295" s="88">
        <f>SUMIF(G1296,"*",M1296)*J1295</f>
        <v>846.93439999999998</v>
      </c>
      <c r="N1295" s="123">
        <f>HYPERLINK("#Трудозатраты!B474",Трудозатраты!B474+SUMIF(G1296,"*",O1296))</f>
        <v>20.5</v>
      </c>
      <c r="O1295" s="89">
        <f>N1295*J1295</f>
        <v>41</v>
      </c>
      <c r="P1295" s="88">
        <f>O1295/60*(1+запас_труд)*стоимость_трудочаса</f>
        <v>1605.8333333333333</v>
      </c>
      <c r="Q1295" s="128">
        <f>M1295*(1+наценка_покупное)+P1295</f>
        <v>2622.1546133333331</v>
      </c>
    </row>
    <row r="1296" spans="3:17" hidden="1" outlineLevel="5" x14ac:dyDescent="0.25">
      <c r="G1296" s="74" t="s">
        <v>128</v>
      </c>
      <c r="H1296" s="75"/>
      <c r="I1296" s="76"/>
      <c r="J1296" s="78">
        <f>HYPERLINK("#Структура!E1748",Структура!E1748)</f>
        <v>2.6466699999999999</v>
      </c>
      <c r="K1296" s="114" t="str">
        <f>HYPERLINK("#Структура!G1748","")</f>
        <v/>
      </c>
      <c r="L1296" s="120">
        <f>HYPERLINK("#Покупные_изделия!D303",Покупные_изделия!D303)</f>
        <v>160</v>
      </c>
      <c r="M1296" s="76">
        <f>J1296*L1296</f>
        <v>423.46719999999999</v>
      </c>
      <c r="N1296" s="77"/>
      <c r="O1296" s="77"/>
      <c r="P1296" s="76"/>
      <c r="Q1296" s="76"/>
    </row>
    <row r="1297" spans="5:17" hidden="1" outlineLevel="4" collapsed="1" x14ac:dyDescent="0.25">
      <c r="F1297" s="84" t="s">
        <v>1167</v>
      </c>
      <c r="G1297" s="79"/>
      <c r="H1297" s="80"/>
      <c r="I1297" s="81"/>
      <c r="J1297" s="83">
        <f>HYPERLINK("#Структура!E1746",Структура!E1746)</f>
        <v>2</v>
      </c>
      <c r="K1297" s="115">
        <f>HYPERLINK("#Структура!G1746",Структура!G1746)</f>
        <v>2.4700199999999999</v>
      </c>
      <c r="L1297" s="81">
        <f>M1297/J1297</f>
        <v>473.12</v>
      </c>
      <c r="M1297" s="81">
        <f>SUMIF(G1298,"*",M1298)*J1297</f>
        <v>946.24</v>
      </c>
      <c r="N1297" s="124">
        <f>HYPERLINK("#Трудозатраты!B475",Трудозатраты!B475+SUMIF(G1298,"*",O1298))</f>
        <v>10</v>
      </c>
      <c r="O1297" s="82">
        <f>N1297*J1297</f>
        <v>20</v>
      </c>
      <c r="P1297" s="81">
        <f>O1297/60*(1+запас_труд)*стоимость_трудочаса</f>
        <v>783.33333333333326</v>
      </c>
      <c r="Q1297" s="129">
        <f>M1297*(1+наценка_покупное)+P1297</f>
        <v>1918.8213333333333</v>
      </c>
    </row>
    <row r="1298" spans="5:17" hidden="1" outlineLevel="5" x14ac:dyDescent="0.25">
      <c r="G1298" s="74" t="s">
        <v>131</v>
      </c>
      <c r="H1298" s="75"/>
      <c r="I1298" s="76"/>
      <c r="J1298" s="78">
        <f>HYPERLINK("#Структура!E1749",Структура!E1749)</f>
        <v>2.9569999999999999</v>
      </c>
      <c r="K1298" s="114" t="str">
        <f>HYPERLINK("#Структура!G1749","")</f>
        <v/>
      </c>
      <c r="L1298" s="120">
        <f>HYPERLINK("#Покупные_изделия!D306",Покупные_изделия!D306)</f>
        <v>160</v>
      </c>
      <c r="M1298" s="76">
        <f>J1298*L1298</f>
        <v>473.12</v>
      </c>
      <c r="N1298" s="77"/>
      <c r="O1298" s="77"/>
      <c r="P1298" s="76"/>
      <c r="Q1298" s="76"/>
    </row>
    <row r="1299" spans="5:17" hidden="1" outlineLevel="4" x14ac:dyDescent="0.25">
      <c r="F1299" s="74" t="s">
        <v>1168</v>
      </c>
      <c r="G1299" s="74"/>
      <c r="H1299" s="75"/>
      <c r="I1299" s="76"/>
      <c r="J1299" s="78">
        <f>HYPERLINK("#Структура!E1747",Структура!E1747)</f>
        <v>8</v>
      </c>
      <c r="K1299" s="114">
        <f>HYPERLINK("#Структура!G1747",Структура!G1747)</f>
        <v>4.15E-3</v>
      </c>
      <c r="L1299" s="120">
        <f>HYPERLINK("#Покупные_изделия!D206",Покупные_изделия!D206)</f>
        <v>4.5804</v>
      </c>
      <c r="M1299" s="76">
        <f>J1299*L1299</f>
        <v>36.6432</v>
      </c>
      <c r="N1299" s="77"/>
      <c r="O1299" s="77"/>
      <c r="P1299" s="76"/>
      <c r="Q1299" s="76"/>
    </row>
    <row r="1300" spans="5:17" hidden="1" outlineLevel="3" collapsed="1" x14ac:dyDescent="0.25">
      <c r="E1300" s="96" t="s">
        <v>1165</v>
      </c>
      <c r="F1300" s="91"/>
      <c r="G1300" s="91"/>
      <c r="H1300" s="92"/>
      <c r="I1300" s="93"/>
      <c r="J1300" s="95">
        <f>HYPERLINK("#Структура!E1744",Структура!E1744)</f>
        <v>1</v>
      </c>
      <c r="K1300" s="116">
        <f>HYPERLINK("#Структура!G1744",Структура!G1744)</f>
        <v>11.109310000000001</v>
      </c>
      <c r="L1300" s="93">
        <f>M1300/J1300</f>
        <v>2407.7250928000003</v>
      </c>
      <c r="M1300" s="93">
        <f>SUMIF(F1301:F1316,"*",M1301:M1316)*J1300</f>
        <v>2407.7250928000003</v>
      </c>
      <c r="N1300" s="125">
        <f>HYPERLINK("#Трудозатраты!B476",Трудозатраты!B476+SUMIF(F1301:F1316,"*",O1301:O1316))</f>
        <v>52.7</v>
      </c>
      <c r="O1300" s="94">
        <f>N1300*J1300</f>
        <v>52.7</v>
      </c>
      <c r="P1300" s="93">
        <f>O1300/60*(1+запас_труд)*стоимость_трудочаса</f>
        <v>2064.0833333333335</v>
      </c>
      <c r="Q1300" s="130">
        <f>M1300*(1+наценка_покупное)+P1300</f>
        <v>4953.3534446933336</v>
      </c>
    </row>
    <row r="1301" spans="5:17" hidden="1" outlineLevel="4" collapsed="1" x14ac:dyDescent="0.25">
      <c r="F1301" s="97" t="s">
        <v>1169</v>
      </c>
      <c r="G1301" s="98"/>
      <c r="H1301" s="99"/>
      <c r="I1301" s="100"/>
      <c r="J1301" s="102">
        <f>HYPERLINK("#Структура!E1750",Структура!E1750)</f>
        <v>2</v>
      </c>
      <c r="K1301" s="112">
        <f>HYPERLINK("#Структура!G1750",Структура!G1750)</f>
        <v>0.35616999999999999</v>
      </c>
      <c r="L1301" s="100">
        <f>M1301/J1301</f>
        <v>61.6917464</v>
      </c>
      <c r="M1301" s="100">
        <f>SUMIF(G1302:G1311,"*",M1302:M1311)*J1301</f>
        <v>123.3834928</v>
      </c>
      <c r="N1301" s="122">
        <f>HYPERLINK("#Трудозатраты!B478",Трудозатраты!B478+SUMIF(G1302:G1311,"*",O1302:O1311))</f>
        <v>11.6</v>
      </c>
      <c r="O1301" s="101">
        <f>N1301*J1301</f>
        <v>23.2</v>
      </c>
      <c r="P1301" s="100">
        <f>O1301/60*(1+запас_труд)*стоимость_трудочаса</f>
        <v>908.66666666666663</v>
      </c>
      <c r="Q1301" s="127">
        <f>M1301*(1+наценка_покупное)+P1301</f>
        <v>1056.7268580266666</v>
      </c>
    </row>
    <row r="1302" spans="5:17" hidden="1" outlineLevel="5" collapsed="1" x14ac:dyDescent="0.25">
      <c r="G1302" s="85" t="s">
        <v>1172</v>
      </c>
      <c r="H1302" s="87"/>
      <c r="I1302" s="88"/>
      <c r="J1302" s="90">
        <f>HYPERLINK("#Структура!E1756",Структура!E1756)</f>
        <v>1</v>
      </c>
      <c r="K1302" s="113">
        <f>HYPERLINK("#Структура!G1756",Структура!G1756)</f>
        <v>0.16875000000000001</v>
      </c>
      <c r="L1302" s="88">
        <f>M1302/J1302</f>
        <v>20</v>
      </c>
      <c r="M1302" s="88">
        <f>SUMIF(H1303,"*",M1303)*J1302</f>
        <v>20</v>
      </c>
      <c r="N1302" s="123">
        <f>HYPERLINK("#Трудозатраты!B479",Трудозатраты!B479+SUMIF(H1303,"*",O1303))</f>
        <v>7.5</v>
      </c>
      <c r="O1302" s="89">
        <f>N1302*J1302</f>
        <v>7.5</v>
      </c>
      <c r="P1302" s="88">
        <f>O1302/60*(1+запас_труд)*стоимость_трудочаса</f>
        <v>293.75</v>
      </c>
      <c r="Q1302" s="128">
        <f>M1302*(1+наценка_покупное)+P1302</f>
        <v>317.75</v>
      </c>
    </row>
    <row r="1303" spans="5:17" hidden="1" outlineLevel="6" x14ac:dyDescent="0.25">
      <c r="H1303" s="75" t="s">
        <v>75</v>
      </c>
      <c r="I1303" s="76"/>
      <c r="J1303" s="78">
        <f>HYPERLINK("#Структура!E1764",Структура!E1764)</f>
        <v>0.2</v>
      </c>
      <c r="K1303" s="114" t="str">
        <f>HYPERLINK("#Структура!G1764","")</f>
        <v/>
      </c>
      <c r="L1303" s="120">
        <f>HYPERLINK("#Покупные_изделия!D244",Покупные_изделия!D244)</f>
        <v>100</v>
      </c>
      <c r="M1303" s="76">
        <f>J1303*L1303</f>
        <v>20</v>
      </c>
      <c r="N1303" s="77"/>
      <c r="O1303" s="77"/>
      <c r="P1303" s="76"/>
      <c r="Q1303" s="76"/>
    </row>
    <row r="1304" spans="5:17" hidden="1" outlineLevel="5" collapsed="1" x14ac:dyDescent="0.25">
      <c r="G1304" s="84" t="s">
        <v>1173</v>
      </c>
      <c r="H1304" s="80"/>
      <c r="I1304" s="81"/>
      <c r="J1304" s="83">
        <f>HYPERLINK("#Структура!E1757",Структура!E1757)</f>
        <v>1</v>
      </c>
      <c r="K1304" s="115">
        <f>HYPERLINK("#Структура!G1757",Структура!G1757)</f>
        <v>0.18743000000000001</v>
      </c>
      <c r="L1304" s="81">
        <f>M1304/J1304</f>
        <v>35.014800000000001</v>
      </c>
      <c r="M1304" s="81">
        <f>SUMIF(H1305,"*",M1305)*J1304</f>
        <v>35.014800000000001</v>
      </c>
      <c r="N1304" s="124">
        <f>HYPERLINK("#Трудозатраты!B480",Трудозатраты!B480+SUMIF(H1305,"*",O1305))</f>
        <v>0.5</v>
      </c>
      <c r="O1304" s="82">
        <f>N1304*J1304</f>
        <v>0.5</v>
      </c>
      <c r="P1304" s="81">
        <f>O1304/60*(1+запас_труд)*стоимость_трудочаса</f>
        <v>19.583333333333332</v>
      </c>
      <c r="Q1304" s="129">
        <f>M1304*(1+наценка_покупное)+P1304</f>
        <v>61.601093333333338</v>
      </c>
    </row>
    <row r="1305" spans="5:17" hidden="1" outlineLevel="6" x14ac:dyDescent="0.25">
      <c r="H1305" s="75" t="s">
        <v>116</v>
      </c>
      <c r="I1305" s="76"/>
      <c r="J1305" s="78">
        <f>HYPERLINK("#Структура!E1765",Структура!E1765)</f>
        <v>0.29178999999999999</v>
      </c>
      <c r="K1305" s="114" t="str">
        <f>HYPERLINK("#Структура!G1765","")</f>
        <v/>
      </c>
      <c r="L1305" s="120">
        <f>HYPERLINK("#Покупные_изделия!D291",Покупные_изделия!D291)</f>
        <v>120</v>
      </c>
      <c r="M1305" s="76">
        <f t="shared" ref="M1305:M1311" si="50">J1305*L1305</f>
        <v>35.014800000000001</v>
      </c>
      <c r="N1305" s="77"/>
      <c r="O1305" s="77"/>
      <c r="P1305" s="76"/>
      <c r="Q1305" s="76"/>
    </row>
    <row r="1306" spans="5:17" hidden="1" outlineLevel="5" x14ac:dyDescent="0.25">
      <c r="G1306" s="74" t="s">
        <v>44</v>
      </c>
      <c r="H1306" s="75"/>
      <c r="I1306" s="76"/>
      <c r="J1306" s="78">
        <f>HYPERLINK("#Структура!E1758",Структура!E1758)</f>
        <v>7.0000000000000001E-3</v>
      </c>
      <c r="K1306" s="114" t="str">
        <f>HYPERLINK("#Структура!G1758","")</f>
        <v/>
      </c>
      <c r="L1306" s="120">
        <f>HYPERLINK("#Покупные_изделия!D63",Покупные_изделия!D63)</f>
        <v>396.00000000000006</v>
      </c>
      <c r="M1306" s="76">
        <f t="shared" si="50"/>
        <v>2.7720000000000002</v>
      </c>
      <c r="N1306" s="77"/>
      <c r="O1306" s="77"/>
      <c r="P1306" s="76"/>
      <c r="Q1306" s="76"/>
    </row>
    <row r="1307" spans="5:17" hidden="1" outlineLevel="5" x14ac:dyDescent="0.25">
      <c r="G1307" s="74" t="s">
        <v>67</v>
      </c>
      <c r="H1307" s="75"/>
      <c r="I1307" s="76"/>
      <c r="J1307" s="78">
        <f>HYPERLINK("#Структура!E1759",Структура!E1759)</f>
        <v>1.7000000000000001E-2</v>
      </c>
      <c r="K1307" s="114" t="str">
        <f>HYPERLINK("#Структура!G1759","")</f>
        <v/>
      </c>
      <c r="L1307" s="120">
        <f>HYPERLINK("#Покупные_изделия!D203",Покупные_изделия!D203)</f>
        <v>30.003600000000002</v>
      </c>
      <c r="M1307" s="76">
        <f t="shared" si="50"/>
        <v>0.5100612000000001</v>
      </c>
      <c r="N1307" s="77"/>
      <c r="O1307" s="77"/>
      <c r="P1307" s="76"/>
      <c r="Q1307" s="76"/>
    </row>
    <row r="1308" spans="5:17" hidden="1" outlineLevel="5" x14ac:dyDescent="0.25">
      <c r="G1308" s="74" t="s">
        <v>139</v>
      </c>
      <c r="H1308" s="75"/>
      <c r="I1308" s="76"/>
      <c r="J1308" s="78">
        <f>HYPERLINK("#Структура!E1760",Структура!E1760)</f>
        <v>1E-3</v>
      </c>
      <c r="K1308" s="114" t="str">
        <f>HYPERLINK("#Структура!G1760","")</f>
        <v/>
      </c>
      <c r="L1308" s="120">
        <f>HYPERLINK("#Покупные_изделия!D360",Покупные_изделия!D360)</f>
        <v>171.87720000000002</v>
      </c>
      <c r="M1308" s="76">
        <f t="shared" si="50"/>
        <v>0.17187720000000001</v>
      </c>
      <c r="N1308" s="77"/>
      <c r="O1308" s="77"/>
      <c r="P1308" s="76"/>
      <c r="Q1308" s="76"/>
    </row>
    <row r="1309" spans="5:17" hidden="1" outlineLevel="5" x14ac:dyDescent="0.25">
      <c r="G1309" s="74" t="s">
        <v>146</v>
      </c>
      <c r="H1309" s="75"/>
      <c r="I1309" s="76"/>
      <c r="J1309" s="78">
        <f>HYPERLINK("#Структура!E1761",Структура!E1761)</f>
        <v>0.01</v>
      </c>
      <c r="K1309" s="114" t="str">
        <f>HYPERLINK("#Структура!G1761","")</f>
        <v/>
      </c>
      <c r="L1309" s="120">
        <f>HYPERLINK("#Покупные_изделия!D406",Покупные_изделия!D406)</f>
        <v>105.996</v>
      </c>
      <c r="M1309" s="76">
        <f t="shared" si="50"/>
        <v>1.05996</v>
      </c>
      <c r="N1309" s="77"/>
      <c r="O1309" s="77"/>
      <c r="P1309" s="76"/>
      <c r="Q1309" s="76"/>
    </row>
    <row r="1310" spans="5:17" hidden="1" outlineLevel="5" x14ac:dyDescent="0.25">
      <c r="G1310" s="74" t="s">
        <v>156</v>
      </c>
      <c r="H1310" s="75"/>
      <c r="I1310" s="76"/>
      <c r="J1310" s="78">
        <f>HYPERLINK("#Структура!E1762",Структура!E1762)</f>
        <v>2E-3</v>
      </c>
      <c r="K1310" s="114" t="str">
        <f>HYPERLINK("#Структура!G1762","")</f>
        <v/>
      </c>
      <c r="L1310" s="120">
        <f>HYPERLINK("#Покупные_изделия!D427",Покупные_изделия!D427)</f>
        <v>155.53200000000001</v>
      </c>
      <c r="M1310" s="76">
        <f t="shared" si="50"/>
        <v>0.31106400000000001</v>
      </c>
      <c r="N1310" s="77"/>
      <c r="O1310" s="77"/>
      <c r="P1310" s="76"/>
      <c r="Q1310" s="76"/>
    </row>
    <row r="1311" spans="5:17" hidden="1" outlineLevel="5" x14ac:dyDescent="0.25">
      <c r="G1311" s="74" t="s">
        <v>202</v>
      </c>
      <c r="H1311" s="75"/>
      <c r="I1311" s="76"/>
      <c r="J1311" s="78">
        <f>HYPERLINK("#Структура!E1763",Структура!E1763)</f>
        <v>4.0000000000000001E-3</v>
      </c>
      <c r="K1311" s="114" t="str">
        <f>HYPERLINK("#Структура!G1763","")</f>
        <v/>
      </c>
      <c r="L1311" s="120">
        <f>HYPERLINK("#Покупные_изделия!D521",Покупные_изделия!D521)</f>
        <v>462.99599999999998</v>
      </c>
      <c r="M1311" s="76">
        <f t="shared" si="50"/>
        <v>1.8519839999999999</v>
      </c>
      <c r="N1311" s="77"/>
      <c r="O1311" s="77"/>
      <c r="P1311" s="76"/>
      <c r="Q1311" s="76"/>
    </row>
    <row r="1312" spans="5:17" hidden="1" outlineLevel="4" collapsed="1" x14ac:dyDescent="0.25">
      <c r="F1312" s="84" t="s">
        <v>1170</v>
      </c>
      <c r="G1312" s="79"/>
      <c r="H1312" s="80"/>
      <c r="I1312" s="81"/>
      <c r="J1312" s="83">
        <f>HYPERLINK("#Структура!E1751",Структура!E1751)</f>
        <v>1</v>
      </c>
      <c r="K1312" s="115">
        <f>HYPERLINK("#Структура!G1751",Структура!G1751)</f>
        <v>10.28402</v>
      </c>
      <c r="L1312" s="81">
        <f>M1312/J1312</f>
        <v>2006.2847999999999</v>
      </c>
      <c r="M1312" s="81">
        <f>SUMIF(G1313,"*",M1313)*J1312</f>
        <v>2006.2847999999999</v>
      </c>
      <c r="N1312" s="124">
        <f>HYPERLINK("#Трудозатраты!B477",Трудозатраты!B477+SUMIF(G1313,"*",O1313))</f>
        <v>25.5</v>
      </c>
      <c r="O1312" s="82">
        <f>N1312*J1312</f>
        <v>25.5</v>
      </c>
      <c r="P1312" s="81">
        <f>O1312/60*(1+запас_труд)*стоимость_трудочаса</f>
        <v>998.75</v>
      </c>
      <c r="Q1312" s="129">
        <f>M1312*(1+наценка_покупное)+P1312</f>
        <v>3406.2917599999996</v>
      </c>
    </row>
    <row r="1313" spans="4:17" hidden="1" outlineLevel="5" x14ac:dyDescent="0.25">
      <c r="G1313" s="74" t="s">
        <v>128</v>
      </c>
      <c r="H1313" s="75"/>
      <c r="I1313" s="76"/>
      <c r="J1313" s="78">
        <f>HYPERLINK("#Структура!E1755",Структура!E1755)</f>
        <v>12.53928</v>
      </c>
      <c r="K1313" s="114" t="str">
        <f>HYPERLINK("#Структура!G1755","")</f>
        <v/>
      </c>
      <c r="L1313" s="120">
        <f>HYPERLINK("#Покупные_изделия!D303",Покупные_изделия!D303)</f>
        <v>160</v>
      </c>
      <c r="M1313" s="76">
        <f>J1313*L1313</f>
        <v>2006.2847999999999</v>
      </c>
      <c r="N1313" s="77"/>
      <c r="O1313" s="77"/>
      <c r="P1313" s="76"/>
      <c r="Q1313" s="76"/>
    </row>
    <row r="1314" spans="4:17" hidden="1" outlineLevel="4" x14ac:dyDescent="0.25">
      <c r="F1314" s="74" t="s">
        <v>1171</v>
      </c>
      <c r="G1314" s="74"/>
      <c r="H1314" s="75"/>
      <c r="I1314" s="76"/>
      <c r="J1314" s="78">
        <f>HYPERLINK("#Структура!E1752",Структура!E1752)</f>
        <v>4</v>
      </c>
      <c r="K1314" s="114">
        <f>HYPERLINK("#Структура!G1752",Структура!G1752)</f>
        <v>1.217E-2</v>
      </c>
      <c r="L1314" s="120">
        <f>HYPERLINK("#Покупные_изделия!D531",Покупные_изделия!D531)</f>
        <v>5.0688000000000004</v>
      </c>
      <c r="M1314" s="76">
        <f>J1314*L1314</f>
        <v>20.275200000000002</v>
      </c>
      <c r="N1314" s="77"/>
      <c r="O1314" s="77"/>
      <c r="P1314" s="76"/>
      <c r="Q1314" s="76"/>
    </row>
    <row r="1315" spans="4:17" hidden="1" outlineLevel="4" x14ac:dyDescent="0.25">
      <c r="F1315" s="74" t="s">
        <v>213</v>
      </c>
      <c r="G1315" s="74"/>
      <c r="H1315" s="75"/>
      <c r="I1315" s="76"/>
      <c r="J1315" s="78">
        <f>HYPERLINK("#Структура!E1753",Структура!E1753)</f>
        <v>2</v>
      </c>
      <c r="K1315" s="114">
        <f>HYPERLINK("#Структура!G1753",Структура!G1753)</f>
        <v>1.08E-3</v>
      </c>
      <c r="L1315" s="120">
        <f>HYPERLINK("#Покупные_изделия!D563",Покупные_изделия!D563)</f>
        <v>1.8348</v>
      </c>
      <c r="M1315" s="76">
        <f>J1315*L1315</f>
        <v>3.6696</v>
      </c>
      <c r="N1315" s="77"/>
      <c r="O1315" s="77"/>
      <c r="P1315" s="76"/>
      <c r="Q1315" s="76"/>
    </row>
    <row r="1316" spans="4:17" hidden="1" outlineLevel="4" x14ac:dyDescent="0.25">
      <c r="F1316" s="74" t="s">
        <v>136</v>
      </c>
      <c r="G1316" s="74"/>
      <c r="H1316" s="75"/>
      <c r="I1316" s="76"/>
      <c r="J1316" s="78">
        <f>HYPERLINK("#Структура!E1754",Структура!E1754)</f>
        <v>2</v>
      </c>
      <c r="K1316" s="114">
        <f>HYPERLINK("#Структура!G1754",Структура!G1754)</f>
        <v>3.1379999999999998E-2</v>
      </c>
      <c r="L1316" s="120">
        <f>HYPERLINK("#Покупные_изделия!D331",Покупные_изделия!D331)</f>
        <v>127.05599999999998</v>
      </c>
      <c r="M1316" s="76">
        <f>J1316*L1316</f>
        <v>254.11199999999997</v>
      </c>
      <c r="N1316" s="77"/>
      <c r="O1316" s="77"/>
      <c r="P1316" s="76"/>
      <c r="Q1316" s="76"/>
    </row>
    <row r="1317" spans="4:17" hidden="1" outlineLevel="2" collapsed="1" x14ac:dyDescent="0.25">
      <c r="D1317" s="84" t="s">
        <v>1157</v>
      </c>
      <c r="E1317" s="79"/>
      <c r="F1317" s="79"/>
      <c r="G1317" s="79"/>
      <c r="H1317" s="80"/>
      <c r="I1317" s="81"/>
      <c r="J1317" s="83">
        <f>HYPERLINK("#Структура!E1726",Структура!E1726)</f>
        <v>1</v>
      </c>
      <c r="K1317" s="115">
        <f>HYPERLINK("#Структура!G1726",Структура!G1726)</f>
        <v>6.9807800000000002</v>
      </c>
      <c r="L1317" s="81">
        <f>M1317/J1317</f>
        <v>2275</v>
      </c>
      <c r="M1317" s="81">
        <f>SUMIF(E1318,"*",M1318)*J1317</f>
        <v>2275</v>
      </c>
      <c r="N1317" s="124">
        <f>HYPERLINK("#Трудозатраты!B465",Трудозатраты!B465+SUMIF(E1318,"*",O1318))</f>
        <v>29</v>
      </c>
      <c r="O1317" s="82">
        <f>N1317*J1317</f>
        <v>29</v>
      </c>
      <c r="P1317" s="81">
        <f>O1317/60*(1+запас_труд)*стоимость_трудочаса</f>
        <v>1135.8333333333333</v>
      </c>
      <c r="Q1317" s="129">
        <f>M1317*(1+наценка_покупное)+P1317</f>
        <v>3865.833333333333</v>
      </c>
    </row>
    <row r="1318" spans="4:17" hidden="1" outlineLevel="3" x14ac:dyDescent="0.25">
      <c r="E1318" s="74" t="s">
        <v>129</v>
      </c>
      <c r="F1318" s="74"/>
      <c r="G1318" s="74"/>
      <c r="H1318" s="75"/>
      <c r="I1318" s="76"/>
      <c r="J1318" s="78">
        <f>HYPERLINK("#Структура!E1736",Структура!E1736)</f>
        <v>9.1</v>
      </c>
      <c r="K1318" s="114" t="str">
        <f>HYPERLINK("#Структура!G1736","")</f>
        <v/>
      </c>
      <c r="L1318" s="120">
        <f>HYPERLINK("#Покупные_изделия!D304",Покупные_изделия!D304)</f>
        <v>250</v>
      </c>
      <c r="M1318" s="76">
        <f>J1318*L1318</f>
        <v>2275</v>
      </c>
      <c r="N1318" s="77"/>
      <c r="O1318" s="77"/>
      <c r="P1318" s="76"/>
      <c r="Q1318" s="76"/>
    </row>
    <row r="1319" spans="4:17" hidden="1" outlineLevel="2" collapsed="1" x14ac:dyDescent="0.25">
      <c r="D1319" s="84" t="s">
        <v>1158</v>
      </c>
      <c r="E1319" s="79"/>
      <c r="F1319" s="79"/>
      <c r="G1319" s="79"/>
      <c r="H1319" s="80"/>
      <c r="I1319" s="81"/>
      <c r="J1319" s="83">
        <f>HYPERLINK("#Структура!E1727",Структура!E1727)</f>
        <v>1</v>
      </c>
      <c r="K1319" s="115">
        <f>HYPERLINK("#Структура!G1727",Структура!G1727)</f>
        <v>7.25502</v>
      </c>
      <c r="L1319" s="81">
        <f>M1319/J1319</f>
        <v>2275</v>
      </c>
      <c r="M1319" s="81">
        <f>SUMIF(E1320,"*",M1320)*J1319</f>
        <v>2275</v>
      </c>
      <c r="N1319" s="124">
        <f>HYPERLINK("#Трудозатраты!B466",Трудозатраты!B466+SUMIF(E1320,"*",O1320))</f>
        <v>25.5</v>
      </c>
      <c r="O1319" s="82">
        <f>N1319*J1319</f>
        <v>25.5</v>
      </c>
      <c r="P1319" s="81">
        <f>O1319/60*(1+запас_труд)*стоимость_трудочаса</f>
        <v>998.75</v>
      </c>
      <c r="Q1319" s="129">
        <f>M1319*(1+наценка_покупное)+P1319</f>
        <v>3728.75</v>
      </c>
    </row>
    <row r="1320" spans="4:17" hidden="1" outlineLevel="3" x14ac:dyDescent="0.25">
      <c r="E1320" s="74" t="s">
        <v>129</v>
      </c>
      <c r="F1320" s="74"/>
      <c r="G1320" s="74"/>
      <c r="H1320" s="75"/>
      <c r="I1320" s="76"/>
      <c r="J1320" s="78">
        <f>HYPERLINK("#Структура!E1737",Структура!E1737)</f>
        <v>9.1</v>
      </c>
      <c r="K1320" s="114" t="str">
        <f>HYPERLINK("#Структура!G1737","")</f>
        <v/>
      </c>
      <c r="L1320" s="120">
        <f>HYPERLINK("#Покупные_изделия!D304",Покупные_изделия!D304)</f>
        <v>250</v>
      </c>
      <c r="M1320" s="76">
        <f>J1320*L1320</f>
        <v>2275</v>
      </c>
      <c r="N1320" s="77"/>
      <c r="O1320" s="77"/>
      <c r="P1320" s="76"/>
      <c r="Q1320" s="76"/>
    </row>
    <row r="1321" spans="4:17" hidden="1" outlineLevel="2" collapsed="1" x14ac:dyDescent="0.25">
      <c r="D1321" s="84" t="s">
        <v>1159</v>
      </c>
      <c r="E1321" s="79"/>
      <c r="F1321" s="79"/>
      <c r="G1321" s="79"/>
      <c r="H1321" s="80"/>
      <c r="I1321" s="81"/>
      <c r="J1321" s="83">
        <f>HYPERLINK("#Структура!E1728",Структура!E1728)</f>
        <v>1</v>
      </c>
      <c r="K1321" s="115">
        <f>HYPERLINK("#Структура!G1728",Структура!G1728)</f>
        <v>7.2587200000000003</v>
      </c>
      <c r="L1321" s="81">
        <f>M1321/J1321</f>
        <v>2275</v>
      </c>
      <c r="M1321" s="81">
        <f>SUMIF(E1322,"*",M1322)*J1321</f>
        <v>2275</v>
      </c>
      <c r="N1321" s="124">
        <f>HYPERLINK("#Трудозатраты!B467",Трудозатраты!B467+SUMIF(E1322,"*",O1322))</f>
        <v>25.5</v>
      </c>
      <c r="O1321" s="82">
        <f>N1321*J1321</f>
        <v>25.5</v>
      </c>
      <c r="P1321" s="81">
        <f>O1321/60*(1+запас_труд)*стоимость_трудочаса</f>
        <v>998.75</v>
      </c>
      <c r="Q1321" s="129">
        <f>M1321*(1+наценка_покупное)+P1321</f>
        <v>3728.75</v>
      </c>
    </row>
    <row r="1322" spans="4:17" hidden="1" outlineLevel="3" x14ac:dyDescent="0.25">
      <c r="E1322" s="74" t="s">
        <v>129</v>
      </c>
      <c r="F1322" s="74"/>
      <c r="G1322" s="74"/>
      <c r="H1322" s="75"/>
      <c r="I1322" s="76"/>
      <c r="J1322" s="78">
        <f>HYPERLINK("#Структура!E1738",Структура!E1738)</f>
        <v>9.1</v>
      </c>
      <c r="K1322" s="114" t="str">
        <f>HYPERLINK("#Структура!G1738","")</f>
        <v/>
      </c>
      <c r="L1322" s="120">
        <f>HYPERLINK("#Покупные_изделия!D304",Покупные_изделия!D304)</f>
        <v>250</v>
      </c>
      <c r="M1322" s="76">
        <f>J1322*L1322</f>
        <v>2275</v>
      </c>
      <c r="N1322" s="77"/>
      <c r="O1322" s="77"/>
      <c r="P1322" s="76"/>
      <c r="Q1322" s="76"/>
    </row>
    <row r="1323" spans="4:17" hidden="1" outlineLevel="2" collapsed="1" x14ac:dyDescent="0.25">
      <c r="D1323" s="84" t="s">
        <v>1160</v>
      </c>
      <c r="E1323" s="79"/>
      <c r="F1323" s="79"/>
      <c r="G1323" s="79"/>
      <c r="H1323" s="80"/>
      <c r="I1323" s="81"/>
      <c r="J1323" s="83">
        <f>HYPERLINK("#Структура!E1729",Структура!E1729)</f>
        <v>1</v>
      </c>
      <c r="K1323" s="115">
        <f>HYPERLINK("#Структура!G1729",Структура!G1729)</f>
        <v>7.2568700000000002</v>
      </c>
      <c r="L1323" s="81">
        <f>M1323/J1323</f>
        <v>2275</v>
      </c>
      <c r="M1323" s="81">
        <f>SUMIF(E1324,"*",M1324)*J1323</f>
        <v>2275</v>
      </c>
      <c r="N1323" s="124">
        <f>HYPERLINK("#Трудозатраты!B468",Трудозатраты!B468+SUMIF(E1324,"*",O1324))</f>
        <v>25.5</v>
      </c>
      <c r="O1323" s="82">
        <f>N1323*J1323</f>
        <v>25.5</v>
      </c>
      <c r="P1323" s="81">
        <f>O1323/60*(1+запас_труд)*стоимость_трудочаса</f>
        <v>998.75</v>
      </c>
      <c r="Q1323" s="129">
        <f>M1323*(1+наценка_покупное)+P1323</f>
        <v>3728.75</v>
      </c>
    </row>
    <row r="1324" spans="4:17" hidden="1" outlineLevel="3" x14ac:dyDescent="0.25">
      <c r="E1324" s="74" t="s">
        <v>129</v>
      </c>
      <c r="F1324" s="74"/>
      <c r="G1324" s="74"/>
      <c r="H1324" s="75"/>
      <c r="I1324" s="76"/>
      <c r="J1324" s="78">
        <f>HYPERLINK("#Структура!E1739",Структура!E1739)</f>
        <v>9.1</v>
      </c>
      <c r="K1324" s="114" t="str">
        <f>HYPERLINK("#Структура!G1739","")</f>
        <v/>
      </c>
      <c r="L1324" s="120">
        <f>HYPERLINK("#Покупные_изделия!D304",Покупные_изделия!D304)</f>
        <v>250</v>
      </c>
      <c r="M1324" s="76">
        <f>J1324*L1324</f>
        <v>2275</v>
      </c>
      <c r="N1324" s="77"/>
      <c r="O1324" s="77"/>
      <c r="P1324" s="76"/>
      <c r="Q1324" s="76"/>
    </row>
    <row r="1325" spans="4:17" hidden="1" outlineLevel="2" collapsed="1" x14ac:dyDescent="0.25">
      <c r="D1325" s="84" t="s">
        <v>1161</v>
      </c>
      <c r="E1325" s="79"/>
      <c r="F1325" s="79"/>
      <c r="G1325" s="79"/>
      <c r="H1325" s="80"/>
      <c r="I1325" s="81"/>
      <c r="J1325" s="83">
        <f>HYPERLINK("#Структура!E1730",Структура!E1730)</f>
        <v>1</v>
      </c>
      <c r="K1325" s="115">
        <f>HYPERLINK("#Структура!G1730",Структура!G1730)</f>
        <v>7.2587200000000003</v>
      </c>
      <c r="L1325" s="81">
        <f>M1325/J1325</f>
        <v>2275</v>
      </c>
      <c r="M1325" s="81">
        <f>SUMIF(E1326,"*",M1326)*J1325</f>
        <v>2275</v>
      </c>
      <c r="N1325" s="124">
        <f>HYPERLINK("#Трудозатраты!B469",Трудозатраты!B469+SUMIF(E1326,"*",O1326))</f>
        <v>25.5</v>
      </c>
      <c r="O1325" s="82">
        <f>N1325*J1325</f>
        <v>25.5</v>
      </c>
      <c r="P1325" s="81">
        <f>O1325/60*(1+запас_труд)*стоимость_трудочаса</f>
        <v>998.75</v>
      </c>
      <c r="Q1325" s="129">
        <f>M1325*(1+наценка_покупное)+P1325</f>
        <v>3728.75</v>
      </c>
    </row>
    <row r="1326" spans="4:17" hidden="1" outlineLevel="3" x14ac:dyDescent="0.25">
      <c r="E1326" s="74" t="s">
        <v>129</v>
      </c>
      <c r="F1326" s="74"/>
      <c r="G1326" s="74"/>
      <c r="H1326" s="75"/>
      <c r="I1326" s="76"/>
      <c r="J1326" s="78">
        <f>HYPERLINK("#Структура!E1740",Структура!E1740)</f>
        <v>9.1</v>
      </c>
      <c r="K1326" s="114" t="str">
        <f>HYPERLINK("#Структура!G1740","")</f>
        <v/>
      </c>
      <c r="L1326" s="120">
        <f>HYPERLINK("#Покупные_изделия!D304",Покупные_изделия!D304)</f>
        <v>250</v>
      </c>
      <c r="M1326" s="76">
        <f>J1326*L1326</f>
        <v>2275</v>
      </c>
      <c r="N1326" s="77"/>
      <c r="O1326" s="77"/>
      <c r="P1326" s="76"/>
      <c r="Q1326" s="76"/>
    </row>
    <row r="1327" spans="4:17" hidden="1" outlineLevel="2" collapsed="1" x14ac:dyDescent="0.25">
      <c r="D1327" s="84" t="s">
        <v>1162</v>
      </c>
      <c r="E1327" s="79"/>
      <c r="F1327" s="79"/>
      <c r="G1327" s="79"/>
      <c r="H1327" s="80"/>
      <c r="I1327" s="81"/>
      <c r="J1327" s="83">
        <f>HYPERLINK("#Структура!E1731",Структура!E1731)</f>
        <v>1</v>
      </c>
      <c r="K1327" s="115">
        <f>HYPERLINK("#Структура!G1731",Структура!G1731)</f>
        <v>7.2587200000000003</v>
      </c>
      <c r="L1327" s="81">
        <f>M1327/J1327</f>
        <v>2275</v>
      </c>
      <c r="M1327" s="81">
        <f>SUMIF(E1328,"*",M1328)*J1327</f>
        <v>2275</v>
      </c>
      <c r="N1327" s="124">
        <f>HYPERLINK("#Трудозатраты!B470",Трудозатраты!B470+SUMIF(E1328,"*",O1328))</f>
        <v>25.5</v>
      </c>
      <c r="O1327" s="82">
        <f>N1327*J1327</f>
        <v>25.5</v>
      </c>
      <c r="P1327" s="81">
        <f>O1327/60*(1+запас_труд)*стоимость_трудочаса</f>
        <v>998.75</v>
      </c>
      <c r="Q1327" s="129">
        <f>M1327*(1+наценка_покупное)+P1327</f>
        <v>3728.75</v>
      </c>
    </row>
    <row r="1328" spans="4:17" hidden="1" outlineLevel="3" x14ac:dyDescent="0.25">
      <c r="E1328" s="74" t="s">
        <v>129</v>
      </c>
      <c r="F1328" s="74"/>
      <c r="G1328" s="74"/>
      <c r="H1328" s="75"/>
      <c r="I1328" s="76"/>
      <c r="J1328" s="78">
        <f>HYPERLINK("#Структура!E1741",Структура!E1741)</f>
        <v>9.1</v>
      </c>
      <c r="K1328" s="114" t="str">
        <f>HYPERLINK("#Структура!G1741","")</f>
        <v/>
      </c>
      <c r="L1328" s="120">
        <f>HYPERLINK("#Покупные_изделия!D304",Покупные_изделия!D304)</f>
        <v>250</v>
      </c>
      <c r="M1328" s="76">
        <f>J1328*L1328</f>
        <v>2275</v>
      </c>
      <c r="N1328" s="77"/>
      <c r="O1328" s="77"/>
      <c r="P1328" s="76"/>
      <c r="Q1328" s="76"/>
    </row>
    <row r="1329" spans="3:17" hidden="1" outlineLevel="2" collapsed="1" x14ac:dyDescent="0.25">
      <c r="D1329" s="84" t="s">
        <v>1163</v>
      </c>
      <c r="E1329" s="79"/>
      <c r="F1329" s="79"/>
      <c r="G1329" s="79"/>
      <c r="H1329" s="80"/>
      <c r="I1329" s="81"/>
      <c r="J1329" s="83">
        <f>HYPERLINK("#Структура!E1732",Структура!E1732)</f>
        <v>16</v>
      </c>
      <c r="K1329" s="115">
        <f>HYPERLINK("#Структура!G1732",Структура!G1732)</f>
        <v>7.2605700000000004</v>
      </c>
      <c r="L1329" s="81">
        <f>M1329/J1329</f>
        <v>2275</v>
      </c>
      <c r="M1329" s="81">
        <f>SUMIF(E1330,"*",M1330)*J1329</f>
        <v>36400</v>
      </c>
      <c r="N1329" s="124">
        <f>HYPERLINK("#Трудозатраты!B471",Трудозатраты!B471+SUMIF(E1330,"*",O1330))</f>
        <v>25.5</v>
      </c>
      <c r="O1329" s="82">
        <f>N1329*J1329</f>
        <v>408</v>
      </c>
      <c r="P1329" s="81">
        <f>O1329/60*(1+запас_труд)*стоимость_трудочаса</f>
        <v>15980</v>
      </c>
      <c r="Q1329" s="129">
        <f>M1329*(1+наценка_покупное)+P1329</f>
        <v>59660</v>
      </c>
    </row>
    <row r="1330" spans="3:17" hidden="1" outlineLevel="3" x14ac:dyDescent="0.25">
      <c r="E1330" s="74" t="s">
        <v>129</v>
      </c>
      <c r="F1330" s="74"/>
      <c r="G1330" s="74"/>
      <c r="H1330" s="75"/>
      <c r="I1330" s="76"/>
      <c r="J1330" s="78">
        <f>HYPERLINK("#Структура!E1742",Структура!E1742)</f>
        <v>9.1</v>
      </c>
      <c r="K1330" s="114" t="str">
        <f>HYPERLINK("#Структура!G1742","")</f>
        <v/>
      </c>
      <c r="L1330" s="120">
        <f>HYPERLINK("#Покупные_изделия!D304",Покупные_изделия!D304)</f>
        <v>250</v>
      </c>
      <c r="M1330" s="76">
        <f>J1330*L1330</f>
        <v>2275</v>
      </c>
      <c r="N1330" s="77"/>
      <c r="O1330" s="77"/>
      <c r="P1330" s="76"/>
      <c r="Q1330" s="76"/>
    </row>
    <row r="1331" spans="3:17" hidden="1" outlineLevel="2" x14ac:dyDescent="0.25">
      <c r="D1331" s="74" t="s">
        <v>998</v>
      </c>
      <c r="E1331" s="74"/>
      <c r="F1331" s="74"/>
      <c r="G1331" s="74"/>
      <c r="H1331" s="75"/>
      <c r="I1331" s="76"/>
      <c r="J1331" s="78">
        <f>HYPERLINK("#Структура!E1733",Структура!E1733)</f>
        <v>96</v>
      </c>
      <c r="K1331" s="114">
        <f>HYPERLINK("#Структура!G1733",Структура!G1733)</f>
        <v>1.4599999999999999E-3</v>
      </c>
      <c r="L1331" s="120">
        <f>HYPERLINK("#Покупные_изделия!D149",Покупные_изделия!D149)</f>
        <v>1.032</v>
      </c>
      <c r="M1331" s="76">
        <f>J1331*L1331</f>
        <v>99.072000000000003</v>
      </c>
      <c r="N1331" s="77"/>
      <c r="O1331" s="77"/>
      <c r="P1331" s="76"/>
      <c r="Q1331" s="76"/>
    </row>
    <row r="1332" spans="3:17" hidden="1" outlineLevel="2" x14ac:dyDescent="0.25">
      <c r="D1332" s="74" t="s">
        <v>623</v>
      </c>
      <c r="E1332" s="74"/>
      <c r="F1332" s="74"/>
      <c r="G1332" s="74"/>
      <c r="H1332" s="75"/>
      <c r="I1332" s="76"/>
      <c r="J1332" s="78">
        <f>HYPERLINK("#Структура!E1734",Структура!E1734)</f>
        <v>240</v>
      </c>
      <c r="K1332" s="114">
        <f>HYPERLINK("#Структура!G1734",Структура!G1734)</f>
        <v>1.67E-2</v>
      </c>
      <c r="L1332" s="120">
        <f>HYPERLINK("#Покупные_изделия!D86",Покупные_изделия!D86)</f>
        <v>8.7719999999999985</v>
      </c>
      <c r="M1332" s="76">
        <f>J1332*L1332</f>
        <v>2105.2799999999997</v>
      </c>
      <c r="N1332" s="77"/>
      <c r="O1332" s="77"/>
      <c r="P1332" s="76"/>
      <c r="Q1332" s="76"/>
    </row>
    <row r="1333" spans="3:17" hidden="1" outlineLevel="2" x14ac:dyDescent="0.25">
      <c r="D1333" s="74" t="s">
        <v>625</v>
      </c>
      <c r="E1333" s="74"/>
      <c r="F1333" s="74"/>
      <c r="G1333" s="74"/>
      <c r="H1333" s="75"/>
      <c r="I1333" s="76"/>
      <c r="J1333" s="78">
        <f>HYPERLINK("#Структура!E1735",Структура!E1735)</f>
        <v>240</v>
      </c>
      <c r="K1333" s="114">
        <f>HYPERLINK("#Структура!G1735",Структура!G1735)</f>
        <v>7.1399999999999996E-3</v>
      </c>
      <c r="L1333" s="120">
        <f>HYPERLINK("#Покупные_изделия!D168",Покупные_изделия!D168)</f>
        <v>1.9715672368421051</v>
      </c>
      <c r="M1333" s="76">
        <f>J1333*L1333</f>
        <v>473.17613684210522</v>
      </c>
      <c r="N1333" s="77"/>
      <c r="O1333" s="77"/>
      <c r="P1333" s="76"/>
      <c r="Q1333" s="76"/>
    </row>
    <row r="1334" spans="3:17" hidden="1" outlineLevel="1" collapsed="1" x14ac:dyDescent="0.25">
      <c r="C1334" s="96" t="s">
        <v>1203</v>
      </c>
      <c r="D1334" s="91"/>
      <c r="E1334" s="91"/>
      <c r="F1334" s="91"/>
      <c r="G1334" s="91"/>
      <c r="H1334" s="92"/>
      <c r="I1334" s="93"/>
      <c r="J1334" s="95">
        <f>HYPERLINK("#Структура!E3253",Структура!E3253)</f>
        <v>2</v>
      </c>
      <c r="K1334" s="116">
        <f>HYPERLINK("#Структура!G3253",Структура!G3253)</f>
        <v>455.83390000000003</v>
      </c>
      <c r="L1334" s="93">
        <f>M1334/J1334</f>
        <v>440505.07493808266</v>
      </c>
      <c r="M1334" s="93">
        <f>SUMIF(D1335:D1986,"*",M1335:M1986)*J1334</f>
        <v>881010.14987616532</v>
      </c>
      <c r="N1334" s="125">
        <f>HYPERLINK("#Трудозатраты!B488",Трудозатраты!B488+SUMIF(D1335:D1986,"*",O1335:O1986))</f>
        <v>6891.8300000000017</v>
      </c>
      <c r="O1334" s="94">
        <f>N1334*J1334</f>
        <v>13783.660000000003</v>
      </c>
      <c r="P1334" s="93">
        <f>O1334/60*(1+запас_труд)*стоимость_трудочаса</f>
        <v>539860.01666666684</v>
      </c>
      <c r="Q1334" s="130">
        <f>M1334*(1+наценка_покупное)+P1334</f>
        <v>1597072.1965180652</v>
      </c>
    </row>
    <row r="1335" spans="3:17" hidden="1" outlineLevel="2" collapsed="1" x14ac:dyDescent="0.25">
      <c r="D1335" s="97" t="s">
        <v>1177</v>
      </c>
      <c r="E1335" s="98"/>
      <c r="F1335" s="98"/>
      <c r="G1335" s="98"/>
      <c r="H1335" s="99"/>
      <c r="I1335" s="100"/>
      <c r="J1335" s="102">
        <f>HYPERLINK("#Структура!E1828",Структура!E1828)</f>
        <v>1</v>
      </c>
      <c r="K1335" s="112">
        <f>HYPERLINK("#Структура!G1828",Структура!G1828)</f>
        <v>429.88218999999998</v>
      </c>
      <c r="L1335" s="100">
        <f>M1335/J1335</f>
        <v>119132.64739440894</v>
      </c>
      <c r="M1335" s="100">
        <f>SUMIF(E1336:E1880,"*",M1336:M1880)*J1335</f>
        <v>119132.64739440894</v>
      </c>
      <c r="N1335" s="122">
        <f>HYPERLINK("#Трудозатраты!B487",Трудозатраты!B487+SUMIF(E1336:E1880,"*",O1336:O1880))</f>
        <v>5582.9700000000012</v>
      </c>
      <c r="O1335" s="101">
        <f>N1335*J1335</f>
        <v>5582.9700000000012</v>
      </c>
      <c r="P1335" s="100">
        <f>O1335/60*(1+запас_труд)*стоимость_трудочаса</f>
        <v>218666.32500000004</v>
      </c>
      <c r="Q1335" s="127">
        <f>M1335*(1+наценка_покупное)+P1335</f>
        <v>361625.50187329075</v>
      </c>
    </row>
    <row r="1336" spans="3:17" hidden="1" outlineLevel="3" collapsed="1" x14ac:dyDescent="0.25">
      <c r="E1336" s="97" t="s">
        <v>1176</v>
      </c>
      <c r="F1336" s="98"/>
      <c r="G1336" s="98"/>
      <c r="H1336" s="99"/>
      <c r="I1336" s="100"/>
      <c r="J1336" s="102">
        <f>HYPERLINK("#Структура!E1784",Структура!E1784)</f>
        <v>1</v>
      </c>
      <c r="K1336" s="112">
        <f>HYPERLINK("#Структура!G1784",Структура!G1784)</f>
        <v>1.3748100000000001</v>
      </c>
      <c r="L1336" s="100">
        <f>M1336/J1336</f>
        <v>261.6112</v>
      </c>
      <c r="M1336" s="100">
        <f>SUMIF(F1337:F1346,"*",M1337:M1346)*J1336</f>
        <v>261.6112</v>
      </c>
      <c r="N1336" s="122">
        <f>HYPERLINK("#Трудозатраты!B499",Трудозатраты!B499+SUMIF(F1337:F1346,"*",O1337:O1346))</f>
        <v>21.3</v>
      </c>
      <c r="O1336" s="101">
        <f>N1336*J1336</f>
        <v>21.3</v>
      </c>
      <c r="P1336" s="100">
        <f>O1336/60*(1+запас_труд)*стоимость_трудочаса</f>
        <v>834.25000000000011</v>
      </c>
      <c r="Q1336" s="127">
        <f>M1336*(1+наценка_покупное)+P1336</f>
        <v>1148.18344</v>
      </c>
    </row>
    <row r="1337" spans="3:17" hidden="1" outlineLevel="4" collapsed="1" x14ac:dyDescent="0.25">
      <c r="F1337" s="85" t="s">
        <v>1205</v>
      </c>
      <c r="G1337" s="86"/>
      <c r="H1337" s="87"/>
      <c r="I1337" s="88"/>
      <c r="J1337" s="90">
        <f>HYPERLINK("#Структура!E1870",Структура!E1870)</f>
        <v>1</v>
      </c>
      <c r="K1337" s="113">
        <f>HYPERLINK("#Структура!G1870",Структура!G1870)</f>
        <v>1.3327199999999999</v>
      </c>
      <c r="L1337" s="88">
        <f>M1337/J1337</f>
        <v>250.03919999999999</v>
      </c>
      <c r="M1337" s="88">
        <f>SUMIF(G1338:G1342,"*",M1338:M1342)*J1337</f>
        <v>250.03919999999999</v>
      </c>
      <c r="N1337" s="123">
        <f>HYPERLINK("#Трудозатраты!B500",Трудозатраты!B500+SUMIF(G1338:G1342,"*",O1338:O1342))</f>
        <v>7.8</v>
      </c>
      <c r="O1337" s="89">
        <f>N1337*J1337</f>
        <v>7.8</v>
      </c>
      <c r="P1337" s="88">
        <f>O1337/60*(1+запас_труд)*стоимость_трудочаса</f>
        <v>305.5</v>
      </c>
      <c r="Q1337" s="128">
        <f>M1337*(1+наценка_покупное)+P1337</f>
        <v>605.54703999999992</v>
      </c>
    </row>
    <row r="1338" spans="3:17" hidden="1" outlineLevel="5" x14ac:dyDescent="0.25">
      <c r="G1338" s="74" t="s">
        <v>65</v>
      </c>
      <c r="H1338" s="75"/>
      <c r="I1338" s="76"/>
      <c r="J1338" s="78">
        <f>HYPERLINK("#Структура!E1874",Структура!E1874)</f>
        <v>0.02</v>
      </c>
      <c r="K1338" s="114" t="str">
        <f>HYPERLINK("#Структура!G1874","")</f>
        <v/>
      </c>
      <c r="L1338" s="120">
        <f>HYPERLINK("#Покупные_изделия!D197",Покупные_изделия!D197)</f>
        <v>264.50399999999996</v>
      </c>
      <c r="M1338" s="76">
        <f>J1338*L1338</f>
        <v>5.2900799999999997</v>
      </c>
      <c r="N1338" s="77"/>
      <c r="O1338" s="77"/>
      <c r="P1338" s="76"/>
      <c r="Q1338" s="76"/>
    </row>
    <row r="1339" spans="3:17" hidden="1" outlineLevel="5" x14ac:dyDescent="0.25">
      <c r="G1339" s="74" t="s">
        <v>113</v>
      </c>
      <c r="H1339" s="75"/>
      <c r="I1339" s="76"/>
      <c r="J1339" s="78">
        <f>HYPERLINK("#Структура!E1875",Структура!E1875)</f>
        <v>1.86</v>
      </c>
      <c r="K1339" s="114" t="str">
        <f>HYPERLINK("#Структура!G1875","")</f>
        <v/>
      </c>
      <c r="L1339" s="120">
        <f>HYPERLINK("#Покупные_изделия!D286",Покупные_изделия!D286)</f>
        <v>120</v>
      </c>
      <c r="M1339" s="76">
        <f>J1339*L1339</f>
        <v>223.20000000000002</v>
      </c>
      <c r="N1339" s="77"/>
      <c r="O1339" s="77"/>
      <c r="P1339" s="76"/>
      <c r="Q1339" s="76"/>
    </row>
    <row r="1340" spans="3:17" hidden="1" outlineLevel="5" x14ac:dyDescent="0.25">
      <c r="G1340" s="74" t="s">
        <v>155</v>
      </c>
      <c r="H1340" s="75"/>
      <c r="I1340" s="76"/>
      <c r="J1340" s="78">
        <f>HYPERLINK("#Структура!E1876",Структура!E1876)</f>
        <v>1.2E-2</v>
      </c>
      <c r="K1340" s="114" t="str">
        <f>HYPERLINK("#Структура!G1876","")</f>
        <v/>
      </c>
      <c r="L1340" s="120">
        <f>HYPERLINK("#Покупные_изделия!D423",Покупные_изделия!D423)</f>
        <v>218.28</v>
      </c>
      <c r="M1340" s="76">
        <f>J1340*L1340</f>
        <v>2.6193599999999999</v>
      </c>
      <c r="N1340" s="77"/>
      <c r="O1340" s="77"/>
      <c r="P1340" s="76"/>
      <c r="Q1340" s="76"/>
    </row>
    <row r="1341" spans="3:17" hidden="1" outlineLevel="5" x14ac:dyDescent="0.25">
      <c r="G1341" s="74" t="s">
        <v>200</v>
      </c>
      <c r="H1341" s="75"/>
      <c r="I1341" s="76"/>
      <c r="J1341" s="78">
        <f>HYPERLINK("#Структура!E1877",Структура!E1877)</f>
        <v>0.01</v>
      </c>
      <c r="K1341" s="114" t="str">
        <f>HYPERLINK("#Структура!G1877","")</f>
        <v/>
      </c>
      <c r="L1341" s="120">
        <f>HYPERLINK("#Покупные_изделия!D518",Покупные_изделия!D518)</f>
        <v>270</v>
      </c>
      <c r="M1341" s="76">
        <f>J1341*L1341</f>
        <v>2.7</v>
      </c>
      <c r="N1341" s="77"/>
      <c r="O1341" s="77"/>
      <c r="P1341" s="76"/>
      <c r="Q1341" s="76"/>
    </row>
    <row r="1342" spans="3:17" hidden="1" outlineLevel="5" x14ac:dyDescent="0.25">
      <c r="G1342" s="74" t="s">
        <v>215</v>
      </c>
      <c r="H1342" s="75"/>
      <c r="I1342" s="76"/>
      <c r="J1342" s="78">
        <f>HYPERLINK("#Структура!E1878",Структура!E1878)</f>
        <v>0.04</v>
      </c>
      <c r="K1342" s="114" t="str">
        <f>HYPERLINK("#Структура!G1878","")</f>
        <v/>
      </c>
      <c r="L1342" s="120">
        <f>HYPERLINK("#Покупные_изделия!D567",Покупные_изделия!D567)</f>
        <v>405.74399999999997</v>
      </c>
      <c r="M1342" s="76">
        <f>J1342*L1342</f>
        <v>16.229759999999999</v>
      </c>
      <c r="N1342" s="77"/>
      <c r="O1342" s="77"/>
      <c r="P1342" s="76"/>
      <c r="Q1342" s="76"/>
    </row>
    <row r="1343" spans="3:17" hidden="1" outlineLevel="4" collapsed="1" x14ac:dyDescent="0.25">
      <c r="F1343" s="84" t="s">
        <v>1206</v>
      </c>
      <c r="G1343" s="79"/>
      <c r="H1343" s="80"/>
      <c r="I1343" s="81"/>
      <c r="J1343" s="83">
        <f>HYPERLINK("#Структура!E1871",Структура!E1871)</f>
        <v>1</v>
      </c>
      <c r="K1343" s="115">
        <f>HYPERLINK("#Структура!G1871",Структура!G1871)</f>
        <v>2.3040000000000001E-2</v>
      </c>
      <c r="L1343" s="81">
        <f>M1343/J1343</f>
        <v>6.160000000000001</v>
      </c>
      <c r="M1343" s="81">
        <f>SUMIF(G1344,"*",M1344)*J1343</f>
        <v>6.160000000000001</v>
      </c>
      <c r="N1343" s="124">
        <f>HYPERLINK("#Трудозатраты!B501",Трудозатраты!B501+SUMIF(G1344,"*",O1344))</f>
        <v>3.5</v>
      </c>
      <c r="O1343" s="82">
        <f>N1343*J1343</f>
        <v>3.5</v>
      </c>
      <c r="P1343" s="81">
        <f>O1343/60*(1+запас_труд)*стоимость_трудочаса</f>
        <v>137.08333333333334</v>
      </c>
      <c r="Q1343" s="129">
        <f>M1343*(1+наценка_покупное)+P1343</f>
        <v>144.47533333333334</v>
      </c>
    </row>
    <row r="1344" spans="3:17" hidden="1" outlineLevel="5" x14ac:dyDescent="0.25">
      <c r="G1344" s="74" t="s">
        <v>142</v>
      </c>
      <c r="H1344" s="75"/>
      <c r="I1344" s="76"/>
      <c r="J1344" s="78">
        <f>HYPERLINK("#Структура!E1879",Структура!E1879)</f>
        <v>2.8000000000000001E-2</v>
      </c>
      <c r="K1344" s="114" t="str">
        <f>HYPERLINK("#Структура!G1879","")</f>
        <v/>
      </c>
      <c r="L1344" s="120">
        <f>HYPERLINK("#Покупные_изделия!D382",Покупные_изделия!D382)</f>
        <v>220.00000000000003</v>
      </c>
      <c r="M1344" s="76">
        <f>J1344*L1344</f>
        <v>6.160000000000001</v>
      </c>
      <c r="N1344" s="77"/>
      <c r="O1344" s="77"/>
      <c r="P1344" s="76"/>
      <c r="Q1344" s="76"/>
    </row>
    <row r="1345" spans="5:17" hidden="1" outlineLevel="4" x14ac:dyDescent="0.25">
      <c r="F1345" s="74" t="s">
        <v>1207</v>
      </c>
      <c r="G1345" s="74"/>
      <c r="H1345" s="75"/>
      <c r="I1345" s="76"/>
      <c r="J1345" s="78">
        <f>HYPERLINK("#Структура!E1872",Структура!E1872)</f>
        <v>2</v>
      </c>
      <c r="K1345" s="114">
        <f>HYPERLINK("#Структура!G1872",Структура!G1872)</f>
        <v>6.3E-3</v>
      </c>
      <c r="L1345" s="120">
        <f>HYPERLINK("#Покупные_изделия!D150",Покупные_изделия!D150)</f>
        <v>1.3860000000000001</v>
      </c>
      <c r="M1345" s="76">
        <f>J1345*L1345</f>
        <v>2.7720000000000002</v>
      </c>
      <c r="N1345" s="77"/>
      <c r="O1345" s="77"/>
      <c r="P1345" s="76"/>
      <c r="Q1345" s="76"/>
    </row>
    <row r="1346" spans="5:17" hidden="1" outlineLevel="4" x14ac:dyDescent="0.25">
      <c r="F1346" s="74" t="s">
        <v>169</v>
      </c>
      <c r="G1346" s="74"/>
      <c r="H1346" s="75"/>
      <c r="I1346" s="76"/>
      <c r="J1346" s="78">
        <f>HYPERLINK("#Структура!E1873",Структура!E1873)</f>
        <v>2</v>
      </c>
      <c r="K1346" s="114">
        <f>HYPERLINK("#Структура!G1873",Структура!G1873)</f>
        <v>8.8800000000000007E-3</v>
      </c>
      <c r="L1346" s="120">
        <f>HYPERLINK("#Покупные_изделия!D454",Покупные_изделия!D454)</f>
        <v>1.32</v>
      </c>
      <c r="M1346" s="76">
        <f>J1346*L1346</f>
        <v>2.64</v>
      </c>
      <c r="N1346" s="77"/>
      <c r="O1346" s="77"/>
      <c r="P1346" s="76"/>
      <c r="Q1346" s="76"/>
    </row>
    <row r="1347" spans="5:17" hidden="1" outlineLevel="3" collapsed="1" x14ac:dyDescent="0.25">
      <c r="E1347" s="96" t="s">
        <v>1178</v>
      </c>
      <c r="F1347" s="91"/>
      <c r="G1347" s="91"/>
      <c r="H1347" s="92"/>
      <c r="I1347" s="93"/>
      <c r="J1347" s="95">
        <f>HYPERLINK("#Структура!E1785",Структура!E1785)</f>
        <v>1</v>
      </c>
      <c r="K1347" s="116">
        <f>HYPERLINK("#Структура!G1785",Структура!G1785)</f>
        <v>96.739170000000001</v>
      </c>
      <c r="L1347" s="93">
        <f>M1347/J1347</f>
        <v>21027.601952399997</v>
      </c>
      <c r="M1347" s="93">
        <f>SUMIF(F1348:F1386,"*",M1348:M1386)*J1347</f>
        <v>21027.601952399997</v>
      </c>
      <c r="N1347" s="125">
        <f>HYPERLINK("#Трудозатраты!B502",Трудозатраты!B502+SUMIF(F1348:F1386,"*",O1348:O1386))</f>
        <v>688.2</v>
      </c>
      <c r="O1347" s="94">
        <f>N1347*J1347</f>
        <v>688.2</v>
      </c>
      <c r="P1347" s="93">
        <f>O1347/60*(1+запас_труд)*стоимость_трудочаса</f>
        <v>26954.5</v>
      </c>
      <c r="Q1347" s="130">
        <f>M1347*(1+наценка_покупное)+P1347</f>
        <v>52187.62234288</v>
      </c>
    </row>
    <row r="1348" spans="5:17" hidden="1" outlineLevel="4" collapsed="1" x14ac:dyDescent="0.25">
      <c r="F1348" s="97" t="s">
        <v>1208</v>
      </c>
      <c r="G1348" s="98"/>
      <c r="H1348" s="99"/>
      <c r="I1348" s="100"/>
      <c r="J1348" s="102">
        <f>HYPERLINK("#Структура!E1880",Структура!E1880)</f>
        <v>1</v>
      </c>
      <c r="K1348" s="112">
        <f>HYPERLINK("#Структура!G1880",Структура!G1880)</f>
        <v>7.9344000000000001</v>
      </c>
      <c r="L1348" s="100">
        <f>M1348/J1348</f>
        <v>1958.1646200000002</v>
      </c>
      <c r="M1348" s="100">
        <f>SUMIF(G1349:G1359,"*",M1349:M1359)*J1348</f>
        <v>1958.1646200000002</v>
      </c>
      <c r="N1348" s="122">
        <f>HYPERLINK("#Трудозатраты!B507",Трудозатраты!B507+SUMIF(G1349:G1359,"*",O1349:O1359))</f>
        <v>48</v>
      </c>
      <c r="O1348" s="101">
        <f>N1348*J1348</f>
        <v>48</v>
      </c>
      <c r="P1348" s="100">
        <f>O1348/60*(1+запас_труд)*стоимость_трудочаса</f>
        <v>1880</v>
      </c>
      <c r="Q1348" s="127">
        <f>M1348*(1+наценка_покупное)+P1348</f>
        <v>4229.797544</v>
      </c>
    </row>
    <row r="1349" spans="5:17" hidden="1" outlineLevel="5" collapsed="1" x14ac:dyDescent="0.25">
      <c r="G1349" s="85" t="s">
        <v>1215</v>
      </c>
      <c r="H1349" s="87"/>
      <c r="I1349" s="88"/>
      <c r="J1349" s="90">
        <f>HYPERLINK("#Структура!E1903",Структура!E1903)</f>
        <v>1</v>
      </c>
      <c r="K1349" s="113">
        <f>HYPERLINK("#Структура!G1903",Структура!G1903)</f>
        <v>7.4728300000000001</v>
      </c>
      <c r="L1349" s="88">
        <f>M1349/J1349</f>
        <v>1852.8</v>
      </c>
      <c r="M1349" s="88">
        <f>SUMIF(H1350,"*",M1350)*J1349</f>
        <v>1852.8</v>
      </c>
      <c r="N1349" s="123">
        <f>HYPERLINK("#Трудозатраты!B508",Трудозатраты!B508+SUMIF(H1350,"*",O1350))</f>
        <v>8.5</v>
      </c>
      <c r="O1349" s="89">
        <f>N1349*J1349</f>
        <v>8.5</v>
      </c>
      <c r="P1349" s="88">
        <f>O1349/60*(1+запас_труд)*стоимость_трудочаса</f>
        <v>332.91666666666669</v>
      </c>
      <c r="Q1349" s="128">
        <f>M1349*(1+наценка_покупное)+P1349</f>
        <v>2556.2766666666662</v>
      </c>
    </row>
    <row r="1350" spans="5:17" hidden="1" outlineLevel="6" x14ac:dyDescent="0.25">
      <c r="H1350" s="75" t="s">
        <v>113</v>
      </c>
      <c r="I1350" s="76"/>
      <c r="J1350" s="78">
        <f>HYPERLINK("#Структура!E1912",Структура!E1912)</f>
        <v>15.44</v>
      </c>
      <c r="K1350" s="114" t="str">
        <f>HYPERLINK("#Структура!G1912","")</f>
        <v/>
      </c>
      <c r="L1350" s="120">
        <f>HYPERLINK("#Покупные_изделия!D286",Покупные_изделия!D286)</f>
        <v>120</v>
      </c>
      <c r="M1350" s="76">
        <f>J1350*L1350</f>
        <v>1852.8</v>
      </c>
      <c r="N1350" s="77"/>
      <c r="O1350" s="77"/>
      <c r="P1350" s="76"/>
      <c r="Q1350" s="76"/>
    </row>
    <row r="1351" spans="5:17" hidden="1" outlineLevel="5" collapsed="1" x14ac:dyDescent="0.25">
      <c r="G1351" s="84" t="s">
        <v>1216</v>
      </c>
      <c r="H1351" s="80"/>
      <c r="I1351" s="81"/>
      <c r="J1351" s="83">
        <f>HYPERLINK("#Структура!E1904",Структура!E1904)</f>
        <v>1</v>
      </c>
      <c r="K1351" s="115">
        <f>HYPERLINK("#Структура!G1904",Структура!G1904)</f>
        <v>0.40887000000000001</v>
      </c>
      <c r="L1351" s="81">
        <f>M1351/J1351</f>
        <v>62.400000000000006</v>
      </c>
      <c r="M1351" s="81">
        <f>SUMIF(H1352,"*",M1352)*J1351</f>
        <v>62.400000000000006</v>
      </c>
      <c r="N1351" s="124">
        <f>HYPERLINK("#Трудозатраты!B509",Трудозатраты!B509+SUMIF(H1352,"*",O1352))</f>
        <v>2.2999999999999998</v>
      </c>
      <c r="O1351" s="82">
        <f>N1351*J1351</f>
        <v>2.2999999999999998</v>
      </c>
      <c r="P1351" s="81">
        <f>O1351/60*(1+запас_труд)*стоимость_трудочаса</f>
        <v>90.083333333333329</v>
      </c>
      <c r="Q1351" s="129">
        <f>M1351*(1+наценка_покупное)+P1351</f>
        <v>164.96333333333334</v>
      </c>
    </row>
    <row r="1352" spans="5:17" hidden="1" outlineLevel="6" x14ac:dyDescent="0.25">
      <c r="H1352" s="75" t="s">
        <v>113</v>
      </c>
      <c r="I1352" s="76"/>
      <c r="J1352" s="78">
        <f>HYPERLINK("#Структура!E1913",Структура!E1913)</f>
        <v>0.52</v>
      </c>
      <c r="K1352" s="114" t="str">
        <f>HYPERLINK("#Структура!G1913","")</f>
        <v/>
      </c>
      <c r="L1352" s="120">
        <f>HYPERLINK("#Покупные_изделия!D286",Покупные_изделия!D286)</f>
        <v>120</v>
      </c>
      <c r="M1352" s="76">
        <f t="shared" ref="M1352:M1359" si="51">J1352*L1352</f>
        <v>62.400000000000006</v>
      </c>
      <c r="N1352" s="77"/>
      <c r="O1352" s="77"/>
      <c r="P1352" s="76"/>
      <c r="Q1352" s="76"/>
    </row>
    <row r="1353" spans="5:17" hidden="1" outlineLevel="5" x14ac:dyDescent="0.25">
      <c r="G1353" s="74" t="s">
        <v>966</v>
      </c>
      <c r="H1353" s="75"/>
      <c r="I1353" s="76"/>
      <c r="J1353" s="78">
        <f>HYPERLINK("#Структура!E1905",Структура!E1905)</f>
        <v>10</v>
      </c>
      <c r="K1353" s="114">
        <f>HYPERLINK("#Структура!G1905",Структура!G1905)</f>
        <v>5.2700000000000004E-3</v>
      </c>
      <c r="L1353" s="120">
        <f>HYPERLINK("#Покупные_изделия!D170",Покупные_изделия!D170)</f>
        <v>1.3728</v>
      </c>
      <c r="M1353" s="76">
        <f t="shared" si="51"/>
        <v>13.728</v>
      </c>
      <c r="N1353" s="77"/>
      <c r="O1353" s="77"/>
      <c r="P1353" s="76"/>
      <c r="Q1353" s="76"/>
    </row>
    <row r="1354" spans="5:17" hidden="1" outlineLevel="5" x14ac:dyDescent="0.25">
      <c r="G1354" s="74" t="s">
        <v>65</v>
      </c>
      <c r="H1354" s="75"/>
      <c r="I1354" s="76"/>
      <c r="J1354" s="78">
        <f>HYPERLINK("#Структура!E1906",Структура!E1906)</f>
        <v>1.6E-2</v>
      </c>
      <c r="K1354" s="114" t="str">
        <f>HYPERLINK("#Структура!G1906","")</f>
        <v/>
      </c>
      <c r="L1354" s="120">
        <f>HYPERLINK("#Покупные_изделия!D197",Покупные_изделия!D197)</f>
        <v>264.50399999999996</v>
      </c>
      <c r="M1354" s="76">
        <f t="shared" si="51"/>
        <v>4.2320639999999994</v>
      </c>
      <c r="N1354" s="77"/>
      <c r="O1354" s="77"/>
      <c r="P1354" s="76"/>
      <c r="Q1354" s="76"/>
    </row>
    <row r="1355" spans="5:17" hidden="1" outlineLevel="5" x14ac:dyDescent="0.25">
      <c r="G1355" s="74" t="s">
        <v>67</v>
      </c>
      <c r="H1355" s="75"/>
      <c r="I1355" s="76"/>
      <c r="J1355" s="78">
        <f>HYPERLINK("#Структура!E1907",Структура!E1907)</f>
        <v>0.06</v>
      </c>
      <c r="K1355" s="114" t="str">
        <f>HYPERLINK("#Структура!G1907","")</f>
        <v/>
      </c>
      <c r="L1355" s="120">
        <f>HYPERLINK("#Покупные_изделия!D203",Покупные_изделия!D203)</f>
        <v>30.003600000000002</v>
      </c>
      <c r="M1355" s="76">
        <f t="shared" si="51"/>
        <v>1.800216</v>
      </c>
      <c r="N1355" s="77"/>
      <c r="O1355" s="77"/>
      <c r="P1355" s="76"/>
      <c r="Q1355" s="76"/>
    </row>
    <row r="1356" spans="5:17" hidden="1" outlineLevel="5" x14ac:dyDescent="0.25">
      <c r="G1356" s="74" t="s">
        <v>146</v>
      </c>
      <c r="H1356" s="75"/>
      <c r="I1356" s="76"/>
      <c r="J1356" s="78">
        <f>HYPERLINK("#Структура!E1908",Структура!E1908)</f>
        <v>3.5000000000000003E-2</v>
      </c>
      <c r="K1356" s="114" t="str">
        <f>HYPERLINK("#Структура!G1908","")</f>
        <v/>
      </c>
      <c r="L1356" s="120">
        <f>HYPERLINK("#Покупные_изделия!D406",Покупные_изделия!D406)</f>
        <v>105.996</v>
      </c>
      <c r="M1356" s="76">
        <f t="shared" si="51"/>
        <v>3.7098600000000004</v>
      </c>
      <c r="N1356" s="77"/>
      <c r="O1356" s="77"/>
      <c r="P1356" s="76"/>
      <c r="Q1356" s="76"/>
    </row>
    <row r="1357" spans="5:17" hidden="1" outlineLevel="5" x14ac:dyDescent="0.25">
      <c r="G1357" s="74" t="s">
        <v>155</v>
      </c>
      <c r="H1357" s="75"/>
      <c r="I1357" s="76"/>
      <c r="J1357" s="78">
        <f>HYPERLINK("#Структура!E1909",Структура!E1909)</f>
        <v>0.01</v>
      </c>
      <c r="K1357" s="114" t="str">
        <f>HYPERLINK("#Структура!G1909","")</f>
        <v/>
      </c>
      <c r="L1357" s="120">
        <f>HYPERLINK("#Покупные_изделия!D423",Покупные_изделия!D423)</f>
        <v>218.28</v>
      </c>
      <c r="M1357" s="76">
        <f t="shared" si="51"/>
        <v>2.1827999999999999</v>
      </c>
      <c r="N1357" s="77"/>
      <c r="O1357" s="77"/>
      <c r="P1357" s="76"/>
      <c r="Q1357" s="76"/>
    </row>
    <row r="1358" spans="5:17" hidden="1" outlineLevel="5" x14ac:dyDescent="0.25">
      <c r="G1358" s="74" t="s">
        <v>156</v>
      </c>
      <c r="H1358" s="75"/>
      <c r="I1358" s="76"/>
      <c r="J1358" s="78">
        <f>HYPERLINK("#Структура!E1910",Структура!E1910)</f>
        <v>0.02</v>
      </c>
      <c r="K1358" s="114" t="str">
        <f>HYPERLINK("#Структура!G1910","")</f>
        <v/>
      </c>
      <c r="L1358" s="120">
        <f>HYPERLINK("#Покупные_изделия!D427",Покупные_изделия!D427)</f>
        <v>155.53200000000001</v>
      </c>
      <c r="M1358" s="76">
        <f t="shared" si="51"/>
        <v>3.1106400000000001</v>
      </c>
      <c r="N1358" s="77"/>
      <c r="O1358" s="77"/>
      <c r="P1358" s="76"/>
      <c r="Q1358" s="76"/>
    </row>
    <row r="1359" spans="5:17" hidden="1" outlineLevel="5" x14ac:dyDescent="0.25">
      <c r="G1359" s="74" t="s">
        <v>215</v>
      </c>
      <c r="H1359" s="75"/>
      <c r="I1359" s="76"/>
      <c r="J1359" s="78">
        <f>HYPERLINK("#Структура!E1911",Структура!E1911)</f>
        <v>3.5000000000000003E-2</v>
      </c>
      <c r="K1359" s="114" t="str">
        <f>HYPERLINK("#Структура!G1911","")</f>
        <v/>
      </c>
      <c r="L1359" s="120">
        <f>HYPERLINK("#Покупные_изделия!D567",Покупные_изделия!D567)</f>
        <v>405.74399999999997</v>
      </c>
      <c r="M1359" s="76">
        <f t="shared" si="51"/>
        <v>14.201040000000001</v>
      </c>
      <c r="N1359" s="77"/>
      <c r="O1359" s="77"/>
      <c r="P1359" s="76"/>
      <c r="Q1359" s="76"/>
    </row>
    <row r="1360" spans="5:17" hidden="1" outlineLevel="4" collapsed="1" x14ac:dyDescent="0.25">
      <c r="F1360" s="96" t="s">
        <v>1209</v>
      </c>
      <c r="G1360" s="91"/>
      <c r="H1360" s="92"/>
      <c r="I1360" s="93"/>
      <c r="J1360" s="95">
        <f>HYPERLINK("#Структура!E1881",Структура!E1881)</f>
        <v>1</v>
      </c>
      <c r="K1360" s="116">
        <f>HYPERLINK("#Структура!G1881",Структура!G1881)</f>
        <v>1.51356</v>
      </c>
      <c r="L1360" s="93">
        <f>M1360/J1360</f>
        <v>162.61640960000003</v>
      </c>
      <c r="M1360" s="93">
        <f>SUMIF(G1361:G1365,"*",M1361:M1365)*J1360</f>
        <v>162.61640960000003</v>
      </c>
      <c r="N1360" s="125">
        <f>HYPERLINK("#Трудозатраты!B510",Трудозатраты!B510+SUMIF(G1361:G1365,"*",O1361:O1365))</f>
        <v>14.7</v>
      </c>
      <c r="O1360" s="94">
        <f>N1360*J1360</f>
        <v>14.7</v>
      </c>
      <c r="P1360" s="93">
        <f>O1360/60*(1+запас_труд)*стоимость_трудочаса</f>
        <v>575.75</v>
      </c>
      <c r="Q1360" s="130">
        <f>M1360*(1+наценка_покупное)+P1360</f>
        <v>770.88969152000004</v>
      </c>
    </row>
    <row r="1361" spans="6:17" hidden="1" outlineLevel="5" collapsed="1" x14ac:dyDescent="0.25">
      <c r="G1361" s="85" t="s">
        <v>1217</v>
      </c>
      <c r="H1361" s="87"/>
      <c r="I1361" s="88"/>
      <c r="J1361" s="90">
        <f>HYPERLINK("#Структура!E1914",Структура!E1914)</f>
        <v>1</v>
      </c>
      <c r="K1361" s="113">
        <f>HYPERLINK("#Структура!G1914",Структура!G1914)</f>
        <v>1.4977499999999999</v>
      </c>
      <c r="L1361" s="88">
        <f>M1361/J1361</f>
        <v>158</v>
      </c>
      <c r="M1361" s="88">
        <f>SUMIF(H1362,"*",M1362)*J1361</f>
        <v>158</v>
      </c>
      <c r="N1361" s="123">
        <f>HYPERLINK("#Трудозатраты!B511",Трудозатраты!B511+SUMIF(H1362,"*",O1362))</f>
        <v>8.6999999999999993</v>
      </c>
      <c r="O1361" s="89">
        <f>N1361*J1361</f>
        <v>8.6999999999999993</v>
      </c>
      <c r="P1361" s="88">
        <f>O1361/60*(1+запас_труд)*стоимость_трудочаса</f>
        <v>340.75</v>
      </c>
      <c r="Q1361" s="128">
        <f>M1361*(1+наценка_покупное)+P1361</f>
        <v>530.35</v>
      </c>
    </row>
    <row r="1362" spans="6:17" hidden="1" outlineLevel="6" x14ac:dyDescent="0.25">
      <c r="H1362" s="75" t="s">
        <v>186</v>
      </c>
      <c r="I1362" s="76"/>
      <c r="J1362" s="78">
        <f>HYPERLINK("#Структура!E1918",Структура!E1918)</f>
        <v>1.58</v>
      </c>
      <c r="K1362" s="114" t="str">
        <f>HYPERLINK("#Структура!G1918","")</f>
        <v/>
      </c>
      <c r="L1362" s="120">
        <f>HYPERLINK("#Покупные_изделия!D499",Покупные_изделия!D499)</f>
        <v>100</v>
      </c>
      <c r="M1362" s="76">
        <f>J1362*L1362</f>
        <v>158</v>
      </c>
      <c r="N1362" s="77"/>
      <c r="O1362" s="77"/>
      <c r="P1362" s="76"/>
      <c r="Q1362" s="76"/>
    </row>
    <row r="1363" spans="6:17" hidden="1" outlineLevel="5" x14ac:dyDescent="0.25">
      <c r="G1363" s="74" t="s">
        <v>966</v>
      </c>
      <c r="H1363" s="75"/>
      <c r="I1363" s="76"/>
      <c r="J1363" s="78">
        <f>HYPERLINK("#Структура!E1915",Структура!E1915)</f>
        <v>3</v>
      </c>
      <c r="K1363" s="114">
        <f>HYPERLINK("#Структура!G1915",Структура!G1915)</f>
        <v>5.2700000000000004E-3</v>
      </c>
      <c r="L1363" s="120">
        <f>HYPERLINK("#Покупные_изделия!D170",Покупные_изделия!D170)</f>
        <v>1.3728</v>
      </c>
      <c r="M1363" s="76">
        <f>J1363*L1363</f>
        <v>4.1184000000000003</v>
      </c>
      <c r="N1363" s="77"/>
      <c r="O1363" s="77"/>
      <c r="P1363" s="76"/>
      <c r="Q1363" s="76"/>
    </row>
    <row r="1364" spans="6:17" hidden="1" outlineLevel="5" x14ac:dyDescent="0.25">
      <c r="G1364" s="74" t="s">
        <v>67</v>
      </c>
      <c r="H1364" s="75"/>
      <c r="I1364" s="76"/>
      <c r="J1364" s="78">
        <f>HYPERLINK("#Структура!E1916",Структура!E1916)</f>
        <v>6.0000000000000001E-3</v>
      </c>
      <c r="K1364" s="114" t="str">
        <f>HYPERLINK("#Структура!G1916","")</f>
        <v/>
      </c>
      <c r="L1364" s="120">
        <f>HYPERLINK("#Покупные_изделия!D203",Покупные_изделия!D203)</f>
        <v>30.003600000000002</v>
      </c>
      <c r="M1364" s="76">
        <f>J1364*L1364</f>
        <v>0.1800216</v>
      </c>
      <c r="N1364" s="77"/>
      <c r="O1364" s="77"/>
      <c r="P1364" s="76"/>
      <c r="Q1364" s="76"/>
    </row>
    <row r="1365" spans="6:17" hidden="1" outlineLevel="5" x14ac:dyDescent="0.25">
      <c r="G1365" s="74" t="s">
        <v>146</v>
      </c>
      <c r="H1365" s="75"/>
      <c r="I1365" s="76"/>
      <c r="J1365" s="78">
        <f>HYPERLINK("#Структура!E1917",Структура!E1917)</f>
        <v>3.0000000000000001E-3</v>
      </c>
      <c r="K1365" s="114" t="str">
        <f>HYPERLINK("#Структура!G1917","")</f>
        <v/>
      </c>
      <c r="L1365" s="120">
        <f>HYPERLINK("#Покупные_изделия!D406",Покупные_изделия!D406)</f>
        <v>105.996</v>
      </c>
      <c r="M1365" s="76">
        <f>J1365*L1365</f>
        <v>0.31798799999999999</v>
      </c>
      <c r="N1365" s="77"/>
      <c r="O1365" s="77"/>
      <c r="P1365" s="76"/>
      <c r="Q1365" s="76"/>
    </row>
    <row r="1366" spans="6:17" hidden="1" outlineLevel="4" collapsed="1" x14ac:dyDescent="0.25">
      <c r="F1366" s="84" t="s">
        <v>1210</v>
      </c>
      <c r="G1366" s="79"/>
      <c r="H1366" s="80"/>
      <c r="I1366" s="81"/>
      <c r="J1366" s="83">
        <f>HYPERLINK("#Структура!E1882",Структура!E1882)</f>
        <v>1</v>
      </c>
      <c r="K1366" s="115">
        <f>HYPERLINK("#Структура!G1882",Структура!G1882)</f>
        <v>21.548110000000001</v>
      </c>
      <c r="L1366" s="81">
        <f>M1366/J1366</f>
        <v>4729.2</v>
      </c>
      <c r="M1366" s="81">
        <f>SUMIF(G1367,"*",M1367)*J1366</f>
        <v>4729.2</v>
      </c>
      <c r="N1366" s="124">
        <f>HYPERLINK("#Трудозатраты!B503",Трудозатраты!B503+SUMIF(G1367,"*",O1367))</f>
        <v>28.5</v>
      </c>
      <c r="O1366" s="82">
        <f>N1366*J1366</f>
        <v>28.5</v>
      </c>
      <c r="P1366" s="81">
        <f>O1366/60*(1+запас_труд)*стоимость_трудочаса</f>
        <v>1116.25</v>
      </c>
      <c r="Q1366" s="129">
        <f>M1366*(1+наценка_покупное)+P1366</f>
        <v>6791.29</v>
      </c>
    </row>
    <row r="1367" spans="6:17" hidden="1" outlineLevel="5" x14ac:dyDescent="0.25">
      <c r="G1367" s="74" t="s">
        <v>115</v>
      </c>
      <c r="H1367" s="75"/>
      <c r="I1367" s="76"/>
      <c r="J1367" s="78">
        <f>HYPERLINK("#Структура!E1897",Структура!E1897)</f>
        <v>39.409999999999997</v>
      </c>
      <c r="K1367" s="114" t="str">
        <f>HYPERLINK("#Структура!G1897","")</f>
        <v/>
      </c>
      <c r="L1367" s="120">
        <f>HYPERLINK("#Покупные_изделия!D289",Покупные_изделия!D289)</f>
        <v>120</v>
      </c>
      <c r="M1367" s="76">
        <f>J1367*L1367</f>
        <v>4729.2</v>
      </c>
      <c r="N1367" s="77"/>
      <c r="O1367" s="77"/>
      <c r="P1367" s="76"/>
      <c r="Q1367" s="76"/>
    </row>
    <row r="1368" spans="6:17" hidden="1" outlineLevel="4" collapsed="1" x14ac:dyDescent="0.25">
      <c r="F1368" s="84" t="s">
        <v>1211</v>
      </c>
      <c r="G1368" s="79"/>
      <c r="H1368" s="80"/>
      <c r="I1368" s="81"/>
      <c r="J1368" s="83">
        <f>HYPERLINK("#Структура!E1883",Структура!E1883)</f>
        <v>1</v>
      </c>
      <c r="K1368" s="115">
        <f>HYPERLINK("#Структура!G1883",Структура!G1883)</f>
        <v>21.548110000000001</v>
      </c>
      <c r="L1368" s="81">
        <f>M1368/J1368</f>
        <v>4729.2</v>
      </c>
      <c r="M1368" s="81">
        <f>SUMIF(G1369,"*",M1369)*J1368</f>
        <v>4729.2</v>
      </c>
      <c r="N1368" s="124">
        <f>HYPERLINK("#Трудозатраты!B504",Трудозатраты!B504+SUMIF(G1369,"*",O1369))</f>
        <v>28.5</v>
      </c>
      <c r="O1368" s="82">
        <f>N1368*J1368</f>
        <v>28.5</v>
      </c>
      <c r="P1368" s="81">
        <f>O1368/60*(1+запас_труд)*стоимость_трудочаса</f>
        <v>1116.25</v>
      </c>
      <c r="Q1368" s="129">
        <f>M1368*(1+наценка_покупное)+P1368</f>
        <v>6791.29</v>
      </c>
    </row>
    <row r="1369" spans="6:17" hidden="1" outlineLevel="5" x14ac:dyDescent="0.25">
      <c r="G1369" s="74" t="s">
        <v>115</v>
      </c>
      <c r="H1369" s="75"/>
      <c r="I1369" s="76"/>
      <c r="J1369" s="78">
        <f>HYPERLINK("#Структура!E1898",Структура!E1898)</f>
        <v>39.409999999999997</v>
      </c>
      <c r="K1369" s="114" t="str">
        <f>HYPERLINK("#Структура!G1898","")</f>
        <v/>
      </c>
      <c r="L1369" s="120">
        <f>HYPERLINK("#Покупные_изделия!D289",Покупные_изделия!D289)</f>
        <v>120</v>
      </c>
      <c r="M1369" s="76">
        <f>J1369*L1369</f>
        <v>4729.2</v>
      </c>
      <c r="N1369" s="77"/>
      <c r="O1369" s="77"/>
      <c r="P1369" s="76"/>
      <c r="Q1369" s="76"/>
    </row>
    <row r="1370" spans="6:17" hidden="1" outlineLevel="4" collapsed="1" x14ac:dyDescent="0.25">
      <c r="F1370" s="84" t="s">
        <v>1212</v>
      </c>
      <c r="G1370" s="79"/>
      <c r="H1370" s="80"/>
      <c r="I1370" s="81"/>
      <c r="J1370" s="83">
        <f>HYPERLINK("#Структура!E1884",Структура!E1884)</f>
        <v>1</v>
      </c>
      <c r="K1370" s="115">
        <f>HYPERLINK("#Структура!G1884",Структура!G1884)</f>
        <v>43.787379999999999</v>
      </c>
      <c r="L1370" s="81">
        <f>M1370/J1370</f>
        <v>6944.2821839999997</v>
      </c>
      <c r="M1370" s="81">
        <f>SUMIF(G1371:G1373,"*",M1371:M1373)*J1370</f>
        <v>6944.2821839999997</v>
      </c>
      <c r="N1370" s="124">
        <f>HYPERLINK("#Трудозатраты!B505",Трудозатраты!B505+SUMIF(G1371:G1373,"*",O1371:O1373))</f>
        <v>50.5</v>
      </c>
      <c r="O1370" s="82">
        <f>N1370*J1370</f>
        <v>50.5</v>
      </c>
      <c r="P1370" s="81">
        <f>O1370/60*(1+запас_труд)*стоимость_трудочаса</f>
        <v>1977.9166666666667</v>
      </c>
      <c r="Q1370" s="129">
        <f>M1370*(1+наценка_покупное)+P1370</f>
        <v>10311.055287466665</v>
      </c>
    </row>
    <row r="1371" spans="6:17" hidden="1" outlineLevel="5" x14ac:dyDescent="0.25">
      <c r="G1371" s="74" t="s">
        <v>46</v>
      </c>
      <c r="H1371" s="75"/>
      <c r="I1371" s="76"/>
      <c r="J1371" s="78">
        <f>HYPERLINK("#Структура!E1899",Структура!E1899)</f>
        <v>72.66</v>
      </c>
      <c r="K1371" s="114" t="str">
        <f>HYPERLINK("#Структура!G1899","")</f>
        <v/>
      </c>
      <c r="L1371" s="120">
        <f>HYPERLINK("#Покупные_изделия!D68",Покупные_изделия!D68)</f>
        <v>0.21</v>
      </c>
      <c r="M1371" s="76">
        <f>J1371*L1371</f>
        <v>15.258599999999999</v>
      </c>
      <c r="N1371" s="77"/>
      <c r="O1371" s="77"/>
      <c r="P1371" s="76"/>
      <c r="Q1371" s="76"/>
    </row>
    <row r="1372" spans="6:17" hidden="1" outlineLevel="5" x14ac:dyDescent="0.25">
      <c r="G1372" s="74" t="s">
        <v>113</v>
      </c>
      <c r="H1372" s="75"/>
      <c r="I1372" s="76"/>
      <c r="J1372" s="78">
        <f>HYPERLINK("#Структура!E1900",Структура!E1900)</f>
        <v>57.65</v>
      </c>
      <c r="K1372" s="114" t="str">
        <f>HYPERLINK("#Структура!G1900","")</f>
        <v/>
      </c>
      <c r="L1372" s="120">
        <f>HYPERLINK("#Покупные_изделия!D286",Покупные_изделия!D286)</f>
        <v>120</v>
      </c>
      <c r="M1372" s="76">
        <f>J1372*L1372</f>
        <v>6918</v>
      </c>
      <c r="N1372" s="77"/>
      <c r="O1372" s="77"/>
      <c r="P1372" s="76"/>
      <c r="Q1372" s="76"/>
    </row>
    <row r="1373" spans="6:17" hidden="1" outlineLevel="5" x14ac:dyDescent="0.25">
      <c r="G1373" s="74" t="s">
        <v>146</v>
      </c>
      <c r="H1373" s="75"/>
      <c r="I1373" s="76"/>
      <c r="J1373" s="78">
        <f>HYPERLINK("#Структура!E1901",Структура!E1901)</f>
        <v>0.104</v>
      </c>
      <c r="K1373" s="114" t="str">
        <f>HYPERLINK("#Структура!G1901","")</f>
        <v/>
      </c>
      <c r="L1373" s="120">
        <f>HYPERLINK("#Покупные_изделия!D406",Покупные_изделия!D406)</f>
        <v>105.996</v>
      </c>
      <c r="M1373" s="76">
        <f>J1373*L1373</f>
        <v>11.023584</v>
      </c>
      <c r="N1373" s="77"/>
      <c r="O1373" s="77"/>
      <c r="P1373" s="76"/>
      <c r="Q1373" s="76"/>
    </row>
    <row r="1374" spans="6:17" hidden="1" outlineLevel="4" collapsed="1" x14ac:dyDescent="0.25">
      <c r="F1374" s="84" t="s">
        <v>1213</v>
      </c>
      <c r="G1374" s="79"/>
      <c r="H1374" s="80"/>
      <c r="I1374" s="81"/>
      <c r="J1374" s="83">
        <f>HYPERLINK("#Структура!E1885",Структура!E1885)</f>
        <v>4</v>
      </c>
      <c r="K1374" s="115">
        <f>HYPERLINK("#Структура!G1885",Структура!G1885)</f>
        <v>2.6890000000000001E-2</v>
      </c>
      <c r="L1374" s="81">
        <f>M1374/J1374</f>
        <v>5.3999999999999995</v>
      </c>
      <c r="M1374" s="81">
        <f>SUMIF(G1375,"*",M1375)*J1374</f>
        <v>21.599999999999998</v>
      </c>
      <c r="N1374" s="124">
        <f>HYPERLINK("#Трудозатраты!B506",Трудозатраты!B506+SUMIF(G1375,"*",O1375))</f>
        <v>0.5</v>
      </c>
      <c r="O1374" s="82">
        <f>N1374*J1374</f>
        <v>2</v>
      </c>
      <c r="P1374" s="81">
        <f>O1374/60*(1+запас_труд)*стоимость_трудочаса</f>
        <v>78.333333333333329</v>
      </c>
      <c r="Q1374" s="129">
        <f>M1374*(1+наценка_покупное)+P1374</f>
        <v>104.25333333333333</v>
      </c>
    </row>
    <row r="1375" spans="6:17" hidden="1" outlineLevel="5" x14ac:dyDescent="0.25">
      <c r="G1375" s="74" t="s">
        <v>115</v>
      </c>
      <c r="H1375" s="75"/>
      <c r="I1375" s="76"/>
      <c r="J1375" s="78">
        <f>HYPERLINK("#Структура!E1902",Структура!E1902)</f>
        <v>4.4999999999999998E-2</v>
      </c>
      <c r="K1375" s="114" t="str">
        <f>HYPERLINK("#Структура!G1902","")</f>
        <v/>
      </c>
      <c r="L1375" s="120">
        <f>HYPERLINK("#Покупные_изделия!D289",Покупные_изделия!D289)</f>
        <v>120</v>
      </c>
      <c r="M1375" s="76">
        <f t="shared" ref="M1375:M1386" si="52">J1375*L1375</f>
        <v>5.3999999999999995</v>
      </c>
      <c r="N1375" s="77"/>
      <c r="O1375" s="77"/>
      <c r="P1375" s="76"/>
      <c r="Q1375" s="76"/>
    </row>
    <row r="1376" spans="6:17" hidden="1" outlineLevel="4" x14ac:dyDescent="0.25">
      <c r="F1376" s="74" t="s">
        <v>1214</v>
      </c>
      <c r="G1376" s="74"/>
      <c r="H1376" s="75"/>
      <c r="I1376" s="76"/>
      <c r="J1376" s="78">
        <f>HYPERLINK("#Структура!E1886",Структура!E1886)</f>
        <v>4</v>
      </c>
      <c r="K1376" s="114">
        <f>HYPERLINK("#Структура!G1886",Структура!G1886)</f>
        <v>9.5999999999999992E-3</v>
      </c>
      <c r="L1376" s="120">
        <f>HYPERLINK("#Покупные_изделия!D169",Покупные_изделия!D169)</f>
        <v>10.92</v>
      </c>
      <c r="M1376" s="76">
        <f t="shared" si="52"/>
        <v>43.68</v>
      </c>
      <c r="N1376" s="77"/>
      <c r="O1376" s="77"/>
      <c r="P1376" s="76"/>
      <c r="Q1376" s="76"/>
    </row>
    <row r="1377" spans="5:17" hidden="1" outlineLevel="4" x14ac:dyDescent="0.25">
      <c r="F1377" s="74" t="s">
        <v>966</v>
      </c>
      <c r="G1377" s="74"/>
      <c r="H1377" s="75"/>
      <c r="I1377" s="76"/>
      <c r="J1377" s="78">
        <f>HYPERLINK("#Структура!E1887",Структура!E1887)</f>
        <v>46</v>
      </c>
      <c r="K1377" s="114">
        <f>HYPERLINK("#Структура!G1887",Структура!G1887)</f>
        <v>5.2700000000000004E-3</v>
      </c>
      <c r="L1377" s="120">
        <f>HYPERLINK("#Покупные_изделия!D170",Покупные_изделия!D170)</f>
        <v>1.3728</v>
      </c>
      <c r="M1377" s="76">
        <f t="shared" si="52"/>
        <v>63.148800000000001</v>
      </c>
      <c r="N1377" s="77"/>
      <c r="O1377" s="77"/>
      <c r="P1377" s="76"/>
      <c r="Q1377" s="76"/>
    </row>
    <row r="1378" spans="5:17" hidden="1" outlineLevel="4" x14ac:dyDescent="0.25">
      <c r="F1378" s="74" t="s">
        <v>106</v>
      </c>
      <c r="G1378" s="74"/>
      <c r="H1378" s="75"/>
      <c r="I1378" s="76"/>
      <c r="J1378" s="78">
        <f>HYPERLINK("#Структура!E1888",Структура!E1888)</f>
        <v>3.5</v>
      </c>
      <c r="K1378" s="114" t="str">
        <f>HYPERLINK("#Структура!G1888","")</f>
        <v/>
      </c>
      <c r="L1378" s="120">
        <f>HYPERLINK("#Покупные_изделия!D278",Покупные_изделия!D278)</f>
        <v>6.1644000000000005</v>
      </c>
      <c r="M1378" s="76">
        <f t="shared" si="52"/>
        <v>21.575400000000002</v>
      </c>
      <c r="N1378" s="77"/>
      <c r="O1378" s="77"/>
      <c r="P1378" s="76"/>
      <c r="Q1378" s="76"/>
    </row>
    <row r="1379" spans="5:17" hidden="1" outlineLevel="4" x14ac:dyDescent="0.25">
      <c r="F1379" s="74" t="s">
        <v>137</v>
      </c>
      <c r="G1379" s="74"/>
      <c r="H1379" s="75"/>
      <c r="I1379" s="76"/>
      <c r="J1379" s="78">
        <f>HYPERLINK("#Структура!E1889",Структура!E1889)</f>
        <v>1</v>
      </c>
      <c r="K1379" s="114" t="str">
        <f>HYPERLINK("#Структура!G1889","")</f>
        <v/>
      </c>
      <c r="L1379" s="120">
        <f>HYPERLINK("#Покупные_изделия!D332",Покупные_изделия!D332)</f>
        <v>110.00000000000001</v>
      </c>
      <c r="M1379" s="76">
        <f t="shared" si="52"/>
        <v>110.00000000000001</v>
      </c>
      <c r="N1379" s="77"/>
      <c r="O1379" s="77"/>
      <c r="P1379" s="76"/>
      <c r="Q1379" s="76"/>
    </row>
    <row r="1380" spans="5:17" hidden="1" outlineLevel="4" x14ac:dyDescent="0.25">
      <c r="F1380" s="74" t="s">
        <v>138</v>
      </c>
      <c r="G1380" s="74"/>
      <c r="H1380" s="75"/>
      <c r="I1380" s="76"/>
      <c r="J1380" s="78">
        <f>HYPERLINK("#Структура!E1890",Структура!E1890)</f>
        <v>1</v>
      </c>
      <c r="K1380" s="114" t="str">
        <f>HYPERLINK("#Структура!G1890","")</f>
        <v/>
      </c>
      <c r="L1380" s="120">
        <f>HYPERLINK("#Покупные_изделия!D333",Покупные_изделия!D333)</f>
        <v>110.00000000000001</v>
      </c>
      <c r="M1380" s="76">
        <f t="shared" si="52"/>
        <v>110.00000000000001</v>
      </c>
      <c r="N1380" s="77"/>
      <c r="O1380" s="77"/>
      <c r="P1380" s="76"/>
      <c r="Q1380" s="76"/>
    </row>
    <row r="1381" spans="5:17" hidden="1" outlineLevel="4" x14ac:dyDescent="0.25">
      <c r="F1381" s="74" t="s">
        <v>65</v>
      </c>
      <c r="G1381" s="74"/>
      <c r="H1381" s="75"/>
      <c r="I1381" s="76"/>
      <c r="J1381" s="78">
        <f>HYPERLINK("#Структура!E1891",Структура!E1891)</f>
        <v>1.28</v>
      </c>
      <c r="K1381" s="114" t="str">
        <f>HYPERLINK("#Структура!G1891","")</f>
        <v/>
      </c>
      <c r="L1381" s="120">
        <f>HYPERLINK("#Покупные_изделия!D197",Покупные_изделия!D197)</f>
        <v>264.50399999999996</v>
      </c>
      <c r="M1381" s="76">
        <f t="shared" si="52"/>
        <v>338.56511999999998</v>
      </c>
      <c r="N1381" s="77"/>
      <c r="O1381" s="77"/>
      <c r="P1381" s="76"/>
      <c r="Q1381" s="76"/>
    </row>
    <row r="1382" spans="5:17" hidden="1" outlineLevel="4" x14ac:dyDescent="0.25">
      <c r="F1382" s="74" t="s">
        <v>67</v>
      </c>
      <c r="G1382" s="74"/>
      <c r="H1382" s="75"/>
      <c r="I1382" s="76"/>
      <c r="J1382" s="78">
        <f>HYPERLINK("#Структура!E1892",Структура!E1892)</f>
        <v>2.613</v>
      </c>
      <c r="K1382" s="114" t="str">
        <f>HYPERLINK("#Структура!G1892","")</f>
        <v/>
      </c>
      <c r="L1382" s="120">
        <f>HYPERLINK("#Покупные_изделия!D203",Покупные_изделия!D203)</f>
        <v>30.003600000000002</v>
      </c>
      <c r="M1382" s="76">
        <f t="shared" si="52"/>
        <v>78.399406800000008</v>
      </c>
      <c r="N1382" s="77"/>
      <c r="O1382" s="77"/>
      <c r="P1382" s="76"/>
      <c r="Q1382" s="76"/>
    </row>
    <row r="1383" spans="5:17" hidden="1" outlineLevel="4" x14ac:dyDescent="0.25">
      <c r="F1383" s="74" t="s">
        <v>146</v>
      </c>
      <c r="G1383" s="74"/>
      <c r="H1383" s="75"/>
      <c r="I1383" s="76"/>
      <c r="J1383" s="78">
        <f>HYPERLINK("#Структура!E1893",Структура!E1893)</f>
        <v>1.5369999999999999</v>
      </c>
      <c r="K1383" s="114" t="str">
        <f>HYPERLINK("#Структура!G1893","")</f>
        <v/>
      </c>
      <c r="L1383" s="120">
        <f>HYPERLINK("#Покупные_изделия!D406",Покупные_изделия!D406)</f>
        <v>105.996</v>
      </c>
      <c r="M1383" s="76">
        <f t="shared" si="52"/>
        <v>162.91585199999997</v>
      </c>
      <c r="N1383" s="77"/>
      <c r="O1383" s="77"/>
      <c r="P1383" s="76"/>
      <c r="Q1383" s="76"/>
    </row>
    <row r="1384" spans="5:17" hidden="1" outlineLevel="4" x14ac:dyDescent="0.25">
      <c r="F1384" s="74" t="s">
        <v>155</v>
      </c>
      <c r="G1384" s="74"/>
      <c r="H1384" s="75"/>
      <c r="I1384" s="76"/>
      <c r="J1384" s="78">
        <f>HYPERLINK("#Структура!E1894",Структура!E1894)</f>
        <v>0.38400000000000001</v>
      </c>
      <c r="K1384" s="114" t="str">
        <f>HYPERLINK("#Структура!G1894","")</f>
        <v/>
      </c>
      <c r="L1384" s="120">
        <f>HYPERLINK("#Покупные_изделия!D423",Покупные_изделия!D423)</f>
        <v>218.28</v>
      </c>
      <c r="M1384" s="76">
        <f t="shared" si="52"/>
        <v>83.819519999999997</v>
      </c>
      <c r="N1384" s="77"/>
      <c r="O1384" s="77"/>
      <c r="P1384" s="76"/>
      <c r="Q1384" s="76"/>
    </row>
    <row r="1385" spans="5:17" hidden="1" outlineLevel="4" x14ac:dyDescent="0.25">
      <c r="F1385" s="74" t="s">
        <v>200</v>
      </c>
      <c r="G1385" s="74"/>
      <c r="H1385" s="75"/>
      <c r="I1385" s="76"/>
      <c r="J1385" s="78">
        <f>HYPERLINK("#Структура!E1895",Структура!E1895)</f>
        <v>1.599</v>
      </c>
      <c r="K1385" s="114" t="str">
        <f>HYPERLINK("#Структура!G1895","")</f>
        <v/>
      </c>
      <c r="L1385" s="120">
        <f>HYPERLINK("#Покупные_изделия!D518",Покупные_изделия!D518)</f>
        <v>270</v>
      </c>
      <c r="M1385" s="76">
        <f t="shared" si="52"/>
        <v>431.73</v>
      </c>
      <c r="N1385" s="77"/>
      <c r="O1385" s="77"/>
      <c r="P1385" s="76"/>
      <c r="Q1385" s="76"/>
    </row>
    <row r="1386" spans="5:17" hidden="1" outlineLevel="4" x14ac:dyDescent="0.25">
      <c r="F1386" s="74" t="s">
        <v>215</v>
      </c>
      <c r="G1386" s="74"/>
      <c r="H1386" s="75"/>
      <c r="I1386" s="76"/>
      <c r="J1386" s="78">
        <f>HYPERLINK("#Структура!E1896",Структура!E1896)</f>
        <v>2.56</v>
      </c>
      <c r="K1386" s="114" t="str">
        <f>HYPERLINK("#Структура!G1896","")</f>
        <v/>
      </c>
      <c r="L1386" s="120">
        <f>HYPERLINK("#Покупные_изделия!D567",Покупные_изделия!D567)</f>
        <v>405.74399999999997</v>
      </c>
      <c r="M1386" s="76">
        <f t="shared" si="52"/>
        <v>1038.7046399999999</v>
      </c>
      <c r="N1386" s="77"/>
      <c r="O1386" s="77"/>
      <c r="P1386" s="76"/>
      <c r="Q1386" s="76"/>
    </row>
    <row r="1387" spans="5:17" hidden="1" outlineLevel="3" collapsed="1" x14ac:dyDescent="0.25">
      <c r="E1387" s="96" t="s">
        <v>1179</v>
      </c>
      <c r="F1387" s="91"/>
      <c r="G1387" s="91"/>
      <c r="H1387" s="92"/>
      <c r="I1387" s="93"/>
      <c r="J1387" s="95">
        <f>HYPERLINK("#Структура!E1786",Структура!E1786)</f>
        <v>1</v>
      </c>
      <c r="K1387" s="116">
        <f>HYPERLINK("#Структура!G1786",Структура!G1786)</f>
        <v>21.91086</v>
      </c>
      <c r="L1387" s="93">
        <f>M1387/J1387</f>
        <v>3887.8279715999997</v>
      </c>
      <c r="M1387" s="93">
        <f>SUMIF(F1388:F1421,"*",M1388:M1421)*J1387</f>
        <v>3887.8279715999997</v>
      </c>
      <c r="N1387" s="125">
        <f>HYPERLINK("#Трудозатраты!B512",Трудозатраты!B512+SUMIF(F1388:F1421,"*",O1388:O1421))</f>
        <v>101.10000000000001</v>
      </c>
      <c r="O1387" s="94">
        <f>N1387*J1387</f>
        <v>101.10000000000001</v>
      </c>
      <c r="P1387" s="93">
        <f>O1387/60*(1+запас_труд)*стоимость_трудочаса</f>
        <v>3959.75</v>
      </c>
      <c r="Q1387" s="130">
        <f>M1387*(1+наценка_покупное)+P1387</f>
        <v>8625.1435659199997</v>
      </c>
    </row>
    <row r="1388" spans="5:17" hidden="1" outlineLevel="4" collapsed="1" x14ac:dyDescent="0.25">
      <c r="F1388" s="97" t="s">
        <v>1218</v>
      </c>
      <c r="G1388" s="98"/>
      <c r="H1388" s="99"/>
      <c r="I1388" s="100"/>
      <c r="J1388" s="102">
        <f>HYPERLINK("#Структура!E1919",Структура!E1919)</f>
        <v>1</v>
      </c>
      <c r="K1388" s="112">
        <f>HYPERLINK("#Структура!G1919",Структура!G1919)</f>
        <v>17.11318</v>
      </c>
      <c r="L1388" s="100">
        <f>M1388/J1388</f>
        <v>2603.6978808000003</v>
      </c>
      <c r="M1388" s="100">
        <f>SUMIF(G1389:G1400,"*",M1389:M1400)*J1388</f>
        <v>2603.6978808000003</v>
      </c>
      <c r="N1388" s="122">
        <f>HYPERLINK("#Трудозатраты!B514",Трудозатраты!B514+SUMIF(G1389:G1400,"*",O1389:O1400))</f>
        <v>63.5</v>
      </c>
      <c r="O1388" s="101">
        <f>N1388*J1388</f>
        <v>63.5</v>
      </c>
      <c r="P1388" s="100">
        <f>O1388/60*(1+запас_труд)*стоимость_трудочаса</f>
        <v>2487.0833333333335</v>
      </c>
      <c r="Q1388" s="127">
        <f>M1388*(1+наценка_покупное)+P1388</f>
        <v>5611.5207902933344</v>
      </c>
    </row>
    <row r="1389" spans="5:17" hidden="1" outlineLevel="5" collapsed="1" x14ac:dyDescent="0.25">
      <c r="G1389" s="85" t="s">
        <v>1222</v>
      </c>
      <c r="H1389" s="87"/>
      <c r="I1389" s="88"/>
      <c r="J1389" s="90">
        <f>HYPERLINK("#Структура!E1929",Структура!E1929)</f>
        <v>2</v>
      </c>
      <c r="K1389" s="113">
        <f>HYPERLINK("#Структура!G1929",Структура!G1929)</f>
        <v>7.1966000000000001</v>
      </c>
      <c r="L1389" s="88">
        <f>M1389/J1389</f>
        <v>1044</v>
      </c>
      <c r="M1389" s="88">
        <f>SUMIF(H1390,"*",M1390)*J1389</f>
        <v>2088</v>
      </c>
      <c r="N1389" s="123">
        <f>HYPERLINK("#Трудозатраты!B515",Трудозатраты!B515+SUMIF(H1390,"*",O1390))</f>
        <v>9.9</v>
      </c>
      <c r="O1389" s="89">
        <f>N1389*J1389</f>
        <v>19.8</v>
      </c>
      <c r="P1389" s="88">
        <f>O1389/60*(1+запас_труд)*стоимость_трудочаса</f>
        <v>775.5</v>
      </c>
      <c r="Q1389" s="128">
        <f>M1389*(1+наценка_покупное)+P1389</f>
        <v>3281.1</v>
      </c>
    </row>
    <row r="1390" spans="5:17" hidden="1" outlineLevel="6" x14ac:dyDescent="0.25">
      <c r="H1390" s="75" t="s">
        <v>111</v>
      </c>
      <c r="I1390" s="76"/>
      <c r="J1390" s="78">
        <f>HYPERLINK("#Структура!E1938",Структура!E1938)</f>
        <v>8.6999999999999993</v>
      </c>
      <c r="K1390" s="114" t="str">
        <f>HYPERLINK("#Структура!G1938","")</f>
        <v/>
      </c>
      <c r="L1390" s="120">
        <f>HYPERLINK("#Покупные_изделия!D283",Покупные_изделия!D283)</f>
        <v>120</v>
      </c>
      <c r="M1390" s="76">
        <f>J1390*L1390</f>
        <v>1044</v>
      </c>
      <c r="N1390" s="77"/>
      <c r="O1390" s="77"/>
      <c r="P1390" s="76"/>
      <c r="Q1390" s="76"/>
    </row>
    <row r="1391" spans="5:17" hidden="1" outlineLevel="5" collapsed="1" x14ac:dyDescent="0.25">
      <c r="G1391" s="84" t="s">
        <v>1223</v>
      </c>
      <c r="H1391" s="80"/>
      <c r="I1391" s="81"/>
      <c r="J1391" s="83">
        <f>HYPERLINK("#Структура!E1930",Структура!E1930)</f>
        <v>2</v>
      </c>
      <c r="K1391" s="115">
        <f>HYPERLINK("#Структура!G1930",Структура!G1930)</f>
        <v>1.0219</v>
      </c>
      <c r="L1391" s="81">
        <f>M1391/J1391</f>
        <v>150</v>
      </c>
      <c r="M1391" s="81">
        <f>SUMIF(H1392,"*",M1392)*J1391</f>
        <v>300</v>
      </c>
      <c r="N1391" s="124">
        <f>HYPERLINK("#Трудозатраты!B516",Трудозатраты!B516+SUMIF(H1392,"*",O1392))</f>
        <v>2</v>
      </c>
      <c r="O1391" s="82">
        <f>N1391*J1391</f>
        <v>4</v>
      </c>
      <c r="P1391" s="81">
        <f>O1391/60*(1+запас_труд)*стоимость_трудочаса</f>
        <v>156.66666666666666</v>
      </c>
      <c r="Q1391" s="129">
        <f>M1391*(1+наценка_покупное)+P1391</f>
        <v>516.66666666666663</v>
      </c>
    </row>
    <row r="1392" spans="5:17" hidden="1" outlineLevel="6" x14ac:dyDescent="0.25">
      <c r="H1392" s="75" t="s">
        <v>117</v>
      </c>
      <c r="I1392" s="76"/>
      <c r="J1392" s="78">
        <f>HYPERLINK("#Структура!E1939",Структура!E1939)</f>
        <v>1.25</v>
      </c>
      <c r="K1392" s="114" t="str">
        <f>HYPERLINK("#Структура!G1939","")</f>
        <v/>
      </c>
      <c r="L1392" s="120">
        <f>HYPERLINK("#Покупные_изделия!D292",Покупные_изделия!D292)</f>
        <v>120</v>
      </c>
      <c r="M1392" s="76">
        <f>J1392*L1392</f>
        <v>150</v>
      </c>
      <c r="N1392" s="77"/>
      <c r="O1392" s="77"/>
      <c r="P1392" s="76"/>
      <c r="Q1392" s="76"/>
    </row>
    <row r="1393" spans="6:17" hidden="1" outlineLevel="5" collapsed="1" x14ac:dyDescent="0.25">
      <c r="G1393" s="84" t="s">
        <v>1224</v>
      </c>
      <c r="H1393" s="80"/>
      <c r="I1393" s="81"/>
      <c r="J1393" s="83">
        <f>HYPERLINK("#Структура!E1931",Структура!E1931)</f>
        <v>4</v>
      </c>
      <c r="K1393" s="115">
        <f>HYPERLINK("#Структура!G1931",Структура!G1931)</f>
        <v>0.16904</v>
      </c>
      <c r="L1393" s="81">
        <f>M1393/J1393</f>
        <v>25.2</v>
      </c>
      <c r="M1393" s="81">
        <f>SUMIF(H1394,"*",M1394)*J1393</f>
        <v>100.8</v>
      </c>
      <c r="N1393" s="124">
        <f>HYPERLINK("#Трудозатраты!B517",Трудозатраты!B517+SUMIF(H1394,"*",O1394))</f>
        <v>0.8</v>
      </c>
      <c r="O1393" s="82">
        <f>N1393*J1393</f>
        <v>3.2</v>
      </c>
      <c r="P1393" s="81">
        <f>O1393/60*(1+запас_труд)*стоимость_трудочаса</f>
        <v>125.33333333333334</v>
      </c>
      <c r="Q1393" s="129">
        <f>M1393*(1+наценка_покупное)+P1393</f>
        <v>246.29333333333335</v>
      </c>
    </row>
    <row r="1394" spans="6:17" hidden="1" outlineLevel="6" x14ac:dyDescent="0.25">
      <c r="H1394" s="75" t="s">
        <v>117</v>
      </c>
      <c r="I1394" s="76"/>
      <c r="J1394" s="78">
        <f>HYPERLINK("#Структура!E1940",Структура!E1940)</f>
        <v>0.21</v>
      </c>
      <c r="K1394" s="114" t="str">
        <f>HYPERLINK("#Структура!G1940","")</f>
        <v/>
      </c>
      <c r="L1394" s="120">
        <f>HYPERLINK("#Покупные_изделия!D292",Покупные_изделия!D292)</f>
        <v>120</v>
      </c>
      <c r="M1394" s="76">
        <f t="shared" ref="M1394:M1400" si="53">J1394*L1394</f>
        <v>25.2</v>
      </c>
      <c r="N1394" s="77"/>
      <c r="O1394" s="77"/>
      <c r="P1394" s="76"/>
      <c r="Q1394" s="76"/>
    </row>
    <row r="1395" spans="6:17" hidden="1" outlineLevel="5" x14ac:dyDescent="0.25">
      <c r="G1395" s="74" t="s">
        <v>65</v>
      </c>
      <c r="H1395" s="75"/>
      <c r="I1395" s="76"/>
      <c r="J1395" s="78">
        <f>HYPERLINK("#Структура!E1932",Структура!E1932)</f>
        <v>0.06</v>
      </c>
      <c r="K1395" s="114" t="str">
        <f>HYPERLINK("#Структура!G1932","")</f>
        <v/>
      </c>
      <c r="L1395" s="120">
        <f>HYPERLINK("#Покупные_изделия!D197",Покупные_изделия!D197)</f>
        <v>264.50399999999996</v>
      </c>
      <c r="M1395" s="76">
        <f t="shared" si="53"/>
        <v>15.870239999999997</v>
      </c>
      <c r="N1395" s="77"/>
      <c r="O1395" s="77"/>
      <c r="P1395" s="76"/>
      <c r="Q1395" s="76"/>
    </row>
    <row r="1396" spans="6:17" hidden="1" outlineLevel="5" x14ac:dyDescent="0.25">
      <c r="G1396" s="74" t="s">
        <v>67</v>
      </c>
      <c r="H1396" s="75"/>
      <c r="I1396" s="76"/>
      <c r="J1396" s="78">
        <f>HYPERLINK("#Структура!E1933",Структура!E1933)</f>
        <v>0.22800000000000001</v>
      </c>
      <c r="K1396" s="114" t="str">
        <f>HYPERLINK("#Структура!G1933","")</f>
        <v/>
      </c>
      <c r="L1396" s="120">
        <f>HYPERLINK("#Покупные_изделия!D203",Покупные_изделия!D203)</f>
        <v>30.003600000000002</v>
      </c>
      <c r="M1396" s="76">
        <f t="shared" si="53"/>
        <v>6.8408208000000004</v>
      </c>
      <c r="N1396" s="77"/>
      <c r="O1396" s="77"/>
      <c r="P1396" s="76"/>
      <c r="Q1396" s="76"/>
    </row>
    <row r="1397" spans="6:17" hidden="1" outlineLevel="5" x14ac:dyDescent="0.25">
      <c r="G1397" s="74" t="s">
        <v>146</v>
      </c>
      <c r="H1397" s="75"/>
      <c r="I1397" s="76"/>
      <c r="J1397" s="78">
        <f>HYPERLINK("#Структура!E1934",Структура!E1934)</f>
        <v>0.13500000000000001</v>
      </c>
      <c r="K1397" s="114" t="str">
        <f>HYPERLINK("#Структура!G1934","")</f>
        <v/>
      </c>
      <c r="L1397" s="120">
        <f>HYPERLINK("#Покупные_изделия!D406",Покупные_изделия!D406)</f>
        <v>105.996</v>
      </c>
      <c r="M1397" s="76">
        <f t="shared" si="53"/>
        <v>14.30946</v>
      </c>
      <c r="N1397" s="77"/>
      <c r="O1397" s="77"/>
      <c r="P1397" s="76"/>
      <c r="Q1397" s="76"/>
    </row>
    <row r="1398" spans="6:17" hidden="1" outlineLevel="5" x14ac:dyDescent="0.25">
      <c r="G1398" s="74" t="s">
        <v>155</v>
      </c>
      <c r="H1398" s="75"/>
      <c r="I1398" s="76"/>
      <c r="J1398" s="78">
        <f>HYPERLINK("#Структура!E1935",Структура!E1935)</f>
        <v>3.5999999999999997E-2</v>
      </c>
      <c r="K1398" s="114" t="str">
        <f>HYPERLINK("#Структура!G1935","")</f>
        <v/>
      </c>
      <c r="L1398" s="120">
        <f>HYPERLINK("#Покупные_изделия!D423",Покупные_изделия!D423)</f>
        <v>218.28</v>
      </c>
      <c r="M1398" s="76">
        <f t="shared" si="53"/>
        <v>7.8580799999999993</v>
      </c>
      <c r="N1398" s="77"/>
      <c r="O1398" s="77"/>
      <c r="P1398" s="76"/>
      <c r="Q1398" s="76"/>
    </row>
    <row r="1399" spans="6:17" hidden="1" outlineLevel="5" x14ac:dyDescent="0.25">
      <c r="G1399" s="74" t="s">
        <v>200</v>
      </c>
      <c r="H1399" s="75"/>
      <c r="I1399" s="76"/>
      <c r="J1399" s="78">
        <f>HYPERLINK("#Структура!E1936",Структура!E1936)</f>
        <v>7.9000000000000001E-2</v>
      </c>
      <c r="K1399" s="114" t="str">
        <f>HYPERLINK("#Структура!G1936","")</f>
        <v/>
      </c>
      <c r="L1399" s="120">
        <f>HYPERLINK("#Покупные_изделия!D518",Покупные_изделия!D518)</f>
        <v>270</v>
      </c>
      <c r="M1399" s="76">
        <f t="shared" si="53"/>
        <v>21.330000000000002</v>
      </c>
      <c r="N1399" s="77"/>
      <c r="O1399" s="77"/>
      <c r="P1399" s="76"/>
      <c r="Q1399" s="76"/>
    </row>
    <row r="1400" spans="6:17" hidden="1" outlineLevel="5" x14ac:dyDescent="0.25">
      <c r="G1400" s="74" t="s">
        <v>215</v>
      </c>
      <c r="H1400" s="75"/>
      <c r="I1400" s="76"/>
      <c r="J1400" s="78">
        <f>HYPERLINK("#Структура!E1937",Структура!E1937)</f>
        <v>0.12</v>
      </c>
      <c r="K1400" s="114" t="str">
        <f>HYPERLINK("#Структура!G1937","")</f>
        <v/>
      </c>
      <c r="L1400" s="120">
        <f>HYPERLINK("#Покупные_изделия!D567",Покупные_изделия!D567)</f>
        <v>405.74399999999997</v>
      </c>
      <c r="M1400" s="76">
        <f t="shared" si="53"/>
        <v>48.689279999999997</v>
      </c>
      <c r="N1400" s="77"/>
      <c r="O1400" s="77"/>
      <c r="P1400" s="76"/>
      <c r="Q1400" s="76"/>
    </row>
    <row r="1401" spans="6:17" hidden="1" outlineLevel="4" collapsed="1" x14ac:dyDescent="0.25">
      <c r="F1401" s="96" t="s">
        <v>1219</v>
      </c>
      <c r="G1401" s="91"/>
      <c r="H1401" s="92"/>
      <c r="I1401" s="93"/>
      <c r="J1401" s="95">
        <f>HYPERLINK("#Структура!E1920",Структура!E1920)</f>
        <v>1</v>
      </c>
      <c r="K1401" s="116">
        <f>HYPERLINK("#Структура!G1920",Структура!G1920)</f>
        <v>3.5596100000000002</v>
      </c>
      <c r="L1401" s="93">
        <f>M1401/J1401</f>
        <v>689.3275547999998</v>
      </c>
      <c r="M1401" s="93">
        <f>SUMIF(G1402:G1413,"*",M1402:M1413)*J1401</f>
        <v>689.3275547999998</v>
      </c>
      <c r="N1401" s="125">
        <f>HYPERLINK("#Трудозатраты!B518",Трудозатраты!B518+SUMIF(G1402:G1413,"*",O1402:O1413))</f>
        <v>22.200000000000003</v>
      </c>
      <c r="O1401" s="94">
        <f>N1401*J1401</f>
        <v>22.200000000000003</v>
      </c>
      <c r="P1401" s="93">
        <f>O1401/60*(1+запас_труд)*стоимость_трудочаса</f>
        <v>869.50000000000011</v>
      </c>
      <c r="Q1401" s="130">
        <f>M1401*(1+наценка_покупное)+P1401</f>
        <v>1696.6930657599999</v>
      </c>
    </row>
    <row r="1402" spans="6:17" hidden="1" outlineLevel="5" collapsed="1" x14ac:dyDescent="0.25">
      <c r="G1402" s="85" t="s">
        <v>1225</v>
      </c>
      <c r="H1402" s="87"/>
      <c r="I1402" s="88"/>
      <c r="J1402" s="90">
        <f>HYPERLINK("#Структура!E1941",Структура!E1941)</f>
        <v>1</v>
      </c>
      <c r="K1402" s="113">
        <f>HYPERLINK("#Структура!G1941",Структура!G1941)</f>
        <v>2.1058500000000002</v>
      </c>
      <c r="L1402" s="88">
        <f>M1402/J1402</f>
        <v>315.59999999999997</v>
      </c>
      <c r="M1402" s="88">
        <f>SUMIF(H1403,"*",M1403)*J1402</f>
        <v>315.59999999999997</v>
      </c>
      <c r="N1402" s="123">
        <f>HYPERLINK("#Трудозатраты!B519",Трудозатраты!B519+SUMIF(H1403,"*",O1403))</f>
        <v>3.8</v>
      </c>
      <c r="O1402" s="89">
        <f>N1402*J1402</f>
        <v>3.8</v>
      </c>
      <c r="P1402" s="88">
        <f>O1402/60*(1+запас_труд)*стоимость_трудочаса</f>
        <v>148.83333333333331</v>
      </c>
      <c r="Q1402" s="128">
        <f>M1402*(1+наценка_покупное)+P1402</f>
        <v>527.55333333333328</v>
      </c>
    </row>
    <row r="1403" spans="6:17" hidden="1" outlineLevel="6" x14ac:dyDescent="0.25">
      <c r="H1403" s="75" t="s">
        <v>111</v>
      </c>
      <c r="I1403" s="76"/>
      <c r="J1403" s="78">
        <f>HYPERLINK("#Структура!E1950",Структура!E1950)</f>
        <v>2.63</v>
      </c>
      <c r="K1403" s="114" t="str">
        <f>HYPERLINK("#Структура!G1950","")</f>
        <v/>
      </c>
      <c r="L1403" s="120">
        <f>HYPERLINK("#Покупные_изделия!D283",Покупные_изделия!D283)</f>
        <v>120</v>
      </c>
      <c r="M1403" s="76">
        <f>J1403*L1403</f>
        <v>315.59999999999997</v>
      </c>
      <c r="N1403" s="77"/>
      <c r="O1403" s="77"/>
      <c r="P1403" s="76"/>
      <c r="Q1403" s="76"/>
    </row>
    <row r="1404" spans="6:17" hidden="1" outlineLevel="5" collapsed="1" x14ac:dyDescent="0.25">
      <c r="G1404" s="84" t="s">
        <v>1226</v>
      </c>
      <c r="H1404" s="80"/>
      <c r="I1404" s="81"/>
      <c r="J1404" s="83">
        <f>HYPERLINK("#Структура!E1942",Структура!E1942)</f>
        <v>1</v>
      </c>
      <c r="K1404" s="115">
        <f>HYPERLINK("#Структура!G1942",Структура!G1942)</f>
        <v>0.73148999999999997</v>
      </c>
      <c r="L1404" s="81">
        <f>M1404/J1404</f>
        <v>108</v>
      </c>
      <c r="M1404" s="81">
        <f>SUMIF(H1405,"*",M1405)*J1404</f>
        <v>108</v>
      </c>
      <c r="N1404" s="124">
        <f>HYPERLINK("#Трудозатраты!B520",Трудозатраты!B520+SUMIF(H1405,"*",O1405))</f>
        <v>1.1000000000000001</v>
      </c>
      <c r="O1404" s="82">
        <f>N1404*J1404</f>
        <v>1.1000000000000001</v>
      </c>
      <c r="P1404" s="81">
        <f>O1404/60*(1+запас_труд)*стоимость_трудочаса</f>
        <v>43.083333333333336</v>
      </c>
      <c r="Q1404" s="129">
        <f>M1404*(1+наценка_покупное)+P1404</f>
        <v>172.68333333333334</v>
      </c>
    </row>
    <row r="1405" spans="6:17" hidden="1" outlineLevel="6" x14ac:dyDescent="0.25">
      <c r="H1405" s="75" t="s">
        <v>121</v>
      </c>
      <c r="I1405" s="76"/>
      <c r="J1405" s="78">
        <f>HYPERLINK("#Структура!E1951",Структура!E1951)</f>
        <v>0.9</v>
      </c>
      <c r="K1405" s="114" t="str">
        <f>HYPERLINK("#Структура!G1951","")</f>
        <v/>
      </c>
      <c r="L1405" s="120">
        <f>HYPERLINK("#Покупные_изделия!D296",Покупные_изделия!D296)</f>
        <v>120</v>
      </c>
      <c r="M1405" s="76">
        <f>J1405*L1405</f>
        <v>108</v>
      </c>
      <c r="N1405" s="77"/>
      <c r="O1405" s="77"/>
      <c r="P1405" s="76"/>
      <c r="Q1405" s="76"/>
    </row>
    <row r="1406" spans="6:17" hidden="1" outlineLevel="5" collapsed="1" x14ac:dyDescent="0.25">
      <c r="G1406" s="84" t="s">
        <v>1227</v>
      </c>
      <c r="H1406" s="80"/>
      <c r="I1406" s="81"/>
      <c r="J1406" s="83">
        <f>HYPERLINK("#Структура!E1943",Структура!E1943)</f>
        <v>2</v>
      </c>
      <c r="K1406" s="115">
        <f>HYPERLINK("#Структура!G1943",Структура!G1943)</f>
        <v>0.36113000000000001</v>
      </c>
      <c r="L1406" s="81">
        <f>M1406/J1406</f>
        <v>54</v>
      </c>
      <c r="M1406" s="81">
        <f>SUMIF(H1407,"*",M1407)*J1406</f>
        <v>108</v>
      </c>
      <c r="N1406" s="124">
        <f>HYPERLINK("#Трудозатраты!B521",Трудозатраты!B521+SUMIF(H1407,"*",O1407))</f>
        <v>0.6</v>
      </c>
      <c r="O1406" s="82">
        <f>N1406*J1406</f>
        <v>1.2</v>
      </c>
      <c r="P1406" s="81">
        <f>O1406/60*(1+запас_труд)*стоимость_трудочаса</f>
        <v>47</v>
      </c>
      <c r="Q1406" s="129">
        <f>M1406*(1+наценка_покупное)+P1406</f>
        <v>176.6</v>
      </c>
    </row>
    <row r="1407" spans="6:17" hidden="1" outlineLevel="6" x14ac:dyDescent="0.25">
      <c r="H1407" s="75" t="s">
        <v>121</v>
      </c>
      <c r="I1407" s="76"/>
      <c r="J1407" s="78">
        <f>HYPERLINK("#Структура!E1952",Структура!E1952)</f>
        <v>0.45</v>
      </c>
      <c r="K1407" s="114" t="str">
        <f>HYPERLINK("#Структура!G1952","")</f>
        <v/>
      </c>
      <c r="L1407" s="120">
        <f>HYPERLINK("#Покупные_изделия!D296",Покупные_изделия!D296)</f>
        <v>120</v>
      </c>
      <c r="M1407" s="76">
        <f t="shared" ref="M1407:M1413" si="54">J1407*L1407</f>
        <v>54</v>
      </c>
      <c r="N1407" s="77"/>
      <c r="O1407" s="77"/>
      <c r="P1407" s="76"/>
      <c r="Q1407" s="76"/>
    </row>
    <row r="1408" spans="6:17" hidden="1" outlineLevel="5" x14ac:dyDescent="0.25">
      <c r="G1408" s="74" t="s">
        <v>65</v>
      </c>
      <c r="H1408" s="75"/>
      <c r="I1408" s="76"/>
      <c r="J1408" s="78">
        <f>HYPERLINK("#Структура!E1944",Структура!E1944)</f>
        <v>1.2E-2</v>
      </c>
      <c r="K1408" s="114" t="str">
        <f>HYPERLINK("#Структура!G1944","")</f>
        <v/>
      </c>
      <c r="L1408" s="120">
        <f>HYPERLINK("#Покупные_изделия!D197",Покупные_изделия!D197)</f>
        <v>264.50399999999996</v>
      </c>
      <c r="M1408" s="76">
        <f t="shared" si="54"/>
        <v>3.1740479999999995</v>
      </c>
      <c r="N1408" s="77"/>
      <c r="O1408" s="77"/>
      <c r="P1408" s="76"/>
      <c r="Q1408" s="76"/>
    </row>
    <row r="1409" spans="5:17" hidden="1" outlineLevel="5" x14ac:dyDescent="0.25">
      <c r="G1409" s="74" t="s">
        <v>67</v>
      </c>
      <c r="H1409" s="75"/>
      <c r="I1409" s="76"/>
      <c r="J1409" s="78">
        <f>HYPERLINK("#Структура!E1945",Структура!E1945)</f>
        <v>1.073</v>
      </c>
      <c r="K1409" s="114" t="str">
        <f>HYPERLINK("#Структура!G1945","")</f>
        <v/>
      </c>
      <c r="L1409" s="120">
        <f>HYPERLINK("#Покупные_изделия!D203",Покупные_изделия!D203)</f>
        <v>30.003600000000002</v>
      </c>
      <c r="M1409" s="76">
        <f t="shared" si="54"/>
        <v>32.193862799999998</v>
      </c>
      <c r="N1409" s="77"/>
      <c r="O1409" s="77"/>
      <c r="P1409" s="76"/>
      <c r="Q1409" s="76"/>
    </row>
    <row r="1410" spans="5:17" hidden="1" outlineLevel="5" x14ac:dyDescent="0.25">
      <c r="G1410" s="74" t="s">
        <v>146</v>
      </c>
      <c r="H1410" s="75"/>
      <c r="I1410" s="76"/>
      <c r="J1410" s="78">
        <f>HYPERLINK("#Структура!E1946",Структура!E1946)</f>
        <v>1.0429999999999999</v>
      </c>
      <c r="K1410" s="114" t="str">
        <f>HYPERLINK("#Структура!G1946","")</f>
        <v/>
      </c>
      <c r="L1410" s="120">
        <f>HYPERLINK("#Покупные_изделия!D406",Покупные_изделия!D406)</f>
        <v>105.996</v>
      </c>
      <c r="M1410" s="76">
        <f t="shared" si="54"/>
        <v>110.55382799999998</v>
      </c>
      <c r="N1410" s="77"/>
      <c r="O1410" s="77"/>
      <c r="P1410" s="76"/>
      <c r="Q1410" s="76"/>
    </row>
    <row r="1411" spans="5:17" hidden="1" outlineLevel="5" x14ac:dyDescent="0.25">
      <c r="G1411" s="74" t="s">
        <v>155</v>
      </c>
      <c r="H1411" s="75"/>
      <c r="I1411" s="76"/>
      <c r="J1411" s="78">
        <f>HYPERLINK("#Структура!E1947",Структура!E1947)</f>
        <v>7.0000000000000001E-3</v>
      </c>
      <c r="K1411" s="114" t="str">
        <f>HYPERLINK("#Структура!G1947","")</f>
        <v/>
      </c>
      <c r="L1411" s="120">
        <f>HYPERLINK("#Покупные_изделия!D423",Покупные_изделия!D423)</f>
        <v>218.28</v>
      </c>
      <c r="M1411" s="76">
        <f t="shared" si="54"/>
        <v>1.52796</v>
      </c>
      <c r="N1411" s="77"/>
      <c r="O1411" s="77"/>
      <c r="P1411" s="76"/>
      <c r="Q1411" s="76"/>
    </row>
    <row r="1412" spans="5:17" hidden="1" outlineLevel="5" x14ac:dyDescent="0.25">
      <c r="G1412" s="74" t="s">
        <v>200</v>
      </c>
      <c r="H1412" s="75"/>
      <c r="I1412" s="76"/>
      <c r="J1412" s="78">
        <f>HYPERLINK("#Структура!E1948",Структура!E1948)</f>
        <v>2E-3</v>
      </c>
      <c r="K1412" s="114" t="str">
        <f>HYPERLINK("#Структура!G1948","")</f>
        <v/>
      </c>
      <c r="L1412" s="120">
        <f>HYPERLINK("#Покупные_изделия!D518",Покупные_изделия!D518)</f>
        <v>270</v>
      </c>
      <c r="M1412" s="76">
        <f t="shared" si="54"/>
        <v>0.54</v>
      </c>
      <c r="N1412" s="77"/>
      <c r="O1412" s="77"/>
      <c r="P1412" s="76"/>
      <c r="Q1412" s="76"/>
    </row>
    <row r="1413" spans="5:17" hidden="1" outlineLevel="5" x14ac:dyDescent="0.25">
      <c r="G1413" s="74" t="s">
        <v>215</v>
      </c>
      <c r="H1413" s="75"/>
      <c r="I1413" s="76"/>
      <c r="J1413" s="78">
        <f>HYPERLINK("#Структура!E1949",Структура!E1949)</f>
        <v>2.4E-2</v>
      </c>
      <c r="K1413" s="114" t="str">
        <f>HYPERLINK("#Структура!G1949","")</f>
        <v/>
      </c>
      <c r="L1413" s="120">
        <f>HYPERLINK("#Покупные_изделия!D567",Покупные_изделия!D567)</f>
        <v>405.74399999999997</v>
      </c>
      <c r="M1413" s="76">
        <f t="shared" si="54"/>
        <v>9.737855999999999</v>
      </c>
      <c r="N1413" s="77"/>
      <c r="O1413" s="77"/>
      <c r="P1413" s="76"/>
      <c r="Q1413" s="76"/>
    </row>
    <row r="1414" spans="5:17" hidden="1" outlineLevel="4" collapsed="1" x14ac:dyDescent="0.25">
      <c r="F1414" s="84" t="s">
        <v>1220</v>
      </c>
      <c r="G1414" s="79"/>
      <c r="H1414" s="80"/>
      <c r="I1414" s="81"/>
      <c r="J1414" s="83">
        <f>HYPERLINK("#Структура!E1921",Структура!E1921)</f>
        <v>1</v>
      </c>
      <c r="K1414" s="115">
        <f>HYPERLINK("#Структура!G1921",Структура!G1921)</f>
        <v>1.11426</v>
      </c>
      <c r="L1414" s="81">
        <f>M1414/J1414</f>
        <v>206.40506400000001</v>
      </c>
      <c r="M1414" s="81">
        <f>SUMIF(G1415:G1418,"*",M1415:M1418)*J1414</f>
        <v>206.40506400000001</v>
      </c>
      <c r="N1414" s="124">
        <f>HYPERLINK("#Трудозатраты!B513",Трудозатраты!B513+SUMIF(G1415:G1418,"*",O1415:O1418))</f>
        <v>7.4</v>
      </c>
      <c r="O1414" s="82">
        <f>N1414*J1414</f>
        <v>7.4</v>
      </c>
      <c r="P1414" s="81">
        <f>O1414/60*(1+запас_труд)*стоимость_трудочаса</f>
        <v>289.83333333333331</v>
      </c>
      <c r="Q1414" s="129">
        <f>M1414*(1+наценка_покупное)+P1414</f>
        <v>537.51941013333328</v>
      </c>
    </row>
    <row r="1415" spans="5:17" hidden="1" outlineLevel="5" x14ac:dyDescent="0.25">
      <c r="G1415" s="74" t="s">
        <v>65</v>
      </c>
      <c r="H1415" s="75"/>
      <c r="I1415" s="76"/>
      <c r="J1415" s="78">
        <f>HYPERLINK("#Структура!E1925",Структура!E1925)</f>
        <v>7.0000000000000001E-3</v>
      </c>
      <c r="K1415" s="114" t="str">
        <f>HYPERLINK("#Структура!G1925","")</f>
        <v/>
      </c>
      <c r="L1415" s="120">
        <f>HYPERLINK("#Покупные_изделия!D197",Покупные_изделия!D197)</f>
        <v>264.50399999999996</v>
      </c>
      <c r="M1415" s="76">
        <f t="shared" ref="M1415:M1421" si="55">J1415*L1415</f>
        <v>1.8515279999999998</v>
      </c>
      <c r="N1415" s="77"/>
      <c r="O1415" s="77"/>
      <c r="P1415" s="76"/>
      <c r="Q1415" s="76"/>
    </row>
    <row r="1416" spans="5:17" hidden="1" outlineLevel="5" x14ac:dyDescent="0.25">
      <c r="G1416" s="74" t="s">
        <v>119</v>
      </c>
      <c r="H1416" s="75"/>
      <c r="I1416" s="76"/>
      <c r="J1416" s="78">
        <f>HYPERLINK("#Структура!E1926",Структура!E1926)</f>
        <v>1.65</v>
      </c>
      <c r="K1416" s="114" t="str">
        <f>HYPERLINK("#Структура!G1926","")</f>
        <v/>
      </c>
      <c r="L1416" s="120">
        <f>HYPERLINK("#Покупные_изделия!D294",Покупные_изделия!D294)</f>
        <v>120</v>
      </c>
      <c r="M1416" s="76">
        <f t="shared" si="55"/>
        <v>198</v>
      </c>
      <c r="N1416" s="77"/>
      <c r="O1416" s="77"/>
      <c r="P1416" s="76"/>
      <c r="Q1416" s="76"/>
    </row>
    <row r="1417" spans="5:17" hidden="1" outlineLevel="5" x14ac:dyDescent="0.25">
      <c r="G1417" s="74" t="s">
        <v>155</v>
      </c>
      <c r="H1417" s="75"/>
      <c r="I1417" s="76"/>
      <c r="J1417" s="78">
        <f>HYPERLINK("#Структура!E1927",Структура!E1927)</f>
        <v>4.0000000000000001E-3</v>
      </c>
      <c r="K1417" s="114" t="str">
        <f>HYPERLINK("#Структура!G1927","")</f>
        <v/>
      </c>
      <c r="L1417" s="120">
        <f>HYPERLINK("#Покупные_изделия!D423",Покупные_изделия!D423)</f>
        <v>218.28</v>
      </c>
      <c r="M1417" s="76">
        <f t="shared" si="55"/>
        <v>0.87312000000000001</v>
      </c>
      <c r="N1417" s="77"/>
      <c r="O1417" s="77"/>
      <c r="P1417" s="76"/>
      <c r="Q1417" s="76"/>
    </row>
    <row r="1418" spans="5:17" hidden="1" outlineLevel="5" x14ac:dyDescent="0.25">
      <c r="G1418" s="74" t="s">
        <v>215</v>
      </c>
      <c r="H1418" s="75"/>
      <c r="I1418" s="76"/>
      <c r="J1418" s="78">
        <f>HYPERLINK("#Структура!E1928",Структура!E1928)</f>
        <v>1.4E-2</v>
      </c>
      <c r="K1418" s="114" t="str">
        <f>HYPERLINK("#Структура!G1928","")</f>
        <v/>
      </c>
      <c r="L1418" s="120">
        <f>HYPERLINK("#Покупные_изделия!D567",Покупные_изделия!D567)</f>
        <v>405.74399999999997</v>
      </c>
      <c r="M1418" s="76">
        <f t="shared" si="55"/>
        <v>5.6804160000000001</v>
      </c>
      <c r="N1418" s="77"/>
      <c r="O1418" s="77"/>
      <c r="P1418" s="76"/>
      <c r="Q1418" s="76"/>
    </row>
    <row r="1419" spans="5:17" hidden="1" outlineLevel="4" x14ac:dyDescent="0.25">
      <c r="F1419" s="74" t="s">
        <v>1221</v>
      </c>
      <c r="G1419" s="74"/>
      <c r="H1419" s="75"/>
      <c r="I1419" s="76"/>
      <c r="J1419" s="78">
        <f>HYPERLINK("#Структура!E1922",Структура!E1922)</f>
        <v>4</v>
      </c>
      <c r="K1419" s="114">
        <f>HYPERLINK("#Структура!G1922",Структура!G1922)</f>
        <v>6.9500000000000006E-2</v>
      </c>
      <c r="L1419" s="120">
        <f>HYPERLINK("#Покупные_изделия!D78",Покупные_изделия!D78)</f>
        <v>92.13600000000001</v>
      </c>
      <c r="M1419" s="76">
        <f t="shared" si="55"/>
        <v>368.54400000000004</v>
      </c>
      <c r="N1419" s="77"/>
      <c r="O1419" s="77"/>
      <c r="P1419" s="76"/>
      <c r="Q1419" s="76"/>
    </row>
    <row r="1420" spans="5:17" hidden="1" outlineLevel="4" x14ac:dyDescent="0.25">
      <c r="F1420" s="74" t="s">
        <v>864</v>
      </c>
      <c r="G1420" s="74"/>
      <c r="H1420" s="75"/>
      <c r="I1420" s="76"/>
      <c r="J1420" s="78">
        <f>HYPERLINK("#Структура!E1923",Структура!E1923)</f>
        <v>4</v>
      </c>
      <c r="K1420" s="114">
        <f>HYPERLINK("#Структура!G1923",Структура!G1923)</f>
        <v>1.567E-2</v>
      </c>
      <c r="L1420" s="120">
        <f>HYPERLINK("#Покупные_изделия!D175",Покупные_изделия!D175)</f>
        <v>3.3659999999999997</v>
      </c>
      <c r="M1420" s="76">
        <f t="shared" si="55"/>
        <v>13.463999999999999</v>
      </c>
      <c r="N1420" s="77"/>
      <c r="O1420" s="77"/>
      <c r="P1420" s="76"/>
      <c r="Q1420" s="76"/>
    </row>
    <row r="1421" spans="5:17" hidden="1" outlineLevel="4" x14ac:dyDescent="0.25">
      <c r="F1421" s="74" t="s">
        <v>865</v>
      </c>
      <c r="G1421" s="74"/>
      <c r="H1421" s="75"/>
      <c r="I1421" s="76"/>
      <c r="J1421" s="78">
        <f>HYPERLINK("#Структура!E1924",Структура!E1924)</f>
        <v>4</v>
      </c>
      <c r="K1421" s="114">
        <f>HYPERLINK("#Структура!G1924",Структура!G1924)</f>
        <v>3.4499999999999999E-3</v>
      </c>
      <c r="L1421" s="120">
        <f>HYPERLINK("#Покупные_изделия!D523",Покупные_изделия!D523)</f>
        <v>1.5973680000000001</v>
      </c>
      <c r="M1421" s="76">
        <f t="shared" si="55"/>
        <v>6.3894720000000005</v>
      </c>
      <c r="N1421" s="77"/>
      <c r="O1421" s="77"/>
      <c r="P1421" s="76"/>
      <c r="Q1421" s="76"/>
    </row>
    <row r="1422" spans="5:17" hidden="1" outlineLevel="3" collapsed="1" x14ac:dyDescent="0.25">
      <c r="E1422" s="96" t="s">
        <v>1180</v>
      </c>
      <c r="F1422" s="91"/>
      <c r="G1422" s="91"/>
      <c r="H1422" s="92"/>
      <c r="I1422" s="93"/>
      <c r="J1422" s="95">
        <f>HYPERLINK("#Структура!E1787",Структура!E1787)</f>
        <v>1</v>
      </c>
      <c r="K1422" s="116">
        <f>HYPERLINK("#Структура!G1787",Структура!G1787)</f>
        <v>36.822209999999998</v>
      </c>
      <c r="L1422" s="93">
        <f>M1422/J1422</f>
        <v>6026.1809347999997</v>
      </c>
      <c r="M1422" s="93">
        <f>SUMIF(F1423:F1465,"*",M1423:M1465)*J1422</f>
        <v>6026.1809347999997</v>
      </c>
      <c r="N1422" s="125">
        <f>HYPERLINK("#Трудозатраты!B522",Трудозатраты!B522+SUMIF(F1423:F1465,"*",O1423:O1465))</f>
        <v>234.2</v>
      </c>
      <c r="O1422" s="94">
        <f>N1422*J1422</f>
        <v>234.2</v>
      </c>
      <c r="P1422" s="93">
        <f>O1422/60*(1+запас_труд)*стоимость_трудочаса</f>
        <v>9172.8333333333339</v>
      </c>
      <c r="Q1422" s="130">
        <f>M1422*(1+наценка_покупное)+P1422</f>
        <v>16404.250455093334</v>
      </c>
    </row>
    <row r="1423" spans="5:17" hidden="1" outlineLevel="4" collapsed="1" x14ac:dyDescent="0.25">
      <c r="F1423" s="97" t="s">
        <v>1228</v>
      </c>
      <c r="G1423" s="98"/>
      <c r="H1423" s="99"/>
      <c r="I1423" s="100"/>
      <c r="J1423" s="102">
        <f>HYPERLINK("#Структура!E1953",Структура!E1953)</f>
        <v>1</v>
      </c>
      <c r="K1423" s="112">
        <f>HYPERLINK("#Структура!G1953",Структура!G1953)</f>
        <v>4.0158199999999997</v>
      </c>
      <c r="L1423" s="100">
        <f>M1423/J1423</f>
        <v>675.75006119999989</v>
      </c>
      <c r="M1423" s="100">
        <f>SUMIF(G1424:G1435,"*",M1424:M1435)*J1423</f>
        <v>675.75006119999989</v>
      </c>
      <c r="N1423" s="122">
        <f>HYPERLINK("#Трудозатраты!B524",Трудозатраты!B524+SUMIF(G1424:G1435,"*",O1424:O1435))</f>
        <v>30.299999999999997</v>
      </c>
      <c r="O1423" s="101">
        <f>N1423*J1423</f>
        <v>30.299999999999997</v>
      </c>
      <c r="P1423" s="100">
        <f>O1423/60*(1+запас_труд)*стоимость_трудочаса</f>
        <v>1186.75</v>
      </c>
      <c r="Q1423" s="127">
        <f>M1423*(1+наценка_покупное)+P1423</f>
        <v>1997.6500734399997</v>
      </c>
    </row>
    <row r="1424" spans="5:17" hidden="1" outlineLevel="5" collapsed="1" x14ac:dyDescent="0.25">
      <c r="G1424" s="85" t="s">
        <v>1225</v>
      </c>
      <c r="H1424" s="87"/>
      <c r="I1424" s="88"/>
      <c r="J1424" s="90">
        <f>HYPERLINK("#Структура!E1963",Структура!E1963)</f>
        <v>1</v>
      </c>
      <c r="K1424" s="113">
        <f>HYPERLINK("#Структура!G1963",Структура!G1963)</f>
        <v>2.1058500000000002</v>
      </c>
      <c r="L1424" s="88">
        <f>M1424/J1424</f>
        <v>315.59999999999997</v>
      </c>
      <c r="M1424" s="88">
        <f>SUMIF(H1425,"*",M1425)*J1424</f>
        <v>315.59999999999997</v>
      </c>
      <c r="N1424" s="123">
        <f>HYPERLINK("#Трудозатраты!B519",Трудозатраты!B519+SUMIF(H1425,"*",O1425))</f>
        <v>3.8</v>
      </c>
      <c r="O1424" s="89">
        <f>N1424*J1424</f>
        <v>3.8</v>
      </c>
      <c r="P1424" s="88">
        <f>O1424/60*(1+запас_труд)*стоимость_трудочаса</f>
        <v>148.83333333333331</v>
      </c>
      <c r="Q1424" s="128">
        <f>M1424*(1+наценка_покупное)+P1424</f>
        <v>527.55333333333328</v>
      </c>
    </row>
    <row r="1425" spans="6:17" hidden="1" outlineLevel="6" x14ac:dyDescent="0.25">
      <c r="H1425" s="75" t="s">
        <v>111</v>
      </c>
      <c r="I1425" s="76"/>
      <c r="J1425" s="78">
        <f>HYPERLINK("#Структура!E1950",Структура!E1950)</f>
        <v>2.63</v>
      </c>
      <c r="K1425" s="114" t="str">
        <f>HYPERLINK("#Структура!G1950","")</f>
        <v/>
      </c>
      <c r="L1425" s="120">
        <f>HYPERLINK("#Покупные_изделия!D283",Покупные_изделия!D283)</f>
        <v>120</v>
      </c>
      <c r="M1425" s="76">
        <f>J1425*L1425</f>
        <v>315.59999999999997</v>
      </c>
      <c r="N1425" s="77"/>
      <c r="O1425" s="77"/>
      <c r="P1425" s="76"/>
      <c r="Q1425" s="76"/>
    </row>
    <row r="1426" spans="6:17" hidden="1" outlineLevel="5" collapsed="1" x14ac:dyDescent="0.25">
      <c r="G1426" s="84" t="s">
        <v>1232</v>
      </c>
      <c r="H1426" s="80"/>
      <c r="I1426" s="81"/>
      <c r="J1426" s="83">
        <f>HYPERLINK("#Структура!E1964",Структура!E1964)</f>
        <v>1</v>
      </c>
      <c r="K1426" s="115">
        <f>HYPERLINK("#Структура!G1964",Структура!G1964)</f>
        <v>0.73148999999999997</v>
      </c>
      <c r="L1426" s="81">
        <f>M1426/J1426</f>
        <v>105.6</v>
      </c>
      <c r="M1426" s="81">
        <f>SUMIF(H1427,"*",M1427)*J1426</f>
        <v>105.6</v>
      </c>
      <c r="N1426" s="124">
        <f>HYPERLINK("#Трудозатраты!B525",Трудозатраты!B525+SUMIF(H1427,"*",O1427))</f>
        <v>1.9</v>
      </c>
      <c r="O1426" s="82">
        <f>N1426*J1426</f>
        <v>1.9</v>
      </c>
      <c r="P1426" s="81">
        <f>O1426/60*(1+запас_труд)*стоимость_трудочаса</f>
        <v>74.416666666666657</v>
      </c>
      <c r="Q1426" s="129">
        <f>M1426*(1+наценка_покупное)+P1426</f>
        <v>201.13666666666666</v>
      </c>
    </row>
    <row r="1427" spans="6:17" hidden="1" outlineLevel="6" x14ac:dyDescent="0.25">
      <c r="H1427" s="75" t="s">
        <v>121</v>
      </c>
      <c r="I1427" s="76"/>
      <c r="J1427" s="78">
        <f>HYPERLINK("#Структура!E1972",Структура!E1972)</f>
        <v>0.88</v>
      </c>
      <c r="K1427" s="114" t="str">
        <f>HYPERLINK("#Структура!G1972","")</f>
        <v/>
      </c>
      <c r="L1427" s="120">
        <f>HYPERLINK("#Покупные_изделия!D296",Покупные_изделия!D296)</f>
        <v>120</v>
      </c>
      <c r="M1427" s="76">
        <f>J1427*L1427</f>
        <v>105.6</v>
      </c>
      <c r="N1427" s="77"/>
      <c r="O1427" s="77"/>
      <c r="P1427" s="76"/>
      <c r="Q1427" s="76"/>
    </row>
    <row r="1428" spans="6:17" hidden="1" outlineLevel="5" collapsed="1" x14ac:dyDescent="0.25">
      <c r="G1428" s="84" t="s">
        <v>1233</v>
      </c>
      <c r="H1428" s="80"/>
      <c r="I1428" s="81"/>
      <c r="J1428" s="83">
        <f>HYPERLINK("#Структура!E1965",Структура!E1965)</f>
        <v>2</v>
      </c>
      <c r="K1428" s="115">
        <f>HYPERLINK("#Структура!G1965",Структура!G1965)</f>
        <v>0.58923999999999999</v>
      </c>
      <c r="L1428" s="81">
        <f>M1428/J1428</f>
        <v>115.19999999999999</v>
      </c>
      <c r="M1428" s="81">
        <f>SUMIF(H1429,"*",M1429)*J1428</f>
        <v>230.39999999999998</v>
      </c>
      <c r="N1428" s="124">
        <f>HYPERLINK("#Трудозатраты!B526",Трудозатраты!B526+SUMIF(H1429,"*",O1429))</f>
        <v>1.3</v>
      </c>
      <c r="O1428" s="82">
        <f>N1428*J1428</f>
        <v>2.6</v>
      </c>
      <c r="P1428" s="81">
        <f>O1428/60*(1+запас_труд)*стоимость_трудочаса</f>
        <v>101.83333333333334</v>
      </c>
      <c r="Q1428" s="129">
        <f>M1428*(1+наценка_покупное)+P1428</f>
        <v>378.31333333333328</v>
      </c>
    </row>
    <row r="1429" spans="6:17" hidden="1" outlineLevel="6" x14ac:dyDescent="0.25">
      <c r="H1429" s="75" t="s">
        <v>121</v>
      </c>
      <c r="I1429" s="76"/>
      <c r="J1429" s="78">
        <f>HYPERLINK("#Структура!E1973",Структура!E1973)</f>
        <v>0.96</v>
      </c>
      <c r="K1429" s="114" t="str">
        <f>HYPERLINK("#Структура!G1973","")</f>
        <v/>
      </c>
      <c r="L1429" s="120">
        <f>HYPERLINK("#Покупные_изделия!D296",Покупные_изделия!D296)</f>
        <v>120</v>
      </c>
      <c r="M1429" s="76">
        <f t="shared" ref="M1429:M1435" si="56">J1429*L1429</f>
        <v>115.19999999999999</v>
      </c>
      <c r="N1429" s="77"/>
      <c r="O1429" s="77"/>
      <c r="P1429" s="76"/>
      <c r="Q1429" s="76"/>
    </row>
    <row r="1430" spans="6:17" hidden="1" outlineLevel="5" x14ac:dyDescent="0.25">
      <c r="G1430" s="74" t="s">
        <v>65</v>
      </c>
      <c r="H1430" s="75"/>
      <c r="I1430" s="76"/>
      <c r="J1430" s="78">
        <f>HYPERLINK("#Структура!E1966",Структура!E1966)</f>
        <v>1.2999999999999999E-2</v>
      </c>
      <c r="K1430" s="114" t="str">
        <f>HYPERLINK("#Структура!G1966","")</f>
        <v/>
      </c>
      <c r="L1430" s="120">
        <f>HYPERLINK("#Покупные_изделия!D197",Покупные_изделия!D197)</f>
        <v>264.50399999999996</v>
      </c>
      <c r="M1430" s="76">
        <f t="shared" si="56"/>
        <v>3.4385519999999992</v>
      </c>
      <c r="N1430" s="77"/>
      <c r="O1430" s="77"/>
      <c r="P1430" s="76"/>
      <c r="Q1430" s="76"/>
    </row>
    <row r="1431" spans="6:17" hidden="1" outlineLevel="5" x14ac:dyDescent="0.25">
      <c r="G1431" s="74" t="s">
        <v>67</v>
      </c>
      <c r="H1431" s="75"/>
      <c r="I1431" s="76"/>
      <c r="J1431" s="78">
        <f>HYPERLINK("#Структура!E1967",Структура!E1967)</f>
        <v>4.7E-2</v>
      </c>
      <c r="K1431" s="114" t="str">
        <f>HYPERLINK("#Структура!G1967","")</f>
        <v/>
      </c>
      <c r="L1431" s="120">
        <f>HYPERLINK("#Покупные_изделия!D203",Покупные_изделия!D203)</f>
        <v>30.003600000000002</v>
      </c>
      <c r="M1431" s="76">
        <f t="shared" si="56"/>
        <v>1.4101692000000001</v>
      </c>
      <c r="N1431" s="77"/>
      <c r="O1431" s="77"/>
      <c r="P1431" s="76"/>
      <c r="Q1431" s="76"/>
    </row>
    <row r="1432" spans="6:17" hidden="1" outlineLevel="5" x14ac:dyDescent="0.25">
      <c r="G1432" s="74" t="s">
        <v>146</v>
      </c>
      <c r="H1432" s="75"/>
      <c r="I1432" s="76"/>
      <c r="J1432" s="78">
        <f>HYPERLINK("#Структура!E1968",Структура!E1968)</f>
        <v>6.0999999999999999E-2</v>
      </c>
      <c r="K1432" s="114" t="str">
        <f>HYPERLINK("#Структура!G1968","")</f>
        <v/>
      </c>
      <c r="L1432" s="120">
        <f>HYPERLINK("#Покупные_изделия!D406",Покупные_изделия!D406)</f>
        <v>105.996</v>
      </c>
      <c r="M1432" s="76">
        <f t="shared" si="56"/>
        <v>6.4657559999999998</v>
      </c>
      <c r="N1432" s="77"/>
      <c r="O1432" s="77"/>
      <c r="P1432" s="76"/>
      <c r="Q1432" s="76"/>
    </row>
    <row r="1433" spans="6:17" hidden="1" outlineLevel="5" x14ac:dyDescent="0.25">
      <c r="G1433" s="74" t="s">
        <v>155</v>
      </c>
      <c r="H1433" s="75"/>
      <c r="I1433" s="76"/>
      <c r="J1433" s="78">
        <f>HYPERLINK("#Структура!E1969",Структура!E1969)</f>
        <v>8.0000000000000002E-3</v>
      </c>
      <c r="K1433" s="114" t="str">
        <f>HYPERLINK("#Структура!G1969","")</f>
        <v/>
      </c>
      <c r="L1433" s="120">
        <f>HYPERLINK("#Покупные_изделия!D423",Покупные_изделия!D423)</f>
        <v>218.28</v>
      </c>
      <c r="M1433" s="76">
        <f t="shared" si="56"/>
        <v>1.74624</v>
      </c>
      <c r="N1433" s="77"/>
      <c r="O1433" s="77"/>
      <c r="P1433" s="76"/>
      <c r="Q1433" s="76"/>
    </row>
    <row r="1434" spans="6:17" hidden="1" outlineLevel="5" x14ac:dyDescent="0.25">
      <c r="G1434" s="74" t="s">
        <v>200</v>
      </c>
      <c r="H1434" s="75"/>
      <c r="I1434" s="76"/>
      <c r="J1434" s="78">
        <f>HYPERLINK("#Структура!E1970",Структура!E1970)</f>
        <v>2E-3</v>
      </c>
      <c r="K1434" s="114" t="str">
        <f>HYPERLINK("#Структура!G1970","")</f>
        <v/>
      </c>
      <c r="L1434" s="120">
        <f>HYPERLINK("#Покупные_изделия!D518",Покупные_изделия!D518)</f>
        <v>270</v>
      </c>
      <c r="M1434" s="76">
        <f t="shared" si="56"/>
        <v>0.54</v>
      </c>
      <c r="N1434" s="77"/>
      <c r="O1434" s="77"/>
      <c r="P1434" s="76"/>
      <c r="Q1434" s="76"/>
    </row>
    <row r="1435" spans="6:17" hidden="1" outlineLevel="5" x14ac:dyDescent="0.25">
      <c r="G1435" s="74" t="s">
        <v>215</v>
      </c>
      <c r="H1435" s="75"/>
      <c r="I1435" s="76"/>
      <c r="J1435" s="78">
        <f>HYPERLINK("#Структура!E1971",Структура!E1971)</f>
        <v>2.5999999999999999E-2</v>
      </c>
      <c r="K1435" s="114" t="str">
        <f>HYPERLINK("#Структура!G1971","")</f>
        <v/>
      </c>
      <c r="L1435" s="120">
        <f>HYPERLINK("#Покупные_изделия!D567",Покупные_изделия!D567)</f>
        <v>405.74399999999997</v>
      </c>
      <c r="M1435" s="76">
        <f t="shared" si="56"/>
        <v>10.549344</v>
      </c>
      <c r="N1435" s="77"/>
      <c r="O1435" s="77"/>
      <c r="P1435" s="76"/>
      <c r="Q1435" s="76"/>
    </row>
    <row r="1436" spans="6:17" hidden="1" outlineLevel="4" collapsed="1" x14ac:dyDescent="0.25">
      <c r="F1436" s="96" t="s">
        <v>1229</v>
      </c>
      <c r="G1436" s="91"/>
      <c r="H1436" s="92"/>
      <c r="I1436" s="93"/>
      <c r="J1436" s="95">
        <f>HYPERLINK("#Структура!E1954",Структура!E1954)</f>
        <v>1</v>
      </c>
      <c r="K1436" s="116">
        <f>HYPERLINK("#Структура!G1954",Структура!G1954)</f>
        <v>32.684820000000002</v>
      </c>
      <c r="L1436" s="93">
        <f>M1436/J1436</f>
        <v>5066.5774015999996</v>
      </c>
      <c r="M1436" s="93">
        <f>SUMIF(G1437:G1462,"*",M1437:M1462)*J1436</f>
        <v>5066.5774015999996</v>
      </c>
      <c r="N1436" s="125">
        <f>HYPERLINK("#Трудозатраты!B527",Трудозатраты!B527+SUMIF(G1437:G1462,"*",O1437:O1462))</f>
        <v>195.9</v>
      </c>
      <c r="O1436" s="94">
        <f>N1436*J1436</f>
        <v>195.9</v>
      </c>
      <c r="P1436" s="93">
        <f>O1436/60*(1+запас_труд)*стоимость_трудочаса</f>
        <v>7672.75</v>
      </c>
      <c r="Q1436" s="130">
        <f>M1436*(1+наценка_покупное)+P1436</f>
        <v>13752.642881919999</v>
      </c>
    </row>
    <row r="1437" spans="6:17" hidden="1" outlineLevel="5" collapsed="1" x14ac:dyDescent="0.25">
      <c r="G1437" s="97" t="s">
        <v>1231</v>
      </c>
      <c r="H1437" s="99"/>
      <c r="I1437" s="100"/>
      <c r="J1437" s="102">
        <f>HYPERLINK("#Структура!E1974",Структура!E1974)</f>
        <v>1</v>
      </c>
      <c r="K1437" s="112">
        <f>HYPERLINK("#Структура!G1974",Структура!G1974)</f>
        <v>17.11318</v>
      </c>
      <c r="L1437" s="100">
        <f>M1437/J1437</f>
        <v>2504.1982092000003</v>
      </c>
      <c r="M1437" s="100">
        <f>SUMIF(H1438:H1445,"*",M1438:M1445)*J1437</f>
        <v>2504.1982092000003</v>
      </c>
      <c r="N1437" s="122">
        <f>HYPERLINK("#Трудозатраты!B523",Трудозатраты!B523+SUMIF(H1438:H1445,"*",O1438:O1445))</f>
        <v>54</v>
      </c>
      <c r="O1437" s="101">
        <f>N1437*J1437</f>
        <v>54</v>
      </c>
      <c r="P1437" s="100">
        <f>O1437/60*(1+запас_труд)*стоимость_трудочаса</f>
        <v>2115</v>
      </c>
      <c r="Q1437" s="127">
        <f>M1437*(1+наценка_покупное)+P1437</f>
        <v>5120.0378510400005</v>
      </c>
    </row>
    <row r="1438" spans="6:17" hidden="1" outlineLevel="6" collapsed="1" x14ac:dyDescent="0.25">
      <c r="H1438" s="104" t="s">
        <v>1222</v>
      </c>
      <c r="I1438" s="88"/>
      <c r="J1438" s="90">
        <f>HYPERLINK("#Структура!E1958",Структура!E1958)</f>
        <v>2</v>
      </c>
      <c r="K1438" s="113">
        <f>HYPERLINK("#Структура!G1958",Структура!G1958)</f>
        <v>7.1966000000000001</v>
      </c>
      <c r="L1438" s="88">
        <f>M1438/J1438</f>
        <v>1044</v>
      </c>
      <c r="M1438" s="88">
        <f>SUMIF(I1439,"*",M1439)*J1438</f>
        <v>2088</v>
      </c>
      <c r="N1438" s="123">
        <f>HYPERLINK("#Трудозатраты!B515",Трудозатраты!B515+SUMIF(I1439,"*",O1439))</f>
        <v>9.9</v>
      </c>
      <c r="O1438" s="89">
        <f>N1438*J1438</f>
        <v>19.8</v>
      </c>
      <c r="P1438" s="88">
        <f>O1438/60*(1+запас_труд)*стоимость_трудочаса</f>
        <v>775.5</v>
      </c>
      <c r="Q1438" s="128">
        <f>M1438*(1+наценка_покупное)+P1438</f>
        <v>3281.1</v>
      </c>
    </row>
    <row r="1439" spans="6:17" hidden="1" outlineLevel="7" x14ac:dyDescent="0.25">
      <c r="I1439" s="76" t="s">
        <v>111</v>
      </c>
      <c r="J1439" s="78">
        <f>HYPERLINK("#Структура!E1938",Структура!E1938)</f>
        <v>8.6999999999999993</v>
      </c>
      <c r="K1439" s="114" t="str">
        <f>HYPERLINK("#Структура!G1938","")</f>
        <v/>
      </c>
      <c r="L1439" s="120">
        <f>HYPERLINK("#Покупные_изделия!D283",Покупные_изделия!D283)</f>
        <v>120</v>
      </c>
      <c r="M1439" s="76">
        <f>J1439*L1439</f>
        <v>1044</v>
      </c>
      <c r="N1439" s="77"/>
      <c r="O1439" s="77"/>
      <c r="P1439" s="76"/>
      <c r="Q1439" s="76"/>
    </row>
    <row r="1440" spans="6:17" hidden="1" outlineLevel="6" collapsed="1" x14ac:dyDescent="0.25">
      <c r="H1440" s="103" t="s">
        <v>1223</v>
      </c>
      <c r="I1440" s="81"/>
      <c r="J1440" s="83">
        <f>HYPERLINK("#Структура!E1959",Структура!E1959)</f>
        <v>2</v>
      </c>
      <c r="K1440" s="115">
        <f>HYPERLINK("#Структура!G1959",Структура!G1959)</f>
        <v>1.0219</v>
      </c>
      <c r="L1440" s="81">
        <f>M1440/J1440</f>
        <v>150</v>
      </c>
      <c r="M1440" s="81">
        <f>SUMIF(I1441,"*",M1441)*J1440</f>
        <v>300</v>
      </c>
      <c r="N1440" s="124">
        <f>HYPERLINK("#Трудозатраты!B516",Трудозатраты!B516+SUMIF(I1441,"*",O1441))</f>
        <v>2</v>
      </c>
      <c r="O1440" s="82">
        <f>N1440*J1440</f>
        <v>4</v>
      </c>
      <c r="P1440" s="81">
        <f>O1440/60*(1+запас_труд)*стоимость_трудочаса</f>
        <v>156.66666666666666</v>
      </c>
      <c r="Q1440" s="129">
        <f>M1440*(1+наценка_покупное)+P1440</f>
        <v>516.66666666666663</v>
      </c>
    </row>
    <row r="1441" spans="7:17" hidden="1" outlineLevel="7" x14ac:dyDescent="0.25">
      <c r="I1441" s="76" t="s">
        <v>117</v>
      </c>
      <c r="J1441" s="78">
        <f>HYPERLINK("#Структура!E1939",Структура!E1939)</f>
        <v>1.25</v>
      </c>
      <c r="K1441" s="114" t="str">
        <f>HYPERLINK("#Структура!G1939","")</f>
        <v/>
      </c>
      <c r="L1441" s="120">
        <f>HYPERLINK("#Покупные_изделия!D292",Покупные_изделия!D292)</f>
        <v>120</v>
      </c>
      <c r="M1441" s="76">
        <f>J1441*L1441</f>
        <v>150</v>
      </c>
      <c r="N1441" s="77"/>
      <c r="O1441" s="77"/>
      <c r="P1441" s="76"/>
      <c r="Q1441" s="76"/>
    </row>
    <row r="1442" spans="7:17" hidden="1" outlineLevel="6" collapsed="1" x14ac:dyDescent="0.25">
      <c r="H1442" s="103" t="s">
        <v>1224</v>
      </c>
      <c r="I1442" s="81"/>
      <c r="J1442" s="83">
        <f>HYPERLINK("#Структура!E1960",Структура!E1960)</f>
        <v>4</v>
      </c>
      <c r="K1442" s="115">
        <f>HYPERLINK("#Структура!G1960",Структура!G1960)</f>
        <v>0.16904</v>
      </c>
      <c r="L1442" s="81">
        <f>M1442/J1442</f>
        <v>25.2</v>
      </c>
      <c r="M1442" s="81">
        <f>SUMIF(I1443,"*",M1443)*J1442</f>
        <v>100.8</v>
      </c>
      <c r="N1442" s="124">
        <f>HYPERLINK("#Трудозатраты!B517",Трудозатраты!B517+SUMIF(I1443,"*",O1443))</f>
        <v>0.8</v>
      </c>
      <c r="O1442" s="82">
        <f>N1442*J1442</f>
        <v>3.2</v>
      </c>
      <c r="P1442" s="81">
        <f>O1442/60*(1+запас_труд)*стоимость_трудочаса</f>
        <v>125.33333333333334</v>
      </c>
      <c r="Q1442" s="129">
        <f>M1442*(1+наценка_покупное)+P1442</f>
        <v>246.29333333333335</v>
      </c>
    </row>
    <row r="1443" spans="7:17" hidden="1" outlineLevel="7" x14ac:dyDescent="0.25">
      <c r="I1443" s="76" t="s">
        <v>117</v>
      </c>
      <c r="J1443" s="78">
        <f>HYPERLINK("#Структура!E1940",Структура!E1940)</f>
        <v>0.21</v>
      </c>
      <c r="K1443" s="114" t="str">
        <f>HYPERLINK("#Структура!G1940","")</f>
        <v/>
      </c>
      <c r="L1443" s="120">
        <f>HYPERLINK("#Покупные_изделия!D292",Покупные_изделия!D292)</f>
        <v>120</v>
      </c>
      <c r="M1443" s="76">
        <f>J1443*L1443</f>
        <v>25.2</v>
      </c>
      <c r="N1443" s="77"/>
      <c r="O1443" s="77"/>
      <c r="P1443" s="76"/>
      <c r="Q1443" s="76"/>
    </row>
    <row r="1444" spans="7:17" hidden="1" outlineLevel="6" x14ac:dyDescent="0.25">
      <c r="H1444" s="75" t="s">
        <v>67</v>
      </c>
      <c r="I1444" s="76"/>
      <c r="J1444" s="78">
        <f>HYPERLINK("#Структура!E1961",Структура!E1961)</f>
        <v>0.16700000000000001</v>
      </c>
      <c r="K1444" s="114" t="str">
        <f>HYPERLINK("#Структура!G1961","")</f>
        <v/>
      </c>
      <c r="L1444" s="120">
        <f>HYPERLINK("#Покупные_изделия!D203",Покупные_изделия!D203)</f>
        <v>30.003600000000002</v>
      </c>
      <c r="M1444" s="76">
        <f>J1444*L1444</f>
        <v>5.0106012000000009</v>
      </c>
      <c r="N1444" s="77"/>
      <c r="O1444" s="77"/>
      <c r="P1444" s="76"/>
      <c r="Q1444" s="76"/>
    </row>
    <row r="1445" spans="7:17" hidden="1" outlineLevel="6" x14ac:dyDescent="0.25">
      <c r="H1445" s="75" t="s">
        <v>146</v>
      </c>
      <c r="I1445" s="76"/>
      <c r="J1445" s="78">
        <f>HYPERLINK("#Структура!E1962",Структура!E1962)</f>
        <v>9.8000000000000004E-2</v>
      </c>
      <c r="K1445" s="114" t="str">
        <f>HYPERLINK("#Структура!G1962","")</f>
        <v/>
      </c>
      <c r="L1445" s="120">
        <f>HYPERLINK("#Покупные_изделия!D406",Покупные_изделия!D406)</f>
        <v>105.996</v>
      </c>
      <c r="M1445" s="76">
        <f>J1445*L1445</f>
        <v>10.387608</v>
      </c>
      <c r="N1445" s="77"/>
      <c r="O1445" s="77"/>
      <c r="P1445" s="76"/>
      <c r="Q1445" s="76"/>
    </row>
    <row r="1446" spans="7:17" hidden="1" outlineLevel="5" collapsed="1" x14ac:dyDescent="0.25">
      <c r="G1446" s="84" t="s">
        <v>1234</v>
      </c>
      <c r="H1446" s="80"/>
      <c r="I1446" s="81"/>
      <c r="J1446" s="83">
        <f>HYPERLINK("#Структура!E1975",Структура!E1975)</f>
        <v>1</v>
      </c>
      <c r="K1446" s="115">
        <f>HYPERLINK("#Структура!G1975",Структура!G1975)</f>
        <v>9.6162600000000005</v>
      </c>
      <c r="L1446" s="81">
        <f>M1446/J1446</f>
        <v>1632</v>
      </c>
      <c r="M1446" s="81">
        <f>SUMIF(H1447,"*",M1447)*J1446</f>
        <v>1632</v>
      </c>
      <c r="N1446" s="124">
        <f>HYPERLINK("#Трудозатраты!B528",Трудозатраты!B528+SUMIF(H1447,"*",O1447))</f>
        <v>10.7</v>
      </c>
      <c r="O1446" s="82">
        <f>N1446*J1446</f>
        <v>10.7</v>
      </c>
      <c r="P1446" s="81">
        <f>O1446/60*(1+запас_труд)*стоимость_трудочаса</f>
        <v>419.08333333333331</v>
      </c>
      <c r="Q1446" s="129">
        <f>M1446*(1+наценка_покупное)+P1446</f>
        <v>2377.4833333333331</v>
      </c>
    </row>
    <row r="1447" spans="7:17" hidden="1" outlineLevel="6" x14ac:dyDescent="0.25">
      <c r="H1447" s="75" t="s">
        <v>120</v>
      </c>
      <c r="I1447" s="76"/>
      <c r="J1447" s="78">
        <f>HYPERLINK("#Структура!E1987",Структура!E1987)</f>
        <v>13.6</v>
      </c>
      <c r="K1447" s="114" t="str">
        <f>HYPERLINK("#Структура!G1987","")</f>
        <v/>
      </c>
      <c r="L1447" s="120">
        <f>HYPERLINK("#Покупные_изделия!D295",Покупные_изделия!D295)</f>
        <v>120</v>
      </c>
      <c r="M1447" s="76">
        <f>J1447*L1447</f>
        <v>1632</v>
      </c>
      <c r="N1447" s="77"/>
      <c r="O1447" s="77"/>
      <c r="P1447" s="76"/>
      <c r="Q1447" s="76"/>
    </row>
    <row r="1448" spans="7:17" hidden="1" outlineLevel="5" collapsed="1" x14ac:dyDescent="0.25">
      <c r="G1448" s="84" t="s">
        <v>1235</v>
      </c>
      <c r="H1448" s="80"/>
      <c r="I1448" s="81"/>
      <c r="J1448" s="83">
        <f>HYPERLINK("#Структура!E1976",Структура!E1976)</f>
        <v>2</v>
      </c>
      <c r="K1448" s="115">
        <f>HYPERLINK("#Структура!G1976",Структура!G1976)</f>
        <v>1.7407699999999999</v>
      </c>
      <c r="L1448" s="81">
        <f>M1448/J1448</f>
        <v>169.2</v>
      </c>
      <c r="M1448" s="81">
        <f>SUMIF(H1449,"*",M1449)*J1448</f>
        <v>338.4</v>
      </c>
      <c r="N1448" s="124">
        <f>HYPERLINK("#Трудозатраты!B529",Трудозатраты!B529+SUMIF(H1449,"*",O1449))</f>
        <v>22</v>
      </c>
      <c r="O1448" s="82">
        <f>N1448*J1448</f>
        <v>44</v>
      </c>
      <c r="P1448" s="81">
        <f>O1448/60*(1+запас_труд)*стоимость_трудочаса</f>
        <v>1723.3333333333333</v>
      </c>
      <c r="Q1448" s="129">
        <f>M1448*(1+наценка_покупное)+P1448</f>
        <v>2129.4133333333334</v>
      </c>
    </row>
    <row r="1449" spans="7:17" hidden="1" outlineLevel="6" x14ac:dyDescent="0.25">
      <c r="H1449" s="75" t="s">
        <v>178</v>
      </c>
      <c r="I1449" s="76"/>
      <c r="J1449" s="78">
        <f>HYPERLINK("#Структура!E1988",Структура!E1988)</f>
        <v>1.41</v>
      </c>
      <c r="K1449" s="114" t="str">
        <f>HYPERLINK("#Структура!G1988","")</f>
        <v/>
      </c>
      <c r="L1449" s="120">
        <f>HYPERLINK("#Покупные_изделия!D489",Покупные_изделия!D489)</f>
        <v>120</v>
      </c>
      <c r="M1449" s="76">
        <f>J1449*L1449</f>
        <v>169.2</v>
      </c>
      <c r="N1449" s="77"/>
      <c r="O1449" s="77"/>
      <c r="P1449" s="76"/>
      <c r="Q1449" s="76"/>
    </row>
    <row r="1450" spans="7:17" hidden="1" outlineLevel="5" collapsed="1" x14ac:dyDescent="0.25">
      <c r="G1450" s="84" t="s">
        <v>1236</v>
      </c>
      <c r="H1450" s="80"/>
      <c r="I1450" s="81"/>
      <c r="J1450" s="83">
        <f>HYPERLINK("#Структура!E1977",Структура!E1977)</f>
        <v>1</v>
      </c>
      <c r="K1450" s="115">
        <f>HYPERLINK("#Структура!G1977",Структура!G1977)</f>
        <v>1.03599</v>
      </c>
      <c r="L1450" s="81">
        <f>M1450/J1450</f>
        <v>110.00000000000001</v>
      </c>
      <c r="M1450" s="81">
        <f>SUMIF(H1451,"*",M1451)*J1450</f>
        <v>110.00000000000001</v>
      </c>
      <c r="N1450" s="124">
        <f>HYPERLINK("#Трудозатраты!B530",Трудозатраты!B530+SUMIF(H1451,"*",O1451))</f>
        <v>4</v>
      </c>
      <c r="O1450" s="82">
        <f>N1450*J1450</f>
        <v>4</v>
      </c>
      <c r="P1450" s="81">
        <f>O1450/60*(1+запас_труд)*стоимость_трудочаса</f>
        <v>156.66666666666666</v>
      </c>
      <c r="Q1450" s="129">
        <f>M1450*(1+наценка_покупное)+P1450</f>
        <v>288.66666666666663</v>
      </c>
    </row>
    <row r="1451" spans="7:17" hidden="1" outlineLevel="6" x14ac:dyDescent="0.25">
      <c r="H1451" s="75" t="s">
        <v>190</v>
      </c>
      <c r="I1451" s="76"/>
      <c r="J1451" s="78">
        <f>HYPERLINK("#Структура!E1989",Структура!E1989)</f>
        <v>1.1000000000000001</v>
      </c>
      <c r="K1451" s="114" t="str">
        <f>HYPERLINK("#Структура!G1989","")</f>
        <v/>
      </c>
      <c r="L1451" s="120">
        <f>HYPERLINK("#Покупные_изделия!D503",Покупные_изделия!D503)</f>
        <v>100</v>
      </c>
      <c r="M1451" s="76">
        <f>J1451*L1451</f>
        <v>110.00000000000001</v>
      </c>
      <c r="N1451" s="77"/>
      <c r="O1451" s="77"/>
      <c r="P1451" s="76"/>
      <c r="Q1451" s="76"/>
    </row>
    <row r="1452" spans="7:17" hidden="1" outlineLevel="5" collapsed="1" x14ac:dyDescent="0.25">
      <c r="G1452" s="84" t="s">
        <v>1237</v>
      </c>
      <c r="H1452" s="80"/>
      <c r="I1452" s="81"/>
      <c r="J1452" s="83">
        <f>HYPERLINK("#Структура!E1978",Структура!E1978)</f>
        <v>1</v>
      </c>
      <c r="K1452" s="115">
        <f>HYPERLINK("#Структура!G1978",Структура!G1978)</f>
        <v>0.94466000000000006</v>
      </c>
      <c r="L1452" s="81">
        <f>M1452/J1452</f>
        <v>138</v>
      </c>
      <c r="M1452" s="81">
        <f>SUMIF(H1453,"*",M1453)*J1452</f>
        <v>138</v>
      </c>
      <c r="N1452" s="124">
        <f>HYPERLINK("#Трудозатраты!B531",Трудозатраты!B531+SUMIF(H1453,"*",O1453))</f>
        <v>1.3</v>
      </c>
      <c r="O1452" s="82">
        <f>N1452*J1452</f>
        <v>1.3</v>
      </c>
      <c r="P1452" s="81">
        <f>O1452/60*(1+запас_труд)*стоимость_трудочаса</f>
        <v>50.916666666666671</v>
      </c>
      <c r="Q1452" s="129">
        <f>M1452*(1+наценка_покупное)+P1452</f>
        <v>216.51666666666665</v>
      </c>
    </row>
    <row r="1453" spans="7:17" hidden="1" outlineLevel="6" x14ac:dyDescent="0.25">
      <c r="H1453" s="75" t="s">
        <v>117</v>
      </c>
      <c r="I1453" s="76"/>
      <c r="J1453" s="78">
        <f>HYPERLINK("#Структура!E1990",Структура!E1990)</f>
        <v>1.1499999999999999</v>
      </c>
      <c r="K1453" s="114" t="str">
        <f>HYPERLINK("#Структура!G1990","")</f>
        <v/>
      </c>
      <c r="L1453" s="120">
        <f>HYPERLINK("#Покупные_изделия!D292",Покупные_изделия!D292)</f>
        <v>120</v>
      </c>
      <c r="M1453" s="76">
        <f>J1453*L1453</f>
        <v>138</v>
      </c>
      <c r="N1453" s="77"/>
      <c r="O1453" s="77"/>
      <c r="P1453" s="76"/>
      <c r="Q1453" s="76"/>
    </row>
    <row r="1454" spans="7:17" hidden="1" outlineLevel="5" collapsed="1" x14ac:dyDescent="0.25">
      <c r="G1454" s="84" t="s">
        <v>1238</v>
      </c>
      <c r="H1454" s="80"/>
      <c r="I1454" s="81"/>
      <c r="J1454" s="83">
        <f>HYPERLINK("#Структура!E1979",Структура!E1979)</f>
        <v>1</v>
      </c>
      <c r="K1454" s="115">
        <f>HYPERLINK("#Структура!G1979",Структура!G1979)</f>
        <v>0.48792000000000002</v>
      </c>
      <c r="L1454" s="81">
        <f>M1454/J1454</f>
        <v>72</v>
      </c>
      <c r="M1454" s="81">
        <f>SUMIF(H1455,"*",M1455)*J1454</f>
        <v>72</v>
      </c>
      <c r="N1454" s="124">
        <f>HYPERLINK("#Трудозатраты!B532",Трудозатраты!B532+SUMIF(H1455,"*",O1455))</f>
        <v>1.4</v>
      </c>
      <c r="O1454" s="82">
        <f>N1454*J1454</f>
        <v>1.4</v>
      </c>
      <c r="P1454" s="81">
        <f>O1454/60*(1+запас_труд)*стоимость_трудочаса</f>
        <v>54.833333333333329</v>
      </c>
      <c r="Q1454" s="129">
        <f>M1454*(1+наценка_покупное)+P1454</f>
        <v>141.23333333333332</v>
      </c>
    </row>
    <row r="1455" spans="7:17" hidden="1" outlineLevel="6" x14ac:dyDescent="0.25">
      <c r="H1455" s="75" t="s">
        <v>117</v>
      </c>
      <c r="I1455" s="76"/>
      <c r="J1455" s="78">
        <f>HYPERLINK("#Структура!E1991",Структура!E1991)</f>
        <v>0.6</v>
      </c>
      <c r="K1455" s="114" t="str">
        <f>HYPERLINK("#Структура!G1991","")</f>
        <v/>
      </c>
      <c r="L1455" s="120">
        <f>HYPERLINK("#Покупные_изделия!D292",Покупные_изделия!D292)</f>
        <v>120</v>
      </c>
      <c r="M1455" s="76">
        <f t="shared" ref="M1455:M1465" si="57">J1455*L1455</f>
        <v>72</v>
      </c>
      <c r="N1455" s="77"/>
      <c r="O1455" s="77"/>
      <c r="P1455" s="76"/>
      <c r="Q1455" s="76"/>
    </row>
    <row r="1456" spans="7:17" hidden="1" outlineLevel="5" x14ac:dyDescent="0.25">
      <c r="G1456" s="74" t="s">
        <v>966</v>
      </c>
      <c r="H1456" s="75"/>
      <c r="I1456" s="76"/>
      <c r="J1456" s="78">
        <f>HYPERLINK("#Структура!E1980",Структура!E1980)</f>
        <v>1</v>
      </c>
      <c r="K1456" s="114">
        <f>HYPERLINK("#Структура!G1980",Структура!G1980)</f>
        <v>5.2700000000000004E-3</v>
      </c>
      <c r="L1456" s="120">
        <f>HYPERLINK("#Покупные_изделия!D170",Покупные_изделия!D170)</f>
        <v>1.3728</v>
      </c>
      <c r="M1456" s="76">
        <f t="shared" si="57"/>
        <v>1.3728</v>
      </c>
      <c r="N1456" s="77"/>
      <c r="O1456" s="77"/>
      <c r="P1456" s="76"/>
      <c r="Q1456" s="76"/>
    </row>
    <row r="1457" spans="5:17" hidden="1" outlineLevel="5" x14ac:dyDescent="0.25">
      <c r="G1457" s="74" t="s">
        <v>65</v>
      </c>
      <c r="H1457" s="75"/>
      <c r="I1457" s="76"/>
      <c r="J1457" s="78">
        <f>HYPERLINK("#Структура!E1981",Структура!E1981)</f>
        <v>0.158</v>
      </c>
      <c r="K1457" s="114" t="str">
        <f>HYPERLINK("#Структура!G1981","")</f>
        <v/>
      </c>
      <c r="L1457" s="120">
        <f>HYPERLINK("#Покупные_изделия!D197",Покупные_изделия!D197)</f>
        <v>264.50399999999996</v>
      </c>
      <c r="M1457" s="76">
        <f t="shared" si="57"/>
        <v>41.791631999999993</v>
      </c>
      <c r="N1457" s="77"/>
      <c r="O1457" s="77"/>
      <c r="P1457" s="76"/>
      <c r="Q1457" s="76"/>
    </row>
    <row r="1458" spans="5:17" hidden="1" outlineLevel="5" x14ac:dyDescent="0.25">
      <c r="G1458" s="74" t="s">
        <v>67</v>
      </c>
      <c r="H1458" s="75"/>
      <c r="I1458" s="76"/>
      <c r="J1458" s="78">
        <f>HYPERLINK("#Структура!E1982",Структура!E1982)</f>
        <v>0.39900000000000002</v>
      </c>
      <c r="K1458" s="114" t="str">
        <f>HYPERLINK("#Структура!G1982","")</f>
        <v/>
      </c>
      <c r="L1458" s="120">
        <f>HYPERLINK("#Покупные_изделия!D203",Покупные_изделия!D203)</f>
        <v>30.003600000000002</v>
      </c>
      <c r="M1458" s="76">
        <f t="shared" si="57"/>
        <v>11.971436400000002</v>
      </c>
      <c r="N1458" s="77"/>
      <c r="O1458" s="77"/>
      <c r="P1458" s="76"/>
      <c r="Q1458" s="76"/>
    </row>
    <row r="1459" spans="5:17" hidden="1" outlineLevel="5" x14ac:dyDescent="0.25">
      <c r="G1459" s="74" t="s">
        <v>146</v>
      </c>
      <c r="H1459" s="75"/>
      <c r="I1459" s="76"/>
      <c r="J1459" s="78">
        <f>HYPERLINK("#Структура!E1983",Структура!E1983)</f>
        <v>0.23499999999999999</v>
      </c>
      <c r="K1459" s="114" t="str">
        <f>HYPERLINK("#Структура!G1983","")</f>
        <v/>
      </c>
      <c r="L1459" s="120">
        <f>HYPERLINK("#Покупные_изделия!D406",Покупные_изделия!D406)</f>
        <v>105.996</v>
      </c>
      <c r="M1459" s="76">
        <f t="shared" si="57"/>
        <v>24.909059999999997</v>
      </c>
      <c r="N1459" s="77"/>
      <c r="O1459" s="77"/>
      <c r="P1459" s="76"/>
      <c r="Q1459" s="76"/>
    </row>
    <row r="1460" spans="5:17" hidden="1" outlineLevel="5" x14ac:dyDescent="0.25">
      <c r="G1460" s="74" t="s">
        <v>155</v>
      </c>
      <c r="H1460" s="75"/>
      <c r="I1460" s="76"/>
      <c r="J1460" s="78">
        <f>HYPERLINK("#Структура!E1984",Структура!E1984)</f>
        <v>4.7E-2</v>
      </c>
      <c r="K1460" s="114" t="str">
        <f>HYPERLINK("#Структура!G1984","")</f>
        <v/>
      </c>
      <c r="L1460" s="120">
        <f>HYPERLINK("#Покупные_изделия!D423",Покупные_изделия!D423)</f>
        <v>218.28</v>
      </c>
      <c r="M1460" s="76">
        <f t="shared" si="57"/>
        <v>10.25916</v>
      </c>
      <c r="N1460" s="77"/>
      <c r="O1460" s="77"/>
      <c r="P1460" s="76"/>
      <c r="Q1460" s="76"/>
    </row>
    <row r="1461" spans="5:17" hidden="1" outlineLevel="5" x14ac:dyDescent="0.25">
      <c r="G1461" s="74" t="s">
        <v>200</v>
      </c>
      <c r="H1461" s="75"/>
      <c r="I1461" s="76"/>
      <c r="J1461" s="78">
        <f>HYPERLINK("#Структура!E1985",Структура!E1985)</f>
        <v>0.19800000000000001</v>
      </c>
      <c r="K1461" s="114" t="str">
        <f>HYPERLINK("#Структура!G1985","")</f>
        <v/>
      </c>
      <c r="L1461" s="120">
        <f>HYPERLINK("#Покупные_изделия!D518",Покупные_изделия!D518)</f>
        <v>270</v>
      </c>
      <c r="M1461" s="76">
        <f t="shared" si="57"/>
        <v>53.46</v>
      </c>
      <c r="N1461" s="77"/>
      <c r="O1461" s="77"/>
      <c r="P1461" s="76"/>
      <c r="Q1461" s="76"/>
    </row>
    <row r="1462" spans="5:17" hidden="1" outlineLevel="5" x14ac:dyDescent="0.25">
      <c r="G1462" s="74" t="s">
        <v>215</v>
      </c>
      <c r="H1462" s="75"/>
      <c r="I1462" s="76"/>
      <c r="J1462" s="78">
        <f>HYPERLINK("#Структура!E1986",Структура!E1986)</f>
        <v>0.316</v>
      </c>
      <c r="K1462" s="114" t="str">
        <f>HYPERLINK("#Структура!G1986","")</f>
        <v/>
      </c>
      <c r="L1462" s="120">
        <f>HYPERLINK("#Покупные_изделия!D567",Покупные_изделия!D567)</f>
        <v>405.74399999999997</v>
      </c>
      <c r="M1462" s="76">
        <f t="shared" si="57"/>
        <v>128.215104</v>
      </c>
      <c r="N1462" s="77"/>
      <c r="O1462" s="77"/>
      <c r="P1462" s="76"/>
      <c r="Q1462" s="76"/>
    </row>
    <row r="1463" spans="5:17" hidden="1" outlineLevel="4" x14ac:dyDescent="0.25">
      <c r="F1463" s="74" t="s">
        <v>1230</v>
      </c>
      <c r="G1463" s="74"/>
      <c r="H1463" s="75"/>
      <c r="I1463" s="76"/>
      <c r="J1463" s="78">
        <f>HYPERLINK("#Структура!E1955",Структура!E1955)</f>
        <v>4</v>
      </c>
      <c r="K1463" s="114">
        <f>HYPERLINK("#Структура!G1955",Структура!G1955)</f>
        <v>6.3E-2</v>
      </c>
      <c r="L1463" s="120">
        <f>HYPERLINK("#Покупные_изделия!D77",Покупные_изделия!D77)</f>
        <v>66</v>
      </c>
      <c r="M1463" s="76">
        <f t="shared" si="57"/>
        <v>264</v>
      </c>
      <c r="N1463" s="77"/>
      <c r="O1463" s="77"/>
      <c r="P1463" s="76"/>
      <c r="Q1463" s="76"/>
    </row>
    <row r="1464" spans="5:17" hidden="1" outlineLevel="4" x14ac:dyDescent="0.25">
      <c r="F1464" s="74" t="s">
        <v>864</v>
      </c>
      <c r="G1464" s="74"/>
      <c r="H1464" s="75"/>
      <c r="I1464" s="76"/>
      <c r="J1464" s="78">
        <f>HYPERLINK("#Структура!E1956",Структура!E1956)</f>
        <v>4</v>
      </c>
      <c r="K1464" s="114">
        <f>HYPERLINK("#Структура!G1956",Структура!G1956)</f>
        <v>1.567E-2</v>
      </c>
      <c r="L1464" s="120">
        <f>HYPERLINK("#Покупные_изделия!D175",Покупные_изделия!D175)</f>
        <v>3.3659999999999997</v>
      </c>
      <c r="M1464" s="76">
        <f t="shared" si="57"/>
        <v>13.463999999999999</v>
      </c>
      <c r="N1464" s="77"/>
      <c r="O1464" s="77"/>
      <c r="P1464" s="76"/>
      <c r="Q1464" s="76"/>
    </row>
    <row r="1465" spans="5:17" hidden="1" outlineLevel="4" x14ac:dyDescent="0.25">
      <c r="F1465" s="74" t="s">
        <v>865</v>
      </c>
      <c r="G1465" s="74"/>
      <c r="H1465" s="75"/>
      <c r="I1465" s="76"/>
      <c r="J1465" s="78">
        <f>HYPERLINK("#Структура!E1957",Структура!E1957)</f>
        <v>4</v>
      </c>
      <c r="K1465" s="114">
        <f>HYPERLINK("#Структура!G1957",Структура!G1957)</f>
        <v>3.4499999999999999E-3</v>
      </c>
      <c r="L1465" s="120">
        <f>HYPERLINK("#Покупные_изделия!D523",Покупные_изделия!D523)</f>
        <v>1.5973680000000001</v>
      </c>
      <c r="M1465" s="76">
        <f t="shared" si="57"/>
        <v>6.3894720000000005</v>
      </c>
      <c r="N1465" s="77"/>
      <c r="O1465" s="77"/>
      <c r="P1465" s="76"/>
      <c r="Q1465" s="76"/>
    </row>
    <row r="1466" spans="5:17" hidden="1" outlineLevel="3" collapsed="1" x14ac:dyDescent="0.25">
      <c r="E1466" s="96" t="s">
        <v>1181</v>
      </c>
      <c r="F1466" s="91"/>
      <c r="G1466" s="91"/>
      <c r="H1466" s="92"/>
      <c r="I1466" s="93"/>
      <c r="J1466" s="95">
        <f>HYPERLINK("#Структура!E1788",Структура!E1788)</f>
        <v>1</v>
      </c>
      <c r="K1466" s="116">
        <f>HYPERLINK("#Структура!G1788",Структура!G1788)</f>
        <v>97.203389999999999</v>
      </c>
      <c r="L1466" s="93">
        <f>M1466/J1466</f>
        <v>29452.726846000005</v>
      </c>
      <c r="M1466" s="93">
        <f>SUMIF(F1467:F1516,"*",M1467:M1516)*J1466</f>
        <v>29452.726846000005</v>
      </c>
      <c r="N1466" s="125">
        <f>HYPERLINK("#Трудозатраты!B533",Трудозатраты!B533+SUMIF(F1467:F1516,"*",O1467:O1516))</f>
        <v>1710.97</v>
      </c>
      <c r="O1466" s="94">
        <f>N1466*J1466</f>
        <v>1710.97</v>
      </c>
      <c r="P1466" s="93">
        <f>O1466/60*(1+запас_труд)*стоимость_трудочаса</f>
        <v>67012.991666666669</v>
      </c>
      <c r="Q1466" s="130">
        <f>M1466*(1+наценка_покупное)+P1466</f>
        <v>102356.26388186667</v>
      </c>
    </row>
    <row r="1467" spans="5:17" hidden="1" outlineLevel="4" collapsed="1" x14ac:dyDescent="0.25">
      <c r="F1467" s="97" t="s">
        <v>1239</v>
      </c>
      <c r="G1467" s="98"/>
      <c r="H1467" s="99"/>
      <c r="I1467" s="100"/>
      <c r="J1467" s="102">
        <f>HYPERLINK("#Структура!E1992",Структура!E1992)</f>
        <v>1</v>
      </c>
      <c r="K1467" s="112">
        <f>HYPERLINK("#Структура!G1992",Структура!G1992)</f>
        <v>89.727519999999998</v>
      </c>
      <c r="L1467" s="100">
        <f>M1467/J1467</f>
        <v>18610.495586800003</v>
      </c>
      <c r="M1467" s="100">
        <f>SUMIF(G1468:G1507,"*",M1468:M1507)*J1467</f>
        <v>18610.495586800003</v>
      </c>
      <c r="N1467" s="122">
        <f>HYPERLINK("#Трудозатраты!B543",Трудозатраты!B543+SUMIF(G1468:G1507,"*",O1468:O1507))</f>
        <v>1403.3</v>
      </c>
      <c r="O1467" s="101">
        <f>N1467*J1467</f>
        <v>1403.3</v>
      </c>
      <c r="P1467" s="100">
        <f>O1467/60*(1+запас_труд)*стоимость_трудочаса</f>
        <v>54962.583333333328</v>
      </c>
      <c r="Q1467" s="127">
        <f>M1467*(1+наценка_покупное)+P1467</f>
        <v>77295.17803749333</v>
      </c>
    </row>
    <row r="1468" spans="5:17" hidden="1" outlineLevel="5" collapsed="1" x14ac:dyDescent="0.25">
      <c r="G1468" s="97" t="s">
        <v>1242</v>
      </c>
      <c r="H1468" s="99"/>
      <c r="I1468" s="100"/>
      <c r="J1468" s="102">
        <f>HYPERLINK("#Структура!E2023",Структура!E2023)</f>
        <v>1</v>
      </c>
      <c r="K1468" s="112">
        <f>HYPERLINK("#Структура!G2023",Структура!G2023)</f>
        <v>25.28351</v>
      </c>
      <c r="L1468" s="100">
        <f>M1468/J1468</f>
        <v>5534.4106812</v>
      </c>
      <c r="M1468" s="100">
        <f>SUMIF(H1469:H1478,"*",M1469:M1478)*J1468</f>
        <v>5534.4106812</v>
      </c>
      <c r="N1468" s="122">
        <f>HYPERLINK("#Трудозатраты!B534",Трудозатраты!B534+SUMIF(H1469:H1478,"*",O1469:O1478))</f>
        <v>362.8</v>
      </c>
      <c r="O1468" s="101">
        <f>N1468*J1468</f>
        <v>362.8</v>
      </c>
      <c r="P1468" s="100">
        <f>O1468/60*(1+запас_труд)*стоимость_трудочаса</f>
        <v>14209.666666666668</v>
      </c>
      <c r="Q1468" s="127">
        <f>M1468*(1+наценка_покупное)+P1468</f>
        <v>20850.959484106668</v>
      </c>
    </row>
    <row r="1469" spans="5:17" hidden="1" outlineLevel="6" collapsed="1" x14ac:dyDescent="0.25">
      <c r="H1469" s="104" t="s">
        <v>1241</v>
      </c>
      <c r="I1469" s="88"/>
      <c r="J1469" s="90">
        <f>HYPERLINK("#Структура!E2001",Структура!E2001)</f>
        <v>1</v>
      </c>
      <c r="K1469" s="113">
        <f>HYPERLINK("#Структура!G2001",Структура!G2001)</f>
        <v>16.82422</v>
      </c>
      <c r="L1469" s="88">
        <f>M1469/J1469</f>
        <v>3182.4</v>
      </c>
      <c r="M1469" s="88">
        <f>SUMIF(I1470,"*",M1470)*J1469</f>
        <v>3182.4</v>
      </c>
      <c r="N1469" s="123">
        <f>HYPERLINK("#Трудозатраты!B536",Трудозатраты!B536+SUMIF(I1470,"*",O1470))</f>
        <v>41.7</v>
      </c>
      <c r="O1469" s="89">
        <f>N1469*J1469</f>
        <v>41.7</v>
      </c>
      <c r="P1469" s="88">
        <f>O1469/60*(1+запас_труд)*стоимость_трудочаса</f>
        <v>1633.2500000000002</v>
      </c>
      <c r="Q1469" s="128">
        <f>M1469*(1+наценка_покупное)+P1469</f>
        <v>5452.13</v>
      </c>
    </row>
    <row r="1470" spans="5:17" hidden="1" outlineLevel="7" x14ac:dyDescent="0.25">
      <c r="I1470" s="76" t="s">
        <v>119</v>
      </c>
      <c r="J1470" s="78">
        <f>HYPERLINK("#Структура!E2013",Структура!E2013)</f>
        <v>26.52</v>
      </c>
      <c r="K1470" s="114" t="str">
        <f>HYPERLINK("#Структура!G2013","")</f>
        <v/>
      </c>
      <c r="L1470" s="120">
        <f>HYPERLINK("#Покупные_изделия!D294",Покупные_изделия!D294)</f>
        <v>120</v>
      </c>
      <c r="M1470" s="76">
        <f>J1470*L1470</f>
        <v>3182.4</v>
      </c>
      <c r="N1470" s="77"/>
      <c r="O1470" s="77"/>
      <c r="P1470" s="76"/>
      <c r="Q1470" s="76"/>
    </row>
    <row r="1471" spans="5:17" hidden="1" outlineLevel="6" collapsed="1" x14ac:dyDescent="0.25">
      <c r="H1471" s="103" t="s">
        <v>1243</v>
      </c>
      <c r="I1471" s="81"/>
      <c r="J1471" s="83">
        <f>HYPERLINK("#Структура!E2002",Структура!E2002)</f>
        <v>1</v>
      </c>
      <c r="K1471" s="115">
        <f>HYPERLINK("#Структура!G2002",Структура!G2002)</f>
        <v>3.9093</v>
      </c>
      <c r="L1471" s="81">
        <f>M1471/J1471</f>
        <v>1591.2</v>
      </c>
      <c r="M1471" s="81">
        <f>SUMIF(I1472,"*",M1472)*J1471</f>
        <v>1591.2</v>
      </c>
      <c r="N1471" s="124">
        <f>HYPERLINK("#Трудозатраты!B537",Трудозатраты!B537+SUMIF(I1472,"*",O1472))</f>
        <v>19.7</v>
      </c>
      <c r="O1471" s="82">
        <f>N1471*J1471</f>
        <v>19.7</v>
      </c>
      <c r="P1471" s="81">
        <f>O1471/60*(1+запас_труд)*стоимость_трудочаса</f>
        <v>771.58333333333326</v>
      </c>
      <c r="Q1471" s="129">
        <f>M1471*(1+наценка_покупное)+P1471</f>
        <v>2681.0233333333335</v>
      </c>
    </row>
    <row r="1472" spans="5:17" hidden="1" outlineLevel="7" x14ac:dyDescent="0.25">
      <c r="I1472" s="76" t="s">
        <v>115</v>
      </c>
      <c r="J1472" s="78">
        <f>HYPERLINK("#Структура!E2014",Структура!E2014)</f>
        <v>13.26</v>
      </c>
      <c r="K1472" s="114" t="str">
        <f>HYPERLINK("#Структура!G2014","")</f>
        <v/>
      </c>
      <c r="L1472" s="120">
        <f>HYPERLINK("#Покупные_изделия!D289",Покупные_изделия!D289)</f>
        <v>120</v>
      </c>
      <c r="M1472" s="76">
        <f>J1472*L1472</f>
        <v>1591.2</v>
      </c>
      <c r="N1472" s="77"/>
      <c r="O1472" s="77"/>
      <c r="P1472" s="76"/>
      <c r="Q1472" s="76"/>
    </row>
    <row r="1473" spans="7:17" hidden="1" outlineLevel="6" collapsed="1" x14ac:dyDescent="0.25">
      <c r="H1473" s="103" t="s">
        <v>1244</v>
      </c>
      <c r="I1473" s="81"/>
      <c r="J1473" s="83">
        <f>HYPERLINK("#Структура!E2003",Структура!E2003)</f>
        <v>12</v>
      </c>
      <c r="K1473" s="115">
        <f>HYPERLINK("#Структура!G2003",Структура!G2003)</f>
        <v>0.3372</v>
      </c>
      <c r="L1473" s="81">
        <f>M1473/J1473</f>
        <v>50.684400000000004</v>
      </c>
      <c r="M1473" s="81">
        <f>SUMIF(I1474,"*",M1474)*J1473</f>
        <v>608.21280000000002</v>
      </c>
      <c r="N1473" s="124">
        <f>HYPERLINK("#Трудозатраты!B538",Трудозатраты!B538+SUMIF(I1474,"*",O1474))</f>
        <v>17.8</v>
      </c>
      <c r="O1473" s="82">
        <f>N1473*J1473</f>
        <v>213.60000000000002</v>
      </c>
      <c r="P1473" s="81">
        <f>O1473/60*(1+запас_труд)*стоимость_трудочаса</f>
        <v>8366.0000000000018</v>
      </c>
      <c r="Q1473" s="129">
        <f>M1473*(1+наценка_покупное)+P1473</f>
        <v>9095.8553600000014</v>
      </c>
    </row>
    <row r="1474" spans="7:17" hidden="1" outlineLevel="7" x14ac:dyDescent="0.25">
      <c r="I1474" s="76" t="s">
        <v>115</v>
      </c>
      <c r="J1474" s="78">
        <f>HYPERLINK("#Структура!E2015",Структура!E2015)</f>
        <v>0.42237000000000002</v>
      </c>
      <c r="K1474" s="114" t="str">
        <f>HYPERLINK("#Структура!G2015","")</f>
        <v/>
      </c>
      <c r="L1474" s="120">
        <f>HYPERLINK("#Покупные_изделия!D289",Покупные_изделия!D289)</f>
        <v>120</v>
      </c>
      <c r="M1474" s="76">
        <f>J1474*L1474</f>
        <v>50.684400000000004</v>
      </c>
      <c r="N1474" s="77"/>
      <c r="O1474" s="77"/>
      <c r="P1474" s="76"/>
      <c r="Q1474" s="76"/>
    </row>
    <row r="1475" spans="7:17" hidden="1" outlineLevel="6" collapsed="1" x14ac:dyDescent="0.25">
      <c r="H1475" s="103" t="s">
        <v>1245</v>
      </c>
      <c r="I1475" s="81"/>
      <c r="J1475" s="83">
        <f>HYPERLINK("#Структура!E2004",Структура!E2004)</f>
        <v>1</v>
      </c>
      <c r="K1475" s="115">
        <f>HYPERLINK("#Структура!G2004",Структура!G2004)</f>
        <v>0.50365000000000004</v>
      </c>
      <c r="L1475" s="81">
        <f>M1475/J1475</f>
        <v>72.526799999999994</v>
      </c>
      <c r="M1475" s="81">
        <f>SUMIF(I1476,"*",M1476)*J1475</f>
        <v>72.526799999999994</v>
      </c>
      <c r="N1475" s="124">
        <f>HYPERLINK("#Трудозатраты!B539",Трудозатраты!B539+SUMIF(I1476,"*",O1476))</f>
        <v>12.8</v>
      </c>
      <c r="O1475" s="82">
        <f>N1475*J1475</f>
        <v>12.8</v>
      </c>
      <c r="P1475" s="81">
        <f>O1475/60*(1+запас_труд)*стоимость_трудочаса</f>
        <v>501.33333333333337</v>
      </c>
      <c r="Q1475" s="129">
        <f>M1475*(1+наценка_покупное)+P1475</f>
        <v>588.36549333333335</v>
      </c>
    </row>
    <row r="1476" spans="7:17" hidden="1" outlineLevel="7" x14ac:dyDescent="0.25">
      <c r="I1476" s="76" t="s">
        <v>113</v>
      </c>
      <c r="J1476" s="78">
        <f>HYPERLINK("#Структура!E2016",Структура!E2016)</f>
        <v>0.60438999999999998</v>
      </c>
      <c r="K1476" s="114" t="str">
        <f>HYPERLINK("#Структура!G2016","")</f>
        <v/>
      </c>
      <c r="L1476" s="120">
        <f>HYPERLINK("#Покупные_изделия!D286",Покупные_изделия!D286)</f>
        <v>120</v>
      </c>
      <c r="M1476" s="76">
        <f>J1476*L1476</f>
        <v>72.526799999999994</v>
      </c>
      <c r="N1476" s="77"/>
      <c r="O1476" s="77"/>
      <c r="P1476" s="76"/>
      <c r="Q1476" s="76"/>
    </row>
    <row r="1477" spans="7:17" hidden="1" outlineLevel="6" x14ac:dyDescent="0.25">
      <c r="H1477" s="75" t="s">
        <v>67</v>
      </c>
      <c r="I1477" s="76"/>
      <c r="J1477" s="78">
        <f>HYPERLINK("#Структура!E2005",Структура!E2005)</f>
        <v>0.86699999999999999</v>
      </c>
      <c r="K1477" s="114" t="str">
        <f>HYPERLINK("#Структура!G2005","")</f>
        <v/>
      </c>
      <c r="L1477" s="120">
        <f>HYPERLINK("#Покупные_изделия!D203",Покупные_изделия!D203)</f>
        <v>30.003600000000002</v>
      </c>
      <c r="M1477" s="76">
        <f>J1477*L1477</f>
        <v>26.0131212</v>
      </c>
      <c r="N1477" s="77"/>
      <c r="O1477" s="77"/>
      <c r="P1477" s="76"/>
      <c r="Q1477" s="76"/>
    </row>
    <row r="1478" spans="7:17" hidden="1" outlineLevel="6" x14ac:dyDescent="0.25">
      <c r="H1478" s="75" t="s">
        <v>146</v>
      </c>
      <c r="I1478" s="76"/>
      <c r="J1478" s="78">
        <f>HYPERLINK("#Структура!E2006",Структура!E2006)</f>
        <v>0.51</v>
      </c>
      <c r="K1478" s="114" t="str">
        <f>HYPERLINK("#Структура!G2006","")</f>
        <v/>
      </c>
      <c r="L1478" s="120">
        <f>HYPERLINK("#Покупные_изделия!D406",Покупные_изделия!D406)</f>
        <v>105.996</v>
      </c>
      <c r="M1478" s="76">
        <f>J1478*L1478</f>
        <v>54.057960000000001</v>
      </c>
      <c r="N1478" s="77"/>
      <c r="O1478" s="77"/>
      <c r="P1478" s="76"/>
      <c r="Q1478" s="76"/>
    </row>
    <row r="1479" spans="7:17" hidden="1" outlineLevel="5" collapsed="1" x14ac:dyDescent="0.25">
      <c r="G1479" s="96" t="s">
        <v>1246</v>
      </c>
      <c r="H1479" s="92"/>
      <c r="I1479" s="93"/>
      <c r="J1479" s="95">
        <f>HYPERLINK("#Структура!E2024",Структура!E2024)</f>
        <v>1</v>
      </c>
      <c r="K1479" s="116">
        <f>HYPERLINK("#Структура!G2024",Структура!G2024)</f>
        <v>25.28351</v>
      </c>
      <c r="L1479" s="93">
        <f>M1479/J1479</f>
        <v>5534.3806776000001</v>
      </c>
      <c r="M1479" s="93">
        <f>SUMIF(H1480:H1489,"*",M1480:M1489)*J1479</f>
        <v>5534.3806776000001</v>
      </c>
      <c r="N1479" s="125">
        <f>HYPERLINK("#Трудозатраты!B535",Трудозатраты!B535+SUMIF(H1480:H1489,"*",O1480:O1489))</f>
        <v>362.8</v>
      </c>
      <c r="O1479" s="94">
        <f>N1479*J1479</f>
        <v>362.8</v>
      </c>
      <c r="P1479" s="93">
        <f>O1479/60*(1+запас_труд)*стоимость_трудочаса</f>
        <v>14209.666666666668</v>
      </c>
      <c r="Q1479" s="130">
        <f>M1479*(1+наценка_покупное)+P1479</f>
        <v>20850.923479786667</v>
      </c>
    </row>
    <row r="1480" spans="7:17" hidden="1" outlineLevel="6" collapsed="1" x14ac:dyDescent="0.25">
      <c r="H1480" s="104" t="s">
        <v>1241</v>
      </c>
      <c r="I1480" s="88"/>
      <c r="J1480" s="90">
        <f>HYPERLINK("#Структура!E2007",Структура!E2007)</f>
        <v>1</v>
      </c>
      <c r="K1480" s="113">
        <f>HYPERLINK("#Структура!G2007",Структура!G2007)</f>
        <v>16.82422</v>
      </c>
      <c r="L1480" s="88">
        <f>M1480/J1480</f>
        <v>3182.4</v>
      </c>
      <c r="M1480" s="88">
        <f>SUMIF(I1481,"*",M1481)*J1480</f>
        <v>3182.4</v>
      </c>
      <c r="N1480" s="123">
        <f>HYPERLINK("#Трудозатраты!B536",Трудозатраты!B536+SUMIF(I1481,"*",O1481))</f>
        <v>41.7</v>
      </c>
      <c r="O1480" s="89">
        <f>N1480*J1480</f>
        <v>41.7</v>
      </c>
      <c r="P1480" s="88">
        <f>O1480/60*(1+запас_труд)*стоимость_трудочаса</f>
        <v>1633.2500000000002</v>
      </c>
      <c r="Q1480" s="128">
        <f>M1480*(1+наценка_покупное)+P1480</f>
        <v>5452.13</v>
      </c>
    </row>
    <row r="1481" spans="7:17" hidden="1" outlineLevel="7" x14ac:dyDescent="0.25">
      <c r="I1481" s="76" t="s">
        <v>119</v>
      </c>
      <c r="J1481" s="78">
        <f>HYPERLINK("#Структура!E2013",Структура!E2013)</f>
        <v>26.52</v>
      </c>
      <c r="K1481" s="114" t="str">
        <f>HYPERLINK("#Структура!G2013","")</f>
        <v/>
      </c>
      <c r="L1481" s="120">
        <f>HYPERLINK("#Покупные_изделия!D294",Покупные_изделия!D294)</f>
        <v>120</v>
      </c>
      <c r="M1481" s="76">
        <f>J1481*L1481</f>
        <v>3182.4</v>
      </c>
      <c r="N1481" s="77"/>
      <c r="O1481" s="77"/>
      <c r="P1481" s="76"/>
      <c r="Q1481" s="76"/>
    </row>
    <row r="1482" spans="7:17" hidden="1" outlineLevel="6" collapsed="1" x14ac:dyDescent="0.25">
      <c r="H1482" s="103" t="s">
        <v>1243</v>
      </c>
      <c r="I1482" s="81"/>
      <c r="J1482" s="83">
        <f>HYPERLINK("#Структура!E2008",Структура!E2008)</f>
        <v>1</v>
      </c>
      <c r="K1482" s="115">
        <f>HYPERLINK("#Структура!G2008",Структура!G2008)</f>
        <v>3.9093</v>
      </c>
      <c r="L1482" s="81">
        <f>M1482/J1482</f>
        <v>1591.2</v>
      </c>
      <c r="M1482" s="81">
        <f>SUMIF(I1483,"*",M1483)*J1482</f>
        <v>1591.2</v>
      </c>
      <c r="N1482" s="124">
        <f>HYPERLINK("#Трудозатраты!B537",Трудозатраты!B537+SUMIF(I1483,"*",O1483))</f>
        <v>19.7</v>
      </c>
      <c r="O1482" s="82">
        <f>N1482*J1482</f>
        <v>19.7</v>
      </c>
      <c r="P1482" s="81">
        <f>O1482/60*(1+запас_труд)*стоимость_трудочаса</f>
        <v>771.58333333333326</v>
      </c>
      <c r="Q1482" s="129">
        <f>M1482*(1+наценка_покупное)+P1482</f>
        <v>2681.0233333333335</v>
      </c>
    </row>
    <row r="1483" spans="7:17" hidden="1" outlineLevel="7" x14ac:dyDescent="0.25">
      <c r="I1483" s="76" t="s">
        <v>115</v>
      </c>
      <c r="J1483" s="78">
        <f>HYPERLINK("#Структура!E2014",Структура!E2014)</f>
        <v>13.26</v>
      </c>
      <c r="K1483" s="114" t="str">
        <f>HYPERLINK("#Структура!G2014","")</f>
        <v/>
      </c>
      <c r="L1483" s="120">
        <f>HYPERLINK("#Покупные_изделия!D289",Покупные_изделия!D289)</f>
        <v>120</v>
      </c>
      <c r="M1483" s="76">
        <f>J1483*L1483</f>
        <v>1591.2</v>
      </c>
      <c r="N1483" s="77"/>
      <c r="O1483" s="77"/>
      <c r="P1483" s="76"/>
      <c r="Q1483" s="76"/>
    </row>
    <row r="1484" spans="7:17" hidden="1" outlineLevel="6" collapsed="1" x14ac:dyDescent="0.25">
      <c r="H1484" s="103" t="s">
        <v>1244</v>
      </c>
      <c r="I1484" s="81"/>
      <c r="J1484" s="83">
        <f>HYPERLINK("#Структура!E2009",Структура!E2009)</f>
        <v>12</v>
      </c>
      <c r="K1484" s="115">
        <f>HYPERLINK("#Структура!G2009",Структура!G2009)</f>
        <v>0.3372</v>
      </c>
      <c r="L1484" s="81">
        <f>M1484/J1484</f>
        <v>50.684400000000004</v>
      </c>
      <c r="M1484" s="81">
        <f>SUMIF(I1485,"*",M1485)*J1484</f>
        <v>608.21280000000002</v>
      </c>
      <c r="N1484" s="124">
        <f>HYPERLINK("#Трудозатраты!B538",Трудозатраты!B538+SUMIF(I1485,"*",O1485))</f>
        <v>17.8</v>
      </c>
      <c r="O1484" s="82">
        <f>N1484*J1484</f>
        <v>213.60000000000002</v>
      </c>
      <c r="P1484" s="81">
        <f>O1484/60*(1+запас_труд)*стоимость_трудочаса</f>
        <v>8366.0000000000018</v>
      </c>
      <c r="Q1484" s="129">
        <f>M1484*(1+наценка_покупное)+P1484</f>
        <v>9095.8553600000014</v>
      </c>
    </row>
    <row r="1485" spans="7:17" hidden="1" outlineLevel="7" x14ac:dyDescent="0.25">
      <c r="I1485" s="76" t="s">
        <v>115</v>
      </c>
      <c r="J1485" s="78">
        <f>HYPERLINK("#Структура!E2015",Структура!E2015)</f>
        <v>0.42237000000000002</v>
      </c>
      <c r="K1485" s="114" t="str">
        <f>HYPERLINK("#Структура!G2015","")</f>
        <v/>
      </c>
      <c r="L1485" s="120">
        <f>HYPERLINK("#Покупные_изделия!D289",Покупные_изделия!D289)</f>
        <v>120</v>
      </c>
      <c r="M1485" s="76">
        <f>J1485*L1485</f>
        <v>50.684400000000004</v>
      </c>
      <c r="N1485" s="77"/>
      <c r="O1485" s="77"/>
      <c r="P1485" s="76"/>
      <c r="Q1485" s="76"/>
    </row>
    <row r="1486" spans="7:17" hidden="1" outlineLevel="6" collapsed="1" x14ac:dyDescent="0.25">
      <c r="H1486" s="103" t="s">
        <v>1245</v>
      </c>
      <c r="I1486" s="81"/>
      <c r="J1486" s="83">
        <f>HYPERLINK("#Структура!E2010",Структура!E2010)</f>
        <v>1</v>
      </c>
      <c r="K1486" s="115">
        <f>HYPERLINK("#Структура!G2010",Структура!G2010)</f>
        <v>0.50365000000000004</v>
      </c>
      <c r="L1486" s="81">
        <f>M1486/J1486</f>
        <v>72.526799999999994</v>
      </c>
      <c r="M1486" s="81">
        <f>SUMIF(I1487,"*",M1487)*J1486</f>
        <v>72.526799999999994</v>
      </c>
      <c r="N1486" s="124">
        <f>HYPERLINK("#Трудозатраты!B539",Трудозатраты!B539+SUMIF(I1487,"*",O1487))</f>
        <v>12.8</v>
      </c>
      <c r="O1486" s="82">
        <f>N1486*J1486</f>
        <v>12.8</v>
      </c>
      <c r="P1486" s="81">
        <f>O1486/60*(1+запас_труд)*стоимость_трудочаса</f>
        <v>501.33333333333337</v>
      </c>
      <c r="Q1486" s="129">
        <f>M1486*(1+наценка_покупное)+P1486</f>
        <v>588.36549333333335</v>
      </c>
    </row>
    <row r="1487" spans="7:17" hidden="1" outlineLevel="7" x14ac:dyDescent="0.25">
      <c r="I1487" s="76" t="s">
        <v>113</v>
      </c>
      <c r="J1487" s="78">
        <f>HYPERLINK("#Структура!E2016",Структура!E2016)</f>
        <v>0.60438999999999998</v>
      </c>
      <c r="K1487" s="114" t="str">
        <f>HYPERLINK("#Структура!G2016","")</f>
        <v/>
      </c>
      <c r="L1487" s="120">
        <f>HYPERLINK("#Покупные_изделия!D286",Покупные_изделия!D286)</f>
        <v>120</v>
      </c>
      <c r="M1487" s="76">
        <f>J1487*L1487</f>
        <v>72.526799999999994</v>
      </c>
      <c r="N1487" s="77"/>
      <c r="O1487" s="77"/>
      <c r="P1487" s="76"/>
      <c r="Q1487" s="76"/>
    </row>
    <row r="1488" spans="7:17" hidden="1" outlineLevel="6" x14ac:dyDescent="0.25">
      <c r="H1488" s="75" t="s">
        <v>67</v>
      </c>
      <c r="I1488" s="76"/>
      <c r="J1488" s="78">
        <f>HYPERLINK("#Структура!E2011",Структура!E2011)</f>
        <v>0.86599999999999999</v>
      </c>
      <c r="K1488" s="114" t="str">
        <f>HYPERLINK("#Структура!G2011","")</f>
        <v/>
      </c>
      <c r="L1488" s="120">
        <f>HYPERLINK("#Покупные_изделия!D203",Покупные_изделия!D203)</f>
        <v>30.003600000000002</v>
      </c>
      <c r="M1488" s="76">
        <f>J1488*L1488</f>
        <v>25.983117600000003</v>
      </c>
      <c r="N1488" s="77"/>
      <c r="O1488" s="77"/>
      <c r="P1488" s="76"/>
      <c r="Q1488" s="76"/>
    </row>
    <row r="1489" spans="7:17" hidden="1" outlineLevel="6" x14ac:dyDescent="0.25">
      <c r="H1489" s="75" t="s">
        <v>146</v>
      </c>
      <c r="I1489" s="76"/>
      <c r="J1489" s="78">
        <f>HYPERLINK("#Структура!E2012",Структура!E2012)</f>
        <v>0.51</v>
      </c>
      <c r="K1489" s="114" t="str">
        <f>HYPERLINK("#Структура!G2012","")</f>
        <v/>
      </c>
      <c r="L1489" s="120">
        <f>HYPERLINK("#Покупные_изделия!D406",Покупные_изделия!D406)</f>
        <v>105.996</v>
      </c>
      <c r="M1489" s="76">
        <f>J1489*L1489</f>
        <v>54.057960000000001</v>
      </c>
      <c r="N1489" s="77"/>
      <c r="O1489" s="77"/>
      <c r="P1489" s="76"/>
      <c r="Q1489" s="76"/>
    </row>
    <row r="1490" spans="7:17" hidden="1" outlineLevel="5" collapsed="1" x14ac:dyDescent="0.25">
      <c r="G1490" s="96" t="s">
        <v>1248</v>
      </c>
      <c r="H1490" s="92"/>
      <c r="I1490" s="93"/>
      <c r="J1490" s="95">
        <f>HYPERLINK("#Структура!E2025",Структура!E2025)</f>
        <v>2</v>
      </c>
      <c r="K1490" s="116">
        <f>HYPERLINK("#Структура!G2025",Структура!G2025)</f>
        <v>6.5386100000000003</v>
      </c>
      <c r="L1490" s="93">
        <f>M1490/J1490</f>
        <v>1559.8201272000001</v>
      </c>
      <c r="M1490" s="93">
        <f>SUMIF(H1491:H1496,"*",M1491:M1496)*J1490</f>
        <v>3119.6402544000002</v>
      </c>
      <c r="N1490" s="125">
        <f>HYPERLINK("#Трудозатраты!B540",Трудозатраты!B540+SUMIF(H1491:H1496,"*",O1491:O1496))</f>
        <v>115.85</v>
      </c>
      <c r="O1490" s="94">
        <f>N1490*J1490</f>
        <v>231.7</v>
      </c>
      <c r="P1490" s="93">
        <f>O1490/60*(1+запас_труд)*стоимость_трудочаса</f>
        <v>9074.9166666666661</v>
      </c>
      <c r="Q1490" s="130">
        <f>M1490*(1+наценка_покупное)+P1490</f>
        <v>12818.484971946666</v>
      </c>
    </row>
    <row r="1491" spans="7:17" hidden="1" outlineLevel="6" collapsed="1" x14ac:dyDescent="0.25">
      <c r="H1491" s="104" t="s">
        <v>1247</v>
      </c>
      <c r="I1491" s="88"/>
      <c r="J1491" s="90">
        <f>HYPERLINK("#Структура!E2017",Структура!E2017)</f>
        <v>1</v>
      </c>
      <c r="K1491" s="113">
        <f>HYPERLINK("#Структура!G2017",Структура!G2017)</f>
        <v>1.5668500000000001</v>
      </c>
      <c r="L1491" s="88">
        <f>M1491/J1491</f>
        <v>420</v>
      </c>
      <c r="M1491" s="88">
        <f>SUMIF(I1492,"*",M1492)*J1491</f>
        <v>420</v>
      </c>
      <c r="N1491" s="123">
        <f>HYPERLINK("#Трудозатраты!B541",Трудозатраты!B541+SUMIF(I1492,"*",O1492))</f>
        <v>79</v>
      </c>
      <c r="O1491" s="89">
        <f>N1491*J1491</f>
        <v>79</v>
      </c>
      <c r="P1491" s="88">
        <f>O1491/60*(1+запас_труд)*стоимость_трудочаса</f>
        <v>3094.1666666666665</v>
      </c>
      <c r="Q1491" s="128">
        <f>M1491*(1+наценка_покупное)+P1491</f>
        <v>3598.1666666666665</v>
      </c>
    </row>
    <row r="1492" spans="7:17" hidden="1" outlineLevel="7" x14ac:dyDescent="0.25">
      <c r="I1492" s="76" t="s">
        <v>79</v>
      </c>
      <c r="J1492" s="78">
        <f>HYPERLINK("#Структура!E2021",Структура!E2021)</f>
        <v>4.2</v>
      </c>
      <c r="K1492" s="114" t="str">
        <f>HYPERLINK("#Структура!G2021","")</f>
        <v/>
      </c>
      <c r="L1492" s="120">
        <f>HYPERLINK("#Покупные_изделия!D248",Покупные_изделия!D248)</f>
        <v>100</v>
      </c>
      <c r="M1492" s="76">
        <f>J1492*L1492</f>
        <v>420</v>
      </c>
      <c r="N1492" s="77"/>
      <c r="O1492" s="77"/>
      <c r="P1492" s="76"/>
      <c r="Q1492" s="76"/>
    </row>
    <row r="1493" spans="7:17" hidden="1" outlineLevel="6" collapsed="1" x14ac:dyDescent="0.25">
      <c r="H1493" s="103" t="s">
        <v>1249</v>
      </c>
      <c r="I1493" s="81"/>
      <c r="J1493" s="83">
        <f>HYPERLINK("#Структура!E2018",Структура!E2018)</f>
        <v>1</v>
      </c>
      <c r="K1493" s="115">
        <f>HYPERLINK("#Структура!G2018",Структура!G2018)</f>
        <v>4.9717599999999997</v>
      </c>
      <c r="L1493" s="81">
        <f>M1493/J1493</f>
        <v>1130.4000000000001</v>
      </c>
      <c r="M1493" s="81">
        <f>SUMIF(I1494,"*",M1494)*J1493</f>
        <v>1130.4000000000001</v>
      </c>
      <c r="N1493" s="124">
        <f>HYPERLINK("#Трудозатраты!B542",Трудозатраты!B542+SUMIF(I1494,"*",O1494))</f>
        <v>26.85</v>
      </c>
      <c r="O1493" s="82">
        <f>N1493*J1493</f>
        <v>26.85</v>
      </c>
      <c r="P1493" s="81">
        <f>O1493/60*(1+запас_труд)*стоимость_трудочаса</f>
        <v>1051.625</v>
      </c>
      <c r="Q1493" s="129">
        <f>M1493*(1+наценка_покупное)+P1493</f>
        <v>2408.105</v>
      </c>
    </row>
    <row r="1494" spans="7:17" hidden="1" outlineLevel="7" x14ac:dyDescent="0.25">
      <c r="I1494" s="76" t="s">
        <v>811</v>
      </c>
      <c r="J1494" s="78">
        <f>HYPERLINK("#Структура!E2022",Структура!E2022)</f>
        <v>9.42</v>
      </c>
      <c r="K1494" s="114" t="str">
        <f>HYPERLINK("#Структура!G2022","")</f>
        <v/>
      </c>
      <c r="L1494" s="120">
        <f>HYPERLINK("#Покупные_изделия!D284",Покупные_изделия!D284)</f>
        <v>120</v>
      </c>
      <c r="M1494" s="76">
        <f>J1494*L1494</f>
        <v>1130.4000000000001</v>
      </c>
      <c r="N1494" s="77"/>
      <c r="O1494" s="77"/>
      <c r="P1494" s="76"/>
      <c r="Q1494" s="76"/>
    </row>
    <row r="1495" spans="7:17" hidden="1" outlineLevel="6" x14ac:dyDescent="0.25">
      <c r="H1495" s="75" t="s">
        <v>67</v>
      </c>
      <c r="I1495" s="76"/>
      <c r="J1495" s="78">
        <f>HYPERLINK("#Структура!E2019",Структура!E2019)</f>
        <v>0.10199999999999999</v>
      </c>
      <c r="K1495" s="114" t="str">
        <f>HYPERLINK("#Структура!G2019","")</f>
        <v/>
      </c>
      <c r="L1495" s="120">
        <f>HYPERLINK("#Покупные_изделия!D203",Покупные_изделия!D203)</f>
        <v>30.003600000000002</v>
      </c>
      <c r="M1495" s="76">
        <f>J1495*L1495</f>
        <v>3.0603672</v>
      </c>
      <c r="N1495" s="77"/>
      <c r="O1495" s="77"/>
      <c r="P1495" s="76"/>
      <c r="Q1495" s="76"/>
    </row>
    <row r="1496" spans="7:17" hidden="1" outlineLevel="6" x14ac:dyDescent="0.25">
      <c r="H1496" s="75" t="s">
        <v>146</v>
      </c>
      <c r="I1496" s="76"/>
      <c r="J1496" s="78">
        <f>HYPERLINK("#Структура!E2020",Структура!E2020)</f>
        <v>0.06</v>
      </c>
      <c r="K1496" s="114" t="str">
        <f>HYPERLINK("#Структура!G2020","")</f>
        <v/>
      </c>
      <c r="L1496" s="120">
        <f>HYPERLINK("#Покупные_изделия!D406",Покупные_изделия!D406)</f>
        <v>105.996</v>
      </c>
      <c r="M1496" s="76">
        <f>J1496*L1496</f>
        <v>6.3597599999999996</v>
      </c>
      <c r="N1496" s="77"/>
      <c r="O1496" s="77"/>
      <c r="P1496" s="76"/>
      <c r="Q1496" s="76"/>
    </row>
    <row r="1497" spans="7:17" hidden="1" outlineLevel="5" collapsed="1" x14ac:dyDescent="0.25">
      <c r="G1497" s="84" t="s">
        <v>1250</v>
      </c>
      <c r="H1497" s="80"/>
      <c r="I1497" s="81"/>
      <c r="J1497" s="83">
        <f>HYPERLINK("#Структура!E2026",Структура!E2026)</f>
        <v>1</v>
      </c>
      <c r="K1497" s="115">
        <f>HYPERLINK("#Структура!G2026",Структура!G2026)</f>
        <v>22.470680000000002</v>
      </c>
      <c r="L1497" s="81">
        <f>M1497/J1497</f>
        <v>2758.2000000000003</v>
      </c>
      <c r="M1497" s="81">
        <f>SUMIF(H1498,"*",M1498)*J1497</f>
        <v>2758.2000000000003</v>
      </c>
      <c r="N1497" s="124">
        <f>HYPERLINK("#Трудозатраты!B544",Трудозатраты!B544+SUMIF(H1498,"*",O1498))</f>
        <v>73</v>
      </c>
      <c r="O1497" s="82">
        <f>N1497*J1497</f>
        <v>73</v>
      </c>
      <c r="P1497" s="81">
        <f>O1497/60*(1+запас_труд)*стоимость_трудочаса</f>
        <v>2859.1666666666665</v>
      </c>
      <c r="Q1497" s="129">
        <f>M1497*(1+наценка_покупное)+P1497</f>
        <v>6169.0066666666662</v>
      </c>
    </row>
    <row r="1498" spans="7:17" hidden="1" outlineLevel="6" x14ac:dyDescent="0.25">
      <c r="H1498" s="75" t="s">
        <v>100</v>
      </c>
      <c r="I1498" s="76"/>
      <c r="J1498" s="78">
        <f>HYPERLINK("#Структура!E2034",Структура!E2034)</f>
        <v>27.582000000000001</v>
      </c>
      <c r="K1498" s="114" t="str">
        <f>HYPERLINK("#Структура!G2034","")</f>
        <v/>
      </c>
      <c r="L1498" s="120">
        <f>HYPERLINK("#Покупные_изделия!D269",Покупные_изделия!D269)</f>
        <v>100</v>
      </c>
      <c r="M1498" s="76">
        <f>J1498*L1498</f>
        <v>2758.2000000000003</v>
      </c>
      <c r="N1498" s="77"/>
      <c r="O1498" s="77"/>
      <c r="P1498" s="76"/>
      <c r="Q1498" s="76"/>
    </row>
    <row r="1499" spans="7:17" hidden="1" outlineLevel="5" collapsed="1" x14ac:dyDescent="0.25">
      <c r="G1499" s="84" t="s">
        <v>1251</v>
      </c>
      <c r="H1499" s="80"/>
      <c r="I1499" s="81"/>
      <c r="J1499" s="83">
        <f>HYPERLINK("#Структура!E2027",Структура!E2027)</f>
        <v>2</v>
      </c>
      <c r="K1499" s="115">
        <f>HYPERLINK("#Структура!G2027",Структура!G2027)</f>
        <v>1.5804</v>
      </c>
      <c r="L1499" s="81">
        <f>M1499/J1499</f>
        <v>653</v>
      </c>
      <c r="M1499" s="81">
        <f>SUMIF(H1500,"*",M1500)*J1499</f>
        <v>1306</v>
      </c>
      <c r="N1499" s="124">
        <f>HYPERLINK("#Трудозатраты!B545",Трудозатраты!B545+SUMIF(H1500,"*",O1500))</f>
        <v>110</v>
      </c>
      <c r="O1499" s="82">
        <f>N1499*J1499</f>
        <v>220</v>
      </c>
      <c r="P1499" s="81">
        <f>O1499/60*(1+запас_труд)*стоимость_трудочаса</f>
        <v>8616.6666666666661</v>
      </c>
      <c r="Q1499" s="129">
        <f>M1499*(1+наценка_покупное)+P1499</f>
        <v>10183.866666666667</v>
      </c>
    </row>
    <row r="1500" spans="7:17" hidden="1" outlineLevel="6" x14ac:dyDescent="0.25">
      <c r="H1500" s="75" t="s">
        <v>80</v>
      </c>
      <c r="I1500" s="76"/>
      <c r="J1500" s="78">
        <f>HYPERLINK("#Структура!E2035",Структура!E2035)</f>
        <v>6.53</v>
      </c>
      <c r="K1500" s="114" t="str">
        <f>HYPERLINK("#Структура!G2035","")</f>
        <v/>
      </c>
      <c r="L1500" s="120">
        <f>HYPERLINK("#Покупные_изделия!D249",Покупные_изделия!D249)</f>
        <v>100</v>
      </c>
      <c r="M1500" s="76">
        <f>J1500*L1500</f>
        <v>653</v>
      </c>
      <c r="N1500" s="77"/>
      <c r="O1500" s="77"/>
      <c r="P1500" s="76"/>
      <c r="Q1500" s="76"/>
    </row>
    <row r="1501" spans="7:17" hidden="1" outlineLevel="5" collapsed="1" x14ac:dyDescent="0.25">
      <c r="G1501" s="84" t="s">
        <v>705</v>
      </c>
      <c r="H1501" s="80"/>
      <c r="I1501" s="81"/>
      <c r="J1501" s="83">
        <f>HYPERLINK("#Структура!E2028",Структура!E2028)</f>
        <v>2</v>
      </c>
      <c r="K1501" s="115">
        <f>HYPERLINK("#Структура!G2028",Структура!G2028)</f>
        <v>7.4569999999999997E-2</v>
      </c>
      <c r="L1501" s="81">
        <f>M1501/J1501</f>
        <v>97.332206400000018</v>
      </c>
      <c r="M1501" s="81">
        <f>SUMIF(H1502,"*",M1502)*J1501</f>
        <v>194.66441280000004</v>
      </c>
      <c r="N1501" s="124">
        <f>HYPERLINK("#Трудозатраты!B883",Трудозатраты!B883+SUMIF(H1502,"*",O1502))</f>
        <v>5.5</v>
      </c>
      <c r="O1501" s="82">
        <f>N1501*J1501</f>
        <v>11</v>
      </c>
      <c r="P1501" s="81">
        <f>O1501/60*(1+запас_труд)*стоимость_трудочаса</f>
        <v>430.83333333333331</v>
      </c>
      <c r="Q1501" s="129">
        <f>M1501*(1+наценка_покупное)+P1501</f>
        <v>664.43062869333335</v>
      </c>
    </row>
    <row r="1502" spans="7:17" hidden="1" outlineLevel="6" x14ac:dyDescent="0.25">
      <c r="H1502" s="75" t="s">
        <v>166</v>
      </c>
      <c r="I1502" s="76"/>
      <c r="J1502" s="78">
        <f>HYPERLINK("#Структура!E3754",Структура!E3754)</f>
        <v>6.6000000000000003E-2</v>
      </c>
      <c r="K1502" s="114" t="str">
        <f>HYPERLINK("#Структура!G3754","")</f>
        <v/>
      </c>
      <c r="L1502" s="120">
        <f>HYPERLINK("#Покупные_изделия!D451",Покупные_изделия!D451)</f>
        <v>1474.7304000000001</v>
      </c>
      <c r="M1502" s="76">
        <f t="shared" ref="M1502:M1507" si="58">J1502*L1502</f>
        <v>97.332206400000018</v>
      </c>
      <c r="N1502" s="77"/>
      <c r="O1502" s="77"/>
      <c r="P1502" s="76"/>
      <c r="Q1502" s="76"/>
    </row>
    <row r="1503" spans="7:17" hidden="1" outlineLevel="5" x14ac:dyDescent="0.25">
      <c r="G1503" s="74" t="s">
        <v>761</v>
      </c>
      <c r="H1503" s="75"/>
      <c r="I1503" s="76"/>
      <c r="J1503" s="78">
        <f>HYPERLINK("#Структура!E2029",Структура!E2029)</f>
        <v>8</v>
      </c>
      <c r="K1503" s="114">
        <f>HYPERLINK("#Структура!G2029",Структура!G2029)</f>
        <v>3.696E-2</v>
      </c>
      <c r="L1503" s="120">
        <f>HYPERLINK("#Покупные_изделия!D91",Покупные_изделия!D91)</f>
        <v>13.452</v>
      </c>
      <c r="M1503" s="76">
        <f t="shared" si="58"/>
        <v>107.616</v>
      </c>
      <c r="N1503" s="77"/>
      <c r="O1503" s="77"/>
      <c r="P1503" s="76"/>
      <c r="Q1503" s="76"/>
    </row>
    <row r="1504" spans="7:17" hidden="1" outlineLevel="5" x14ac:dyDescent="0.25">
      <c r="G1504" s="74" t="s">
        <v>767</v>
      </c>
      <c r="H1504" s="75"/>
      <c r="I1504" s="76"/>
      <c r="J1504" s="78">
        <f>HYPERLINK("#Структура!E2030",Структура!E2030)</f>
        <v>8</v>
      </c>
      <c r="K1504" s="114">
        <f>HYPERLINK("#Структура!G2030",Структура!G2030)</f>
        <v>2.0100000000000001E-3</v>
      </c>
      <c r="L1504" s="120">
        <f>HYPERLINK("#Покупные_изделия!D522",Покупные_изделия!D522)</f>
        <v>1.6500000000000001</v>
      </c>
      <c r="M1504" s="76">
        <f t="shared" si="58"/>
        <v>13.200000000000001</v>
      </c>
      <c r="N1504" s="77"/>
      <c r="O1504" s="77"/>
      <c r="P1504" s="76"/>
      <c r="Q1504" s="76"/>
    </row>
    <row r="1505" spans="5:17" hidden="1" outlineLevel="5" x14ac:dyDescent="0.25">
      <c r="G1505" s="74" t="s">
        <v>768</v>
      </c>
      <c r="H1505" s="75"/>
      <c r="I1505" s="76"/>
      <c r="J1505" s="78">
        <f>HYPERLINK("#Структура!E2031",Структура!E2031)</f>
        <v>8</v>
      </c>
      <c r="K1505" s="114">
        <f>HYPERLINK("#Структура!G2031",Структура!G2031)</f>
        <v>3.4399999999999999E-3</v>
      </c>
      <c r="L1505" s="120">
        <f>HYPERLINK("#Покупные_изделия!D538",Покупные_изделия!D538)</f>
        <v>1.68</v>
      </c>
      <c r="M1505" s="76">
        <f t="shared" si="58"/>
        <v>13.44</v>
      </c>
      <c r="N1505" s="77"/>
      <c r="O1505" s="77"/>
      <c r="P1505" s="76"/>
      <c r="Q1505" s="76"/>
    </row>
    <row r="1506" spans="5:17" hidden="1" outlineLevel="5" x14ac:dyDescent="0.25">
      <c r="G1506" s="74" t="s">
        <v>67</v>
      </c>
      <c r="H1506" s="75"/>
      <c r="I1506" s="76"/>
      <c r="J1506" s="78">
        <f>HYPERLINK("#Структура!E2032",Структура!E2032)</f>
        <v>0.13800000000000001</v>
      </c>
      <c r="K1506" s="114" t="str">
        <f>HYPERLINK("#Структура!G2032","")</f>
        <v/>
      </c>
      <c r="L1506" s="120">
        <f>HYPERLINK("#Покупные_изделия!D203",Покупные_изделия!D203)</f>
        <v>30.003600000000002</v>
      </c>
      <c r="M1506" s="76">
        <f t="shared" si="58"/>
        <v>4.1404968000000011</v>
      </c>
      <c r="N1506" s="77"/>
      <c r="O1506" s="77"/>
      <c r="P1506" s="76"/>
      <c r="Q1506" s="76"/>
    </row>
    <row r="1507" spans="5:17" hidden="1" outlineLevel="5" x14ac:dyDescent="0.25">
      <c r="G1507" s="74" t="s">
        <v>146</v>
      </c>
      <c r="H1507" s="75"/>
      <c r="I1507" s="76"/>
      <c r="J1507" s="78">
        <f>HYPERLINK("#Структура!E2033",Структура!E2033)</f>
        <v>0.23400000000000001</v>
      </c>
      <c r="K1507" s="114" t="str">
        <f>HYPERLINK("#Структура!G2033","")</f>
        <v/>
      </c>
      <c r="L1507" s="120">
        <f>HYPERLINK("#Покупные_изделия!D406",Покупные_изделия!D406)</f>
        <v>105.996</v>
      </c>
      <c r="M1507" s="76">
        <f t="shared" si="58"/>
        <v>24.803063999999999</v>
      </c>
      <c r="N1507" s="77"/>
      <c r="O1507" s="77"/>
      <c r="P1507" s="76"/>
      <c r="Q1507" s="76"/>
    </row>
    <row r="1508" spans="5:17" hidden="1" outlineLevel="4" collapsed="1" x14ac:dyDescent="0.25">
      <c r="F1508" s="84" t="s">
        <v>1240</v>
      </c>
      <c r="G1508" s="79"/>
      <c r="H1508" s="80"/>
      <c r="I1508" s="81"/>
      <c r="J1508" s="83">
        <f>HYPERLINK("#Структура!E1993",Структура!E1993)</f>
        <v>1</v>
      </c>
      <c r="K1508" s="115">
        <f>HYPERLINK("#Структура!G1993",Структура!G1993)</f>
        <v>5.2200000000000003E-2</v>
      </c>
      <c r="L1508" s="81">
        <f>M1508/J1508</f>
        <v>70.787059200000002</v>
      </c>
      <c r="M1508" s="81">
        <f>SUMIF(G1509,"*",M1509)*J1508</f>
        <v>70.787059200000002</v>
      </c>
      <c r="N1508" s="124">
        <f>HYPERLINK("#Трудозатраты!B882",Трудозатраты!B882+SUMIF(G1509,"*",O1509))</f>
        <v>5.67</v>
      </c>
      <c r="O1508" s="82">
        <f>N1508*J1508</f>
        <v>5.67</v>
      </c>
      <c r="P1508" s="81">
        <f>O1508/60*(1+запас_труд)*стоимость_трудочаса</f>
        <v>222.07499999999999</v>
      </c>
      <c r="Q1508" s="129">
        <f>M1508*(1+наценка_покупное)+P1508</f>
        <v>307.01947103999998</v>
      </c>
    </row>
    <row r="1509" spans="5:17" hidden="1" outlineLevel="5" x14ac:dyDescent="0.25">
      <c r="G1509" s="74" t="s">
        <v>166</v>
      </c>
      <c r="H1509" s="75"/>
      <c r="I1509" s="76"/>
      <c r="J1509" s="78">
        <f>HYPERLINK("#Структура!E3753",Структура!E3753)</f>
        <v>4.8000000000000001E-2</v>
      </c>
      <c r="K1509" s="114" t="str">
        <f>HYPERLINK("#Структура!G3753","")</f>
        <v/>
      </c>
      <c r="L1509" s="120">
        <f>HYPERLINK("#Покупные_изделия!D451",Покупные_изделия!D451)</f>
        <v>1474.7304000000001</v>
      </c>
      <c r="M1509" s="76">
        <f t="shared" ref="M1509:M1516" si="59">J1509*L1509</f>
        <v>70.787059200000002</v>
      </c>
      <c r="N1509" s="77"/>
      <c r="O1509" s="77"/>
      <c r="P1509" s="76"/>
      <c r="Q1509" s="76"/>
    </row>
    <row r="1510" spans="5:17" hidden="1" outlineLevel="4" x14ac:dyDescent="0.25">
      <c r="F1510" s="74" t="s">
        <v>24</v>
      </c>
      <c r="G1510" s="74"/>
      <c r="H1510" s="75"/>
      <c r="I1510" s="76"/>
      <c r="J1510" s="78">
        <f>HYPERLINK("#Структура!E1994",Структура!E1994)</f>
        <v>1</v>
      </c>
      <c r="K1510" s="114">
        <f>HYPERLINK("#Структура!G1994",Структура!G1994)</f>
        <v>0.96411999999999998</v>
      </c>
      <c r="L1510" s="120">
        <f>HYPERLINK("#Покупные_изделия!D33",Покупные_изделия!D33)</f>
        <v>730.76400000000001</v>
      </c>
      <c r="M1510" s="76">
        <f t="shared" si="59"/>
        <v>730.76400000000001</v>
      </c>
      <c r="N1510" s="77"/>
      <c r="O1510" s="77"/>
      <c r="P1510" s="76"/>
      <c r="Q1510" s="76"/>
    </row>
    <row r="1511" spans="5:17" hidden="1" outlineLevel="4" x14ac:dyDescent="0.25">
      <c r="F1511" s="74" t="s">
        <v>28</v>
      </c>
      <c r="G1511" s="74"/>
      <c r="H1511" s="75"/>
      <c r="I1511" s="76"/>
      <c r="J1511" s="78">
        <f>HYPERLINK("#Структура!E1995",Структура!E1995)</f>
        <v>1</v>
      </c>
      <c r="K1511" s="114">
        <f>HYPERLINK("#Структура!G1995",Структура!G1995)</f>
        <v>6.4595399999999996</v>
      </c>
      <c r="L1511" s="120">
        <f>HYPERLINK("#Покупные_изделия!D37",Покупные_изделия!D37)</f>
        <v>3226.1724000000004</v>
      </c>
      <c r="M1511" s="76">
        <f t="shared" si="59"/>
        <v>3226.1724000000004</v>
      </c>
      <c r="N1511" s="77"/>
      <c r="O1511" s="77"/>
      <c r="P1511" s="76"/>
      <c r="Q1511" s="76"/>
    </row>
    <row r="1512" spans="5:17" hidden="1" outlineLevel="4" x14ac:dyDescent="0.25">
      <c r="F1512" s="74" t="s">
        <v>40</v>
      </c>
      <c r="G1512" s="74"/>
      <c r="H1512" s="75"/>
      <c r="I1512" s="76"/>
      <c r="J1512" s="78">
        <f>HYPERLINK("#Структура!E1996",Структура!E1996)</f>
        <v>2</v>
      </c>
      <c r="K1512" s="114">
        <f>HYPERLINK("#Структура!G1996",Структура!G1996)</f>
        <v>3.7</v>
      </c>
      <c r="L1512" s="120">
        <f>HYPERLINK("#Покупные_изделия!D51",Покупные_изделия!D51)</f>
        <v>3122.1564000000003</v>
      </c>
      <c r="M1512" s="76">
        <f t="shared" si="59"/>
        <v>6244.3128000000006</v>
      </c>
      <c r="N1512" s="77"/>
      <c r="O1512" s="77"/>
      <c r="P1512" s="76"/>
      <c r="Q1512" s="76"/>
    </row>
    <row r="1513" spans="5:17" hidden="1" outlineLevel="4" x14ac:dyDescent="0.25">
      <c r="F1513" s="74" t="s">
        <v>65</v>
      </c>
      <c r="G1513" s="74"/>
      <c r="H1513" s="75"/>
      <c r="I1513" s="76"/>
      <c r="J1513" s="78">
        <f>HYPERLINK("#Структура!E1997",Структура!E1997)</f>
        <v>0.48499999999999999</v>
      </c>
      <c r="K1513" s="114" t="str">
        <f>HYPERLINK("#Структура!G1997","")</f>
        <v/>
      </c>
      <c r="L1513" s="120">
        <f>HYPERLINK("#Покупные_изделия!D197",Покупные_изделия!D197)</f>
        <v>264.50399999999996</v>
      </c>
      <c r="M1513" s="76">
        <f t="shared" si="59"/>
        <v>128.28443999999999</v>
      </c>
      <c r="N1513" s="77"/>
      <c r="O1513" s="77"/>
      <c r="P1513" s="76"/>
      <c r="Q1513" s="76"/>
    </row>
    <row r="1514" spans="5:17" hidden="1" outlineLevel="4" x14ac:dyDescent="0.25">
      <c r="F1514" s="74" t="s">
        <v>155</v>
      </c>
      <c r="G1514" s="74"/>
      <c r="H1514" s="75"/>
      <c r="I1514" s="76"/>
      <c r="J1514" s="78">
        <f>HYPERLINK("#Структура!E1998",Структура!E1998)</f>
        <v>0.14599999999999999</v>
      </c>
      <c r="K1514" s="114" t="str">
        <f>HYPERLINK("#Структура!G1998","")</f>
        <v/>
      </c>
      <c r="L1514" s="120">
        <f>HYPERLINK("#Покупные_изделия!D423",Покупные_изделия!D423)</f>
        <v>218.28</v>
      </c>
      <c r="M1514" s="76">
        <f t="shared" si="59"/>
        <v>31.868879999999997</v>
      </c>
      <c r="N1514" s="77"/>
      <c r="O1514" s="77"/>
      <c r="P1514" s="76"/>
      <c r="Q1514" s="76"/>
    </row>
    <row r="1515" spans="5:17" hidden="1" outlineLevel="4" x14ac:dyDescent="0.25">
      <c r="F1515" s="74" t="s">
        <v>200</v>
      </c>
      <c r="G1515" s="74"/>
      <c r="H1515" s="75"/>
      <c r="I1515" s="76"/>
      <c r="J1515" s="78">
        <f>HYPERLINK("#Структура!E1999",Структура!E1999)</f>
        <v>6.0999999999999999E-2</v>
      </c>
      <c r="K1515" s="114" t="str">
        <f>HYPERLINK("#Структура!G1999","")</f>
        <v/>
      </c>
      <c r="L1515" s="120">
        <f>HYPERLINK("#Покупные_изделия!D518",Покупные_изделия!D518)</f>
        <v>270</v>
      </c>
      <c r="M1515" s="76">
        <f t="shared" si="59"/>
        <v>16.47</v>
      </c>
      <c r="N1515" s="77"/>
      <c r="O1515" s="77"/>
      <c r="P1515" s="76"/>
      <c r="Q1515" s="76"/>
    </row>
    <row r="1516" spans="5:17" hidden="1" outlineLevel="4" x14ac:dyDescent="0.25">
      <c r="F1516" s="74" t="s">
        <v>215</v>
      </c>
      <c r="G1516" s="74"/>
      <c r="H1516" s="75"/>
      <c r="I1516" s="76"/>
      <c r="J1516" s="78">
        <f>HYPERLINK("#Структура!E2000",Структура!E2000)</f>
        <v>0.97</v>
      </c>
      <c r="K1516" s="114" t="str">
        <f>HYPERLINK("#Структура!G2000","")</f>
        <v/>
      </c>
      <c r="L1516" s="120">
        <f>HYPERLINK("#Покупные_изделия!D567",Покупные_изделия!D567)</f>
        <v>405.74399999999997</v>
      </c>
      <c r="M1516" s="76">
        <f t="shared" si="59"/>
        <v>393.57167999999996</v>
      </c>
      <c r="N1516" s="77"/>
      <c r="O1516" s="77"/>
      <c r="P1516" s="76"/>
      <c r="Q1516" s="76"/>
    </row>
    <row r="1517" spans="5:17" hidden="1" outlineLevel="3" collapsed="1" x14ac:dyDescent="0.25">
      <c r="E1517" s="96" t="s">
        <v>1182</v>
      </c>
      <c r="F1517" s="91"/>
      <c r="G1517" s="91"/>
      <c r="H1517" s="92"/>
      <c r="I1517" s="93"/>
      <c r="J1517" s="95">
        <f>HYPERLINK("#Структура!E1789",Структура!E1789)</f>
        <v>1</v>
      </c>
      <c r="K1517" s="116">
        <f>HYPERLINK("#Структура!G1789",Структура!G1789)</f>
        <v>8.2387599999999992</v>
      </c>
      <c r="L1517" s="93">
        <f>M1517/J1517</f>
        <v>1246.6165392000003</v>
      </c>
      <c r="M1517" s="93">
        <f>SUMIF(F1518:F1527,"*",M1518:M1527)*J1517</f>
        <v>1246.6165392000003</v>
      </c>
      <c r="N1517" s="125">
        <f>HYPERLINK("#Трудозатраты!B546",Трудозатраты!B546+SUMIF(F1518:F1527,"*",O1518:O1527))</f>
        <v>32.6</v>
      </c>
      <c r="O1517" s="94">
        <f>N1517*J1517</f>
        <v>32.6</v>
      </c>
      <c r="P1517" s="93">
        <f>O1517/60*(1+запас_труд)*стоимость_трудочаса</f>
        <v>1276.8333333333333</v>
      </c>
      <c r="Q1517" s="130">
        <f>M1517*(1+наценка_покупное)+P1517</f>
        <v>2772.7731803733336</v>
      </c>
    </row>
    <row r="1518" spans="5:17" hidden="1" outlineLevel="4" collapsed="1" x14ac:dyDescent="0.25">
      <c r="F1518" s="85" t="s">
        <v>1252</v>
      </c>
      <c r="G1518" s="86"/>
      <c r="H1518" s="87"/>
      <c r="I1518" s="88"/>
      <c r="J1518" s="90">
        <f>HYPERLINK("#Структура!E2036",Структура!E2036)</f>
        <v>1</v>
      </c>
      <c r="K1518" s="113">
        <f>HYPERLINK("#Структура!G2036",Структура!G2036)</f>
        <v>7.0923600000000002</v>
      </c>
      <c r="L1518" s="88">
        <f>M1518/J1518</f>
        <v>1045.2</v>
      </c>
      <c r="M1518" s="88">
        <f>SUMIF(G1519,"*",M1519)*J1518</f>
        <v>1045.2</v>
      </c>
      <c r="N1518" s="123">
        <f>HYPERLINK("#Трудозатраты!B547",Трудозатраты!B547+SUMIF(G1519,"*",O1519))</f>
        <v>7.6</v>
      </c>
      <c r="O1518" s="89">
        <f>N1518*J1518</f>
        <v>7.6</v>
      </c>
      <c r="P1518" s="88">
        <f>O1518/60*(1+запас_труд)*стоимость_трудочаса</f>
        <v>297.66666666666663</v>
      </c>
      <c r="Q1518" s="128">
        <f>M1518*(1+наценка_покупное)+P1518</f>
        <v>1551.9066666666668</v>
      </c>
    </row>
    <row r="1519" spans="5:17" hidden="1" outlineLevel="5" x14ac:dyDescent="0.25">
      <c r="G1519" s="74" t="s">
        <v>122</v>
      </c>
      <c r="H1519" s="75"/>
      <c r="I1519" s="76"/>
      <c r="J1519" s="78">
        <f>HYPERLINK("#Структура!E2044",Структура!E2044)</f>
        <v>8.7100000000000009</v>
      </c>
      <c r="K1519" s="114" t="str">
        <f>HYPERLINK("#Структура!G2044","")</f>
        <v/>
      </c>
      <c r="L1519" s="120">
        <f>HYPERLINK("#Покупные_изделия!D297",Покупные_изделия!D297)</f>
        <v>120</v>
      </c>
      <c r="M1519" s="76">
        <f>J1519*L1519</f>
        <v>1045.2</v>
      </c>
      <c r="N1519" s="77"/>
      <c r="O1519" s="77"/>
      <c r="P1519" s="76"/>
      <c r="Q1519" s="76"/>
    </row>
    <row r="1520" spans="5:17" hidden="1" outlineLevel="4" collapsed="1" x14ac:dyDescent="0.25">
      <c r="F1520" s="84" t="s">
        <v>1253</v>
      </c>
      <c r="G1520" s="79"/>
      <c r="H1520" s="80"/>
      <c r="I1520" s="81"/>
      <c r="J1520" s="83">
        <f>HYPERLINK("#Структура!E2037",Структура!E2037)</f>
        <v>4</v>
      </c>
      <c r="K1520" s="115">
        <f>HYPERLINK("#Структура!G2037",Структура!G2037)</f>
        <v>0.28660000000000002</v>
      </c>
      <c r="L1520" s="81">
        <f>M1520/J1520</f>
        <v>35.984999999999999</v>
      </c>
      <c r="M1520" s="81">
        <f>SUMIF(G1521,"*",M1521)*J1520</f>
        <v>143.94</v>
      </c>
      <c r="N1520" s="124">
        <f>HYPERLINK("#Трудозатраты!B548",Трудозатраты!B548+SUMIF(G1521,"*",O1521))</f>
        <v>4</v>
      </c>
      <c r="O1520" s="82">
        <f>N1520*J1520</f>
        <v>16</v>
      </c>
      <c r="P1520" s="81">
        <f>O1520/60*(1+запас_труд)*стоимость_трудочаса</f>
        <v>626.66666666666663</v>
      </c>
      <c r="Q1520" s="129">
        <f>M1520*(1+наценка_покупное)+P1520</f>
        <v>799.39466666666658</v>
      </c>
    </row>
    <row r="1521" spans="5:17" hidden="1" outlineLevel="5" x14ac:dyDescent="0.25">
      <c r="G1521" s="74" t="s">
        <v>1254</v>
      </c>
      <c r="H1521" s="75"/>
      <c r="I1521" s="76"/>
      <c r="J1521" s="78">
        <f>HYPERLINK("#Структура!E2045",Структура!E2045)</f>
        <v>0.125</v>
      </c>
      <c r="K1521" s="114" t="str">
        <f>HYPERLINK("#Структура!G2045","")</f>
        <v/>
      </c>
      <c r="L1521" s="120">
        <f>HYPERLINK("#Покупные_изделия!D560",Покупные_изделия!D560)</f>
        <v>287.88</v>
      </c>
      <c r="M1521" s="76">
        <f t="shared" ref="M1521:M1527" si="60">J1521*L1521</f>
        <v>35.984999999999999</v>
      </c>
      <c r="N1521" s="77"/>
      <c r="O1521" s="77"/>
      <c r="P1521" s="76"/>
      <c r="Q1521" s="76"/>
    </row>
    <row r="1522" spans="5:17" hidden="1" outlineLevel="4" x14ac:dyDescent="0.25">
      <c r="F1522" s="74" t="s">
        <v>65</v>
      </c>
      <c r="G1522" s="74"/>
      <c r="H1522" s="75"/>
      <c r="I1522" s="76"/>
      <c r="J1522" s="78">
        <f>HYPERLINK("#Структура!E2038",Структура!E2038)</f>
        <v>0.04</v>
      </c>
      <c r="K1522" s="114" t="str">
        <f>HYPERLINK("#Структура!G2038","")</f>
        <v/>
      </c>
      <c r="L1522" s="120">
        <f>HYPERLINK("#Покупные_изделия!D197",Покупные_изделия!D197)</f>
        <v>264.50399999999996</v>
      </c>
      <c r="M1522" s="76">
        <f t="shared" si="60"/>
        <v>10.580159999999999</v>
      </c>
      <c r="N1522" s="77"/>
      <c r="O1522" s="77"/>
      <c r="P1522" s="76"/>
      <c r="Q1522" s="76"/>
    </row>
    <row r="1523" spans="5:17" hidden="1" outlineLevel="4" x14ac:dyDescent="0.25">
      <c r="F1523" s="74" t="s">
        <v>67</v>
      </c>
      <c r="G1523" s="74"/>
      <c r="H1523" s="75"/>
      <c r="I1523" s="76"/>
      <c r="J1523" s="78">
        <f>HYPERLINK("#Структура!E2039",Структура!E2039)</f>
        <v>4.2000000000000003E-2</v>
      </c>
      <c r="K1523" s="114" t="str">
        <f>HYPERLINK("#Структура!G2039","")</f>
        <v/>
      </c>
      <c r="L1523" s="120">
        <f>HYPERLINK("#Покупные_изделия!D203",Покупные_изделия!D203)</f>
        <v>30.003600000000002</v>
      </c>
      <c r="M1523" s="76">
        <f t="shared" si="60"/>
        <v>1.2601512000000001</v>
      </c>
      <c r="N1523" s="77"/>
      <c r="O1523" s="77"/>
      <c r="P1523" s="76"/>
      <c r="Q1523" s="76"/>
    </row>
    <row r="1524" spans="5:17" hidden="1" outlineLevel="4" x14ac:dyDescent="0.25">
      <c r="F1524" s="74" t="s">
        <v>146</v>
      </c>
      <c r="G1524" s="74"/>
      <c r="H1524" s="75"/>
      <c r="I1524" s="76"/>
      <c r="J1524" s="78">
        <f>HYPERLINK("#Структура!E2040",Структура!E2040)</f>
        <v>2.5000000000000001E-2</v>
      </c>
      <c r="K1524" s="114" t="str">
        <f>HYPERLINK("#Структура!G2040","")</f>
        <v/>
      </c>
      <c r="L1524" s="120">
        <f>HYPERLINK("#Покупные_изделия!D406",Покупные_изделия!D406)</f>
        <v>105.996</v>
      </c>
      <c r="M1524" s="76">
        <f t="shared" si="60"/>
        <v>2.6499000000000001</v>
      </c>
      <c r="N1524" s="77"/>
      <c r="O1524" s="77"/>
      <c r="P1524" s="76"/>
      <c r="Q1524" s="76"/>
    </row>
    <row r="1525" spans="5:17" hidden="1" outlineLevel="4" x14ac:dyDescent="0.25">
      <c r="F1525" s="74" t="s">
        <v>155</v>
      </c>
      <c r="G1525" s="74"/>
      <c r="H1525" s="75"/>
      <c r="I1525" s="76"/>
      <c r="J1525" s="78">
        <f>HYPERLINK("#Структура!E2041",Структура!E2041)</f>
        <v>2.4E-2</v>
      </c>
      <c r="K1525" s="114" t="str">
        <f>HYPERLINK("#Структура!G2041","")</f>
        <v/>
      </c>
      <c r="L1525" s="120">
        <f>HYPERLINK("#Покупные_изделия!D423",Покупные_изделия!D423)</f>
        <v>218.28</v>
      </c>
      <c r="M1525" s="76">
        <f t="shared" si="60"/>
        <v>5.2387199999999998</v>
      </c>
      <c r="N1525" s="77"/>
      <c r="O1525" s="77"/>
      <c r="P1525" s="76"/>
      <c r="Q1525" s="76"/>
    </row>
    <row r="1526" spans="5:17" hidden="1" outlineLevel="4" x14ac:dyDescent="0.25">
      <c r="F1526" s="74" t="s">
        <v>156</v>
      </c>
      <c r="G1526" s="74"/>
      <c r="H1526" s="75"/>
      <c r="I1526" s="76"/>
      <c r="J1526" s="78">
        <f>HYPERLINK("#Структура!E2042",Структура!E2042)</f>
        <v>3.4000000000000002E-2</v>
      </c>
      <c r="K1526" s="114" t="str">
        <f>HYPERLINK("#Структура!G2042","")</f>
        <v/>
      </c>
      <c r="L1526" s="120">
        <f>HYPERLINK("#Покупные_изделия!D427",Покупные_изделия!D427)</f>
        <v>155.53200000000001</v>
      </c>
      <c r="M1526" s="76">
        <f t="shared" si="60"/>
        <v>5.288088000000001</v>
      </c>
      <c r="N1526" s="77"/>
      <c r="O1526" s="77"/>
      <c r="P1526" s="76"/>
      <c r="Q1526" s="76"/>
    </row>
    <row r="1527" spans="5:17" hidden="1" outlineLevel="4" x14ac:dyDescent="0.25">
      <c r="F1527" s="74" t="s">
        <v>215</v>
      </c>
      <c r="G1527" s="74"/>
      <c r="H1527" s="75"/>
      <c r="I1527" s="76"/>
      <c r="J1527" s="78">
        <f>HYPERLINK("#Структура!E2043",Структура!E2043)</f>
        <v>0.08</v>
      </c>
      <c r="K1527" s="114" t="str">
        <f>HYPERLINK("#Структура!G2043","")</f>
        <v/>
      </c>
      <c r="L1527" s="120">
        <f>HYPERLINK("#Покупные_изделия!D567",Покупные_изделия!D567)</f>
        <v>405.74399999999997</v>
      </c>
      <c r="M1527" s="76">
        <f t="shared" si="60"/>
        <v>32.459519999999998</v>
      </c>
      <c r="N1527" s="77"/>
      <c r="O1527" s="77"/>
      <c r="P1527" s="76"/>
      <c r="Q1527" s="76"/>
    </row>
    <row r="1528" spans="5:17" hidden="1" outlineLevel="3" collapsed="1" x14ac:dyDescent="0.25">
      <c r="E1528" s="96" t="s">
        <v>1183</v>
      </c>
      <c r="F1528" s="91"/>
      <c r="G1528" s="91"/>
      <c r="H1528" s="92"/>
      <c r="I1528" s="93"/>
      <c r="J1528" s="95">
        <f>HYPERLINK("#Структура!E1790",Структура!E1790)</f>
        <v>1</v>
      </c>
      <c r="K1528" s="116">
        <f>HYPERLINK("#Структура!G1790",Структура!G1790)</f>
        <v>2.0691999999999999</v>
      </c>
      <c r="L1528" s="93">
        <f>M1528/J1528</f>
        <v>352.28374039999994</v>
      </c>
      <c r="M1528" s="93">
        <f>SUMIF(F1529:F1608,"*",M1529:M1608)*J1528</f>
        <v>352.28374039999994</v>
      </c>
      <c r="N1528" s="125">
        <f>HYPERLINK("#Трудозатраты!B549",Трудозатраты!B549+SUMIF(F1529:F1608,"*",O1529:O1608))</f>
        <v>359.40000000000009</v>
      </c>
      <c r="O1528" s="94">
        <f>N1528*J1528</f>
        <v>359.40000000000009</v>
      </c>
      <c r="P1528" s="93">
        <f>O1528/60*(1+запас_труд)*стоимость_трудочаса</f>
        <v>14076.500000000002</v>
      </c>
      <c r="Q1528" s="130">
        <f>M1528*(1+наценка_покупное)+P1528</f>
        <v>14499.240488480002</v>
      </c>
    </row>
    <row r="1529" spans="5:17" hidden="1" outlineLevel="4" collapsed="1" x14ac:dyDescent="0.25">
      <c r="F1529" s="85" t="s">
        <v>1255</v>
      </c>
      <c r="G1529" s="86"/>
      <c r="H1529" s="87"/>
      <c r="I1529" s="88"/>
      <c r="J1529" s="90">
        <f>HYPERLINK("#Структура!E2046",Структура!E2046)</f>
        <v>1</v>
      </c>
      <c r="K1529" s="113">
        <f>HYPERLINK("#Структура!G2046",Структура!G2046)</f>
        <v>7.4910000000000004E-2</v>
      </c>
      <c r="L1529" s="88">
        <f>M1529/J1529</f>
        <v>13.8</v>
      </c>
      <c r="M1529" s="88">
        <f>SUMIF(G1530,"*",M1530)*J1529</f>
        <v>13.8</v>
      </c>
      <c r="N1529" s="123">
        <f>HYPERLINK("#Трудозатраты!B550",Трудозатраты!B550+SUMIF(G1530,"*",O1530))</f>
        <v>0.7</v>
      </c>
      <c r="O1529" s="89">
        <f>N1529*J1529</f>
        <v>0.7</v>
      </c>
      <c r="P1529" s="88">
        <f>O1529/60*(1+запас_труд)*стоимость_трудочаса</f>
        <v>27.416666666666664</v>
      </c>
      <c r="Q1529" s="128">
        <f>M1529*(1+наценка_покупное)+P1529</f>
        <v>43.976666666666659</v>
      </c>
    </row>
    <row r="1530" spans="5:17" hidden="1" outlineLevel="5" x14ac:dyDescent="0.25">
      <c r="G1530" s="74" t="s">
        <v>109</v>
      </c>
      <c r="H1530" s="75"/>
      <c r="I1530" s="76"/>
      <c r="J1530" s="78">
        <f>HYPERLINK("#Структура!E2069",Структура!E2069)</f>
        <v>0.115</v>
      </c>
      <c r="K1530" s="114" t="str">
        <f>HYPERLINK("#Структура!G2069","")</f>
        <v/>
      </c>
      <c r="L1530" s="120">
        <f>HYPERLINK("#Покупные_изделия!D281",Покупные_изделия!D281)</f>
        <v>120</v>
      </c>
      <c r="M1530" s="76">
        <f>J1530*L1530</f>
        <v>13.8</v>
      </c>
      <c r="N1530" s="77"/>
      <c r="O1530" s="77"/>
      <c r="P1530" s="76"/>
      <c r="Q1530" s="76"/>
    </row>
    <row r="1531" spans="5:17" hidden="1" outlineLevel="4" collapsed="1" x14ac:dyDescent="0.25">
      <c r="F1531" s="84" t="s">
        <v>1256</v>
      </c>
      <c r="G1531" s="79"/>
      <c r="H1531" s="80"/>
      <c r="I1531" s="81"/>
      <c r="J1531" s="83">
        <f>HYPERLINK("#Структура!E2047",Структура!E2047)</f>
        <v>3</v>
      </c>
      <c r="K1531" s="115">
        <f>HYPERLINK("#Структура!G2047",Структура!G2047)</f>
        <v>4.4080000000000001E-2</v>
      </c>
      <c r="L1531" s="81">
        <f>M1531/J1531</f>
        <v>5.155532</v>
      </c>
      <c r="M1531" s="81">
        <f>SUMIF(G1532:G1533,"*",M1532:M1533)*J1531</f>
        <v>15.466595999999999</v>
      </c>
      <c r="N1531" s="124">
        <f>HYPERLINK("#Трудозатраты!B551",Трудозатраты!B551+SUMIF(G1532:G1533,"*",O1532:O1533))</f>
        <v>9.8000000000000007</v>
      </c>
      <c r="O1531" s="82">
        <f>N1531*J1531</f>
        <v>29.400000000000002</v>
      </c>
      <c r="P1531" s="81">
        <f>O1531/60*(1+запас_труд)*стоимость_трудочаса</f>
        <v>1151.5</v>
      </c>
      <c r="Q1531" s="129">
        <f>M1531*(1+наценка_покупное)+P1531</f>
        <v>1170.0599152</v>
      </c>
    </row>
    <row r="1532" spans="5:17" hidden="1" outlineLevel="5" x14ac:dyDescent="0.25">
      <c r="G1532" s="74" t="s">
        <v>96</v>
      </c>
      <c r="H1532" s="75"/>
      <c r="I1532" s="76"/>
      <c r="J1532" s="78">
        <f>HYPERLINK("#Структура!E2070",Структура!E2070)</f>
        <v>0.05</v>
      </c>
      <c r="K1532" s="114" t="str">
        <f>HYPERLINK("#Структура!G2070","")</f>
        <v/>
      </c>
      <c r="L1532" s="120">
        <f>HYPERLINK("#Покупные_изделия!D265",Покупные_изделия!D265)</f>
        <v>100</v>
      </c>
      <c r="M1532" s="76">
        <f>J1532*L1532</f>
        <v>5</v>
      </c>
      <c r="N1532" s="77"/>
      <c r="O1532" s="77"/>
      <c r="P1532" s="76"/>
      <c r="Q1532" s="76"/>
    </row>
    <row r="1533" spans="5:17" hidden="1" outlineLevel="5" x14ac:dyDescent="0.25">
      <c r="G1533" s="74" t="s">
        <v>156</v>
      </c>
      <c r="H1533" s="75"/>
      <c r="I1533" s="76"/>
      <c r="J1533" s="78">
        <f>HYPERLINK("#Структура!E2071",Структура!E2071)</f>
        <v>1E-3</v>
      </c>
      <c r="K1533" s="114" t="str">
        <f>HYPERLINK("#Структура!G2071","")</f>
        <v/>
      </c>
      <c r="L1533" s="120">
        <f>HYPERLINK("#Покупные_изделия!D427",Покупные_изделия!D427)</f>
        <v>155.53200000000001</v>
      </c>
      <c r="M1533" s="76">
        <f>J1533*L1533</f>
        <v>0.155532</v>
      </c>
      <c r="N1533" s="77"/>
      <c r="O1533" s="77"/>
      <c r="P1533" s="76"/>
      <c r="Q1533" s="76"/>
    </row>
    <row r="1534" spans="5:17" hidden="1" outlineLevel="4" collapsed="1" x14ac:dyDescent="0.25">
      <c r="F1534" s="84" t="s">
        <v>1257</v>
      </c>
      <c r="G1534" s="79"/>
      <c r="H1534" s="80"/>
      <c r="I1534" s="81"/>
      <c r="J1534" s="83">
        <f>HYPERLINK("#Структура!E2048",Структура!E2048)</f>
        <v>2</v>
      </c>
      <c r="K1534" s="115">
        <f>HYPERLINK("#Структура!G2048",Структура!G2048)</f>
        <v>1.324E-2</v>
      </c>
      <c r="L1534" s="81">
        <f>M1534/J1534</f>
        <v>1.5555320000000001</v>
      </c>
      <c r="M1534" s="81">
        <f>SUMIF(G1535:G1536,"*",M1535:M1536)*J1534</f>
        <v>3.1110640000000003</v>
      </c>
      <c r="N1534" s="124">
        <f>HYPERLINK("#Трудозатраты!B552",Трудозатраты!B552+SUMIF(G1535:G1536,"*",O1535:O1536))</f>
        <v>8.8000000000000007</v>
      </c>
      <c r="O1534" s="82">
        <f>N1534*J1534</f>
        <v>17.600000000000001</v>
      </c>
      <c r="P1534" s="81">
        <f>O1534/60*(1+запас_труд)*стоимость_трудочаса</f>
        <v>689.33333333333337</v>
      </c>
      <c r="Q1534" s="129">
        <f>M1534*(1+наценка_покупное)+P1534</f>
        <v>693.06661013333337</v>
      </c>
    </row>
    <row r="1535" spans="5:17" hidden="1" outlineLevel="5" x14ac:dyDescent="0.25">
      <c r="G1535" s="74" t="s">
        <v>96</v>
      </c>
      <c r="H1535" s="75"/>
      <c r="I1535" s="76"/>
      <c r="J1535" s="78">
        <f>HYPERLINK("#Структура!E2072",Структура!E2072)</f>
        <v>1.4E-2</v>
      </c>
      <c r="K1535" s="114" t="str">
        <f>HYPERLINK("#Структура!G2072","")</f>
        <v/>
      </c>
      <c r="L1535" s="120">
        <f>HYPERLINK("#Покупные_изделия!D265",Покупные_изделия!D265)</f>
        <v>100</v>
      </c>
      <c r="M1535" s="76">
        <f>J1535*L1535</f>
        <v>1.4000000000000001</v>
      </c>
      <c r="N1535" s="77"/>
      <c r="O1535" s="77"/>
      <c r="P1535" s="76"/>
      <c r="Q1535" s="76"/>
    </row>
    <row r="1536" spans="5:17" hidden="1" outlineLevel="5" x14ac:dyDescent="0.25">
      <c r="G1536" s="74" t="s">
        <v>156</v>
      </c>
      <c r="H1536" s="75"/>
      <c r="I1536" s="76"/>
      <c r="J1536" s="78">
        <f>HYPERLINK("#Структура!E2073",Структура!E2073)</f>
        <v>1E-3</v>
      </c>
      <c r="K1536" s="114" t="str">
        <f>HYPERLINK("#Структура!G2073","")</f>
        <v/>
      </c>
      <c r="L1536" s="120">
        <f>HYPERLINK("#Покупные_изделия!D427",Покупные_изделия!D427)</f>
        <v>155.53200000000001</v>
      </c>
      <c r="M1536" s="76">
        <f>J1536*L1536</f>
        <v>0.155532</v>
      </c>
      <c r="N1536" s="77"/>
      <c r="O1536" s="77"/>
      <c r="P1536" s="76"/>
      <c r="Q1536" s="76"/>
    </row>
    <row r="1537" spans="6:17" hidden="1" outlineLevel="4" collapsed="1" x14ac:dyDescent="0.25">
      <c r="F1537" s="84" t="s">
        <v>1258</v>
      </c>
      <c r="G1537" s="79"/>
      <c r="H1537" s="80"/>
      <c r="I1537" s="81"/>
      <c r="J1537" s="83">
        <f>HYPERLINK("#Структура!E2049",Структура!E2049)</f>
        <v>1</v>
      </c>
      <c r="K1537" s="115">
        <f>HYPERLINK("#Структура!G2049",Структура!G2049)</f>
        <v>8.1750000000000003E-2</v>
      </c>
      <c r="L1537" s="81">
        <f>M1537/J1537</f>
        <v>9.1555320000000009</v>
      </c>
      <c r="M1537" s="81">
        <f>SUMIF(G1538:G1539,"*",M1538:M1539)*J1537</f>
        <v>9.1555320000000009</v>
      </c>
      <c r="N1537" s="124">
        <f>HYPERLINK("#Трудозатраты!B553",Трудозатраты!B553+SUMIF(G1538:G1539,"*",O1538:O1539))</f>
        <v>8.8000000000000007</v>
      </c>
      <c r="O1537" s="82">
        <f>N1537*J1537</f>
        <v>8.8000000000000007</v>
      </c>
      <c r="P1537" s="81">
        <f>O1537/60*(1+запас_труд)*стоимость_трудочаса</f>
        <v>344.66666666666669</v>
      </c>
      <c r="Q1537" s="129">
        <f>M1537*(1+наценка_покупное)+P1537</f>
        <v>355.65330506666669</v>
      </c>
    </row>
    <row r="1538" spans="6:17" hidden="1" outlineLevel="5" x14ac:dyDescent="0.25">
      <c r="G1538" s="74" t="s">
        <v>96</v>
      </c>
      <c r="H1538" s="75"/>
      <c r="I1538" s="76"/>
      <c r="J1538" s="78">
        <f>HYPERLINK("#Структура!E2074",Структура!E2074)</f>
        <v>0.09</v>
      </c>
      <c r="K1538" s="114" t="str">
        <f>HYPERLINK("#Структура!G2074","")</f>
        <v/>
      </c>
      <c r="L1538" s="120">
        <f>HYPERLINK("#Покупные_изделия!D265",Покупные_изделия!D265)</f>
        <v>100</v>
      </c>
      <c r="M1538" s="76">
        <f>J1538*L1538</f>
        <v>9</v>
      </c>
      <c r="N1538" s="77"/>
      <c r="O1538" s="77"/>
      <c r="P1538" s="76"/>
      <c r="Q1538" s="76"/>
    </row>
    <row r="1539" spans="6:17" hidden="1" outlineLevel="5" x14ac:dyDescent="0.25">
      <c r="G1539" s="74" t="s">
        <v>156</v>
      </c>
      <c r="H1539" s="75"/>
      <c r="I1539" s="76"/>
      <c r="J1539" s="78">
        <f>HYPERLINK("#Структура!E2075",Структура!E2075)</f>
        <v>1E-3</v>
      </c>
      <c r="K1539" s="114" t="str">
        <f>HYPERLINK("#Структура!G2075","")</f>
        <v/>
      </c>
      <c r="L1539" s="120">
        <f>HYPERLINK("#Покупные_изделия!D427",Покупные_изделия!D427)</f>
        <v>155.53200000000001</v>
      </c>
      <c r="M1539" s="76">
        <f>J1539*L1539</f>
        <v>0.155532</v>
      </c>
      <c r="N1539" s="77"/>
      <c r="O1539" s="77"/>
      <c r="P1539" s="76"/>
      <c r="Q1539" s="76"/>
    </row>
    <row r="1540" spans="6:17" hidden="1" outlineLevel="4" collapsed="1" x14ac:dyDescent="0.25">
      <c r="F1540" s="84" t="s">
        <v>1259</v>
      </c>
      <c r="G1540" s="79"/>
      <c r="H1540" s="80"/>
      <c r="I1540" s="81"/>
      <c r="J1540" s="83">
        <f>HYPERLINK("#Структура!E2050",Структура!E2050)</f>
        <v>5</v>
      </c>
      <c r="K1540" s="115">
        <f>HYPERLINK("#Структура!G2050",Структура!G2050)</f>
        <v>3.7220000000000003E-2</v>
      </c>
      <c r="L1540" s="81">
        <f>M1540/J1540</f>
        <v>2.155532</v>
      </c>
      <c r="M1540" s="81">
        <f>SUMIF(G1541:G1542,"*",M1541:M1542)*J1540</f>
        <v>10.777660000000001</v>
      </c>
      <c r="N1540" s="124">
        <f>HYPERLINK("#Трудозатраты!B554",Трудозатраты!B554+SUMIF(G1541:G1542,"*",O1541:O1542))</f>
        <v>8.8000000000000007</v>
      </c>
      <c r="O1540" s="82">
        <f>N1540*J1540</f>
        <v>44</v>
      </c>
      <c r="P1540" s="81">
        <f>O1540/60*(1+запас_труд)*стоимость_трудочаса</f>
        <v>1723.3333333333333</v>
      </c>
      <c r="Q1540" s="129">
        <f>M1540*(1+наценка_покупное)+P1540</f>
        <v>1736.2665253333332</v>
      </c>
    </row>
    <row r="1541" spans="6:17" hidden="1" outlineLevel="5" x14ac:dyDescent="0.25">
      <c r="G1541" s="74" t="s">
        <v>96</v>
      </c>
      <c r="H1541" s="75"/>
      <c r="I1541" s="76"/>
      <c r="J1541" s="78">
        <f>HYPERLINK("#Структура!E2076",Структура!E2076)</f>
        <v>0.02</v>
      </c>
      <c r="K1541" s="114" t="str">
        <f>HYPERLINK("#Структура!G2076","")</f>
        <v/>
      </c>
      <c r="L1541" s="120">
        <f>HYPERLINK("#Покупные_изделия!D265",Покупные_изделия!D265)</f>
        <v>100</v>
      </c>
      <c r="M1541" s="76">
        <f>J1541*L1541</f>
        <v>2</v>
      </c>
      <c r="N1541" s="77"/>
      <c r="O1541" s="77"/>
      <c r="P1541" s="76"/>
      <c r="Q1541" s="76"/>
    </row>
    <row r="1542" spans="6:17" hidden="1" outlineLevel="5" x14ac:dyDescent="0.25">
      <c r="G1542" s="74" t="s">
        <v>156</v>
      </c>
      <c r="H1542" s="75"/>
      <c r="I1542" s="76"/>
      <c r="J1542" s="78">
        <f>HYPERLINK("#Структура!E2077",Структура!E2077)</f>
        <v>1E-3</v>
      </c>
      <c r="K1542" s="114" t="str">
        <f>HYPERLINK("#Структура!G2077","")</f>
        <v/>
      </c>
      <c r="L1542" s="120">
        <f>HYPERLINK("#Покупные_изделия!D427",Покупные_изделия!D427)</f>
        <v>155.53200000000001</v>
      </c>
      <c r="M1542" s="76">
        <f>J1542*L1542</f>
        <v>0.155532</v>
      </c>
      <c r="N1542" s="77"/>
      <c r="O1542" s="77"/>
      <c r="P1542" s="76"/>
      <c r="Q1542" s="76"/>
    </row>
    <row r="1543" spans="6:17" hidden="1" outlineLevel="4" collapsed="1" x14ac:dyDescent="0.25">
      <c r="F1543" s="84" t="s">
        <v>1260</v>
      </c>
      <c r="G1543" s="79"/>
      <c r="H1543" s="80"/>
      <c r="I1543" s="81"/>
      <c r="J1543" s="83">
        <f>HYPERLINK("#Структура!E2051",Структура!E2051)</f>
        <v>1</v>
      </c>
      <c r="K1543" s="115">
        <f>HYPERLINK("#Структура!G2051",Структура!G2051)</f>
        <v>5.0630000000000001E-2</v>
      </c>
      <c r="L1543" s="81">
        <f>M1543/J1543</f>
        <v>7.0255532000000001</v>
      </c>
      <c r="M1543" s="81">
        <f>SUMIF(G1544:G1547,"*",M1544:M1547)*J1543</f>
        <v>7.0255532000000001</v>
      </c>
      <c r="N1543" s="124">
        <f>HYPERLINK("#Трудозатраты!B555",Трудозатраты!B555+SUMIF(G1544:G1547,"*",O1544:O1547))</f>
        <v>15.7</v>
      </c>
      <c r="O1543" s="82">
        <f>N1543*J1543</f>
        <v>15.7</v>
      </c>
      <c r="P1543" s="81">
        <f>O1543/60*(1+запас_труд)*стоимость_трудочаса</f>
        <v>614.91666666666663</v>
      </c>
      <c r="Q1543" s="129">
        <f>M1543*(1+наценка_покупное)+P1543</f>
        <v>623.34733050666659</v>
      </c>
    </row>
    <row r="1544" spans="6:17" hidden="1" outlineLevel="5" x14ac:dyDescent="0.25">
      <c r="G1544" s="74" t="s">
        <v>67</v>
      </c>
      <c r="H1544" s="75"/>
      <c r="I1544" s="76"/>
      <c r="J1544" s="78">
        <f>HYPERLINK("#Структура!E2078",Структура!E2078)</f>
        <v>1.7000000000000001E-2</v>
      </c>
      <c r="K1544" s="114" t="str">
        <f>HYPERLINK("#Структура!G2078","")</f>
        <v/>
      </c>
      <c r="L1544" s="120">
        <f>HYPERLINK("#Покупные_изделия!D203",Покупные_изделия!D203)</f>
        <v>30.003600000000002</v>
      </c>
      <c r="M1544" s="76">
        <f>J1544*L1544</f>
        <v>0.5100612000000001</v>
      </c>
      <c r="N1544" s="77"/>
      <c r="O1544" s="77"/>
      <c r="P1544" s="76"/>
      <c r="Q1544" s="76"/>
    </row>
    <row r="1545" spans="6:17" hidden="1" outlineLevel="5" x14ac:dyDescent="0.25">
      <c r="G1545" s="74" t="s">
        <v>96</v>
      </c>
      <c r="H1545" s="75"/>
      <c r="I1545" s="76"/>
      <c r="J1545" s="78">
        <f>HYPERLINK("#Структура!E2079",Структура!E2079)</f>
        <v>5.2999999999999999E-2</v>
      </c>
      <c r="K1545" s="114" t="str">
        <f>HYPERLINK("#Структура!G2079","")</f>
        <v/>
      </c>
      <c r="L1545" s="120">
        <f>HYPERLINK("#Покупные_изделия!D265",Покупные_изделия!D265)</f>
        <v>100</v>
      </c>
      <c r="M1545" s="76">
        <f>J1545*L1545</f>
        <v>5.3</v>
      </c>
      <c r="N1545" s="77"/>
      <c r="O1545" s="77"/>
      <c r="P1545" s="76"/>
      <c r="Q1545" s="76"/>
    </row>
    <row r="1546" spans="6:17" hidden="1" outlineLevel="5" x14ac:dyDescent="0.25">
      <c r="G1546" s="74" t="s">
        <v>146</v>
      </c>
      <c r="H1546" s="75"/>
      <c r="I1546" s="76"/>
      <c r="J1546" s="78">
        <f>HYPERLINK("#Структура!E2080",Структура!E2080)</f>
        <v>0.01</v>
      </c>
      <c r="K1546" s="114" t="str">
        <f>HYPERLINK("#Структура!G2080","")</f>
        <v/>
      </c>
      <c r="L1546" s="120">
        <f>HYPERLINK("#Покупные_изделия!D406",Покупные_изделия!D406)</f>
        <v>105.996</v>
      </c>
      <c r="M1546" s="76">
        <f>J1546*L1546</f>
        <v>1.05996</v>
      </c>
      <c r="N1546" s="77"/>
      <c r="O1546" s="77"/>
      <c r="P1546" s="76"/>
      <c r="Q1546" s="76"/>
    </row>
    <row r="1547" spans="6:17" hidden="1" outlineLevel="5" x14ac:dyDescent="0.25">
      <c r="G1547" s="74" t="s">
        <v>156</v>
      </c>
      <c r="H1547" s="75"/>
      <c r="I1547" s="76"/>
      <c r="J1547" s="78">
        <f>HYPERLINK("#Структура!E2081",Структура!E2081)</f>
        <v>1E-3</v>
      </c>
      <c r="K1547" s="114" t="str">
        <f>HYPERLINK("#Структура!G2081","")</f>
        <v/>
      </c>
      <c r="L1547" s="120">
        <f>HYPERLINK("#Покупные_изделия!D427",Покупные_изделия!D427)</f>
        <v>155.53200000000001</v>
      </c>
      <c r="M1547" s="76">
        <f>J1547*L1547</f>
        <v>0.155532</v>
      </c>
      <c r="N1547" s="77"/>
      <c r="O1547" s="77"/>
      <c r="P1547" s="76"/>
      <c r="Q1547" s="76"/>
    </row>
    <row r="1548" spans="6:17" hidden="1" outlineLevel="4" collapsed="1" x14ac:dyDescent="0.25">
      <c r="F1548" s="84" t="s">
        <v>1261</v>
      </c>
      <c r="G1548" s="79"/>
      <c r="H1548" s="80"/>
      <c r="I1548" s="81"/>
      <c r="J1548" s="83">
        <f>HYPERLINK("#Структура!E2052",Структура!E2052)</f>
        <v>1</v>
      </c>
      <c r="K1548" s="115">
        <f>HYPERLINK("#Структура!G2052",Структура!G2052)</f>
        <v>7.1069999999999994E-2</v>
      </c>
      <c r="L1548" s="81">
        <f>M1548/J1548</f>
        <v>9.2255532000000002</v>
      </c>
      <c r="M1548" s="81">
        <f>SUMIF(G1549:G1552,"*",M1549:M1552)*J1548</f>
        <v>9.2255532000000002</v>
      </c>
      <c r="N1548" s="124">
        <f>HYPERLINK("#Трудозатраты!B556",Трудозатраты!B556+SUMIF(G1549:G1552,"*",O1549:O1552))</f>
        <v>15.7</v>
      </c>
      <c r="O1548" s="82">
        <f>N1548*J1548</f>
        <v>15.7</v>
      </c>
      <c r="P1548" s="81">
        <f>O1548/60*(1+запас_труд)*стоимость_трудочаса</f>
        <v>614.91666666666663</v>
      </c>
      <c r="Q1548" s="129">
        <f>M1548*(1+наценка_покупное)+P1548</f>
        <v>625.98733050666658</v>
      </c>
    </row>
    <row r="1549" spans="6:17" hidden="1" outlineLevel="5" x14ac:dyDescent="0.25">
      <c r="G1549" s="74" t="s">
        <v>67</v>
      </c>
      <c r="H1549" s="75"/>
      <c r="I1549" s="76"/>
      <c r="J1549" s="78">
        <f>HYPERLINK("#Структура!E2082",Структура!E2082)</f>
        <v>1.7000000000000001E-2</v>
      </c>
      <c r="K1549" s="114" t="str">
        <f>HYPERLINK("#Структура!G2082","")</f>
        <v/>
      </c>
      <c r="L1549" s="120">
        <f>HYPERLINK("#Покупные_изделия!D203",Покупные_изделия!D203)</f>
        <v>30.003600000000002</v>
      </c>
      <c r="M1549" s="76">
        <f>J1549*L1549</f>
        <v>0.5100612000000001</v>
      </c>
      <c r="N1549" s="77"/>
      <c r="O1549" s="77"/>
      <c r="P1549" s="76"/>
      <c r="Q1549" s="76"/>
    </row>
    <row r="1550" spans="6:17" hidden="1" outlineLevel="5" x14ac:dyDescent="0.25">
      <c r="G1550" s="74" t="s">
        <v>96</v>
      </c>
      <c r="H1550" s="75"/>
      <c r="I1550" s="76"/>
      <c r="J1550" s="78">
        <f>HYPERLINK("#Структура!E2083",Структура!E2083)</f>
        <v>7.4999999999999997E-2</v>
      </c>
      <c r="K1550" s="114" t="str">
        <f>HYPERLINK("#Структура!G2083","")</f>
        <v/>
      </c>
      <c r="L1550" s="120">
        <f>HYPERLINK("#Покупные_изделия!D265",Покупные_изделия!D265)</f>
        <v>100</v>
      </c>
      <c r="M1550" s="76">
        <f>J1550*L1550</f>
        <v>7.5</v>
      </c>
      <c r="N1550" s="77"/>
      <c r="O1550" s="77"/>
      <c r="P1550" s="76"/>
      <c r="Q1550" s="76"/>
    </row>
    <row r="1551" spans="6:17" hidden="1" outlineLevel="5" x14ac:dyDescent="0.25">
      <c r="G1551" s="74" t="s">
        <v>146</v>
      </c>
      <c r="H1551" s="75"/>
      <c r="I1551" s="76"/>
      <c r="J1551" s="78">
        <f>HYPERLINK("#Структура!E2084",Структура!E2084)</f>
        <v>0.01</v>
      </c>
      <c r="K1551" s="114" t="str">
        <f>HYPERLINK("#Структура!G2084","")</f>
        <v/>
      </c>
      <c r="L1551" s="120">
        <f>HYPERLINK("#Покупные_изделия!D406",Покупные_изделия!D406)</f>
        <v>105.996</v>
      </c>
      <c r="M1551" s="76">
        <f>J1551*L1551</f>
        <v>1.05996</v>
      </c>
      <c r="N1551" s="77"/>
      <c r="O1551" s="77"/>
      <c r="P1551" s="76"/>
      <c r="Q1551" s="76"/>
    </row>
    <row r="1552" spans="6:17" hidden="1" outlineLevel="5" x14ac:dyDescent="0.25">
      <c r="G1552" s="74" t="s">
        <v>156</v>
      </c>
      <c r="H1552" s="75"/>
      <c r="I1552" s="76"/>
      <c r="J1552" s="78">
        <f>HYPERLINK("#Структура!E2085",Структура!E2085)</f>
        <v>1E-3</v>
      </c>
      <c r="K1552" s="114" t="str">
        <f>HYPERLINK("#Структура!G2085","")</f>
        <v/>
      </c>
      <c r="L1552" s="120">
        <f>HYPERLINK("#Покупные_изделия!D427",Покупные_изделия!D427)</f>
        <v>155.53200000000001</v>
      </c>
      <c r="M1552" s="76">
        <f>J1552*L1552</f>
        <v>0.155532</v>
      </c>
      <c r="N1552" s="77"/>
      <c r="O1552" s="77"/>
      <c r="P1552" s="76"/>
      <c r="Q1552" s="76"/>
    </row>
    <row r="1553" spans="6:17" hidden="1" outlineLevel="4" collapsed="1" x14ac:dyDescent="0.25">
      <c r="F1553" s="84" t="s">
        <v>1262</v>
      </c>
      <c r="G1553" s="79"/>
      <c r="H1553" s="80"/>
      <c r="I1553" s="81"/>
      <c r="J1553" s="83">
        <f>HYPERLINK("#Структура!E2053",Структура!E2053)</f>
        <v>1</v>
      </c>
      <c r="K1553" s="115">
        <f>HYPERLINK("#Структура!G2053",Структура!G2053)</f>
        <v>9.1200000000000003E-2</v>
      </c>
      <c r="L1553" s="81">
        <f>M1553/J1553</f>
        <v>11.7255532</v>
      </c>
      <c r="M1553" s="81">
        <f>SUMIF(G1554:G1557,"*",M1554:M1557)*J1553</f>
        <v>11.7255532</v>
      </c>
      <c r="N1553" s="124">
        <f>HYPERLINK("#Трудозатраты!B557",Трудозатраты!B557+SUMIF(G1554:G1557,"*",O1554:O1557))</f>
        <v>15.7</v>
      </c>
      <c r="O1553" s="82">
        <f>N1553*J1553</f>
        <v>15.7</v>
      </c>
      <c r="P1553" s="81">
        <f>O1553/60*(1+запас_труд)*стоимость_трудочаса</f>
        <v>614.91666666666663</v>
      </c>
      <c r="Q1553" s="129">
        <f>M1553*(1+наценка_покупное)+P1553</f>
        <v>628.98733050666658</v>
      </c>
    </row>
    <row r="1554" spans="6:17" hidden="1" outlineLevel="5" x14ac:dyDescent="0.25">
      <c r="G1554" s="74" t="s">
        <v>67</v>
      </c>
      <c r="H1554" s="75"/>
      <c r="I1554" s="76"/>
      <c r="J1554" s="78">
        <f>HYPERLINK("#Структура!E2086",Структура!E2086)</f>
        <v>1.7000000000000001E-2</v>
      </c>
      <c r="K1554" s="114" t="str">
        <f>HYPERLINK("#Структура!G2086","")</f>
        <v/>
      </c>
      <c r="L1554" s="120">
        <f>HYPERLINK("#Покупные_изделия!D203",Покупные_изделия!D203)</f>
        <v>30.003600000000002</v>
      </c>
      <c r="M1554" s="76">
        <f>J1554*L1554</f>
        <v>0.5100612000000001</v>
      </c>
      <c r="N1554" s="77"/>
      <c r="O1554" s="77"/>
      <c r="P1554" s="76"/>
      <c r="Q1554" s="76"/>
    </row>
    <row r="1555" spans="6:17" hidden="1" outlineLevel="5" x14ac:dyDescent="0.25">
      <c r="G1555" s="74" t="s">
        <v>96</v>
      </c>
      <c r="H1555" s="75"/>
      <c r="I1555" s="76"/>
      <c r="J1555" s="78">
        <f>HYPERLINK("#Структура!E2087",Структура!E2087)</f>
        <v>0.1</v>
      </c>
      <c r="K1555" s="114" t="str">
        <f>HYPERLINK("#Структура!G2087","")</f>
        <v/>
      </c>
      <c r="L1555" s="120">
        <f>HYPERLINK("#Покупные_изделия!D265",Покупные_изделия!D265)</f>
        <v>100</v>
      </c>
      <c r="M1555" s="76">
        <f>J1555*L1555</f>
        <v>10</v>
      </c>
      <c r="N1555" s="77"/>
      <c r="O1555" s="77"/>
      <c r="P1555" s="76"/>
      <c r="Q1555" s="76"/>
    </row>
    <row r="1556" spans="6:17" hidden="1" outlineLevel="5" x14ac:dyDescent="0.25">
      <c r="G1556" s="74" t="s">
        <v>146</v>
      </c>
      <c r="H1556" s="75"/>
      <c r="I1556" s="76"/>
      <c r="J1556" s="78">
        <f>HYPERLINK("#Структура!E2088",Структура!E2088)</f>
        <v>0.01</v>
      </c>
      <c r="K1556" s="114" t="str">
        <f>HYPERLINK("#Структура!G2088","")</f>
        <v/>
      </c>
      <c r="L1556" s="120">
        <f>HYPERLINK("#Покупные_изделия!D406",Покупные_изделия!D406)</f>
        <v>105.996</v>
      </c>
      <c r="M1556" s="76">
        <f>J1556*L1556</f>
        <v>1.05996</v>
      </c>
      <c r="N1556" s="77"/>
      <c r="O1556" s="77"/>
      <c r="P1556" s="76"/>
      <c r="Q1556" s="76"/>
    </row>
    <row r="1557" spans="6:17" hidden="1" outlineLevel="5" x14ac:dyDescent="0.25">
      <c r="G1557" s="74" t="s">
        <v>156</v>
      </c>
      <c r="H1557" s="75"/>
      <c r="I1557" s="76"/>
      <c r="J1557" s="78">
        <f>HYPERLINK("#Структура!E2089",Структура!E2089)</f>
        <v>1E-3</v>
      </c>
      <c r="K1557" s="114" t="str">
        <f>HYPERLINK("#Структура!G2089","")</f>
        <v/>
      </c>
      <c r="L1557" s="120">
        <f>HYPERLINK("#Покупные_изделия!D427",Покупные_изделия!D427)</f>
        <v>155.53200000000001</v>
      </c>
      <c r="M1557" s="76">
        <f>J1557*L1557</f>
        <v>0.155532</v>
      </c>
      <c r="N1557" s="77"/>
      <c r="O1557" s="77"/>
      <c r="P1557" s="76"/>
      <c r="Q1557" s="76"/>
    </row>
    <row r="1558" spans="6:17" hidden="1" outlineLevel="4" collapsed="1" x14ac:dyDescent="0.25">
      <c r="F1558" s="84" t="s">
        <v>1263</v>
      </c>
      <c r="G1558" s="79"/>
      <c r="H1558" s="80"/>
      <c r="I1558" s="81"/>
      <c r="J1558" s="83">
        <f>HYPERLINK("#Структура!E2054",Структура!E2054)</f>
        <v>1</v>
      </c>
      <c r="K1558" s="115">
        <f>HYPERLINK("#Структура!G2054",Структура!G2054)</f>
        <v>0.11194999999999999</v>
      </c>
      <c r="L1558" s="81">
        <f>M1558/J1558</f>
        <v>13.881085200000001</v>
      </c>
      <c r="M1558" s="81">
        <f>SUMIF(G1559:G1562,"*",M1559:M1562)*J1558</f>
        <v>13.881085200000001</v>
      </c>
      <c r="N1558" s="124">
        <f>HYPERLINK("#Трудозатраты!B558",Трудозатраты!B558+SUMIF(G1559:G1562,"*",O1559:O1562))</f>
        <v>16.399999999999999</v>
      </c>
      <c r="O1558" s="82">
        <f>N1558*J1558</f>
        <v>16.399999999999999</v>
      </c>
      <c r="P1558" s="81">
        <f>O1558/60*(1+запас_труд)*стоимость_трудочаса</f>
        <v>642.33333333333326</v>
      </c>
      <c r="Q1558" s="129">
        <f>M1558*(1+наценка_покупное)+P1558</f>
        <v>658.99063557333329</v>
      </c>
    </row>
    <row r="1559" spans="6:17" hidden="1" outlineLevel="5" x14ac:dyDescent="0.25">
      <c r="G1559" s="74" t="s">
        <v>67</v>
      </c>
      <c r="H1559" s="75"/>
      <c r="I1559" s="76"/>
      <c r="J1559" s="78">
        <f>HYPERLINK("#Структура!E2090",Структура!E2090)</f>
        <v>1.7000000000000001E-2</v>
      </c>
      <c r="K1559" s="114" t="str">
        <f>HYPERLINK("#Структура!G2090","")</f>
        <v/>
      </c>
      <c r="L1559" s="120">
        <f>HYPERLINK("#Покупные_изделия!D203",Покупные_изделия!D203)</f>
        <v>30.003600000000002</v>
      </c>
      <c r="M1559" s="76">
        <f>J1559*L1559</f>
        <v>0.5100612000000001</v>
      </c>
      <c r="N1559" s="77"/>
      <c r="O1559" s="77"/>
      <c r="P1559" s="76"/>
      <c r="Q1559" s="76"/>
    </row>
    <row r="1560" spans="6:17" hidden="1" outlineLevel="5" x14ac:dyDescent="0.25">
      <c r="G1560" s="74" t="s">
        <v>96</v>
      </c>
      <c r="H1560" s="75"/>
      <c r="I1560" s="76"/>
      <c r="J1560" s="78">
        <f>HYPERLINK("#Структура!E2091",Структура!E2091)</f>
        <v>0.12</v>
      </c>
      <c r="K1560" s="114" t="str">
        <f>HYPERLINK("#Структура!G2091","")</f>
        <v/>
      </c>
      <c r="L1560" s="120">
        <f>HYPERLINK("#Покупные_изделия!D265",Покупные_изделия!D265)</f>
        <v>100</v>
      </c>
      <c r="M1560" s="76">
        <f>J1560*L1560</f>
        <v>12</v>
      </c>
      <c r="N1560" s="77"/>
      <c r="O1560" s="77"/>
      <c r="P1560" s="76"/>
      <c r="Q1560" s="76"/>
    </row>
    <row r="1561" spans="6:17" hidden="1" outlineLevel="5" x14ac:dyDescent="0.25">
      <c r="G1561" s="74" t="s">
        <v>146</v>
      </c>
      <c r="H1561" s="75"/>
      <c r="I1561" s="76"/>
      <c r="J1561" s="78">
        <f>HYPERLINK("#Структура!E2092",Структура!E2092)</f>
        <v>0.01</v>
      </c>
      <c r="K1561" s="114" t="str">
        <f>HYPERLINK("#Структура!G2092","")</f>
        <v/>
      </c>
      <c r="L1561" s="120">
        <f>HYPERLINK("#Покупные_изделия!D406",Покупные_изделия!D406)</f>
        <v>105.996</v>
      </c>
      <c r="M1561" s="76">
        <f>J1561*L1561</f>
        <v>1.05996</v>
      </c>
      <c r="N1561" s="77"/>
      <c r="O1561" s="77"/>
      <c r="P1561" s="76"/>
      <c r="Q1561" s="76"/>
    </row>
    <row r="1562" spans="6:17" hidden="1" outlineLevel="5" x14ac:dyDescent="0.25">
      <c r="G1562" s="74" t="s">
        <v>156</v>
      </c>
      <c r="H1562" s="75"/>
      <c r="I1562" s="76"/>
      <c r="J1562" s="78">
        <f>HYPERLINK("#Структура!E2093",Структура!E2093)</f>
        <v>2E-3</v>
      </c>
      <c r="K1562" s="114" t="str">
        <f>HYPERLINK("#Структура!G2093","")</f>
        <v/>
      </c>
      <c r="L1562" s="120">
        <f>HYPERLINK("#Покупные_изделия!D427",Покупные_изделия!D427)</f>
        <v>155.53200000000001</v>
      </c>
      <c r="M1562" s="76">
        <f>J1562*L1562</f>
        <v>0.31106400000000001</v>
      </c>
      <c r="N1562" s="77"/>
      <c r="O1562" s="77"/>
      <c r="P1562" s="76"/>
      <c r="Q1562" s="76"/>
    </row>
    <row r="1563" spans="6:17" hidden="1" outlineLevel="4" collapsed="1" x14ac:dyDescent="0.25">
      <c r="F1563" s="84" t="s">
        <v>1264</v>
      </c>
      <c r="G1563" s="79"/>
      <c r="H1563" s="80"/>
      <c r="I1563" s="81"/>
      <c r="J1563" s="83">
        <f>HYPERLINK("#Структура!E2055",Структура!E2055)</f>
        <v>1</v>
      </c>
      <c r="K1563" s="115">
        <f>HYPERLINK("#Структура!G2055",Структура!G2055)</f>
        <v>0.13270000000000001</v>
      </c>
      <c r="L1563" s="81">
        <f>M1563/J1563</f>
        <v>15.881085200000003</v>
      </c>
      <c r="M1563" s="81">
        <f>SUMIF(G1564:G1567,"*",M1564:M1567)*J1563</f>
        <v>15.881085200000003</v>
      </c>
      <c r="N1563" s="124">
        <f>HYPERLINK("#Трудозатраты!B559",Трудозатраты!B559+SUMIF(G1564:G1567,"*",O1564:O1567))</f>
        <v>16.600000000000001</v>
      </c>
      <c r="O1563" s="82">
        <f>N1563*J1563</f>
        <v>16.600000000000001</v>
      </c>
      <c r="P1563" s="81">
        <f>O1563/60*(1+запас_труд)*стоимость_трудочаса</f>
        <v>650.16666666666663</v>
      </c>
      <c r="Q1563" s="129">
        <f>M1563*(1+наценка_покупное)+P1563</f>
        <v>669.22396890666664</v>
      </c>
    </row>
    <row r="1564" spans="6:17" hidden="1" outlineLevel="5" x14ac:dyDescent="0.25">
      <c r="G1564" s="74" t="s">
        <v>67</v>
      </c>
      <c r="H1564" s="75"/>
      <c r="I1564" s="76"/>
      <c r="J1564" s="78">
        <f>HYPERLINK("#Структура!E2094",Структура!E2094)</f>
        <v>1.7000000000000001E-2</v>
      </c>
      <c r="K1564" s="114" t="str">
        <f>HYPERLINK("#Структура!G2094","")</f>
        <v/>
      </c>
      <c r="L1564" s="120">
        <f>HYPERLINK("#Покупные_изделия!D203",Покупные_изделия!D203)</f>
        <v>30.003600000000002</v>
      </c>
      <c r="M1564" s="76">
        <f>J1564*L1564</f>
        <v>0.5100612000000001</v>
      </c>
      <c r="N1564" s="77"/>
      <c r="O1564" s="77"/>
      <c r="P1564" s="76"/>
      <c r="Q1564" s="76"/>
    </row>
    <row r="1565" spans="6:17" hidden="1" outlineLevel="5" x14ac:dyDescent="0.25">
      <c r="G1565" s="74" t="s">
        <v>96</v>
      </c>
      <c r="H1565" s="75"/>
      <c r="I1565" s="76"/>
      <c r="J1565" s="78">
        <f>HYPERLINK("#Структура!E2095",Структура!E2095)</f>
        <v>0.14000000000000001</v>
      </c>
      <c r="K1565" s="114" t="str">
        <f>HYPERLINK("#Структура!G2095","")</f>
        <v/>
      </c>
      <c r="L1565" s="120">
        <f>HYPERLINK("#Покупные_изделия!D265",Покупные_изделия!D265)</f>
        <v>100</v>
      </c>
      <c r="M1565" s="76">
        <f>J1565*L1565</f>
        <v>14.000000000000002</v>
      </c>
      <c r="N1565" s="77"/>
      <c r="O1565" s="77"/>
      <c r="P1565" s="76"/>
      <c r="Q1565" s="76"/>
    </row>
    <row r="1566" spans="6:17" hidden="1" outlineLevel="5" x14ac:dyDescent="0.25">
      <c r="G1566" s="74" t="s">
        <v>146</v>
      </c>
      <c r="H1566" s="75"/>
      <c r="I1566" s="76"/>
      <c r="J1566" s="78">
        <f>HYPERLINK("#Структура!E2096",Структура!E2096)</f>
        <v>0.01</v>
      </c>
      <c r="K1566" s="114" t="str">
        <f>HYPERLINK("#Структура!G2096","")</f>
        <v/>
      </c>
      <c r="L1566" s="120">
        <f>HYPERLINK("#Покупные_изделия!D406",Покупные_изделия!D406)</f>
        <v>105.996</v>
      </c>
      <c r="M1566" s="76">
        <f>J1566*L1566</f>
        <v>1.05996</v>
      </c>
      <c r="N1566" s="77"/>
      <c r="O1566" s="77"/>
      <c r="P1566" s="76"/>
      <c r="Q1566" s="76"/>
    </row>
    <row r="1567" spans="6:17" hidden="1" outlineLevel="5" x14ac:dyDescent="0.25">
      <c r="G1567" s="74" t="s">
        <v>156</v>
      </c>
      <c r="H1567" s="75"/>
      <c r="I1567" s="76"/>
      <c r="J1567" s="78">
        <f>HYPERLINK("#Структура!E2097",Структура!E2097)</f>
        <v>2E-3</v>
      </c>
      <c r="K1567" s="114" t="str">
        <f>HYPERLINK("#Структура!G2097","")</f>
        <v/>
      </c>
      <c r="L1567" s="120">
        <f>HYPERLINK("#Покупные_изделия!D427",Покупные_изделия!D427)</f>
        <v>155.53200000000001</v>
      </c>
      <c r="M1567" s="76">
        <f>J1567*L1567</f>
        <v>0.31106400000000001</v>
      </c>
      <c r="N1567" s="77"/>
      <c r="O1567" s="77"/>
      <c r="P1567" s="76"/>
      <c r="Q1567" s="76"/>
    </row>
    <row r="1568" spans="6:17" hidden="1" outlineLevel="4" collapsed="1" x14ac:dyDescent="0.25">
      <c r="F1568" s="84" t="s">
        <v>1265</v>
      </c>
      <c r="G1568" s="79"/>
      <c r="H1568" s="80"/>
      <c r="I1568" s="81"/>
      <c r="J1568" s="83">
        <f>HYPERLINK("#Структура!E2056",Структура!E2056)</f>
        <v>1</v>
      </c>
      <c r="K1568" s="115">
        <f>HYPERLINK("#Структура!G2056",Структура!G2056)</f>
        <v>0.15175</v>
      </c>
      <c r="L1568" s="81">
        <f>M1568/J1568</f>
        <v>17.881085200000001</v>
      </c>
      <c r="M1568" s="81">
        <f>SUMIF(G1569:G1572,"*",M1569:M1572)*J1568</f>
        <v>17.881085200000001</v>
      </c>
      <c r="N1568" s="124">
        <f>HYPERLINK("#Трудозатраты!B560",Трудозатраты!B560+SUMIF(G1569:G1572,"*",O1569:O1572))</f>
        <v>16.600000000000001</v>
      </c>
      <c r="O1568" s="82">
        <f>N1568*J1568</f>
        <v>16.600000000000001</v>
      </c>
      <c r="P1568" s="81">
        <f>O1568/60*(1+запас_труд)*стоимость_трудочаса</f>
        <v>650.16666666666663</v>
      </c>
      <c r="Q1568" s="129">
        <f>M1568*(1+наценка_покупное)+P1568</f>
        <v>671.62396890666662</v>
      </c>
    </row>
    <row r="1569" spans="6:17" hidden="1" outlineLevel="5" x14ac:dyDescent="0.25">
      <c r="G1569" s="74" t="s">
        <v>67</v>
      </c>
      <c r="H1569" s="75"/>
      <c r="I1569" s="76"/>
      <c r="J1569" s="78">
        <f>HYPERLINK("#Структура!E2098",Структура!E2098)</f>
        <v>1.7000000000000001E-2</v>
      </c>
      <c r="K1569" s="114" t="str">
        <f>HYPERLINK("#Структура!G2098","")</f>
        <v/>
      </c>
      <c r="L1569" s="120">
        <f>HYPERLINK("#Покупные_изделия!D203",Покупные_изделия!D203)</f>
        <v>30.003600000000002</v>
      </c>
      <c r="M1569" s="76">
        <f>J1569*L1569</f>
        <v>0.5100612000000001</v>
      </c>
      <c r="N1569" s="77"/>
      <c r="O1569" s="77"/>
      <c r="P1569" s="76"/>
      <c r="Q1569" s="76"/>
    </row>
    <row r="1570" spans="6:17" hidden="1" outlineLevel="5" x14ac:dyDescent="0.25">
      <c r="G1570" s="74" t="s">
        <v>96</v>
      </c>
      <c r="H1570" s="75"/>
      <c r="I1570" s="76"/>
      <c r="J1570" s="78">
        <f>HYPERLINK("#Структура!E2099",Структура!E2099)</f>
        <v>0.16</v>
      </c>
      <c r="K1570" s="114" t="str">
        <f>HYPERLINK("#Структура!G2099","")</f>
        <v/>
      </c>
      <c r="L1570" s="120">
        <f>HYPERLINK("#Покупные_изделия!D265",Покупные_изделия!D265)</f>
        <v>100</v>
      </c>
      <c r="M1570" s="76">
        <f>J1570*L1570</f>
        <v>16</v>
      </c>
      <c r="N1570" s="77"/>
      <c r="O1570" s="77"/>
      <c r="P1570" s="76"/>
      <c r="Q1570" s="76"/>
    </row>
    <row r="1571" spans="6:17" hidden="1" outlineLevel="5" x14ac:dyDescent="0.25">
      <c r="G1571" s="74" t="s">
        <v>146</v>
      </c>
      <c r="H1571" s="75"/>
      <c r="I1571" s="76"/>
      <c r="J1571" s="78">
        <f>HYPERLINK("#Структура!E2100",Структура!E2100)</f>
        <v>0.01</v>
      </c>
      <c r="K1571" s="114" t="str">
        <f>HYPERLINK("#Структура!G2100","")</f>
        <v/>
      </c>
      <c r="L1571" s="120">
        <f>HYPERLINK("#Покупные_изделия!D406",Покупные_изделия!D406)</f>
        <v>105.996</v>
      </c>
      <c r="M1571" s="76">
        <f>J1571*L1571</f>
        <v>1.05996</v>
      </c>
      <c r="N1571" s="77"/>
      <c r="O1571" s="77"/>
      <c r="P1571" s="76"/>
      <c r="Q1571" s="76"/>
    </row>
    <row r="1572" spans="6:17" hidden="1" outlineLevel="5" x14ac:dyDescent="0.25">
      <c r="G1572" s="74" t="s">
        <v>156</v>
      </c>
      <c r="H1572" s="75"/>
      <c r="I1572" s="76"/>
      <c r="J1572" s="78">
        <f>HYPERLINK("#Структура!E2101",Структура!E2101)</f>
        <v>2E-3</v>
      </c>
      <c r="K1572" s="114" t="str">
        <f>HYPERLINK("#Структура!G2101","")</f>
        <v/>
      </c>
      <c r="L1572" s="120">
        <f>HYPERLINK("#Покупные_изделия!D427",Покупные_изделия!D427)</f>
        <v>155.53200000000001</v>
      </c>
      <c r="M1572" s="76">
        <f>J1572*L1572</f>
        <v>0.31106400000000001</v>
      </c>
      <c r="N1572" s="77"/>
      <c r="O1572" s="77"/>
      <c r="P1572" s="76"/>
      <c r="Q1572" s="76"/>
    </row>
    <row r="1573" spans="6:17" hidden="1" outlineLevel="4" collapsed="1" x14ac:dyDescent="0.25">
      <c r="F1573" s="84" t="s">
        <v>1266</v>
      </c>
      <c r="G1573" s="79"/>
      <c r="H1573" s="80"/>
      <c r="I1573" s="81"/>
      <c r="J1573" s="83">
        <f>HYPERLINK("#Структура!E2057",Структура!E2057)</f>
        <v>1</v>
      </c>
      <c r="K1573" s="115">
        <f>HYPERLINK("#Структура!G2057",Структура!G2057)</f>
        <v>0.16536999999999999</v>
      </c>
      <c r="L1573" s="81">
        <f>M1573/J1573</f>
        <v>20.036617199999998</v>
      </c>
      <c r="M1573" s="81">
        <f>SUMIF(G1574:G1577,"*",M1574:M1577)*J1573</f>
        <v>20.036617199999998</v>
      </c>
      <c r="N1573" s="124">
        <f>HYPERLINK("#Трудозатраты!B561",Трудозатраты!B561+SUMIF(G1574:G1577,"*",O1574:O1577))</f>
        <v>16.8</v>
      </c>
      <c r="O1573" s="82">
        <f>N1573*J1573</f>
        <v>16.8</v>
      </c>
      <c r="P1573" s="81">
        <f>O1573/60*(1+запас_труд)*стоимость_трудочаса</f>
        <v>658.00000000000011</v>
      </c>
      <c r="Q1573" s="129">
        <f>M1573*(1+наценка_покупное)+P1573</f>
        <v>682.04394064000007</v>
      </c>
    </row>
    <row r="1574" spans="6:17" hidden="1" outlineLevel="5" x14ac:dyDescent="0.25">
      <c r="G1574" s="74" t="s">
        <v>67</v>
      </c>
      <c r="H1574" s="75"/>
      <c r="I1574" s="76"/>
      <c r="J1574" s="78">
        <f>HYPERLINK("#Структура!E2102",Структура!E2102)</f>
        <v>1.7000000000000001E-2</v>
      </c>
      <c r="K1574" s="114" t="str">
        <f>HYPERLINK("#Структура!G2102","")</f>
        <v/>
      </c>
      <c r="L1574" s="120">
        <f>HYPERLINK("#Покупные_изделия!D203",Покупные_изделия!D203)</f>
        <v>30.003600000000002</v>
      </c>
      <c r="M1574" s="76">
        <f>J1574*L1574</f>
        <v>0.5100612000000001</v>
      </c>
      <c r="N1574" s="77"/>
      <c r="O1574" s="77"/>
      <c r="P1574" s="76"/>
      <c r="Q1574" s="76"/>
    </row>
    <row r="1575" spans="6:17" hidden="1" outlineLevel="5" x14ac:dyDescent="0.25">
      <c r="G1575" s="74" t="s">
        <v>96</v>
      </c>
      <c r="H1575" s="75"/>
      <c r="I1575" s="76"/>
      <c r="J1575" s="78">
        <f>HYPERLINK("#Структура!E2103",Структура!E2103)</f>
        <v>0.18</v>
      </c>
      <c r="K1575" s="114" t="str">
        <f>HYPERLINK("#Структура!G2103","")</f>
        <v/>
      </c>
      <c r="L1575" s="120">
        <f>HYPERLINK("#Покупные_изделия!D265",Покупные_изделия!D265)</f>
        <v>100</v>
      </c>
      <c r="M1575" s="76">
        <f>J1575*L1575</f>
        <v>18</v>
      </c>
      <c r="N1575" s="77"/>
      <c r="O1575" s="77"/>
      <c r="P1575" s="76"/>
      <c r="Q1575" s="76"/>
    </row>
    <row r="1576" spans="6:17" hidden="1" outlineLevel="5" x14ac:dyDescent="0.25">
      <c r="G1576" s="74" t="s">
        <v>146</v>
      </c>
      <c r="H1576" s="75"/>
      <c r="I1576" s="76"/>
      <c r="J1576" s="78">
        <f>HYPERLINK("#Структура!E2104",Структура!E2104)</f>
        <v>0.01</v>
      </c>
      <c r="K1576" s="114" t="str">
        <f>HYPERLINK("#Структура!G2104","")</f>
        <v/>
      </c>
      <c r="L1576" s="120">
        <f>HYPERLINK("#Покупные_изделия!D406",Покупные_изделия!D406)</f>
        <v>105.996</v>
      </c>
      <c r="M1576" s="76">
        <f>J1576*L1576</f>
        <v>1.05996</v>
      </c>
      <c r="N1576" s="77"/>
      <c r="O1576" s="77"/>
      <c r="P1576" s="76"/>
      <c r="Q1576" s="76"/>
    </row>
    <row r="1577" spans="6:17" hidden="1" outlineLevel="5" x14ac:dyDescent="0.25">
      <c r="G1577" s="74" t="s">
        <v>156</v>
      </c>
      <c r="H1577" s="75"/>
      <c r="I1577" s="76"/>
      <c r="J1577" s="78">
        <f>HYPERLINK("#Структура!E2105",Структура!E2105)</f>
        <v>3.0000000000000001E-3</v>
      </c>
      <c r="K1577" s="114" t="str">
        <f>HYPERLINK("#Структура!G2105","")</f>
        <v/>
      </c>
      <c r="L1577" s="120">
        <f>HYPERLINK("#Покупные_изделия!D427",Покупные_изделия!D427)</f>
        <v>155.53200000000001</v>
      </c>
      <c r="M1577" s="76">
        <f>J1577*L1577</f>
        <v>0.46659600000000007</v>
      </c>
      <c r="N1577" s="77"/>
      <c r="O1577" s="77"/>
      <c r="P1577" s="76"/>
      <c r="Q1577" s="76"/>
    </row>
    <row r="1578" spans="6:17" hidden="1" outlineLevel="4" collapsed="1" x14ac:dyDescent="0.25">
      <c r="F1578" s="84" t="s">
        <v>1267</v>
      </c>
      <c r="G1578" s="79"/>
      <c r="H1578" s="80"/>
      <c r="I1578" s="81"/>
      <c r="J1578" s="83">
        <f>HYPERLINK("#Структура!E2058",Структура!E2058)</f>
        <v>1</v>
      </c>
      <c r="K1578" s="115">
        <f>HYPERLINK("#Структура!G2058",Структура!G2058)</f>
        <v>0.18024000000000001</v>
      </c>
      <c r="L1578" s="81">
        <f>M1578/J1578</f>
        <v>21.036617199999998</v>
      </c>
      <c r="M1578" s="81">
        <f>SUMIF(G1579:G1582,"*",M1579:M1582)*J1578</f>
        <v>21.036617199999998</v>
      </c>
      <c r="N1578" s="124">
        <f>HYPERLINK("#Трудозатраты!B562",Трудозатраты!B562+SUMIF(G1579:G1582,"*",O1579:O1582))</f>
        <v>16.8</v>
      </c>
      <c r="O1578" s="82">
        <f>N1578*J1578</f>
        <v>16.8</v>
      </c>
      <c r="P1578" s="81">
        <f>O1578/60*(1+запас_труд)*стоимость_трудочаса</f>
        <v>658.00000000000011</v>
      </c>
      <c r="Q1578" s="129">
        <f>M1578*(1+наценка_покупное)+P1578</f>
        <v>683.24394064000012</v>
      </c>
    </row>
    <row r="1579" spans="6:17" hidden="1" outlineLevel="5" x14ac:dyDescent="0.25">
      <c r="G1579" s="74" t="s">
        <v>67</v>
      </c>
      <c r="H1579" s="75"/>
      <c r="I1579" s="76"/>
      <c r="J1579" s="78">
        <f>HYPERLINK("#Структура!E2106",Структура!E2106)</f>
        <v>1.7000000000000001E-2</v>
      </c>
      <c r="K1579" s="114" t="str">
        <f>HYPERLINK("#Структура!G2106","")</f>
        <v/>
      </c>
      <c r="L1579" s="120">
        <f>HYPERLINK("#Покупные_изделия!D203",Покупные_изделия!D203)</f>
        <v>30.003600000000002</v>
      </c>
      <c r="M1579" s="76">
        <f>J1579*L1579</f>
        <v>0.5100612000000001</v>
      </c>
      <c r="N1579" s="77"/>
      <c r="O1579" s="77"/>
      <c r="P1579" s="76"/>
      <c r="Q1579" s="76"/>
    </row>
    <row r="1580" spans="6:17" hidden="1" outlineLevel="5" x14ac:dyDescent="0.25">
      <c r="G1580" s="74" t="s">
        <v>96</v>
      </c>
      <c r="H1580" s="75"/>
      <c r="I1580" s="76"/>
      <c r="J1580" s="78">
        <f>HYPERLINK("#Структура!E2107",Структура!E2107)</f>
        <v>0.19</v>
      </c>
      <c r="K1580" s="114" t="str">
        <f>HYPERLINK("#Структура!G2107","")</f>
        <v/>
      </c>
      <c r="L1580" s="120">
        <f>HYPERLINK("#Покупные_изделия!D265",Покупные_изделия!D265)</f>
        <v>100</v>
      </c>
      <c r="M1580" s="76">
        <f>J1580*L1580</f>
        <v>19</v>
      </c>
      <c r="N1580" s="77"/>
      <c r="O1580" s="77"/>
      <c r="P1580" s="76"/>
      <c r="Q1580" s="76"/>
    </row>
    <row r="1581" spans="6:17" hidden="1" outlineLevel="5" x14ac:dyDescent="0.25">
      <c r="G1581" s="74" t="s">
        <v>146</v>
      </c>
      <c r="H1581" s="75"/>
      <c r="I1581" s="76"/>
      <c r="J1581" s="78">
        <f>HYPERLINK("#Структура!E2108",Структура!E2108)</f>
        <v>0.01</v>
      </c>
      <c r="K1581" s="114" t="str">
        <f>HYPERLINK("#Структура!G2108","")</f>
        <v/>
      </c>
      <c r="L1581" s="120">
        <f>HYPERLINK("#Покупные_изделия!D406",Покупные_изделия!D406)</f>
        <v>105.996</v>
      </c>
      <c r="M1581" s="76">
        <f>J1581*L1581</f>
        <v>1.05996</v>
      </c>
      <c r="N1581" s="77"/>
      <c r="O1581" s="77"/>
      <c r="P1581" s="76"/>
      <c r="Q1581" s="76"/>
    </row>
    <row r="1582" spans="6:17" hidden="1" outlineLevel="5" x14ac:dyDescent="0.25">
      <c r="G1582" s="74" t="s">
        <v>156</v>
      </c>
      <c r="H1582" s="75"/>
      <c r="I1582" s="76"/>
      <c r="J1582" s="78">
        <f>HYPERLINK("#Структура!E2109",Структура!E2109)</f>
        <v>3.0000000000000001E-3</v>
      </c>
      <c r="K1582" s="114" t="str">
        <f>HYPERLINK("#Структура!G2109","")</f>
        <v/>
      </c>
      <c r="L1582" s="120">
        <f>HYPERLINK("#Покупные_изделия!D427",Покупные_изделия!D427)</f>
        <v>155.53200000000001</v>
      </c>
      <c r="M1582" s="76">
        <f>J1582*L1582</f>
        <v>0.46659600000000007</v>
      </c>
      <c r="N1582" s="77"/>
      <c r="O1582" s="77"/>
      <c r="P1582" s="76"/>
      <c r="Q1582" s="76"/>
    </row>
    <row r="1583" spans="6:17" hidden="1" outlineLevel="4" collapsed="1" x14ac:dyDescent="0.25">
      <c r="F1583" s="84" t="s">
        <v>1268</v>
      </c>
      <c r="G1583" s="79"/>
      <c r="H1583" s="80"/>
      <c r="I1583" s="81"/>
      <c r="J1583" s="83">
        <f>HYPERLINK("#Структура!E2059",Структура!E2059)</f>
        <v>1</v>
      </c>
      <c r="K1583" s="115">
        <f>HYPERLINK("#Структура!G2059",Структура!G2059)</f>
        <v>0.1951</v>
      </c>
      <c r="L1583" s="81">
        <f>M1583/J1583</f>
        <v>22.036617199999998</v>
      </c>
      <c r="M1583" s="81">
        <f>SUMIF(G1584:G1587,"*",M1584:M1587)*J1583</f>
        <v>22.036617199999998</v>
      </c>
      <c r="N1583" s="124">
        <f>HYPERLINK("#Трудозатраты!B563",Трудозатраты!B563+SUMIF(G1584:G1587,"*",O1584:O1587))</f>
        <v>16.8</v>
      </c>
      <c r="O1583" s="82">
        <f>N1583*J1583</f>
        <v>16.8</v>
      </c>
      <c r="P1583" s="81">
        <f>O1583/60*(1+запас_труд)*стоимость_трудочаса</f>
        <v>658.00000000000011</v>
      </c>
      <c r="Q1583" s="129">
        <f>M1583*(1+наценка_покупное)+P1583</f>
        <v>684.44394064000016</v>
      </c>
    </row>
    <row r="1584" spans="6:17" hidden="1" outlineLevel="5" x14ac:dyDescent="0.25">
      <c r="G1584" s="74" t="s">
        <v>67</v>
      </c>
      <c r="H1584" s="75"/>
      <c r="I1584" s="76"/>
      <c r="J1584" s="78">
        <f>HYPERLINK("#Структура!E2110",Структура!E2110)</f>
        <v>1.7000000000000001E-2</v>
      </c>
      <c r="K1584" s="114" t="str">
        <f>HYPERLINK("#Структура!G2110","")</f>
        <v/>
      </c>
      <c r="L1584" s="120">
        <f>HYPERLINK("#Покупные_изделия!D203",Покупные_изделия!D203)</f>
        <v>30.003600000000002</v>
      </c>
      <c r="M1584" s="76">
        <f>J1584*L1584</f>
        <v>0.5100612000000001</v>
      </c>
      <c r="N1584" s="77"/>
      <c r="O1584" s="77"/>
      <c r="P1584" s="76"/>
      <c r="Q1584" s="76"/>
    </row>
    <row r="1585" spans="6:17" hidden="1" outlineLevel="5" x14ac:dyDescent="0.25">
      <c r="G1585" s="74" t="s">
        <v>96</v>
      </c>
      <c r="H1585" s="75"/>
      <c r="I1585" s="76"/>
      <c r="J1585" s="78">
        <f>HYPERLINK("#Структура!E2111",Структура!E2111)</f>
        <v>0.2</v>
      </c>
      <c r="K1585" s="114" t="str">
        <f>HYPERLINK("#Структура!G2111","")</f>
        <v/>
      </c>
      <c r="L1585" s="120">
        <f>HYPERLINK("#Покупные_изделия!D265",Покупные_изделия!D265)</f>
        <v>100</v>
      </c>
      <c r="M1585" s="76">
        <f>J1585*L1585</f>
        <v>20</v>
      </c>
      <c r="N1585" s="77"/>
      <c r="O1585" s="77"/>
      <c r="P1585" s="76"/>
      <c r="Q1585" s="76"/>
    </row>
    <row r="1586" spans="6:17" hidden="1" outlineLevel="5" x14ac:dyDescent="0.25">
      <c r="G1586" s="74" t="s">
        <v>146</v>
      </c>
      <c r="H1586" s="75"/>
      <c r="I1586" s="76"/>
      <c r="J1586" s="78">
        <f>HYPERLINK("#Структура!E2112",Структура!E2112)</f>
        <v>0.01</v>
      </c>
      <c r="K1586" s="114" t="str">
        <f>HYPERLINK("#Структура!G2112","")</f>
        <v/>
      </c>
      <c r="L1586" s="120">
        <f>HYPERLINK("#Покупные_изделия!D406",Покупные_изделия!D406)</f>
        <v>105.996</v>
      </c>
      <c r="M1586" s="76">
        <f>J1586*L1586</f>
        <v>1.05996</v>
      </c>
      <c r="N1586" s="77"/>
      <c r="O1586" s="77"/>
      <c r="P1586" s="76"/>
      <c r="Q1586" s="76"/>
    </row>
    <row r="1587" spans="6:17" hidden="1" outlineLevel="5" x14ac:dyDescent="0.25">
      <c r="G1587" s="74" t="s">
        <v>156</v>
      </c>
      <c r="H1587" s="75"/>
      <c r="I1587" s="76"/>
      <c r="J1587" s="78">
        <f>HYPERLINK("#Структура!E2113",Структура!E2113)</f>
        <v>3.0000000000000001E-3</v>
      </c>
      <c r="K1587" s="114" t="str">
        <f>HYPERLINK("#Структура!G2113","")</f>
        <v/>
      </c>
      <c r="L1587" s="120">
        <f>HYPERLINK("#Покупные_изделия!D427",Покупные_изделия!D427)</f>
        <v>155.53200000000001</v>
      </c>
      <c r="M1587" s="76">
        <f>J1587*L1587</f>
        <v>0.46659600000000007</v>
      </c>
      <c r="N1587" s="77"/>
      <c r="O1587" s="77"/>
      <c r="P1587" s="76"/>
      <c r="Q1587" s="76"/>
    </row>
    <row r="1588" spans="6:17" hidden="1" outlineLevel="4" collapsed="1" x14ac:dyDescent="0.25">
      <c r="F1588" s="84" t="s">
        <v>1269</v>
      </c>
      <c r="G1588" s="79"/>
      <c r="H1588" s="80"/>
      <c r="I1588" s="81"/>
      <c r="J1588" s="83">
        <f>HYPERLINK("#Структура!E2060",Структура!E2060)</f>
        <v>1</v>
      </c>
      <c r="K1588" s="115">
        <f>HYPERLINK("#Структура!G2060",Структура!G2060)</f>
        <v>0.21027999999999999</v>
      </c>
      <c r="L1588" s="81">
        <f>M1588/J1588</f>
        <v>24.036617199999998</v>
      </c>
      <c r="M1588" s="81">
        <f>SUMIF(G1589:G1592,"*",M1589:M1592)*J1588</f>
        <v>24.036617199999998</v>
      </c>
      <c r="N1588" s="124">
        <f>HYPERLINK("#Трудозатраты!B564",Трудозатраты!B564+SUMIF(G1589:G1592,"*",O1589:O1592))</f>
        <v>17</v>
      </c>
      <c r="O1588" s="82">
        <f>N1588*J1588</f>
        <v>17</v>
      </c>
      <c r="P1588" s="81">
        <f>O1588/60*(1+запас_труд)*стоимость_трудочаса</f>
        <v>665.83333333333337</v>
      </c>
      <c r="Q1588" s="129">
        <f>M1588*(1+наценка_покупное)+P1588</f>
        <v>694.6772739733334</v>
      </c>
    </row>
    <row r="1589" spans="6:17" hidden="1" outlineLevel="5" x14ac:dyDescent="0.25">
      <c r="G1589" s="74" t="s">
        <v>67</v>
      </c>
      <c r="H1589" s="75"/>
      <c r="I1589" s="76"/>
      <c r="J1589" s="78">
        <f>HYPERLINK("#Структура!E2114",Структура!E2114)</f>
        <v>1.7000000000000001E-2</v>
      </c>
      <c r="K1589" s="114" t="str">
        <f>HYPERLINK("#Структура!G2114","")</f>
        <v/>
      </c>
      <c r="L1589" s="120">
        <f>HYPERLINK("#Покупные_изделия!D203",Покупные_изделия!D203)</f>
        <v>30.003600000000002</v>
      </c>
      <c r="M1589" s="76">
        <f>J1589*L1589</f>
        <v>0.5100612000000001</v>
      </c>
      <c r="N1589" s="77"/>
      <c r="O1589" s="77"/>
      <c r="P1589" s="76"/>
      <c r="Q1589" s="76"/>
    </row>
    <row r="1590" spans="6:17" hidden="1" outlineLevel="5" x14ac:dyDescent="0.25">
      <c r="G1590" s="74" t="s">
        <v>96</v>
      </c>
      <c r="H1590" s="75"/>
      <c r="I1590" s="76"/>
      <c r="J1590" s="78">
        <f>HYPERLINK("#Структура!E2115",Структура!E2115)</f>
        <v>0.22</v>
      </c>
      <c r="K1590" s="114" t="str">
        <f>HYPERLINK("#Структура!G2115","")</f>
        <v/>
      </c>
      <c r="L1590" s="120">
        <f>HYPERLINK("#Покупные_изделия!D265",Покупные_изделия!D265)</f>
        <v>100</v>
      </c>
      <c r="M1590" s="76">
        <f>J1590*L1590</f>
        <v>22</v>
      </c>
      <c r="N1590" s="77"/>
      <c r="O1590" s="77"/>
      <c r="P1590" s="76"/>
      <c r="Q1590" s="76"/>
    </row>
    <row r="1591" spans="6:17" hidden="1" outlineLevel="5" x14ac:dyDescent="0.25">
      <c r="G1591" s="74" t="s">
        <v>146</v>
      </c>
      <c r="H1591" s="75"/>
      <c r="I1591" s="76"/>
      <c r="J1591" s="78">
        <f>HYPERLINK("#Структура!E2116",Структура!E2116)</f>
        <v>0.01</v>
      </c>
      <c r="K1591" s="114" t="str">
        <f>HYPERLINK("#Структура!G2116","")</f>
        <v/>
      </c>
      <c r="L1591" s="120">
        <f>HYPERLINK("#Покупные_изделия!D406",Покупные_изделия!D406)</f>
        <v>105.996</v>
      </c>
      <c r="M1591" s="76">
        <f>J1591*L1591</f>
        <v>1.05996</v>
      </c>
      <c r="N1591" s="77"/>
      <c r="O1591" s="77"/>
      <c r="P1591" s="76"/>
      <c r="Q1591" s="76"/>
    </row>
    <row r="1592" spans="6:17" hidden="1" outlineLevel="5" x14ac:dyDescent="0.25">
      <c r="G1592" s="74" t="s">
        <v>156</v>
      </c>
      <c r="H1592" s="75"/>
      <c r="I1592" s="76"/>
      <c r="J1592" s="78">
        <f>HYPERLINK("#Структура!E2117",Структура!E2117)</f>
        <v>3.0000000000000001E-3</v>
      </c>
      <c r="K1592" s="114" t="str">
        <f>HYPERLINK("#Структура!G2117","")</f>
        <v/>
      </c>
      <c r="L1592" s="120">
        <f>HYPERLINK("#Покупные_изделия!D427",Покупные_изделия!D427)</f>
        <v>155.53200000000001</v>
      </c>
      <c r="M1592" s="76">
        <f>J1592*L1592</f>
        <v>0.46659600000000007</v>
      </c>
      <c r="N1592" s="77"/>
      <c r="O1592" s="77"/>
      <c r="P1592" s="76"/>
      <c r="Q1592" s="76"/>
    </row>
    <row r="1593" spans="6:17" hidden="1" outlineLevel="4" collapsed="1" x14ac:dyDescent="0.25">
      <c r="F1593" s="84" t="s">
        <v>1270</v>
      </c>
      <c r="G1593" s="79"/>
      <c r="H1593" s="80"/>
      <c r="I1593" s="81"/>
      <c r="J1593" s="83">
        <f>HYPERLINK("#Структура!E2061",Структура!E2061)</f>
        <v>1</v>
      </c>
      <c r="K1593" s="115">
        <f>HYPERLINK("#Структура!G2061",Структура!G2061)</f>
        <v>0.22453000000000001</v>
      </c>
      <c r="L1593" s="81">
        <f>M1593/J1593</f>
        <v>26.036617199999998</v>
      </c>
      <c r="M1593" s="81">
        <f>SUMIF(G1594:G1597,"*",M1594:M1597)*J1593</f>
        <v>26.036617199999998</v>
      </c>
      <c r="N1593" s="124">
        <f>HYPERLINK("#Трудозатраты!B565",Трудозатраты!B565+SUMIF(G1594:G1597,"*",O1594:O1597))</f>
        <v>17.600000000000001</v>
      </c>
      <c r="O1593" s="82">
        <f>N1593*J1593</f>
        <v>17.600000000000001</v>
      </c>
      <c r="P1593" s="81">
        <f>O1593/60*(1+запас_труд)*стоимость_трудочаса</f>
        <v>689.33333333333337</v>
      </c>
      <c r="Q1593" s="129">
        <f>M1593*(1+наценка_покупное)+P1593</f>
        <v>720.57727397333338</v>
      </c>
    </row>
    <row r="1594" spans="6:17" hidden="1" outlineLevel="5" x14ac:dyDescent="0.25">
      <c r="G1594" s="74" t="s">
        <v>67</v>
      </c>
      <c r="H1594" s="75"/>
      <c r="I1594" s="76"/>
      <c r="J1594" s="78">
        <f>HYPERLINK("#Структура!E2118",Структура!E2118)</f>
        <v>1.7000000000000001E-2</v>
      </c>
      <c r="K1594" s="114" t="str">
        <f>HYPERLINK("#Структура!G2118","")</f>
        <v/>
      </c>
      <c r="L1594" s="120">
        <f>HYPERLINK("#Покупные_изделия!D203",Покупные_изделия!D203)</f>
        <v>30.003600000000002</v>
      </c>
      <c r="M1594" s="76">
        <f>J1594*L1594</f>
        <v>0.5100612000000001</v>
      </c>
      <c r="N1594" s="77"/>
      <c r="O1594" s="77"/>
      <c r="P1594" s="76"/>
      <c r="Q1594" s="76"/>
    </row>
    <row r="1595" spans="6:17" hidden="1" outlineLevel="5" x14ac:dyDescent="0.25">
      <c r="G1595" s="74" t="s">
        <v>96</v>
      </c>
      <c r="H1595" s="75"/>
      <c r="I1595" s="76"/>
      <c r="J1595" s="78">
        <f>HYPERLINK("#Структура!E2119",Структура!E2119)</f>
        <v>0.24</v>
      </c>
      <c r="K1595" s="114" t="str">
        <f>HYPERLINK("#Структура!G2119","")</f>
        <v/>
      </c>
      <c r="L1595" s="120">
        <f>HYPERLINK("#Покупные_изделия!D265",Покупные_изделия!D265)</f>
        <v>100</v>
      </c>
      <c r="M1595" s="76">
        <f>J1595*L1595</f>
        <v>24</v>
      </c>
      <c r="N1595" s="77"/>
      <c r="O1595" s="77"/>
      <c r="P1595" s="76"/>
      <c r="Q1595" s="76"/>
    </row>
    <row r="1596" spans="6:17" hidden="1" outlineLevel="5" x14ac:dyDescent="0.25">
      <c r="G1596" s="74" t="s">
        <v>146</v>
      </c>
      <c r="H1596" s="75"/>
      <c r="I1596" s="76"/>
      <c r="J1596" s="78">
        <f>HYPERLINK("#Структура!E2120",Структура!E2120)</f>
        <v>0.01</v>
      </c>
      <c r="K1596" s="114" t="str">
        <f>HYPERLINK("#Структура!G2120","")</f>
        <v/>
      </c>
      <c r="L1596" s="120">
        <f>HYPERLINK("#Покупные_изделия!D406",Покупные_изделия!D406)</f>
        <v>105.996</v>
      </c>
      <c r="M1596" s="76">
        <f>J1596*L1596</f>
        <v>1.05996</v>
      </c>
      <c r="N1596" s="77"/>
      <c r="O1596" s="77"/>
      <c r="P1596" s="76"/>
      <c r="Q1596" s="76"/>
    </row>
    <row r="1597" spans="6:17" hidden="1" outlineLevel="5" x14ac:dyDescent="0.25">
      <c r="G1597" s="74" t="s">
        <v>156</v>
      </c>
      <c r="H1597" s="75"/>
      <c r="I1597" s="76"/>
      <c r="J1597" s="78">
        <f>HYPERLINK("#Структура!E2121",Структура!E2121)</f>
        <v>3.0000000000000001E-3</v>
      </c>
      <c r="K1597" s="114" t="str">
        <f>HYPERLINK("#Структура!G2121","")</f>
        <v/>
      </c>
      <c r="L1597" s="120">
        <f>HYPERLINK("#Покупные_изделия!D427",Покупные_изделия!D427)</f>
        <v>155.53200000000001</v>
      </c>
      <c r="M1597" s="76">
        <f>J1597*L1597</f>
        <v>0.46659600000000007</v>
      </c>
      <c r="N1597" s="77"/>
      <c r="O1597" s="77"/>
      <c r="P1597" s="76"/>
      <c r="Q1597" s="76"/>
    </row>
    <row r="1598" spans="6:17" hidden="1" outlineLevel="4" collapsed="1" x14ac:dyDescent="0.25">
      <c r="F1598" s="84" t="s">
        <v>1271</v>
      </c>
      <c r="G1598" s="79"/>
      <c r="H1598" s="80"/>
      <c r="I1598" s="81"/>
      <c r="J1598" s="83">
        <f>HYPERLINK("#Структура!E2062",Структура!E2062)</f>
        <v>2</v>
      </c>
      <c r="K1598" s="115">
        <f>HYPERLINK("#Структура!G2062",Структура!G2062)</f>
        <v>3.7699999999999997E-2</v>
      </c>
      <c r="L1598" s="81">
        <f>M1598/J1598</f>
        <v>4.2555320000000005</v>
      </c>
      <c r="M1598" s="81">
        <f>SUMIF(G1599:G1600,"*",M1599:M1600)*J1598</f>
        <v>8.5110640000000011</v>
      </c>
      <c r="N1598" s="124">
        <f>HYPERLINK("#Трудозатраты!B566",Трудозатраты!B566+SUMIF(G1599:G1600,"*",O1599:O1600))</f>
        <v>9.8000000000000007</v>
      </c>
      <c r="O1598" s="82">
        <f>N1598*J1598</f>
        <v>19.600000000000001</v>
      </c>
      <c r="P1598" s="81">
        <f>O1598/60*(1+запас_труд)*стоимость_трудочаса</f>
        <v>767.66666666666674</v>
      </c>
      <c r="Q1598" s="129">
        <f>M1598*(1+наценка_покупное)+P1598</f>
        <v>777.87994346666676</v>
      </c>
    </row>
    <row r="1599" spans="6:17" hidden="1" outlineLevel="5" x14ac:dyDescent="0.25">
      <c r="G1599" s="74" t="s">
        <v>96</v>
      </c>
      <c r="H1599" s="75"/>
      <c r="I1599" s="76"/>
      <c r="J1599" s="78">
        <f>HYPERLINK("#Структура!E2122",Структура!E2122)</f>
        <v>4.1000000000000002E-2</v>
      </c>
      <c r="K1599" s="114" t="str">
        <f>HYPERLINK("#Структура!G2122","")</f>
        <v/>
      </c>
      <c r="L1599" s="120">
        <f>HYPERLINK("#Покупные_изделия!D265",Покупные_изделия!D265)</f>
        <v>100</v>
      </c>
      <c r="M1599" s="76">
        <f>J1599*L1599</f>
        <v>4.1000000000000005</v>
      </c>
      <c r="N1599" s="77"/>
      <c r="O1599" s="77"/>
      <c r="P1599" s="76"/>
      <c r="Q1599" s="76"/>
    </row>
    <row r="1600" spans="6:17" hidden="1" outlineLevel="5" x14ac:dyDescent="0.25">
      <c r="G1600" s="74" t="s">
        <v>156</v>
      </c>
      <c r="H1600" s="75"/>
      <c r="I1600" s="76"/>
      <c r="J1600" s="78">
        <f>HYPERLINK("#Структура!E2123",Структура!E2123)</f>
        <v>1E-3</v>
      </c>
      <c r="K1600" s="114" t="str">
        <f>HYPERLINK("#Структура!G2123","")</f>
        <v/>
      </c>
      <c r="L1600" s="120">
        <f>HYPERLINK("#Покупные_изделия!D427",Покупные_изделия!D427)</f>
        <v>155.53200000000001</v>
      </c>
      <c r="M1600" s="76">
        <f>J1600*L1600</f>
        <v>0.155532</v>
      </c>
      <c r="N1600" s="77"/>
      <c r="O1600" s="77"/>
      <c r="P1600" s="76"/>
      <c r="Q1600" s="76"/>
    </row>
    <row r="1601" spans="5:17" hidden="1" outlineLevel="4" collapsed="1" x14ac:dyDescent="0.25">
      <c r="F1601" s="84" t="s">
        <v>1272</v>
      </c>
      <c r="G1601" s="79"/>
      <c r="H1601" s="80"/>
      <c r="I1601" s="81"/>
      <c r="J1601" s="83">
        <f>HYPERLINK("#Структура!E2063",Структура!E2063)</f>
        <v>2</v>
      </c>
      <c r="K1601" s="115">
        <f>HYPERLINK("#Структура!G2063",Структура!G2063)</f>
        <v>3.7769999999999998E-2</v>
      </c>
      <c r="L1601" s="81">
        <f>M1601/J1601</f>
        <v>4.2555320000000005</v>
      </c>
      <c r="M1601" s="81">
        <f>SUMIF(G1602:G1603,"*",M1602:M1603)*J1601</f>
        <v>8.5110640000000011</v>
      </c>
      <c r="N1601" s="124">
        <f>HYPERLINK("#Трудозатраты!B567",Трудозатраты!B567+SUMIF(G1602:G1603,"*",O1602:O1603))</f>
        <v>9.8000000000000007</v>
      </c>
      <c r="O1601" s="82">
        <f>N1601*J1601</f>
        <v>19.600000000000001</v>
      </c>
      <c r="P1601" s="81">
        <f>O1601/60*(1+запас_труд)*стоимость_трудочаса</f>
        <v>767.66666666666674</v>
      </c>
      <c r="Q1601" s="129">
        <f>M1601*(1+наценка_покупное)+P1601</f>
        <v>777.87994346666676</v>
      </c>
    </row>
    <row r="1602" spans="5:17" hidden="1" outlineLevel="5" x14ac:dyDescent="0.25">
      <c r="G1602" s="74" t="s">
        <v>96</v>
      </c>
      <c r="H1602" s="75"/>
      <c r="I1602" s="76"/>
      <c r="J1602" s="78">
        <f>HYPERLINK("#Структура!E2124",Структура!E2124)</f>
        <v>4.1000000000000002E-2</v>
      </c>
      <c r="K1602" s="114" t="str">
        <f>HYPERLINK("#Структура!G2124","")</f>
        <v/>
      </c>
      <c r="L1602" s="120">
        <f>HYPERLINK("#Покупные_изделия!D265",Покупные_изделия!D265)</f>
        <v>100</v>
      </c>
      <c r="M1602" s="76">
        <f t="shared" ref="M1602:M1608" si="61">J1602*L1602</f>
        <v>4.1000000000000005</v>
      </c>
      <c r="N1602" s="77"/>
      <c r="O1602" s="77"/>
      <c r="P1602" s="76"/>
      <c r="Q1602" s="76"/>
    </row>
    <row r="1603" spans="5:17" hidden="1" outlineLevel="5" x14ac:dyDescent="0.25">
      <c r="G1603" s="74" t="s">
        <v>156</v>
      </c>
      <c r="H1603" s="75"/>
      <c r="I1603" s="76"/>
      <c r="J1603" s="78">
        <f>HYPERLINK("#Структура!E2125",Структура!E2125)</f>
        <v>1E-3</v>
      </c>
      <c r="K1603" s="114" t="str">
        <f>HYPERLINK("#Структура!G2125","")</f>
        <v/>
      </c>
      <c r="L1603" s="120">
        <f>HYPERLINK("#Покупные_изделия!D427",Покупные_изделия!D427)</f>
        <v>155.53200000000001</v>
      </c>
      <c r="M1603" s="76">
        <f t="shared" si="61"/>
        <v>0.155532</v>
      </c>
      <c r="N1603" s="77"/>
      <c r="O1603" s="77"/>
      <c r="P1603" s="76"/>
      <c r="Q1603" s="76"/>
    </row>
    <row r="1604" spans="5:17" hidden="1" outlineLevel="4" x14ac:dyDescent="0.25">
      <c r="F1604" s="74" t="s">
        <v>64</v>
      </c>
      <c r="G1604" s="74"/>
      <c r="H1604" s="75"/>
      <c r="I1604" s="76"/>
      <c r="J1604" s="78">
        <f>HYPERLINK("#Структура!E2064",Структура!E2064)</f>
        <v>0.24</v>
      </c>
      <c r="K1604" s="114" t="str">
        <f>HYPERLINK("#Структура!G2064","")</f>
        <v/>
      </c>
      <c r="L1604" s="120">
        <f>HYPERLINK("#Покупные_изделия!D196",Покупные_изделия!D196)</f>
        <v>187.92840000000001</v>
      </c>
      <c r="M1604" s="76">
        <f t="shared" si="61"/>
        <v>45.102816000000004</v>
      </c>
      <c r="N1604" s="77"/>
      <c r="O1604" s="77"/>
      <c r="P1604" s="76"/>
      <c r="Q1604" s="76"/>
    </row>
    <row r="1605" spans="5:17" hidden="1" outlineLevel="4" x14ac:dyDescent="0.25">
      <c r="F1605" s="74" t="s">
        <v>67</v>
      </c>
      <c r="G1605" s="74"/>
      <c r="H1605" s="75"/>
      <c r="I1605" s="76"/>
      <c r="J1605" s="78">
        <f>HYPERLINK("#Структура!E2065",Структура!E2065)</f>
        <v>0.25600000000000001</v>
      </c>
      <c r="K1605" s="114" t="str">
        <f>HYPERLINK("#Структура!G2065","")</f>
        <v/>
      </c>
      <c r="L1605" s="120">
        <f>HYPERLINK("#Покупные_изделия!D203",Покупные_изделия!D203)</f>
        <v>30.003600000000002</v>
      </c>
      <c r="M1605" s="76">
        <f t="shared" si="61"/>
        <v>7.6809216000000005</v>
      </c>
      <c r="N1605" s="77"/>
      <c r="O1605" s="77"/>
      <c r="P1605" s="76"/>
      <c r="Q1605" s="76"/>
    </row>
    <row r="1606" spans="5:17" hidden="1" outlineLevel="4" x14ac:dyDescent="0.25">
      <c r="F1606" s="74" t="s">
        <v>139</v>
      </c>
      <c r="G1606" s="74"/>
      <c r="H1606" s="75"/>
      <c r="I1606" s="76"/>
      <c r="J1606" s="78">
        <f>HYPERLINK("#Структура!E2066",Структура!E2066)</f>
        <v>4.8000000000000001E-2</v>
      </c>
      <c r="K1606" s="114" t="str">
        <f>HYPERLINK("#Структура!G2066","")</f>
        <v/>
      </c>
      <c r="L1606" s="120">
        <f>HYPERLINK("#Покупные_изделия!D360",Покупные_изделия!D360)</f>
        <v>171.87720000000002</v>
      </c>
      <c r="M1606" s="76">
        <f t="shared" si="61"/>
        <v>8.2501056000000013</v>
      </c>
      <c r="N1606" s="77"/>
      <c r="O1606" s="77"/>
      <c r="P1606" s="76"/>
      <c r="Q1606" s="76"/>
    </row>
    <row r="1607" spans="5:17" hidden="1" outlineLevel="4" x14ac:dyDescent="0.25">
      <c r="F1607" s="74" t="s">
        <v>146</v>
      </c>
      <c r="G1607" s="74"/>
      <c r="H1607" s="75"/>
      <c r="I1607" s="76"/>
      <c r="J1607" s="78">
        <f>HYPERLINK("#Структура!E2067",Структура!E2067)</f>
        <v>0.151</v>
      </c>
      <c r="K1607" s="114" t="str">
        <f>HYPERLINK("#Структура!G2067","")</f>
        <v/>
      </c>
      <c r="L1607" s="120">
        <f>HYPERLINK("#Покупные_изделия!D406",Покупные_изделия!D406)</f>
        <v>105.996</v>
      </c>
      <c r="M1607" s="76">
        <f t="shared" si="61"/>
        <v>16.005395999999998</v>
      </c>
      <c r="N1607" s="77"/>
      <c r="O1607" s="77"/>
      <c r="P1607" s="76"/>
      <c r="Q1607" s="76"/>
    </row>
    <row r="1608" spans="5:17" hidden="1" outlineLevel="4" x14ac:dyDescent="0.25">
      <c r="F1608" s="74" t="s">
        <v>156</v>
      </c>
      <c r="G1608" s="74"/>
      <c r="H1608" s="75"/>
      <c r="I1608" s="76"/>
      <c r="J1608" s="78">
        <f>HYPERLINK("#Структура!E2068",Структура!E2068)</f>
        <v>0.11</v>
      </c>
      <c r="K1608" s="114" t="str">
        <f>HYPERLINK("#Структура!G2068","")</f>
        <v/>
      </c>
      <c r="L1608" s="120">
        <f>HYPERLINK("#Покупные_изделия!D427",Покупные_изделия!D427)</f>
        <v>155.53200000000001</v>
      </c>
      <c r="M1608" s="76">
        <f t="shared" si="61"/>
        <v>17.108520000000002</v>
      </c>
      <c r="N1608" s="77"/>
      <c r="O1608" s="77"/>
      <c r="P1608" s="76"/>
      <c r="Q1608" s="76"/>
    </row>
    <row r="1609" spans="5:17" hidden="1" outlineLevel="3" collapsed="1" x14ac:dyDescent="0.25">
      <c r="E1609" s="96" t="s">
        <v>1184</v>
      </c>
      <c r="F1609" s="91"/>
      <c r="G1609" s="91"/>
      <c r="H1609" s="92"/>
      <c r="I1609" s="93"/>
      <c r="J1609" s="95">
        <f>HYPERLINK("#Структура!E1791",Структура!E1791)</f>
        <v>1</v>
      </c>
      <c r="K1609" s="116">
        <f>HYPERLINK("#Структура!G1791",Структура!G1791)</f>
        <v>16.05302</v>
      </c>
      <c r="L1609" s="93">
        <f>M1609/J1609</f>
        <v>2967.5901012000004</v>
      </c>
      <c r="M1609" s="93">
        <f>SUMIF(F1610:F1618,"*",M1610:M1618)*J1609</f>
        <v>2967.5901012000004</v>
      </c>
      <c r="N1609" s="125">
        <f>HYPERLINK("#Трудозатраты!B568",Трудозатраты!B568+SUMIF(F1610:F1618,"*",O1610:O1618))</f>
        <v>42.45</v>
      </c>
      <c r="O1609" s="94">
        <f>N1609*J1609</f>
        <v>42.45</v>
      </c>
      <c r="P1609" s="93">
        <f>O1609/60*(1+запас_труд)*стоимость_трудочаса</f>
        <v>1662.625</v>
      </c>
      <c r="Q1609" s="130">
        <f>M1609*(1+наценка_покупное)+P1609</f>
        <v>5223.7331214400001</v>
      </c>
    </row>
    <row r="1610" spans="5:17" hidden="1" outlineLevel="4" collapsed="1" x14ac:dyDescent="0.25">
      <c r="F1610" s="85" t="s">
        <v>1273</v>
      </c>
      <c r="G1610" s="86"/>
      <c r="H1610" s="87"/>
      <c r="I1610" s="88"/>
      <c r="J1610" s="90">
        <f>HYPERLINK("#Структура!E2126",Структура!E2126)</f>
        <v>1</v>
      </c>
      <c r="K1610" s="113">
        <f>HYPERLINK("#Структура!G2126",Структура!G2126)</f>
        <v>16.005590000000002</v>
      </c>
      <c r="L1610" s="88">
        <f>M1610/J1610</f>
        <v>2418</v>
      </c>
      <c r="M1610" s="88">
        <f>SUMIF(G1611,"*",M1611)*J1610</f>
        <v>2418</v>
      </c>
      <c r="N1610" s="123">
        <f>HYPERLINK("#Трудозатраты!B569",Трудозатраты!B569+SUMIF(G1611,"*",O1611))</f>
        <v>13.5</v>
      </c>
      <c r="O1610" s="89">
        <f>N1610*J1610</f>
        <v>13.5</v>
      </c>
      <c r="P1610" s="88">
        <f>O1610/60*(1+запас_труд)*стоимость_трудочаса</f>
        <v>528.75</v>
      </c>
      <c r="Q1610" s="128">
        <f>M1610*(1+наценка_покупное)+P1610</f>
        <v>3430.35</v>
      </c>
    </row>
    <row r="1611" spans="5:17" hidden="1" outlineLevel="5" x14ac:dyDescent="0.25">
      <c r="G1611" s="74" t="s">
        <v>109</v>
      </c>
      <c r="H1611" s="75"/>
      <c r="I1611" s="76"/>
      <c r="J1611" s="78">
        <f>HYPERLINK("#Структура!E2134",Структура!E2134)</f>
        <v>20.149999999999999</v>
      </c>
      <c r="K1611" s="114" t="str">
        <f>HYPERLINK("#Структура!G2134","")</f>
        <v/>
      </c>
      <c r="L1611" s="120">
        <f>HYPERLINK("#Покупные_изделия!D281",Покупные_изделия!D281)</f>
        <v>120</v>
      </c>
      <c r="M1611" s="76">
        <f t="shared" ref="M1611:M1618" si="62">J1611*L1611</f>
        <v>2418</v>
      </c>
      <c r="N1611" s="77"/>
      <c r="O1611" s="77"/>
      <c r="P1611" s="76"/>
      <c r="Q1611" s="76"/>
    </row>
    <row r="1612" spans="5:17" hidden="1" outlineLevel="4" x14ac:dyDescent="0.25">
      <c r="F1612" s="74" t="s">
        <v>966</v>
      </c>
      <c r="G1612" s="74"/>
      <c r="H1612" s="75"/>
      <c r="I1612" s="76"/>
      <c r="J1612" s="78">
        <f>HYPERLINK("#Структура!E2127",Структура!E2127)</f>
        <v>9</v>
      </c>
      <c r="K1612" s="114">
        <f>HYPERLINK("#Структура!G2127",Структура!G2127)</f>
        <v>5.2700000000000004E-3</v>
      </c>
      <c r="L1612" s="120">
        <f>HYPERLINK("#Покупные_изделия!D170",Покупные_изделия!D170)</f>
        <v>1.3728</v>
      </c>
      <c r="M1612" s="76">
        <f t="shared" si="62"/>
        <v>12.3552</v>
      </c>
      <c r="N1612" s="77"/>
      <c r="O1612" s="77"/>
      <c r="P1612" s="76"/>
      <c r="Q1612" s="76"/>
    </row>
    <row r="1613" spans="5:17" hidden="1" outlineLevel="4" x14ac:dyDescent="0.25">
      <c r="F1613" s="74" t="s">
        <v>65</v>
      </c>
      <c r="G1613" s="74"/>
      <c r="H1613" s="75"/>
      <c r="I1613" s="76"/>
      <c r="J1613" s="78">
        <f>HYPERLINK("#Структура!E2128",Структура!E2128)</f>
        <v>0.4</v>
      </c>
      <c r="K1613" s="114" t="str">
        <f>HYPERLINK("#Структура!G2128","")</f>
        <v/>
      </c>
      <c r="L1613" s="120">
        <f>HYPERLINK("#Покупные_изделия!D197",Покупные_изделия!D197)</f>
        <v>264.50399999999996</v>
      </c>
      <c r="M1613" s="76">
        <f t="shared" si="62"/>
        <v>105.80159999999999</v>
      </c>
      <c r="N1613" s="77"/>
      <c r="O1613" s="77"/>
      <c r="P1613" s="76"/>
      <c r="Q1613" s="76"/>
    </row>
    <row r="1614" spans="5:17" hidden="1" outlineLevel="4" x14ac:dyDescent="0.25">
      <c r="F1614" s="74" t="s">
        <v>67</v>
      </c>
      <c r="G1614" s="74"/>
      <c r="H1614" s="75"/>
      <c r="I1614" s="76"/>
      <c r="J1614" s="78">
        <f>HYPERLINK("#Структура!E2129",Структура!E2129)</f>
        <v>1.7000000000000001E-2</v>
      </c>
      <c r="K1614" s="114" t="str">
        <f>HYPERLINK("#Структура!G2129","")</f>
        <v/>
      </c>
      <c r="L1614" s="120">
        <f>HYPERLINK("#Покупные_изделия!D203",Покупные_изделия!D203)</f>
        <v>30.003600000000002</v>
      </c>
      <c r="M1614" s="76">
        <f t="shared" si="62"/>
        <v>0.5100612000000001</v>
      </c>
      <c r="N1614" s="77"/>
      <c r="O1614" s="77"/>
      <c r="P1614" s="76"/>
      <c r="Q1614" s="76"/>
    </row>
    <row r="1615" spans="5:17" hidden="1" outlineLevel="4" x14ac:dyDescent="0.25">
      <c r="F1615" s="74" t="s">
        <v>146</v>
      </c>
      <c r="G1615" s="74"/>
      <c r="H1615" s="75"/>
      <c r="I1615" s="76"/>
      <c r="J1615" s="78">
        <f>HYPERLINK("#Структура!E2130",Структура!E2130)</f>
        <v>0.01</v>
      </c>
      <c r="K1615" s="114" t="str">
        <f>HYPERLINK("#Структура!G2130","")</f>
        <v/>
      </c>
      <c r="L1615" s="120">
        <f>HYPERLINK("#Покупные_изделия!D406",Покупные_изделия!D406)</f>
        <v>105.996</v>
      </c>
      <c r="M1615" s="76">
        <f t="shared" si="62"/>
        <v>1.05996</v>
      </c>
      <c r="N1615" s="77"/>
      <c r="O1615" s="77"/>
      <c r="P1615" s="76"/>
      <c r="Q1615" s="76"/>
    </row>
    <row r="1616" spans="5:17" hidden="1" outlineLevel="4" x14ac:dyDescent="0.25">
      <c r="F1616" s="74" t="s">
        <v>155</v>
      </c>
      <c r="G1616" s="74"/>
      <c r="H1616" s="75"/>
      <c r="I1616" s="76"/>
      <c r="J1616" s="78">
        <f>HYPERLINK("#Структура!E2131",Структура!E2131)</f>
        <v>0.24</v>
      </c>
      <c r="K1616" s="114" t="str">
        <f>HYPERLINK("#Структура!G2131","")</f>
        <v/>
      </c>
      <c r="L1616" s="120">
        <f>HYPERLINK("#Покупные_изделия!D423",Покупные_изделия!D423)</f>
        <v>218.28</v>
      </c>
      <c r="M1616" s="76">
        <f t="shared" si="62"/>
        <v>52.3872</v>
      </c>
      <c r="N1616" s="77"/>
      <c r="O1616" s="77"/>
      <c r="P1616" s="76"/>
      <c r="Q1616" s="76"/>
    </row>
    <row r="1617" spans="5:17" hidden="1" outlineLevel="4" x14ac:dyDescent="0.25">
      <c r="F1617" s="74" t="s">
        <v>156</v>
      </c>
      <c r="G1617" s="74"/>
      <c r="H1617" s="75"/>
      <c r="I1617" s="76"/>
      <c r="J1617" s="78">
        <f>HYPERLINK("#Структура!E2132",Структура!E2132)</f>
        <v>0.34</v>
      </c>
      <c r="K1617" s="114" t="str">
        <f>HYPERLINK("#Структура!G2132","")</f>
        <v/>
      </c>
      <c r="L1617" s="120">
        <f>HYPERLINK("#Покупные_изделия!D427",Покупные_изделия!D427)</f>
        <v>155.53200000000001</v>
      </c>
      <c r="M1617" s="76">
        <f t="shared" si="62"/>
        <v>52.880880000000005</v>
      </c>
      <c r="N1617" s="77"/>
      <c r="O1617" s="77"/>
      <c r="P1617" s="76"/>
      <c r="Q1617" s="76"/>
    </row>
    <row r="1618" spans="5:17" hidden="1" outlineLevel="4" x14ac:dyDescent="0.25">
      <c r="F1618" s="74" t="s">
        <v>215</v>
      </c>
      <c r="G1618" s="74"/>
      <c r="H1618" s="75"/>
      <c r="I1618" s="76"/>
      <c r="J1618" s="78">
        <f>HYPERLINK("#Структура!E2133",Структура!E2133)</f>
        <v>0.8</v>
      </c>
      <c r="K1618" s="114" t="str">
        <f>HYPERLINK("#Структура!G2133","")</f>
        <v/>
      </c>
      <c r="L1618" s="120">
        <f>HYPERLINK("#Покупные_изделия!D567",Покупные_изделия!D567)</f>
        <v>405.74399999999997</v>
      </c>
      <c r="M1618" s="76">
        <f t="shared" si="62"/>
        <v>324.59519999999998</v>
      </c>
      <c r="N1618" s="77"/>
      <c r="O1618" s="77"/>
      <c r="P1618" s="76"/>
      <c r="Q1618" s="76"/>
    </row>
    <row r="1619" spans="5:17" hidden="1" outlineLevel="3" collapsed="1" x14ac:dyDescent="0.25">
      <c r="E1619" s="96" t="s">
        <v>1185</v>
      </c>
      <c r="F1619" s="91"/>
      <c r="G1619" s="91"/>
      <c r="H1619" s="92"/>
      <c r="I1619" s="93"/>
      <c r="J1619" s="95">
        <f>HYPERLINK("#Структура!E1792",Структура!E1792)</f>
        <v>1</v>
      </c>
      <c r="K1619" s="116">
        <f>HYPERLINK("#Структура!G1792",Структура!G1792)</f>
        <v>0.67345999999999995</v>
      </c>
      <c r="L1619" s="93">
        <f>M1619/J1619</f>
        <v>110.22379679999999</v>
      </c>
      <c r="M1619" s="93">
        <f>SUMIF(F1620:F1628,"*",M1620:M1628)*J1619</f>
        <v>110.22379679999999</v>
      </c>
      <c r="N1619" s="125">
        <f>HYPERLINK("#Трудозатраты!B570",Трудозатраты!B570+SUMIF(F1620:F1628,"*",O1620:O1628))</f>
        <v>8</v>
      </c>
      <c r="O1619" s="94">
        <f>N1619*J1619</f>
        <v>8</v>
      </c>
      <c r="P1619" s="93">
        <f>O1619/60*(1+запас_труд)*стоимость_трудочаса</f>
        <v>313.33333333333331</v>
      </c>
      <c r="Q1619" s="130">
        <f>M1619*(1+наценка_покупное)+P1619</f>
        <v>445.60188949333326</v>
      </c>
    </row>
    <row r="1620" spans="5:17" hidden="1" outlineLevel="4" collapsed="1" x14ac:dyDescent="0.25">
      <c r="F1620" s="85" t="s">
        <v>1274</v>
      </c>
      <c r="G1620" s="86"/>
      <c r="H1620" s="87"/>
      <c r="I1620" s="88"/>
      <c r="J1620" s="90">
        <f>HYPERLINK("#Структура!E2135",Структура!E2135)</f>
        <v>1</v>
      </c>
      <c r="K1620" s="113">
        <f>HYPERLINK("#Структура!G2135",Структура!G2135)</f>
        <v>0.66235999999999995</v>
      </c>
      <c r="L1620" s="88">
        <f>M1620/J1620</f>
        <v>96</v>
      </c>
      <c r="M1620" s="88">
        <f>SUMIF(G1621,"*",M1621)*J1620</f>
        <v>96</v>
      </c>
      <c r="N1620" s="123">
        <f>HYPERLINK("#Трудозатраты!B571",Трудозатраты!B571+SUMIF(G1621,"*",O1621))</f>
        <v>7.2</v>
      </c>
      <c r="O1620" s="89">
        <f>N1620*J1620</f>
        <v>7.2</v>
      </c>
      <c r="P1620" s="88">
        <f>O1620/60*(1+запас_труд)*стоимость_трудочаса</f>
        <v>282</v>
      </c>
      <c r="Q1620" s="128">
        <f>M1620*(1+наценка_покупное)+P1620</f>
        <v>397.2</v>
      </c>
    </row>
    <row r="1621" spans="5:17" hidden="1" outlineLevel="5" x14ac:dyDescent="0.25">
      <c r="G1621" s="74" t="s">
        <v>115</v>
      </c>
      <c r="H1621" s="75"/>
      <c r="I1621" s="76"/>
      <c r="J1621" s="78">
        <f>HYPERLINK("#Структура!E2143",Структура!E2143)</f>
        <v>0.8</v>
      </c>
      <c r="K1621" s="114" t="str">
        <f>HYPERLINK("#Структура!G2143","")</f>
        <v/>
      </c>
      <c r="L1621" s="120">
        <f>HYPERLINK("#Покупные_изделия!D289",Покупные_изделия!D289)</f>
        <v>120</v>
      </c>
      <c r="M1621" s="76">
        <f t="shared" ref="M1621:M1628" si="63">J1621*L1621</f>
        <v>96</v>
      </c>
      <c r="N1621" s="77"/>
      <c r="O1621" s="77"/>
      <c r="P1621" s="76"/>
      <c r="Q1621" s="76"/>
    </row>
    <row r="1622" spans="5:17" hidden="1" outlineLevel="4" x14ac:dyDescent="0.25">
      <c r="F1622" s="74" t="s">
        <v>746</v>
      </c>
      <c r="G1622" s="74"/>
      <c r="H1622" s="75"/>
      <c r="I1622" s="76"/>
      <c r="J1622" s="78">
        <f>HYPERLINK("#Структура!E2136",Структура!E2136)</f>
        <v>2</v>
      </c>
      <c r="K1622" s="114">
        <f>HYPERLINK("#Структура!G2136",Структура!G2136)</f>
        <v>5.5500000000000002E-3</v>
      </c>
      <c r="L1622" s="120">
        <f>HYPERLINK("#Покупные_изделия!D192",Покупные_изделия!D192)</f>
        <v>1.9799999999999998</v>
      </c>
      <c r="M1622" s="76">
        <f t="shared" si="63"/>
        <v>3.9599999999999995</v>
      </c>
      <c r="N1622" s="77"/>
      <c r="O1622" s="77"/>
      <c r="P1622" s="76"/>
      <c r="Q1622" s="76"/>
    </row>
    <row r="1623" spans="5:17" hidden="1" outlineLevel="4" x14ac:dyDescent="0.25">
      <c r="F1623" s="74" t="s">
        <v>65</v>
      </c>
      <c r="G1623" s="74"/>
      <c r="H1623" s="75"/>
      <c r="I1623" s="76"/>
      <c r="J1623" s="78">
        <f>HYPERLINK("#Структура!E2137",Структура!E2137)</f>
        <v>7.0000000000000001E-3</v>
      </c>
      <c r="K1623" s="114" t="str">
        <f>HYPERLINK("#Структура!G2137","")</f>
        <v/>
      </c>
      <c r="L1623" s="120">
        <f>HYPERLINK("#Покупные_изделия!D197",Покупные_изделия!D197)</f>
        <v>264.50399999999996</v>
      </c>
      <c r="M1623" s="76">
        <f t="shared" si="63"/>
        <v>1.8515279999999998</v>
      </c>
      <c r="N1623" s="77"/>
      <c r="O1623" s="77"/>
      <c r="P1623" s="76"/>
      <c r="Q1623" s="76"/>
    </row>
    <row r="1624" spans="5:17" hidden="1" outlineLevel="4" x14ac:dyDescent="0.25">
      <c r="F1624" s="74" t="s">
        <v>67</v>
      </c>
      <c r="G1624" s="74"/>
      <c r="H1624" s="75"/>
      <c r="I1624" s="76"/>
      <c r="J1624" s="78">
        <f>HYPERLINK("#Структура!E2138",Структура!E2138)</f>
        <v>8.0000000000000002E-3</v>
      </c>
      <c r="K1624" s="114" t="str">
        <f>HYPERLINK("#Структура!G2138","")</f>
        <v/>
      </c>
      <c r="L1624" s="120">
        <f>HYPERLINK("#Покупные_изделия!D203",Покупные_изделия!D203)</f>
        <v>30.003600000000002</v>
      </c>
      <c r="M1624" s="76">
        <f t="shared" si="63"/>
        <v>0.24002880000000001</v>
      </c>
      <c r="N1624" s="77"/>
      <c r="O1624" s="77"/>
      <c r="P1624" s="76"/>
      <c r="Q1624" s="76"/>
    </row>
    <row r="1625" spans="5:17" hidden="1" outlineLevel="4" x14ac:dyDescent="0.25">
      <c r="F1625" s="74" t="s">
        <v>146</v>
      </c>
      <c r="G1625" s="74"/>
      <c r="H1625" s="75"/>
      <c r="I1625" s="76"/>
      <c r="J1625" s="78">
        <f>HYPERLINK("#Структура!E2139",Структура!E2139)</f>
        <v>5.0000000000000001E-3</v>
      </c>
      <c r="K1625" s="114" t="str">
        <f>HYPERLINK("#Структура!G2139","")</f>
        <v/>
      </c>
      <c r="L1625" s="120">
        <f>HYPERLINK("#Покупные_изделия!D406",Покупные_изделия!D406)</f>
        <v>105.996</v>
      </c>
      <c r="M1625" s="76">
        <f t="shared" si="63"/>
        <v>0.52998000000000001</v>
      </c>
      <c r="N1625" s="77"/>
      <c r="O1625" s="77"/>
      <c r="P1625" s="76"/>
      <c r="Q1625" s="76"/>
    </row>
    <row r="1626" spans="5:17" hidden="1" outlineLevel="4" x14ac:dyDescent="0.25">
      <c r="F1626" s="74" t="s">
        <v>155</v>
      </c>
      <c r="G1626" s="74"/>
      <c r="H1626" s="75"/>
      <c r="I1626" s="76"/>
      <c r="J1626" s="78">
        <f>HYPERLINK("#Структура!E2140",Структура!E2140)</f>
        <v>4.0000000000000001E-3</v>
      </c>
      <c r="K1626" s="114" t="str">
        <f>HYPERLINK("#Структура!G2140","")</f>
        <v/>
      </c>
      <c r="L1626" s="120">
        <f>HYPERLINK("#Покупные_изделия!D423",Покупные_изделия!D423)</f>
        <v>218.28</v>
      </c>
      <c r="M1626" s="76">
        <f t="shared" si="63"/>
        <v>0.87312000000000001</v>
      </c>
      <c r="N1626" s="77"/>
      <c r="O1626" s="77"/>
      <c r="P1626" s="76"/>
      <c r="Q1626" s="76"/>
    </row>
    <row r="1627" spans="5:17" hidden="1" outlineLevel="4" x14ac:dyDescent="0.25">
      <c r="F1627" s="74" t="s">
        <v>156</v>
      </c>
      <c r="G1627" s="74"/>
      <c r="H1627" s="75"/>
      <c r="I1627" s="76"/>
      <c r="J1627" s="78">
        <f>HYPERLINK("#Структура!E2141",Структура!E2141)</f>
        <v>7.0000000000000001E-3</v>
      </c>
      <c r="K1627" s="114" t="str">
        <f>HYPERLINK("#Структура!G2141","")</f>
        <v/>
      </c>
      <c r="L1627" s="120">
        <f>HYPERLINK("#Покупные_изделия!D427",Покупные_изделия!D427)</f>
        <v>155.53200000000001</v>
      </c>
      <c r="M1627" s="76">
        <f t="shared" si="63"/>
        <v>1.088724</v>
      </c>
      <c r="N1627" s="77"/>
      <c r="O1627" s="77"/>
      <c r="P1627" s="76"/>
      <c r="Q1627" s="76"/>
    </row>
    <row r="1628" spans="5:17" hidden="1" outlineLevel="4" x14ac:dyDescent="0.25">
      <c r="F1628" s="74" t="s">
        <v>215</v>
      </c>
      <c r="G1628" s="74"/>
      <c r="H1628" s="75"/>
      <c r="I1628" s="76"/>
      <c r="J1628" s="78">
        <f>HYPERLINK("#Структура!E2142",Структура!E2142)</f>
        <v>1.4E-2</v>
      </c>
      <c r="K1628" s="114" t="str">
        <f>HYPERLINK("#Структура!G2142","")</f>
        <v/>
      </c>
      <c r="L1628" s="120">
        <f>HYPERLINK("#Покупные_изделия!D567",Покупные_изделия!D567)</f>
        <v>405.74399999999997</v>
      </c>
      <c r="M1628" s="76">
        <f t="shared" si="63"/>
        <v>5.6804160000000001</v>
      </c>
      <c r="N1628" s="77"/>
      <c r="O1628" s="77"/>
      <c r="P1628" s="76"/>
      <c r="Q1628" s="76"/>
    </row>
    <row r="1629" spans="5:17" hidden="1" outlineLevel="3" collapsed="1" x14ac:dyDescent="0.25">
      <c r="E1629" s="96" t="s">
        <v>1186</v>
      </c>
      <c r="F1629" s="91"/>
      <c r="G1629" s="91"/>
      <c r="H1629" s="92"/>
      <c r="I1629" s="93"/>
      <c r="J1629" s="95">
        <f>HYPERLINK("#Структура!E1793",Структура!E1793)</f>
        <v>2</v>
      </c>
      <c r="K1629" s="116">
        <f>HYPERLINK("#Структура!G1793",Структура!G1793)</f>
        <v>9.4101900000000001</v>
      </c>
      <c r="L1629" s="93">
        <f>M1629/J1629</f>
        <v>4044.5011427999993</v>
      </c>
      <c r="M1629" s="93">
        <f>SUMIF(F1630:F1643,"*",M1630:M1643)*J1629</f>
        <v>8089.0022855999987</v>
      </c>
      <c r="N1629" s="125">
        <f>HYPERLINK("#Трудозатраты!B572",Трудозатраты!B572+SUMIF(F1630:F1643,"*",O1630:O1643))</f>
        <v>202.82999999999998</v>
      </c>
      <c r="O1629" s="94">
        <f>N1629*J1629</f>
        <v>405.65999999999997</v>
      </c>
      <c r="P1629" s="93">
        <f>O1629/60*(1+запас_труд)*стоимость_трудочаса</f>
        <v>15888.349999999999</v>
      </c>
      <c r="Q1629" s="130">
        <f>M1629*(1+наценка_покупное)+P1629</f>
        <v>25595.152742719998</v>
      </c>
    </row>
    <row r="1630" spans="5:17" hidden="1" outlineLevel="4" collapsed="1" x14ac:dyDescent="0.25">
      <c r="F1630" s="85" t="s">
        <v>1275</v>
      </c>
      <c r="G1630" s="86"/>
      <c r="H1630" s="87"/>
      <c r="I1630" s="88"/>
      <c r="J1630" s="90">
        <f>HYPERLINK("#Структура!E2144",Структура!E2144)</f>
        <v>1</v>
      </c>
      <c r="K1630" s="113">
        <f>HYPERLINK("#Структура!G2144",Структура!G2144)</f>
        <v>2.7799200000000002</v>
      </c>
      <c r="L1630" s="88">
        <f>M1630/J1630</f>
        <v>1538.4</v>
      </c>
      <c r="M1630" s="88">
        <f>SUMIF(G1631,"*",M1631)*J1630</f>
        <v>1538.4</v>
      </c>
      <c r="N1630" s="123">
        <f>HYPERLINK("#Трудозатраты!B573",Трудозатраты!B573+SUMIF(G1631,"*",O1631))</f>
        <v>25.8</v>
      </c>
      <c r="O1630" s="89">
        <f>N1630*J1630</f>
        <v>25.8</v>
      </c>
      <c r="P1630" s="88">
        <f>O1630/60*(1+запас_труд)*стоимость_трудочаса</f>
        <v>1010.5</v>
      </c>
      <c r="Q1630" s="128">
        <f>M1630*(1+наценка_покупное)+P1630</f>
        <v>2856.58</v>
      </c>
    </row>
    <row r="1631" spans="5:17" hidden="1" outlineLevel="5" x14ac:dyDescent="0.25">
      <c r="G1631" s="74" t="s">
        <v>113</v>
      </c>
      <c r="H1631" s="75"/>
      <c r="I1631" s="76"/>
      <c r="J1631" s="78">
        <f>HYPERLINK("#Структура!E2153",Структура!E2153)</f>
        <v>12.82</v>
      </c>
      <c r="K1631" s="114" t="str">
        <f>HYPERLINK("#Структура!G2153","")</f>
        <v/>
      </c>
      <c r="L1631" s="120">
        <f>HYPERLINK("#Покупные_изделия!D286",Покупные_изделия!D286)</f>
        <v>120</v>
      </c>
      <c r="M1631" s="76">
        <f>J1631*L1631</f>
        <v>1538.4</v>
      </c>
      <c r="N1631" s="77"/>
      <c r="O1631" s="77"/>
      <c r="P1631" s="76"/>
      <c r="Q1631" s="76"/>
    </row>
    <row r="1632" spans="5:17" hidden="1" outlineLevel="4" collapsed="1" x14ac:dyDescent="0.25">
      <c r="F1632" s="84" t="s">
        <v>1276</v>
      </c>
      <c r="G1632" s="79"/>
      <c r="H1632" s="80"/>
      <c r="I1632" s="81"/>
      <c r="J1632" s="83">
        <f>HYPERLINK("#Структура!E2145",Структура!E2145)</f>
        <v>1</v>
      </c>
      <c r="K1632" s="115">
        <f>HYPERLINK("#Структура!G2145",Структура!G2145)</f>
        <v>5.9174699999999998</v>
      </c>
      <c r="L1632" s="81">
        <f>M1632/J1632</f>
        <v>2093.9100635999998</v>
      </c>
      <c r="M1632" s="81">
        <f>SUMIF(G1633:G1635,"*",M1633:M1635)*J1632</f>
        <v>2093.9100635999998</v>
      </c>
      <c r="N1632" s="124">
        <f>HYPERLINK("#Трудозатраты!B574",Трудозатраты!B574+SUMIF(G1633:G1635,"*",O1633:O1635))</f>
        <v>19.5</v>
      </c>
      <c r="O1632" s="82">
        <f>N1632*J1632</f>
        <v>19.5</v>
      </c>
      <c r="P1632" s="81">
        <f>O1632/60*(1+запас_труд)*стоимость_трудочаса</f>
        <v>763.75</v>
      </c>
      <c r="Q1632" s="129">
        <f>M1632*(1+наценка_покупное)+P1632</f>
        <v>3276.4420763199996</v>
      </c>
    </row>
    <row r="1633" spans="5:17" hidden="1" outlineLevel="5" x14ac:dyDescent="0.25">
      <c r="G1633" s="74" t="s">
        <v>67</v>
      </c>
      <c r="H1633" s="75"/>
      <c r="I1633" s="76"/>
      <c r="J1633" s="78">
        <f>HYPERLINK("#Структура!E2154",Структура!E2154)</f>
        <v>5.0999999999999997E-2</v>
      </c>
      <c r="K1633" s="114" t="str">
        <f>HYPERLINK("#Структура!G2154","")</f>
        <v/>
      </c>
      <c r="L1633" s="120">
        <f>HYPERLINK("#Покупные_изделия!D203",Покупные_изделия!D203)</f>
        <v>30.003600000000002</v>
      </c>
      <c r="M1633" s="76">
        <f>J1633*L1633</f>
        <v>1.5301836</v>
      </c>
      <c r="N1633" s="77"/>
      <c r="O1633" s="77"/>
      <c r="P1633" s="76"/>
      <c r="Q1633" s="76"/>
    </row>
    <row r="1634" spans="5:17" hidden="1" outlineLevel="5" x14ac:dyDescent="0.25">
      <c r="G1634" s="74" t="s">
        <v>113</v>
      </c>
      <c r="H1634" s="75"/>
      <c r="I1634" s="76"/>
      <c r="J1634" s="78">
        <f>HYPERLINK("#Структура!E2155",Структура!E2155)</f>
        <v>17.41</v>
      </c>
      <c r="K1634" s="114" t="str">
        <f>HYPERLINK("#Структура!G2155","")</f>
        <v/>
      </c>
      <c r="L1634" s="120">
        <f>HYPERLINK("#Покупные_изделия!D286",Покупные_изделия!D286)</f>
        <v>120</v>
      </c>
      <c r="M1634" s="76">
        <f>J1634*L1634</f>
        <v>2089.1999999999998</v>
      </c>
      <c r="N1634" s="77"/>
      <c r="O1634" s="77"/>
      <c r="P1634" s="76"/>
      <c r="Q1634" s="76"/>
    </row>
    <row r="1635" spans="5:17" hidden="1" outlineLevel="5" x14ac:dyDescent="0.25">
      <c r="G1635" s="74" t="s">
        <v>146</v>
      </c>
      <c r="H1635" s="75"/>
      <c r="I1635" s="76"/>
      <c r="J1635" s="78">
        <f>HYPERLINK("#Структура!E2156",Структура!E2156)</f>
        <v>0.03</v>
      </c>
      <c r="K1635" s="114" t="str">
        <f>HYPERLINK("#Структура!G2156","")</f>
        <v/>
      </c>
      <c r="L1635" s="120">
        <f>HYPERLINK("#Покупные_изделия!D406",Покупные_изделия!D406)</f>
        <v>105.996</v>
      </c>
      <c r="M1635" s="76">
        <f>J1635*L1635</f>
        <v>3.1798799999999998</v>
      </c>
      <c r="N1635" s="77"/>
      <c r="O1635" s="77"/>
      <c r="P1635" s="76"/>
      <c r="Q1635" s="76"/>
    </row>
    <row r="1636" spans="5:17" hidden="1" outlineLevel="4" collapsed="1" x14ac:dyDescent="0.25">
      <c r="F1636" s="84" t="s">
        <v>1277</v>
      </c>
      <c r="G1636" s="79"/>
      <c r="H1636" s="80"/>
      <c r="I1636" s="81"/>
      <c r="J1636" s="83">
        <f>HYPERLINK("#Структура!E2146",Структура!E2146)</f>
        <v>1</v>
      </c>
      <c r="K1636" s="115">
        <f>HYPERLINK("#Структура!G2146",Структура!G2146)</f>
        <v>0.71279999999999999</v>
      </c>
      <c r="L1636" s="81">
        <f>M1636/J1636</f>
        <v>102.24</v>
      </c>
      <c r="M1636" s="81">
        <f>SUMIF(G1637,"*",M1637)*J1636</f>
        <v>102.24</v>
      </c>
      <c r="N1636" s="124">
        <f>HYPERLINK("#Трудозатраты!B575",Трудозатраты!B575+SUMIF(G1637,"*",O1637))</f>
        <v>24.53</v>
      </c>
      <c r="O1636" s="82">
        <f>N1636*J1636</f>
        <v>24.53</v>
      </c>
      <c r="P1636" s="81">
        <f>O1636/60*(1+запас_труд)*стоимость_трудочаса</f>
        <v>960.75833333333333</v>
      </c>
      <c r="Q1636" s="129">
        <f>M1636*(1+наценка_покупное)+P1636</f>
        <v>1083.4463333333333</v>
      </c>
    </row>
    <row r="1637" spans="5:17" hidden="1" outlineLevel="5" x14ac:dyDescent="0.25">
      <c r="G1637" s="74" t="s">
        <v>113</v>
      </c>
      <c r="H1637" s="75"/>
      <c r="I1637" s="76"/>
      <c r="J1637" s="78">
        <f>HYPERLINK("#Структура!E2157",Структура!E2157)</f>
        <v>0.85199999999999998</v>
      </c>
      <c r="K1637" s="114" t="str">
        <f>HYPERLINK("#Структура!G2157","")</f>
        <v/>
      </c>
      <c r="L1637" s="120">
        <f>HYPERLINK("#Покупные_изделия!D286",Покупные_изделия!D286)</f>
        <v>120</v>
      </c>
      <c r="M1637" s="76">
        <f t="shared" ref="M1637:M1643" si="64">J1637*L1637</f>
        <v>102.24</v>
      </c>
      <c r="N1637" s="77"/>
      <c r="O1637" s="77"/>
      <c r="P1637" s="76"/>
      <c r="Q1637" s="76"/>
    </row>
    <row r="1638" spans="5:17" hidden="1" outlineLevel="4" x14ac:dyDescent="0.25">
      <c r="F1638" s="74" t="s">
        <v>65</v>
      </c>
      <c r="G1638" s="74"/>
      <c r="H1638" s="75"/>
      <c r="I1638" s="76"/>
      <c r="J1638" s="78">
        <f>HYPERLINK("#Структура!E2147",Структура!E2147)</f>
        <v>0.15</v>
      </c>
      <c r="K1638" s="114" t="str">
        <f>HYPERLINK("#Структура!G2147","")</f>
        <v/>
      </c>
      <c r="L1638" s="120">
        <f>HYPERLINK("#Покупные_изделия!D197",Покупные_изделия!D197)</f>
        <v>264.50399999999996</v>
      </c>
      <c r="M1638" s="76">
        <f t="shared" si="64"/>
        <v>39.675599999999996</v>
      </c>
      <c r="N1638" s="77"/>
      <c r="O1638" s="77"/>
      <c r="P1638" s="76"/>
      <c r="Q1638" s="76"/>
    </row>
    <row r="1639" spans="5:17" hidden="1" outlineLevel="4" x14ac:dyDescent="0.25">
      <c r="F1639" s="74" t="s">
        <v>67</v>
      </c>
      <c r="G1639" s="74"/>
      <c r="H1639" s="75"/>
      <c r="I1639" s="76"/>
      <c r="J1639" s="78">
        <f>HYPERLINK("#Структура!E2148",Структура!E2148)</f>
        <v>0.86199999999999999</v>
      </c>
      <c r="K1639" s="114" t="str">
        <f>HYPERLINK("#Структура!G2148","")</f>
        <v/>
      </c>
      <c r="L1639" s="120">
        <f>HYPERLINK("#Покупные_изделия!D203",Покупные_изделия!D203)</f>
        <v>30.003600000000002</v>
      </c>
      <c r="M1639" s="76">
        <f t="shared" si="64"/>
        <v>25.863103200000001</v>
      </c>
      <c r="N1639" s="77"/>
      <c r="O1639" s="77"/>
      <c r="P1639" s="76"/>
      <c r="Q1639" s="76"/>
    </row>
    <row r="1640" spans="5:17" hidden="1" outlineLevel="4" x14ac:dyDescent="0.25">
      <c r="F1640" s="74" t="s">
        <v>146</v>
      </c>
      <c r="G1640" s="74"/>
      <c r="H1640" s="75"/>
      <c r="I1640" s="76"/>
      <c r="J1640" s="78">
        <f>HYPERLINK("#Структура!E2149",Структура!E2149)</f>
        <v>0.50600000000000001</v>
      </c>
      <c r="K1640" s="114" t="str">
        <f>HYPERLINK("#Структура!G2149","")</f>
        <v/>
      </c>
      <c r="L1640" s="120">
        <f>HYPERLINK("#Покупные_изделия!D406",Покупные_изделия!D406)</f>
        <v>105.996</v>
      </c>
      <c r="M1640" s="76">
        <f t="shared" si="64"/>
        <v>53.633975999999997</v>
      </c>
      <c r="N1640" s="77"/>
      <c r="O1640" s="77"/>
      <c r="P1640" s="76"/>
      <c r="Q1640" s="76"/>
    </row>
    <row r="1641" spans="5:17" hidden="1" outlineLevel="4" x14ac:dyDescent="0.25">
      <c r="F1641" s="74" t="s">
        <v>155</v>
      </c>
      <c r="G1641" s="74"/>
      <c r="H1641" s="75"/>
      <c r="I1641" s="76"/>
      <c r="J1641" s="78">
        <f>HYPERLINK("#Структура!E2150",Структура!E2150)</f>
        <v>0.09</v>
      </c>
      <c r="K1641" s="114" t="str">
        <f>HYPERLINK("#Структура!G2150","")</f>
        <v/>
      </c>
      <c r="L1641" s="120">
        <f>HYPERLINK("#Покупные_изделия!D423",Покупные_изделия!D423)</f>
        <v>218.28</v>
      </c>
      <c r="M1641" s="76">
        <f t="shared" si="64"/>
        <v>19.645199999999999</v>
      </c>
      <c r="N1641" s="77"/>
      <c r="O1641" s="77"/>
      <c r="P1641" s="76"/>
      <c r="Q1641" s="76"/>
    </row>
    <row r="1642" spans="5:17" hidden="1" outlineLevel="4" x14ac:dyDescent="0.25">
      <c r="F1642" s="74" t="s">
        <v>200</v>
      </c>
      <c r="G1642" s="74"/>
      <c r="H1642" s="75"/>
      <c r="I1642" s="76"/>
      <c r="J1642" s="78">
        <f>HYPERLINK("#Структура!E2151",Структура!E2151)</f>
        <v>0.183</v>
      </c>
      <c r="K1642" s="114" t="str">
        <f>HYPERLINK("#Структура!G2151","")</f>
        <v/>
      </c>
      <c r="L1642" s="120">
        <f>HYPERLINK("#Покупные_изделия!D518",Покупные_изделия!D518)</f>
        <v>270</v>
      </c>
      <c r="M1642" s="76">
        <f t="shared" si="64"/>
        <v>49.41</v>
      </c>
      <c r="N1642" s="77"/>
      <c r="O1642" s="77"/>
      <c r="P1642" s="76"/>
      <c r="Q1642" s="76"/>
    </row>
    <row r="1643" spans="5:17" hidden="1" outlineLevel="4" x14ac:dyDescent="0.25">
      <c r="F1643" s="74" t="s">
        <v>215</v>
      </c>
      <c r="G1643" s="74"/>
      <c r="H1643" s="75"/>
      <c r="I1643" s="76"/>
      <c r="J1643" s="78">
        <f>HYPERLINK("#Структура!E2152",Структура!E2152)</f>
        <v>0.3</v>
      </c>
      <c r="K1643" s="114" t="str">
        <f>HYPERLINK("#Структура!G2152","")</f>
        <v/>
      </c>
      <c r="L1643" s="120">
        <f>HYPERLINK("#Покупные_изделия!D567",Покупные_изделия!D567)</f>
        <v>405.74399999999997</v>
      </c>
      <c r="M1643" s="76">
        <f t="shared" si="64"/>
        <v>121.72319999999999</v>
      </c>
      <c r="N1643" s="77"/>
      <c r="O1643" s="77"/>
      <c r="P1643" s="76"/>
      <c r="Q1643" s="76"/>
    </row>
    <row r="1644" spans="5:17" hidden="1" outlineLevel="3" collapsed="1" x14ac:dyDescent="0.25">
      <c r="E1644" s="96" t="s">
        <v>1187</v>
      </c>
      <c r="F1644" s="91"/>
      <c r="G1644" s="91"/>
      <c r="H1644" s="92"/>
      <c r="I1644" s="93"/>
      <c r="J1644" s="95">
        <f>HYPERLINK("#Структура!E1794",Структура!E1794)</f>
        <v>1</v>
      </c>
      <c r="K1644" s="116">
        <f>HYPERLINK("#Структура!G1794",Структура!G1794)</f>
        <v>25.636469999999999</v>
      </c>
      <c r="L1644" s="93">
        <f>M1644/J1644</f>
        <v>15518.089247968423</v>
      </c>
      <c r="M1644" s="93">
        <f>SUMIF(F1645:F1811,"*",M1645:M1811)*J1644</f>
        <v>15518.089247968423</v>
      </c>
      <c r="N1644" s="125">
        <f>HYPERLINK("#Трудозатраты!B627",Трудозатраты!B627+SUMIF(F1645:F1811,"*",O1645:O1811))</f>
        <v>1379.6899999999998</v>
      </c>
      <c r="O1644" s="94">
        <f>N1644*J1644</f>
        <v>1379.6899999999998</v>
      </c>
      <c r="P1644" s="93">
        <f>O1644/60*(1+запас_труд)*стоимость_трудочаса</f>
        <v>54037.858333333323</v>
      </c>
      <c r="Q1644" s="130">
        <f>M1644*(1+наценка_покупное)+P1644</f>
        <v>72659.565430895425</v>
      </c>
    </row>
    <row r="1645" spans="5:17" hidden="1" outlineLevel="4" collapsed="1" x14ac:dyDescent="0.25">
      <c r="F1645" s="97" t="s">
        <v>1349</v>
      </c>
      <c r="G1645" s="98"/>
      <c r="H1645" s="99"/>
      <c r="I1645" s="100"/>
      <c r="J1645" s="102">
        <f>HYPERLINK("#Структура!E2513",Структура!E2513)</f>
        <v>1</v>
      </c>
      <c r="K1645" s="112">
        <f>HYPERLINK("#Структура!G2513",Структура!G2513)</f>
        <v>11.70485</v>
      </c>
      <c r="L1645" s="100">
        <f>M1645/J1645</f>
        <v>3014.6934864</v>
      </c>
      <c r="M1645" s="100">
        <f>SUMIF(G1646:G1669,"*",M1646:M1669)*J1645</f>
        <v>3014.6934864</v>
      </c>
      <c r="N1645" s="122">
        <f>HYPERLINK("#Трудозатраты!B637",Трудозатраты!B637+SUMIF(G1646:G1669,"*",O1646:O1669))</f>
        <v>157.1</v>
      </c>
      <c r="O1645" s="101">
        <f>N1645*J1645</f>
        <v>157.1</v>
      </c>
      <c r="P1645" s="100">
        <f>O1645/60*(1+запас_труд)*стоимость_трудочаса</f>
        <v>6153.083333333333</v>
      </c>
      <c r="Q1645" s="127">
        <f>M1645*(1+наценка_покупное)+P1645</f>
        <v>9770.7155170133337</v>
      </c>
    </row>
    <row r="1646" spans="5:17" hidden="1" outlineLevel="5" collapsed="1" x14ac:dyDescent="0.25">
      <c r="G1646" s="85" t="s">
        <v>1350</v>
      </c>
      <c r="H1646" s="87"/>
      <c r="I1646" s="88"/>
      <c r="J1646" s="90">
        <f>HYPERLINK("#Структура!E2568",Структура!E2568)</f>
        <v>2</v>
      </c>
      <c r="K1646" s="113">
        <f>HYPERLINK("#Структура!G2568",Структура!G2568)</f>
        <v>3.7277800000000001</v>
      </c>
      <c r="L1646" s="88">
        <f>M1646/J1646</f>
        <v>545.94807839999999</v>
      </c>
      <c r="M1646" s="88">
        <f>SUMIF(H1647:H1649,"*",M1647:M1649)*J1646</f>
        <v>1091.8961568</v>
      </c>
      <c r="N1646" s="123">
        <f>HYPERLINK("#Трудозатраты!B638",Трудозатраты!B638+SUMIF(H1647:H1649,"*",O1647:O1649))</f>
        <v>17.700000000000003</v>
      </c>
      <c r="O1646" s="89">
        <f>N1646*J1646</f>
        <v>35.400000000000006</v>
      </c>
      <c r="P1646" s="88">
        <f>O1646/60*(1+запас_труд)*стоимость_трудочаса</f>
        <v>1386.5000000000002</v>
      </c>
      <c r="Q1646" s="128">
        <f>M1646*(1+наценка_покупное)+P1646</f>
        <v>2696.7753881600001</v>
      </c>
    </row>
    <row r="1647" spans="5:17" hidden="1" outlineLevel="6" x14ac:dyDescent="0.25">
      <c r="H1647" s="75" t="s">
        <v>67</v>
      </c>
      <c r="I1647" s="76"/>
      <c r="J1647" s="78">
        <f>HYPERLINK("#Структура!E2580",Структура!E2580)</f>
        <v>6.4000000000000001E-2</v>
      </c>
      <c r="K1647" s="114" t="str">
        <f>HYPERLINK("#Структура!G2580","")</f>
        <v/>
      </c>
      <c r="L1647" s="120">
        <f>HYPERLINK("#Покупные_изделия!D203",Покупные_изделия!D203)</f>
        <v>30.003600000000002</v>
      </c>
      <c r="M1647" s="76">
        <f>J1647*L1647</f>
        <v>1.9202304000000001</v>
      </c>
      <c r="N1647" s="77"/>
      <c r="O1647" s="77"/>
      <c r="P1647" s="76"/>
      <c r="Q1647" s="76"/>
    </row>
    <row r="1648" spans="5:17" hidden="1" outlineLevel="6" x14ac:dyDescent="0.25">
      <c r="H1648" s="75" t="s">
        <v>113</v>
      </c>
      <c r="I1648" s="76"/>
      <c r="J1648" s="78">
        <f>HYPERLINK("#Структура!E2581",Структура!E2581)</f>
        <v>4.5</v>
      </c>
      <c r="K1648" s="114" t="str">
        <f>HYPERLINK("#Структура!G2581","")</f>
        <v/>
      </c>
      <c r="L1648" s="120">
        <f>HYPERLINK("#Покупные_изделия!D286",Покупные_изделия!D286)</f>
        <v>120</v>
      </c>
      <c r="M1648" s="76">
        <f>J1648*L1648</f>
        <v>540</v>
      </c>
      <c r="N1648" s="77"/>
      <c r="O1648" s="77"/>
      <c r="P1648" s="76"/>
      <c r="Q1648" s="76"/>
    </row>
    <row r="1649" spans="7:17" hidden="1" outlineLevel="6" x14ac:dyDescent="0.25">
      <c r="H1649" s="75" t="s">
        <v>146</v>
      </c>
      <c r="I1649" s="76"/>
      <c r="J1649" s="78">
        <f>HYPERLINK("#Структура!E2582",Структура!E2582)</f>
        <v>3.7999999999999999E-2</v>
      </c>
      <c r="K1649" s="114" t="str">
        <f>HYPERLINK("#Структура!G2582","")</f>
        <v/>
      </c>
      <c r="L1649" s="120">
        <f>HYPERLINK("#Покупные_изделия!D406",Покупные_изделия!D406)</f>
        <v>105.996</v>
      </c>
      <c r="M1649" s="76">
        <f>J1649*L1649</f>
        <v>4.0278479999999997</v>
      </c>
      <c r="N1649" s="77"/>
      <c r="O1649" s="77"/>
      <c r="P1649" s="76"/>
      <c r="Q1649" s="76"/>
    </row>
    <row r="1650" spans="7:17" hidden="1" outlineLevel="5" collapsed="1" x14ac:dyDescent="0.25">
      <c r="G1650" s="84" t="s">
        <v>1351</v>
      </c>
      <c r="H1650" s="80"/>
      <c r="I1650" s="81"/>
      <c r="J1650" s="83">
        <f>HYPERLINK("#Структура!E2569",Структура!E2569)</f>
        <v>2</v>
      </c>
      <c r="K1650" s="115">
        <f>HYPERLINK("#Структура!G2569",Структура!G2569)</f>
        <v>0.28765000000000002</v>
      </c>
      <c r="L1650" s="81">
        <f>M1650/J1650</f>
        <v>88.8</v>
      </c>
      <c r="M1650" s="81">
        <f>SUMIF(H1651,"*",M1651)*J1650</f>
        <v>177.6</v>
      </c>
      <c r="N1650" s="124">
        <f>HYPERLINK("#Трудозатраты!B639",Трудозатраты!B639+SUMIF(H1651,"*",O1651))</f>
        <v>0.9</v>
      </c>
      <c r="O1650" s="82">
        <f>N1650*J1650</f>
        <v>1.8</v>
      </c>
      <c r="P1650" s="81">
        <f>O1650/60*(1+запас_труд)*стоимость_трудочаса</f>
        <v>70.5</v>
      </c>
      <c r="Q1650" s="129">
        <f>M1650*(1+наценка_покупное)+P1650</f>
        <v>283.62</v>
      </c>
    </row>
    <row r="1651" spans="7:17" hidden="1" outlineLevel="6" x14ac:dyDescent="0.25">
      <c r="H1651" s="75" t="s">
        <v>113</v>
      </c>
      <c r="I1651" s="76"/>
      <c r="J1651" s="78">
        <f>HYPERLINK("#Структура!E2583",Структура!E2583)</f>
        <v>0.74</v>
      </c>
      <c r="K1651" s="114" t="str">
        <f>HYPERLINK("#Структура!G2583","")</f>
        <v/>
      </c>
      <c r="L1651" s="120">
        <f>HYPERLINK("#Покупные_изделия!D286",Покупные_изделия!D286)</f>
        <v>120</v>
      </c>
      <c r="M1651" s="76">
        <f>J1651*L1651</f>
        <v>88.8</v>
      </c>
      <c r="N1651" s="77"/>
      <c r="O1651" s="77"/>
      <c r="P1651" s="76"/>
      <c r="Q1651" s="76"/>
    </row>
    <row r="1652" spans="7:17" hidden="1" outlineLevel="5" collapsed="1" x14ac:dyDescent="0.25">
      <c r="G1652" s="84" t="s">
        <v>1352</v>
      </c>
      <c r="H1652" s="80"/>
      <c r="I1652" s="81"/>
      <c r="J1652" s="83">
        <f>HYPERLINK("#Структура!E2570",Структура!E2570)</f>
        <v>1</v>
      </c>
      <c r="K1652" s="115">
        <f>HYPERLINK("#Структура!G2570",Структура!G2570)</f>
        <v>1.48038</v>
      </c>
      <c r="L1652" s="81">
        <f>M1652/J1652</f>
        <v>551.8987836</v>
      </c>
      <c r="M1652" s="81">
        <f>SUMIF(H1653:H1655,"*",M1653:M1655)*J1652</f>
        <v>551.8987836</v>
      </c>
      <c r="N1652" s="124">
        <f>HYPERLINK("#Трудозатраты!B640",Трудозатраты!B640+SUMIF(H1653:H1655,"*",O1653:O1655))</f>
        <v>16.5</v>
      </c>
      <c r="O1652" s="82">
        <f>N1652*J1652</f>
        <v>16.5</v>
      </c>
      <c r="P1652" s="81">
        <f>O1652/60*(1+запас_труд)*стоимость_трудочаса</f>
        <v>646.25</v>
      </c>
      <c r="Q1652" s="129">
        <f>M1652*(1+наценка_покупное)+P1652</f>
        <v>1308.52854032</v>
      </c>
    </row>
    <row r="1653" spans="7:17" hidden="1" outlineLevel="6" x14ac:dyDescent="0.25">
      <c r="H1653" s="75" t="s">
        <v>67</v>
      </c>
      <c r="I1653" s="76"/>
      <c r="J1653" s="78">
        <f>HYPERLINK("#Структура!E2584",Структура!E2584)</f>
        <v>2.5999999999999999E-2</v>
      </c>
      <c r="K1653" s="114" t="str">
        <f>HYPERLINK("#Структура!G2584","")</f>
        <v/>
      </c>
      <c r="L1653" s="120">
        <f>HYPERLINK("#Покупные_изделия!D203",Покупные_изделия!D203)</f>
        <v>30.003600000000002</v>
      </c>
      <c r="M1653" s="76">
        <f>J1653*L1653</f>
        <v>0.78009360000000005</v>
      </c>
      <c r="N1653" s="77"/>
      <c r="O1653" s="77"/>
      <c r="P1653" s="76"/>
      <c r="Q1653" s="76"/>
    </row>
    <row r="1654" spans="7:17" hidden="1" outlineLevel="6" x14ac:dyDescent="0.25">
      <c r="H1654" s="75" t="s">
        <v>112</v>
      </c>
      <c r="I1654" s="76"/>
      <c r="J1654" s="78">
        <f>HYPERLINK("#Структура!E2585",Структура!E2585)</f>
        <v>1.8</v>
      </c>
      <c r="K1654" s="114" t="str">
        <f>HYPERLINK("#Структура!G2585","")</f>
        <v/>
      </c>
      <c r="L1654" s="120">
        <f>HYPERLINK("#Покупные_изделия!D285",Покупные_изделия!D285)</f>
        <v>300</v>
      </c>
      <c r="M1654" s="76">
        <f>J1654*L1654</f>
        <v>540</v>
      </c>
      <c r="N1654" s="77"/>
      <c r="O1654" s="77"/>
      <c r="P1654" s="76"/>
      <c r="Q1654" s="76"/>
    </row>
    <row r="1655" spans="7:17" hidden="1" outlineLevel="6" x14ac:dyDescent="0.25">
      <c r="H1655" s="75" t="s">
        <v>147</v>
      </c>
      <c r="I1655" s="76"/>
      <c r="J1655" s="78">
        <f>HYPERLINK("#Структура!E2586",Структура!E2586)</f>
        <v>1.4999999999999999E-2</v>
      </c>
      <c r="K1655" s="114" t="str">
        <f>HYPERLINK("#Структура!G2586","")</f>
        <v/>
      </c>
      <c r="L1655" s="120">
        <f>HYPERLINK("#Покупные_изделия!D407",Покупные_изделия!D407)</f>
        <v>741.24599999999998</v>
      </c>
      <c r="M1655" s="76">
        <f>J1655*L1655</f>
        <v>11.118689999999999</v>
      </c>
      <c r="N1655" s="77"/>
      <c r="O1655" s="77"/>
      <c r="P1655" s="76"/>
      <c r="Q1655" s="76"/>
    </row>
    <row r="1656" spans="7:17" hidden="1" outlineLevel="5" collapsed="1" x14ac:dyDescent="0.25">
      <c r="G1656" s="84" t="s">
        <v>1356</v>
      </c>
      <c r="H1656" s="80"/>
      <c r="I1656" s="81"/>
      <c r="J1656" s="83">
        <f>HYPERLINK("#Структура!E2571",Структура!E2571)</f>
        <v>1</v>
      </c>
      <c r="K1656" s="115">
        <f>HYPERLINK("#Структура!G2571",Структура!G2571)</f>
        <v>1.4651700000000001</v>
      </c>
      <c r="L1656" s="81">
        <f>M1656/J1656</f>
        <v>557.41179480000005</v>
      </c>
      <c r="M1656" s="81">
        <f>SUMIF(H1657:H1659,"*",M1657:M1659)*J1656</f>
        <v>557.41179480000005</v>
      </c>
      <c r="N1656" s="124">
        <f>HYPERLINK("#Трудозатраты!B642",Трудозатраты!B642+SUMIF(H1657:H1659,"*",O1657:O1659))</f>
        <v>16.5</v>
      </c>
      <c r="O1656" s="82">
        <f>N1656*J1656</f>
        <v>16.5</v>
      </c>
      <c r="P1656" s="81">
        <f>O1656/60*(1+запас_труд)*стоимость_трудочаса</f>
        <v>646.25</v>
      </c>
      <c r="Q1656" s="129">
        <f>M1656*(1+наценка_покупное)+P1656</f>
        <v>1315.1441537599999</v>
      </c>
    </row>
    <row r="1657" spans="7:17" hidden="1" outlineLevel="6" x14ac:dyDescent="0.25">
      <c r="H1657" s="75" t="s">
        <v>67</v>
      </c>
      <c r="I1657" s="76"/>
      <c r="J1657" s="78">
        <f>HYPERLINK("#Структура!E2590",Структура!E2590)</f>
        <v>3.7999999999999999E-2</v>
      </c>
      <c r="K1657" s="114" t="str">
        <f>HYPERLINK("#Структура!G2590","")</f>
        <v/>
      </c>
      <c r="L1657" s="120">
        <f>HYPERLINK("#Покупные_изделия!D203",Покупные_изделия!D203)</f>
        <v>30.003600000000002</v>
      </c>
      <c r="M1657" s="76">
        <f>J1657*L1657</f>
        <v>1.1401368000000001</v>
      </c>
      <c r="N1657" s="77"/>
      <c r="O1657" s="77"/>
      <c r="P1657" s="76"/>
      <c r="Q1657" s="76"/>
    </row>
    <row r="1658" spans="7:17" hidden="1" outlineLevel="6" x14ac:dyDescent="0.25">
      <c r="H1658" s="75" t="s">
        <v>112</v>
      </c>
      <c r="I1658" s="76"/>
      <c r="J1658" s="78">
        <f>HYPERLINK("#Структура!E2591",Структура!E2591)</f>
        <v>1.79741</v>
      </c>
      <c r="K1658" s="114" t="str">
        <f>HYPERLINK("#Структура!G2591","")</f>
        <v/>
      </c>
      <c r="L1658" s="120">
        <f>HYPERLINK("#Покупные_изделия!D285",Покупные_изделия!D285)</f>
        <v>300</v>
      </c>
      <c r="M1658" s="76">
        <f>J1658*L1658</f>
        <v>539.22299999999996</v>
      </c>
      <c r="N1658" s="77"/>
      <c r="O1658" s="77"/>
      <c r="P1658" s="76"/>
      <c r="Q1658" s="76"/>
    </row>
    <row r="1659" spans="7:17" hidden="1" outlineLevel="6" x14ac:dyDescent="0.25">
      <c r="H1659" s="75" t="s">
        <v>147</v>
      </c>
      <c r="I1659" s="76"/>
      <c r="J1659" s="78">
        <f>HYPERLINK("#Структура!E2592",Структура!E2592)</f>
        <v>2.3E-2</v>
      </c>
      <c r="K1659" s="114" t="str">
        <f>HYPERLINK("#Структура!G2592","")</f>
        <v/>
      </c>
      <c r="L1659" s="120">
        <f>HYPERLINK("#Покупные_изделия!D407",Покупные_изделия!D407)</f>
        <v>741.24599999999998</v>
      </c>
      <c r="M1659" s="76">
        <f>J1659*L1659</f>
        <v>17.048658</v>
      </c>
      <c r="N1659" s="77"/>
      <c r="O1659" s="77"/>
      <c r="P1659" s="76"/>
      <c r="Q1659" s="76"/>
    </row>
    <row r="1660" spans="7:17" hidden="1" outlineLevel="5" collapsed="1" x14ac:dyDescent="0.25">
      <c r="G1660" s="84" t="s">
        <v>1354</v>
      </c>
      <c r="H1660" s="80"/>
      <c r="I1660" s="81"/>
      <c r="J1660" s="83">
        <f>HYPERLINK("#Структура!E2572",Структура!E2572)</f>
        <v>1</v>
      </c>
      <c r="K1660" s="115">
        <f>HYPERLINK("#Структура!G2572",Структура!G2572)</f>
        <v>0.69088000000000005</v>
      </c>
      <c r="L1660" s="81">
        <f>M1660/J1660</f>
        <v>120.13319999999999</v>
      </c>
      <c r="M1660" s="81">
        <f>SUMIF(H1661,"*",M1661)*J1660</f>
        <v>120.13319999999999</v>
      </c>
      <c r="N1660" s="124">
        <f>HYPERLINK("#Трудозатраты!B643",Трудозатраты!B643+SUMIF(H1661,"*",O1661))</f>
        <v>2.6</v>
      </c>
      <c r="O1660" s="82">
        <f>N1660*J1660</f>
        <v>2.6</v>
      </c>
      <c r="P1660" s="81">
        <f>O1660/60*(1+запас_труд)*стоимость_трудочаса</f>
        <v>101.83333333333334</v>
      </c>
      <c r="Q1660" s="129">
        <f>M1660*(1+наценка_покупное)+P1660</f>
        <v>245.99317333333332</v>
      </c>
    </row>
    <row r="1661" spans="7:17" hidden="1" outlineLevel="6" x14ac:dyDescent="0.25">
      <c r="H1661" s="75" t="s">
        <v>115</v>
      </c>
      <c r="I1661" s="76"/>
      <c r="J1661" s="78">
        <f>HYPERLINK("#Структура!E2593",Структура!E2593)</f>
        <v>1.0011099999999999</v>
      </c>
      <c r="K1661" s="114" t="str">
        <f>HYPERLINK("#Структура!G2593","")</f>
        <v/>
      </c>
      <c r="L1661" s="120">
        <f>HYPERLINK("#Покупные_изделия!D289",Покупные_изделия!D289)</f>
        <v>120</v>
      </c>
      <c r="M1661" s="76">
        <f>J1661*L1661</f>
        <v>120.13319999999999</v>
      </c>
      <c r="N1661" s="77"/>
      <c r="O1661" s="77"/>
      <c r="P1661" s="76"/>
      <c r="Q1661" s="76"/>
    </row>
    <row r="1662" spans="7:17" hidden="1" outlineLevel="5" collapsed="1" x14ac:dyDescent="0.25">
      <c r="G1662" s="84" t="s">
        <v>1355</v>
      </c>
      <c r="H1662" s="80"/>
      <c r="I1662" s="81"/>
      <c r="J1662" s="83">
        <f>HYPERLINK("#Структура!E2573",Структура!E2573)</f>
        <v>1</v>
      </c>
      <c r="K1662" s="115">
        <f>HYPERLINK("#Структура!G2573",Структура!G2573)</f>
        <v>3.7560000000000003E-2</v>
      </c>
      <c r="L1662" s="81">
        <f>M1662/J1662</f>
        <v>13.5</v>
      </c>
      <c r="M1662" s="81">
        <f>SUMIF(H1663,"*",M1663)*J1662</f>
        <v>13.5</v>
      </c>
      <c r="N1662" s="124">
        <f>HYPERLINK("#Трудозатраты!B644",Трудозатраты!B644+SUMIF(H1663,"*",O1663))</f>
        <v>5.8</v>
      </c>
      <c r="O1662" s="82">
        <f>N1662*J1662</f>
        <v>5.8</v>
      </c>
      <c r="P1662" s="81">
        <f>O1662/60*(1+запас_труд)*стоимость_трудочаса</f>
        <v>227.16666666666666</v>
      </c>
      <c r="Q1662" s="129">
        <f>M1662*(1+наценка_покупное)+P1662</f>
        <v>243.36666666666665</v>
      </c>
    </row>
    <row r="1663" spans="7:17" hidden="1" outlineLevel="6" x14ac:dyDescent="0.25">
      <c r="H1663" s="75" t="s">
        <v>112</v>
      </c>
      <c r="I1663" s="76"/>
      <c r="J1663" s="78">
        <f>HYPERLINK("#Структура!E2594",Структура!E2594)</f>
        <v>4.4999999999999998E-2</v>
      </c>
      <c r="K1663" s="114" t="str">
        <f>HYPERLINK("#Структура!G2594","")</f>
        <v/>
      </c>
      <c r="L1663" s="120">
        <f>HYPERLINK("#Покупные_изделия!D285",Покупные_изделия!D285)</f>
        <v>300</v>
      </c>
      <c r="M1663" s="76">
        <f t="shared" ref="M1663:M1669" si="65">J1663*L1663</f>
        <v>13.5</v>
      </c>
      <c r="N1663" s="77"/>
      <c r="O1663" s="77"/>
      <c r="P1663" s="76"/>
      <c r="Q1663" s="76"/>
    </row>
    <row r="1664" spans="7:17" hidden="1" outlineLevel="5" x14ac:dyDescent="0.25">
      <c r="G1664" s="74" t="s">
        <v>65</v>
      </c>
      <c r="H1664" s="75"/>
      <c r="I1664" s="76"/>
      <c r="J1664" s="78">
        <f>HYPERLINK("#Структура!E2574",Структура!E2574)</f>
        <v>0.17799999999999999</v>
      </c>
      <c r="K1664" s="114" t="str">
        <f>HYPERLINK("#Структура!G2574","")</f>
        <v/>
      </c>
      <c r="L1664" s="120">
        <f>HYPERLINK("#Покупные_изделия!D197",Покупные_изделия!D197)</f>
        <v>264.50399999999996</v>
      </c>
      <c r="M1664" s="76">
        <f t="shared" si="65"/>
        <v>47.081711999999989</v>
      </c>
      <c r="N1664" s="77"/>
      <c r="O1664" s="77"/>
      <c r="P1664" s="76"/>
      <c r="Q1664" s="76"/>
    </row>
    <row r="1665" spans="6:17" hidden="1" outlineLevel="5" x14ac:dyDescent="0.25">
      <c r="G1665" s="74" t="s">
        <v>67</v>
      </c>
      <c r="H1665" s="75"/>
      <c r="I1665" s="76"/>
      <c r="J1665" s="78">
        <f>HYPERLINK("#Структура!E2575",Структура!E2575)</f>
        <v>0.51200000000000001</v>
      </c>
      <c r="K1665" s="114" t="str">
        <f>HYPERLINK("#Структура!G2575","")</f>
        <v/>
      </c>
      <c r="L1665" s="120">
        <f>HYPERLINK("#Покупные_изделия!D203",Покупные_изделия!D203)</f>
        <v>30.003600000000002</v>
      </c>
      <c r="M1665" s="76">
        <f t="shared" si="65"/>
        <v>15.361843200000001</v>
      </c>
      <c r="N1665" s="77"/>
      <c r="O1665" s="77"/>
      <c r="P1665" s="76"/>
      <c r="Q1665" s="76"/>
    </row>
    <row r="1666" spans="6:17" hidden="1" outlineLevel="5" x14ac:dyDescent="0.25">
      <c r="G1666" s="74" t="s">
        <v>147</v>
      </c>
      <c r="H1666" s="75"/>
      <c r="I1666" s="76"/>
      <c r="J1666" s="78">
        <f>HYPERLINK("#Структура!E2576",Структура!E2576)</f>
        <v>0.30199999999999999</v>
      </c>
      <c r="K1666" s="114" t="str">
        <f>HYPERLINK("#Структура!G2576","")</f>
        <v/>
      </c>
      <c r="L1666" s="120">
        <f>HYPERLINK("#Покупные_изделия!D407",Покупные_изделия!D407)</f>
        <v>741.24599999999998</v>
      </c>
      <c r="M1666" s="76">
        <f t="shared" si="65"/>
        <v>223.856292</v>
      </c>
      <c r="N1666" s="77"/>
      <c r="O1666" s="77"/>
      <c r="P1666" s="76"/>
      <c r="Q1666" s="76"/>
    </row>
    <row r="1667" spans="6:17" hidden="1" outlineLevel="5" x14ac:dyDescent="0.25">
      <c r="G1667" s="74" t="s">
        <v>155</v>
      </c>
      <c r="H1667" s="75"/>
      <c r="I1667" s="76"/>
      <c r="J1667" s="78">
        <f>HYPERLINK("#Структура!E2577",Структура!E2577)</f>
        <v>5.2999999999999999E-2</v>
      </c>
      <c r="K1667" s="114" t="str">
        <f>HYPERLINK("#Структура!G2577","")</f>
        <v/>
      </c>
      <c r="L1667" s="120">
        <f>HYPERLINK("#Покупные_изделия!D423",Покупные_изделия!D423)</f>
        <v>218.28</v>
      </c>
      <c r="M1667" s="76">
        <f t="shared" si="65"/>
        <v>11.56884</v>
      </c>
      <c r="N1667" s="77"/>
      <c r="O1667" s="77"/>
      <c r="P1667" s="76"/>
      <c r="Q1667" s="76"/>
    </row>
    <row r="1668" spans="6:17" hidden="1" outlineLevel="5" x14ac:dyDescent="0.25">
      <c r="G1668" s="74" t="s">
        <v>200</v>
      </c>
      <c r="H1668" s="75"/>
      <c r="I1668" s="76"/>
      <c r="J1668" s="78">
        <f>HYPERLINK("#Структура!E2578",Структура!E2578)</f>
        <v>0.222</v>
      </c>
      <c r="K1668" s="114" t="str">
        <f>HYPERLINK("#Структура!G2578","")</f>
        <v/>
      </c>
      <c r="L1668" s="120">
        <f>HYPERLINK("#Покупные_изделия!D518",Покупные_изделия!D518)</f>
        <v>270</v>
      </c>
      <c r="M1668" s="76">
        <f t="shared" si="65"/>
        <v>59.94</v>
      </c>
      <c r="N1668" s="77"/>
      <c r="O1668" s="77"/>
      <c r="P1668" s="76"/>
      <c r="Q1668" s="76"/>
    </row>
    <row r="1669" spans="6:17" hidden="1" outlineLevel="5" x14ac:dyDescent="0.25">
      <c r="G1669" s="74" t="s">
        <v>215</v>
      </c>
      <c r="H1669" s="75"/>
      <c r="I1669" s="76"/>
      <c r="J1669" s="78">
        <f>HYPERLINK("#Структура!E2579",Структура!E2579)</f>
        <v>0.35599999999999998</v>
      </c>
      <c r="K1669" s="114" t="str">
        <f>HYPERLINK("#Структура!G2579","")</f>
        <v/>
      </c>
      <c r="L1669" s="120">
        <f>HYPERLINK("#Покупные_изделия!D567",Покупные_изделия!D567)</f>
        <v>405.74399999999997</v>
      </c>
      <c r="M1669" s="76">
        <f t="shared" si="65"/>
        <v>144.444864</v>
      </c>
      <c r="N1669" s="77"/>
      <c r="O1669" s="77"/>
      <c r="P1669" s="76"/>
      <c r="Q1669" s="76"/>
    </row>
    <row r="1670" spans="6:17" hidden="1" outlineLevel="4" collapsed="1" x14ac:dyDescent="0.25">
      <c r="F1670" s="96" t="s">
        <v>1336</v>
      </c>
      <c r="G1670" s="91"/>
      <c r="H1670" s="92"/>
      <c r="I1670" s="93"/>
      <c r="J1670" s="95">
        <f>HYPERLINK("#Структура!E2514",Структура!E2514)</f>
        <v>1</v>
      </c>
      <c r="K1670" s="116">
        <f>HYPERLINK("#Структура!G2514",Структура!G2514)</f>
        <v>4.04915</v>
      </c>
      <c r="L1670" s="93">
        <f>M1670/J1670</f>
        <v>857.53426919999993</v>
      </c>
      <c r="M1670" s="93">
        <f>SUMIF(G1671:G1705,"*",M1671:M1705)*J1670</f>
        <v>857.53426919999993</v>
      </c>
      <c r="N1670" s="125">
        <f>HYPERLINK("#Трудозатраты!B645",Трудозатраты!B645+SUMIF(G1671:G1705,"*",O1671:O1705))</f>
        <v>220.245</v>
      </c>
      <c r="O1670" s="94">
        <f>N1670*J1670</f>
        <v>220.245</v>
      </c>
      <c r="P1670" s="93">
        <f>O1670/60*(1+запас_труд)*стоимость_трудочаса</f>
        <v>8626.2625000000007</v>
      </c>
      <c r="Q1670" s="130">
        <f>M1670*(1+наценка_покупное)+P1670</f>
        <v>9655.3036230400012</v>
      </c>
    </row>
    <row r="1671" spans="6:17" hidden="1" outlineLevel="5" collapsed="1" x14ac:dyDescent="0.25">
      <c r="G1671" s="97" t="s">
        <v>1357</v>
      </c>
      <c r="H1671" s="99"/>
      <c r="I1671" s="100"/>
      <c r="J1671" s="102">
        <f>HYPERLINK("#Структура!E2595",Структура!E2595)</f>
        <v>1</v>
      </c>
      <c r="K1671" s="112">
        <f>HYPERLINK("#Структура!G2595",Структура!G2595)</f>
        <v>1.17445</v>
      </c>
      <c r="L1671" s="100">
        <f>M1671/J1671</f>
        <v>226.24409040000003</v>
      </c>
      <c r="M1671" s="100">
        <f>SUMIF(H1672:H1683,"*",M1672:M1683)*J1671</f>
        <v>226.24409040000003</v>
      </c>
      <c r="N1671" s="122">
        <f>HYPERLINK("#Трудозатраты!B652",Трудозатраты!B652+SUMIF(H1672:H1683,"*",O1672:O1683))</f>
        <v>31.27</v>
      </c>
      <c r="O1671" s="101">
        <f>N1671*J1671</f>
        <v>31.27</v>
      </c>
      <c r="P1671" s="100">
        <f>O1671/60*(1+запас_труд)*стоимость_трудочаса</f>
        <v>1224.7416666666666</v>
      </c>
      <c r="Q1671" s="127">
        <f>M1671*(1+наценка_покупное)+P1671</f>
        <v>1496.2345751466667</v>
      </c>
    </row>
    <row r="1672" spans="6:17" hidden="1" outlineLevel="6" collapsed="1" x14ac:dyDescent="0.25">
      <c r="H1672" s="104" t="s">
        <v>1363</v>
      </c>
      <c r="I1672" s="88"/>
      <c r="J1672" s="90">
        <f>HYPERLINK("#Структура!E2630",Структура!E2630)</f>
        <v>1</v>
      </c>
      <c r="K1672" s="113">
        <f>HYPERLINK("#Структура!G2630",Структура!G2630)</f>
        <v>0.26058999999999999</v>
      </c>
      <c r="L1672" s="88">
        <f>M1672/J1672</f>
        <v>61.68</v>
      </c>
      <c r="M1672" s="88">
        <f>SUMIF(I1673,"*",M1673)*J1672</f>
        <v>61.68</v>
      </c>
      <c r="N1672" s="123">
        <f>HYPERLINK("#Трудозатраты!B653",Трудозатраты!B653+SUMIF(I1673,"*",O1673))</f>
        <v>0.7</v>
      </c>
      <c r="O1672" s="89">
        <f>N1672*J1672</f>
        <v>0.7</v>
      </c>
      <c r="P1672" s="88">
        <f>O1672/60*(1+запас_труд)*стоимость_трудочаса</f>
        <v>27.416666666666664</v>
      </c>
      <c r="Q1672" s="128">
        <f>M1672*(1+наценка_покупное)+P1672</f>
        <v>101.43266666666665</v>
      </c>
    </row>
    <row r="1673" spans="6:17" hidden="1" outlineLevel="7" x14ac:dyDescent="0.25">
      <c r="I1673" s="76" t="s">
        <v>115</v>
      </c>
      <c r="J1673" s="78">
        <f>HYPERLINK("#Структура!E2637",Структура!E2637)</f>
        <v>0.51400000000000001</v>
      </c>
      <c r="K1673" s="114" t="str">
        <f>HYPERLINK("#Структура!G2637","")</f>
        <v/>
      </c>
      <c r="L1673" s="120">
        <f>HYPERLINK("#Покупные_изделия!D289",Покупные_изделия!D289)</f>
        <v>120</v>
      </c>
      <c r="M1673" s="76">
        <f>J1673*L1673</f>
        <v>61.68</v>
      </c>
      <c r="N1673" s="77"/>
      <c r="O1673" s="77"/>
      <c r="P1673" s="76"/>
      <c r="Q1673" s="76"/>
    </row>
    <row r="1674" spans="6:17" hidden="1" outlineLevel="6" collapsed="1" x14ac:dyDescent="0.25">
      <c r="H1674" s="103" t="s">
        <v>1364</v>
      </c>
      <c r="I1674" s="81"/>
      <c r="J1674" s="83">
        <f>HYPERLINK("#Структура!E2631",Структура!E2631)</f>
        <v>1</v>
      </c>
      <c r="K1674" s="115">
        <f>HYPERLINK("#Структура!G2631",Структура!G2631)</f>
        <v>0.34426000000000001</v>
      </c>
      <c r="L1674" s="81">
        <f>M1674/J1674</f>
        <v>80.400000000000006</v>
      </c>
      <c r="M1674" s="81">
        <f>SUMIF(I1675,"*",M1675)*J1674</f>
        <v>80.400000000000006</v>
      </c>
      <c r="N1674" s="124">
        <f>HYPERLINK("#Трудозатраты!B654",Трудозатраты!B654+SUMIF(I1675,"*",O1675))</f>
        <v>0.8</v>
      </c>
      <c r="O1674" s="82">
        <f>N1674*J1674</f>
        <v>0.8</v>
      </c>
      <c r="P1674" s="81">
        <f>O1674/60*(1+запас_труд)*стоимость_трудочаса</f>
        <v>31.333333333333336</v>
      </c>
      <c r="Q1674" s="129">
        <f>M1674*(1+наценка_покупное)+P1674</f>
        <v>127.81333333333333</v>
      </c>
    </row>
    <row r="1675" spans="6:17" hidden="1" outlineLevel="7" x14ac:dyDescent="0.25">
      <c r="I1675" s="76" t="s">
        <v>115</v>
      </c>
      <c r="J1675" s="78">
        <f>HYPERLINK("#Структура!E2638",Структура!E2638)</f>
        <v>0.67</v>
      </c>
      <c r="K1675" s="114" t="str">
        <f>HYPERLINK("#Структура!G2638","")</f>
        <v/>
      </c>
      <c r="L1675" s="120">
        <f>HYPERLINK("#Покупные_изделия!D289",Покупные_изделия!D289)</f>
        <v>120</v>
      </c>
      <c r="M1675" s="76">
        <f>J1675*L1675</f>
        <v>80.400000000000006</v>
      </c>
      <c r="N1675" s="77"/>
      <c r="O1675" s="77"/>
      <c r="P1675" s="76"/>
      <c r="Q1675" s="76"/>
    </row>
    <row r="1676" spans="6:17" hidden="1" outlineLevel="6" collapsed="1" x14ac:dyDescent="0.25">
      <c r="H1676" s="103" t="s">
        <v>1365</v>
      </c>
      <c r="I1676" s="81"/>
      <c r="J1676" s="83">
        <f>HYPERLINK("#Структура!E2632",Структура!E2632)</f>
        <v>2</v>
      </c>
      <c r="K1676" s="115">
        <f>HYPERLINK("#Структура!G2632",Структура!G2632)</f>
        <v>0.14924000000000001</v>
      </c>
      <c r="L1676" s="81">
        <f>M1676/J1676</f>
        <v>21.84</v>
      </c>
      <c r="M1676" s="81">
        <f>SUMIF(I1677,"*",M1677)*J1676</f>
        <v>43.68</v>
      </c>
      <c r="N1676" s="124">
        <f>HYPERLINK("#Трудозатраты!B655",Трудозатраты!B655+SUMIF(I1677,"*",O1677))</f>
        <v>0.5</v>
      </c>
      <c r="O1676" s="82">
        <f>N1676*J1676</f>
        <v>1</v>
      </c>
      <c r="P1676" s="81">
        <f>O1676/60*(1+запас_труд)*стоимость_трудочаса</f>
        <v>39.166666666666664</v>
      </c>
      <c r="Q1676" s="129">
        <f>M1676*(1+наценка_покупное)+P1676</f>
        <v>91.582666666666654</v>
      </c>
    </row>
    <row r="1677" spans="6:17" hidden="1" outlineLevel="7" x14ac:dyDescent="0.25">
      <c r="I1677" s="76" t="s">
        <v>115</v>
      </c>
      <c r="J1677" s="78">
        <f>HYPERLINK("#Структура!E2639",Структура!E2639)</f>
        <v>0.182</v>
      </c>
      <c r="K1677" s="114" t="str">
        <f>HYPERLINK("#Структура!G2639","")</f>
        <v/>
      </c>
      <c r="L1677" s="120">
        <f>HYPERLINK("#Покупные_изделия!D289",Покупные_изделия!D289)</f>
        <v>120</v>
      </c>
      <c r="M1677" s="76">
        <f>J1677*L1677</f>
        <v>21.84</v>
      </c>
      <c r="N1677" s="77"/>
      <c r="O1677" s="77"/>
      <c r="P1677" s="76"/>
      <c r="Q1677" s="76"/>
    </row>
    <row r="1678" spans="6:17" hidden="1" outlineLevel="6" collapsed="1" x14ac:dyDescent="0.25">
      <c r="H1678" s="103" t="s">
        <v>1366</v>
      </c>
      <c r="I1678" s="81"/>
      <c r="J1678" s="83">
        <f>HYPERLINK("#Структура!E2633",Структура!E2633)</f>
        <v>1</v>
      </c>
      <c r="K1678" s="115">
        <f>HYPERLINK("#Структура!G2633",Структура!G2633)</f>
        <v>0.10181999999999999</v>
      </c>
      <c r="L1678" s="81">
        <f>M1678/J1678</f>
        <v>15.600000000000001</v>
      </c>
      <c r="M1678" s="81">
        <f>SUMIF(I1679,"*",M1679)*J1678</f>
        <v>15.600000000000001</v>
      </c>
      <c r="N1678" s="124">
        <f>HYPERLINK("#Трудозатраты!B656",Трудозатраты!B656+SUMIF(I1679,"*",O1679))</f>
        <v>1.1000000000000001</v>
      </c>
      <c r="O1678" s="82">
        <f>N1678*J1678</f>
        <v>1.1000000000000001</v>
      </c>
      <c r="P1678" s="81">
        <f>O1678/60*(1+запас_труд)*стоимость_трудочаса</f>
        <v>43.083333333333336</v>
      </c>
      <c r="Q1678" s="129">
        <f>M1678*(1+наценка_покупное)+P1678</f>
        <v>61.803333333333342</v>
      </c>
    </row>
    <row r="1679" spans="6:17" hidden="1" outlineLevel="7" x14ac:dyDescent="0.25">
      <c r="I1679" s="76" t="s">
        <v>117</v>
      </c>
      <c r="J1679" s="78">
        <f>HYPERLINK("#Структура!E2640",Структура!E2640)</f>
        <v>0.13</v>
      </c>
      <c r="K1679" s="114" t="str">
        <f>HYPERLINK("#Структура!G2640","")</f>
        <v/>
      </c>
      <c r="L1679" s="120">
        <f>HYPERLINK("#Покупные_изделия!D292",Покупные_изделия!D292)</f>
        <v>120</v>
      </c>
      <c r="M1679" s="76">
        <f>J1679*L1679</f>
        <v>15.600000000000001</v>
      </c>
      <c r="N1679" s="77"/>
      <c r="O1679" s="77"/>
      <c r="P1679" s="76"/>
      <c r="Q1679" s="76"/>
    </row>
    <row r="1680" spans="6:17" hidden="1" outlineLevel="6" collapsed="1" x14ac:dyDescent="0.25">
      <c r="H1680" s="103" t="s">
        <v>1367</v>
      </c>
      <c r="I1680" s="81"/>
      <c r="J1680" s="83">
        <f>HYPERLINK("#Структура!E2634",Структура!E2634)</f>
        <v>1</v>
      </c>
      <c r="K1680" s="115">
        <f>HYPERLINK("#Структура!G2634",Структура!G2634)</f>
        <v>0.16932</v>
      </c>
      <c r="L1680" s="81">
        <f>M1680/J1680</f>
        <v>18</v>
      </c>
      <c r="M1680" s="81">
        <f>SUMIF(I1681,"*",M1681)*J1680</f>
        <v>18</v>
      </c>
      <c r="N1680" s="124">
        <f>HYPERLINK("#Трудозатраты!B657",Трудозатраты!B657+SUMIF(I1681,"*",O1681))</f>
        <v>12.67</v>
      </c>
      <c r="O1680" s="82">
        <f>N1680*J1680</f>
        <v>12.67</v>
      </c>
      <c r="P1680" s="81">
        <f>O1680/60*(1+запас_труд)*стоимость_трудочаса</f>
        <v>496.24166666666667</v>
      </c>
      <c r="Q1680" s="129">
        <f>M1680*(1+наценка_покупное)+P1680</f>
        <v>517.8416666666667</v>
      </c>
    </row>
    <row r="1681" spans="7:17" hidden="1" outlineLevel="7" x14ac:dyDescent="0.25">
      <c r="I1681" s="76" t="s">
        <v>75</v>
      </c>
      <c r="J1681" s="78">
        <f>HYPERLINK("#Структура!E2641",Структура!E2641)</f>
        <v>0.18</v>
      </c>
      <c r="K1681" s="114" t="str">
        <f>HYPERLINK("#Структура!G2641","")</f>
        <v/>
      </c>
      <c r="L1681" s="120">
        <f>HYPERLINK("#Покупные_изделия!D244",Покупные_изделия!D244)</f>
        <v>100</v>
      </c>
      <c r="M1681" s="76">
        <f>J1681*L1681</f>
        <v>18</v>
      </c>
      <c r="N1681" s="77"/>
      <c r="O1681" s="77"/>
      <c r="P1681" s="76"/>
      <c r="Q1681" s="76"/>
    </row>
    <row r="1682" spans="7:17" hidden="1" outlineLevel="6" x14ac:dyDescent="0.25">
      <c r="H1682" s="75" t="s">
        <v>67</v>
      </c>
      <c r="I1682" s="76"/>
      <c r="J1682" s="78">
        <f>HYPERLINK("#Структура!E2635",Структура!E2635)</f>
        <v>7.3999999999999996E-2</v>
      </c>
      <c r="K1682" s="114" t="str">
        <f>HYPERLINK("#Структура!G2635","")</f>
        <v/>
      </c>
      <c r="L1682" s="120">
        <f>HYPERLINK("#Покупные_изделия!D203",Покупные_изделия!D203)</f>
        <v>30.003600000000002</v>
      </c>
      <c r="M1682" s="76">
        <f>J1682*L1682</f>
        <v>2.2202663999999999</v>
      </c>
      <c r="N1682" s="77"/>
      <c r="O1682" s="77"/>
      <c r="P1682" s="76"/>
      <c r="Q1682" s="76"/>
    </row>
    <row r="1683" spans="7:17" hidden="1" outlineLevel="6" x14ac:dyDescent="0.25">
      <c r="H1683" s="75" t="s">
        <v>146</v>
      </c>
      <c r="I1683" s="76"/>
      <c r="J1683" s="78">
        <f>HYPERLINK("#Структура!E2636",Структура!E2636)</f>
        <v>4.3999999999999997E-2</v>
      </c>
      <c r="K1683" s="114" t="str">
        <f>HYPERLINK("#Структура!G2636","")</f>
        <v/>
      </c>
      <c r="L1683" s="120">
        <f>HYPERLINK("#Покупные_изделия!D406",Покупные_изделия!D406)</f>
        <v>105.996</v>
      </c>
      <c r="M1683" s="76">
        <f>J1683*L1683</f>
        <v>4.6638239999999991</v>
      </c>
      <c r="N1683" s="77"/>
      <c r="O1683" s="77"/>
      <c r="P1683" s="76"/>
      <c r="Q1683" s="76"/>
    </row>
    <row r="1684" spans="7:17" hidden="1" outlineLevel="5" collapsed="1" x14ac:dyDescent="0.25">
      <c r="G1684" s="84" t="s">
        <v>1358</v>
      </c>
      <c r="H1684" s="80"/>
      <c r="I1684" s="81"/>
      <c r="J1684" s="83">
        <f>HYPERLINK("#Структура!E2596",Структура!E2596)</f>
        <v>1</v>
      </c>
      <c r="K1684" s="115">
        <f>HYPERLINK("#Структура!G2596",Структура!G2596)</f>
        <v>1.1667000000000001</v>
      </c>
      <c r="L1684" s="81">
        <f>M1684/J1684</f>
        <v>238.18208759999999</v>
      </c>
      <c r="M1684" s="81">
        <f>SUMIF(H1685:H1687,"*",M1685:M1687)*J1684</f>
        <v>238.18208759999999</v>
      </c>
      <c r="N1684" s="124">
        <f>HYPERLINK("#Трудозатраты!B647",Трудозатраты!B647+SUMIF(H1685:H1687,"*",O1685:O1687))</f>
        <v>19.25</v>
      </c>
      <c r="O1684" s="82">
        <f>N1684*J1684</f>
        <v>19.25</v>
      </c>
      <c r="P1684" s="81">
        <f>O1684/60*(1+запас_труд)*стоимость_трудочаса</f>
        <v>753.95833333333337</v>
      </c>
      <c r="Q1684" s="129">
        <f>M1684*(1+наценка_покупное)+P1684</f>
        <v>1039.7768384533333</v>
      </c>
    </row>
    <row r="1685" spans="7:17" hidden="1" outlineLevel="6" x14ac:dyDescent="0.25">
      <c r="H1685" s="75" t="s">
        <v>67</v>
      </c>
      <c r="I1685" s="76"/>
      <c r="J1685" s="78">
        <f>HYPERLINK("#Структура!E2619",Структура!E2619)</f>
        <v>7.0999999999999994E-2</v>
      </c>
      <c r="K1685" s="114" t="str">
        <f>HYPERLINK("#Структура!G2619","")</f>
        <v/>
      </c>
      <c r="L1685" s="120">
        <f>HYPERLINK("#Покупные_изделия!D203",Покупные_изделия!D203)</f>
        <v>30.003600000000002</v>
      </c>
      <c r="M1685" s="76">
        <f>J1685*L1685</f>
        <v>2.1302555999999999</v>
      </c>
      <c r="N1685" s="77"/>
      <c r="O1685" s="77"/>
      <c r="P1685" s="76"/>
      <c r="Q1685" s="76"/>
    </row>
    <row r="1686" spans="7:17" hidden="1" outlineLevel="6" x14ac:dyDescent="0.25">
      <c r="H1686" s="75" t="s">
        <v>109</v>
      </c>
      <c r="I1686" s="76"/>
      <c r="J1686" s="78">
        <f>HYPERLINK("#Структура!E2620",Структура!E2620)</f>
        <v>1.93</v>
      </c>
      <c r="K1686" s="114" t="str">
        <f>HYPERLINK("#Структура!G2620","")</f>
        <v/>
      </c>
      <c r="L1686" s="120">
        <f>HYPERLINK("#Покупные_изделия!D281",Покупные_изделия!D281)</f>
        <v>120</v>
      </c>
      <c r="M1686" s="76">
        <f>J1686*L1686</f>
        <v>231.6</v>
      </c>
      <c r="N1686" s="77"/>
      <c r="O1686" s="77"/>
      <c r="P1686" s="76"/>
      <c r="Q1686" s="76"/>
    </row>
    <row r="1687" spans="7:17" hidden="1" outlineLevel="6" x14ac:dyDescent="0.25">
      <c r="H1687" s="75" t="s">
        <v>146</v>
      </c>
      <c r="I1687" s="76"/>
      <c r="J1687" s="78">
        <f>HYPERLINK("#Структура!E2621",Структура!E2621)</f>
        <v>4.2000000000000003E-2</v>
      </c>
      <c r="K1687" s="114" t="str">
        <f>HYPERLINK("#Структура!G2621","")</f>
        <v/>
      </c>
      <c r="L1687" s="120">
        <f>HYPERLINK("#Покупные_изделия!D406",Покупные_изделия!D406)</f>
        <v>105.996</v>
      </c>
      <c r="M1687" s="76">
        <f>J1687*L1687</f>
        <v>4.4518320000000005</v>
      </c>
      <c r="N1687" s="77"/>
      <c r="O1687" s="77"/>
      <c r="P1687" s="76"/>
      <c r="Q1687" s="76"/>
    </row>
    <row r="1688" spans="7:17" hidden="1" outlineLevel="5" collapsed="1" x14ac:dyDescent="0.25">
      <c r="G1688" s="84" t="s">
        <v>1359</v>
      </c>
      <c r="H1688" s="80"/>
      <c r="I1688" s="81"/>
      <c r="J1688" s="83">
        <f>HYPERLINK("#Структура!E2597",Структура!E2597)</f>
        <v>1</v>
      </c>
      <c r="K1688" s="115">
        <f>HYPERLINK("#Структура!G2597",Структура!G2597)</f>
        <v>0.57042999999999999</v>
      </c>
      <c r="L1688" s="81">
        <f>M1688/J1688</f>
        <v>85.102015200000011</v>
      </c>
      <c r="M1688" s="81">
        <f>SUMIF(H1689:H1691,"*",M1689:M1691)*J1688</f>
        <v>85.102015200000011</v>
      </c>
      <c r="N1688" s="124">
        <f>HYPERLINK("#Трудозатраты!B648",Трудозатраты!B648+SUMIF(H1689:H1691,"*",O1689:O1691))</f>
        <v>46.1</v>
      </c>
      <c r="O1688" s="82">
        <f>N1688*J1688</f>
        <v>46.1</v>
      </c>
      <c r="P1688" s="81">
        <f>O1688/60*(1+запас_труд)*стоимость_трудочаса</f>
        <v>1805.5833333333333</v>
      </c>
      <c r="Q1688" s="129">
        <f>M1688*(1+наценка_покупное)+P1688</f>
        <v>1907.7057515733334</v>
      </c>
    </row>
    <row r="1689" spans="7:17" hidden="1" outlineLevel="6" x14ac:dyDescent="0.25">
      <c r="H1689" s="75" t="s">
        <v>67</v>
      </c>
      <c r="I1689" s="76"/>
      <c r="J1689" s="78">
        <f>HYPERLINK("#Структура!E2622",Структура!E2622)</f>
        <v>1.2E-2</v>
      </c>
      <c r="K1689" s="114" t="str">
        <f>HYPERLINK("#Структура!G2622","")</f>
        <v/>
      </c>
      <c r="L1689" s="120">
        <f>HYPERLINK("#Покупные_изделия!D203",Покупные_изделия!D203)</f>
        <v>30.003600000000002</v>
      </c>
      <c r="M1689" s="76">
        <f>J1689*L1689</f>
        <v>0.36004320000000001</v>
      </c>
      <c r="N1689" s="77"/>
      <c r="O1689" s="77"/>
      <c r="P1689" s="76"/>
      <c r="Q1689" s="76"/>
    </row>
    <row r="1690" spans="7:17" hidden="1" outlineLevel="6" x14ac:dyDescent="0.25">
      <c r="H1690" s="75" t="s">
        <v>116</v>
      </c>
      <c r="I1690" s="76"/>
      <c r="J1690" s="78">
        <f>HYPERLINK("#Структура!E2623",Структура!E2623)</f>
        <v>0.7</v>
      </c>
      <c r="K1690" s="114" t="str">
        <f>HYPERLINK("#Структура!G2623","")</f>
        <v/>
      </c>
      <c r="L1690" s="120">
        <f>HYPERLINK("#Покупные_изделия!D291",Покупные_изделия!D291)</f>
        <v>120</v>
      </c>
      <c r="M1690" s="76">
        <f>J1690*L1690</f>
        <v>84</v>
      </c>
      <c r="N1690" s="77"/>
      <c r="O1690" s="77"/>
      <c r="P1690" s="76"/>
      <c r="Q1690" s="76"/>
    </row>
    <row r="1691" spans="7:17" hidden="1" outlineLevel="6" x14ac:dyDescent="0.25">
      <c r="H1691" s="75" t="s">
        <v>146</v>
      </c>
      <c r="I1691" s="76"/>
      <c r="J1691" s="78">
        <f>HYPERLINK("#Структура!E2624",Структура!E2624)</f>
        <v>7.0000000000000001E-3</v>
      </c>
      <c r="K1691" s="114" t="str">
        <f>HYPERLINK("#Структура!G2624","")</f>
        <v/>
      </c>
      <c r="L1691" s="120">
        <f>HYPERLINK("#Покупные_изделия!D406",Покупные_изделия!D406)</f>
        <v>105.996</v>
      </c>
      <c r="M1691" s="76">
        <f>J1691*L1691</f>
        <v>0.74197199999999996</v>
      </c>
      <c r="N1691" s="77"/>
      <c r="O1691" s="77"/>
      <c r="P1691" s="76"/>
      <c r="Q1691" s="76"/>
    </row>
    <row r="1692" spans="7:17" hidden="1" outlineLevel="5" collapsed="1" x14ac:dyDescent="0.25">
      <c r="G1692" s="84" t="s">
        <v>1360</v>
      </c>
      <c r="H1692" s="80"/>
      <c r="I1692" s="81"/>
      <c r="J1692" s="83">
        <f>HYPERLINK("#Структура!E2598",Структура!E2598)</f>
        <v>1</v>
      </c>
      <c r="K1692" s="115">
        <f>HYPERLINK("#Структура!G2598",Структура!G2598)</f>
        <v>0.30038999999999999</v>
      </c>
      <c r="L1692" s="81">
        <f>M1692/J1692</f>
        <v>54</v>
      </c>
      <c r="M1692" s="81">
        <f>SUMIF(H1693,"*",M1693)*J1692</f>
        <v>54</v>
      </c>
      <c r="N1692" s="124">
        <f>HYPERLINK("#Трудозатраты!B649",Трудозатраты!B649+SUMIF(H1693,"*",O1693))</f>
        <v>30.9</v>
      </c>
      <c r="O1692" s="82">
        <f>N1692*J1692</f>
        <v>30.9</v>
      </c>
      <c r="P1692" s="81">
        <f>O1692/60*(1+запас_труд)*стоимость_трудочаса</f>
        <v>1210.25</v>
      </c>
      <c r="Q1692" s="129">
        <f>M1692*(1+наценка_покупное)+P1692</f>
        <v>1275.05</v>
      </c>
    </row>
    <row r="1693" spans="7:17" hidden="1" outlineLevel="6" x14ac:dyDescent="0.25">
      <c r="H1693" s="75" t="s">
        <v>113</v>
      </c>
      <c r="I1693" s="76"/>
      <c r="J1693" s="78">
        <f>HYPERLINK("#Структура!E2625",Структура!E2625)</f>
        <v>0.45</v>
      </c>
      <c r="K1693" s="114" t="str">
        <f>HYPERLINK("#Структура!G2625","")</f>
        <v/>
      </c>
      <c r="L1693" s="120">
        <f>HYPERLINK("#Покупные_изделия!D286",Покупные_изделия!D286)</f>
        <v>120</v>
      </c>
      <c r="M1693" s="76">
        <f>J1693*L1693</f>
        <v>54</v>
      </c>
      <c r="N1693" s="77"/>
      <c r="O1693" s="77"/>
      <c r="P1693" s="76"/>
      <c r="Q1693" s="76"/>
    </row>
    <row r="1694" spans="7:17" hidden="1" outlineLevel="5" collapsed="1" x14ac:dyDescent="0.25">
      <c r="G1694" s="84" t="s">
        <v>1361</v>
      </c>
      <c r="H1694" s="80"/>
      <c r="I1694" s="81"/>
      <c r="J1694" s="83">
        <f>HYPERLINK("#Структура!E2599",Структура!E2599)</f>
        <v>1</v>
      </c>
      <c r="K1694" s="115">
        <f>HYPERLINK("#Структура!G2599",Структура!G2599)</f>
        <v>0.68423999999999996</v>
      </c>
      <c r="L1694" s="81">
        <f>M1694/J1694</f>
        <v>96</v>
      </c>
      <c r="M1694" s="81">
        <f>SUMIF(H1695,"*",M1695)*J1694</f>
        <v>96</v>
      </c>
      <c r="N1694" s="124">
        <f>HYPERLINK("#Трудозатраты!B650",Трудозатраты!B650+SUMIF(H1695,"*",O1695))</f>
        <v>33</v>
      </c>
      <c r="O1694" s="82">
        <f>N1694*J1694</f>
        <v>33</v>
      </c>
      <c r="P1694" s="81">
        <f>O1694/60*(1+запас_труд)*стоимость_трудочаса</f>
        <v>1292.5</v>
      </c>
      <c r="Q1694" s="129">
        <f>M1694*(1+наценка_покупное)+P1694</f>
        <v>1407.7</v>
      </c>
    </row>
    <row r="1695" spans="7:17" hidden="1" outlineLevel="6" x14ac:dyDescent="0.25">
      <c r="H1695" s="75" t="s">
        <v>183</v>
      </c>
      <c r="I1695" s="76"/>
      <c r="J1695" s="78">
        <f>HYPERLINK("#Структура!E2626",Структура!E2626)</f>
        <v>0.8</v>
      </c>
      <c r="K1695" s="114" t="str">
        <f>HYPERLINK("#Структура!G2626","")</f>
        <v/>
      </c>
      <c r="L1695" s="120">
        <f>HYPERLINK("#Покупные_изделия!D494",Покупные_изделия!D494)</f>
        <v>120</v>
      </c>
      <c r="M1695" s="76">
        <f>J1695*L1695</f>
        <v>96</v>
      </c>
      <c r="N1695" s="77"/>
      <c r="O1695" s="77"/>
      <c r="P1695" s="76"/>
      <c r="Q1695" s="76"/>
    </row>
    <row r="1696" spans="7:17" hidden="1" outlineLevel="5" collapsed="1" x14ac:dyDescent="0.25">
      <c r="G1696" s="84" t="s">
        <v>1362</v>
      </c>
      <c r="H1696" s="80"/>
      <c r="I1696" s="81"/>
      <c r="J1696" s="83">
        <f>HYPERLINK("#Структура!E2600",Структура!E2600)</f>
        <v>1</v>
      </c>
      <c r="K1696" s="115">
        <f>HYPERLINK("#Структура!G2600",Структура!G2600)</f>
        <v>8.3070000000000005E-2</v>
      </c>
      <c r="L1696" s="81">
        <f>M1696/J1696</f>
        <v>33.634009199999994</v>
      </c>
      <c r="M1696" s="81">
        <f>SUMIF(H1697:H1699,"*",M1697:M1699)*J1696</f>
        <v>33.634009199999994</v>
      </c>
      <c r="N1696" s="124">
        <f>HYPERLINK("#Трудозатраты!B651",Трудозатраты!B651+SUMIF(H1697:H1699,"*",O1697:O1699))</f>
        <v>13.225000000000001</v>
      </c>
      <c r="O1696" s="82">
        <f>N1696*J1696</f>
        <v>13.225000000000001</v>
      </c>
      <c r="P1696" s="81">
        <f>O1696/60*(1+запас_труд)*стоимость_трудочаса</f>
        <v>517.97916666666674</v>
      </c>
      <c r="Q1696" s="129">
        <f>M1696*(1+наценка_покупное)+P1696</f>
        <v>558.33997770666679</v>
      </c>
    </row>
    <row r="1697" spans="6:17" hidden="1" outlineLevel="6" x14ac:dyDescent="0.25">
      <c r="H1697" s="75" t="s">
        <v>67</v>
      </c>
      <c r="I1697" s="76"/>
      <c r="J1697" s="78">
        <f>HYPERLINK("#Структура!E2627",Структура!E2627)</f>
        <v>7.0000000000000001E-3</v>
      </c>
      <c r="K1697" s="114" t="str">
        <f>HYPERLINK("#Структура!G2627","")</f>
        <v/>
      </c>
      <c r="L1697" s="120">
        <f>HYPERLINK("#Покупные_изделия!D203",Покупные_изделия!D203)</f>
        <v>30.003600000000002</v>
      </c>
      <c r="M1697" s="76">
        <f t="shared" ref="M1697:M1705" si="66">J1697*L1697</f>
        <v>0.21002520000000002</v>
      </c>
      <c r="N1697" s="77"/>
      <c r="O1697" s="77"/>
      <c r="P1697" s="76"/>
      <c r="Q1697" s="76"/>
    </row>
    <row r="1698" spans="6:17" hidden="1" outlineLevel="6" x14ac:dyDescent="0.25">
      <c r="H1698" s="75" t="s">
        <v>108</v>
      </c>
      <c r="I1698" s="76"/>
      <c r="J1698" s="78">
        <f>HYPERLINK("#Структура!E2628",Структура!E2628)</f>
        <v>0.11</v>
      </c>
      <c r="K1698" s="114" t="str">
        <f>HYPERLINK("#Структура!G2628","")</f>
        <v/>
      </c>
      <c r="L1698" s="120">
        <f>HYPERLINK("#Покупные_изделия!D280",Покупные_изделия!D280)</f>
        <v>300</v>
      </c>
      <c r="M1698" s="76">
        <f t="shared" si="66"/>
        <v>33</v>
      </c>
      <c r="N1698" s="77"/>
      <c r="O1698" s="77"/>
      <c r="P1698" s="76"/>
      <c r="Q1698" s="76"/>
    </row>
    <row r="1699" spans="6:17" hidden="1" outlineLevel="6" x14ac:dyDescent="0.25">
      <c r="H1699" s="75" t="s">
        <v>146</v>
      </c>
      <c r="I1699" s="76"/>
      <c r="J1699" s="78">
        <f>HYPERLINK("#Структура!E2629",Структура!E2629)</f>
        <v>4.0000000000000001E-3</v>
      </c>
      <c r="K1699" s="114" t="str">
        <f>HYPERLINK("#Структура!G2629","")</f>
        <v/>
      </c>
      <c r="L1699" s="120">
        <f>HYPERLINK("#Покупные_изделия!D406",Покупные_изделия!D406)</f>
        <v>105.996</v>
      </c>
      <c r="M1699" s="76">
        <f t="shared" si="66"/>
        <v>0.42398399999999997</v>
      </c>
      <c r="N1699" s="77"/>
      <c r="O1699" s="77"/>
      <c r="P1699" s="76"/>
      <c r="Q1699" s="76"/>
    </row>
    <row r="1700" spans="6:17" hidden="1" outlineLevel="5" x14ac:dyDescent="0.25">
      <c r="G1700" s="74" t="s">
        <v>65</v>
      </c>
      <c r="H1700" s="75"/>
      <c r="I1700" s="76"/>
      <c r="J1700" s="78">
        <f>HYPERLINK("#Структура!E2601",Структура!E2601)</f>
        <v>0.06</v>
      </c>
      <c r="K1700" s="114" t="str">
        <f>HYPERLINK("#Структура!G2601","")</f>
        <v/>
      </c>
      <c r="L1700" s="120">
        <f>HYPERLINK("#Покупные_изделия!D197",Покупные_изделия!D197)</f>
        <v>264.50399999999996</v>
      </c>
      <c r="M1700" s="76">
        <f t="shared" si="66"/>
        <v>15.870239999999997</v>
      </c>
      <c r="N1700" s="77"/>
      <c r="O1700" s="77"/>
      <c r="P1700" s="76"/>
      <c r="Q1700" s="76"/>
    </row>
    <row r="1701" spans="6:17" hidden="1" outlineLevel="5" x14ac:dyDescent="0.25">
      <c r="G1701" s="74" t="s">
        <v>67</v>
      </c>
      <c r="H1701" s="75"/>
      <c r="I1701" s="76"/>
      <c r="J1701" s="78">
        <f>HYPERLINK("#Структура!E2602",Структура!E2602)</f>
        <v>0.373</v>
      </c>
      <c r="K1701" s="114" t="str">
        <f>HYPERLINK("#Структура!G2602","")</f>
        <v/>
      </c>
      <c r="L1701" s="120">
        <f>HYPERLINK("#Покупные_изделия!D203",Покупные_изделия!D203)</f>
        <v>30.003600000000002</v>
      </c>
      <c r="M1701" s="76">
        <f t="shared" si="66"/>
        <v>11.191342800000001</v>
      </c>
      <c r="N1701" s="77"/>
      <c r="O1701" s="77"/>
      <c r="P1701" s="76"/>
      <c r="Q1701" s="76"/>
    </row>
    <row r="1702" spans="6:17" hidden="1" outlineLevel="5" x14ac:dyDescent="0.25">
      <c r="G1702" s="74" t="s">
        <v>146</v>
      </c>
      <c r="H1702" s="75"/>
      <c r="I1702" s="76"/>
      <c r="J1702" s="78">
        <f>HYPERLINK("#Структура!E2603",Структура!E2603)</f>
        <v>0.219</v>
      </c>
      <c r="K1702" s="114" t="str">
        <f>HYPERLINK("#Структура!G2603","")</f>
        <v/>
      </c>
      <c r="L1702" s="120">
        <f>HYPERLINK("#Покупные_изделия!D406",Покупные_изделия!D406)</f>
        <v>105.996</v>
      </c>
      <c r="M1702" s="76">
        <f t="shared" si="66"/>
        <v>23.213124000000001</v>
      </c>
      <c r="N1702" s="77"/>
      <c r="O1702" s="77"/>
      <c r="P1702" s="76"/>
      <c r="Q1702" s="76"/>
    </row>
    <row r="1703" spans="6:17" hidden="1" outlineLevel="5" x14ac:dyDescent="0.25">
      <c r="G1703" s="74" t="s">
        <v>155</v>
      </c>
      <c r="H1703" s="75"/>
      <c r="I1703" s="76"/>
      <c r="J1703" s="78">
        <f>HYPERLINK("#Структура!E2604",Структура!E2604)</f>
        <v>3.5999999999999997E-2</v>
      </c>
      <c r="K1703" s="114" t="str">
        <f>HYPERLINK("#Структура!G2604","")</f>
        <v/>
      </c>
      <c r="L1703" s="120">
        <f>HYPERLINK("#Покупные_изделия!D423",Покупные_изделия!D423)</f>
        <v>218.28</v>
      </c>
      <c r="M1703" s="76">
        <f t="shared" si="66"/>
        <v>7.8580799999999993</v>
      </c>
      <c r="N1703" s="77"/>
      <c r="O1703" s="77"/>
      <c r="P1703" s="76"/>
      <c r="Q1703" s="76"/>
    </row>
    <row r="1704" spans="6:17" hidden="1" outlineLevel="5" x14ac:dyDescent="0.25">
      <c r="G1704" s="74" t="s">
        <v>200</v>
      </c>
      <c r="H1704" s="75"/>
      <c r="I1704" s="76"/>
      <c r="J1704" s="78">
        <f>HYPERLINK("#Структура!E2605",Структура!E2605)</f>
        <v>6.5000000000000002E-2</v>
      </c>
      <c r="K1704" s="114" t="str">
        <f>HYPERLINK("#Структура!G2605","")</f>
        <v/>
      </c>
      <c r="L1704" s="120">
        <f>HYPERLINK("#Покупные_изделия!D518",Покупные_изделия!D518)</f>
        <v>270</v>
      </c>
      <c r="M1704" s="76">
        <f t="shared" si="66"/>
        <v>17.55</v>
      </c>
      <c r="N1704" s="77"/>
      <c r="O1704" s="77"/>
      <c r="P1704" s="76"/>
      <c r="Q1704" s="76"/>
    </row>
    <row r="1705" spans="6:17" hidden="1" outlineLevel="5" x14ac:dyDescent="0.25">
      <c r="G1705" s="74" t="s">
        <v>215</v>
      </c>
      <c r="H1705" s="75"/>
      <c r="I1705" s="76"/>
      <c r="J1705" s="78">
        <f>HYPERLINK("#Структура!E2606",Структура!E2606)</f>
        <v>0.12</v>
      </c>
      <c r="K1705" s="114" t="str">
        <f>HYPERLINK("#Структура!G2606","")</f>
        <v/>
      </c>
      <c r="L1705" s="120">
        <f>HYPERLINK("#Покупные_изделия!D567",Покупные_изделия!D567)</f>
        <v>405.74399999999997</v>
      </c>
      <c r="M1705" s="76">
        <f t="shared" si="66"/>
        <v>48.689279999999997</v>
      </c>
      <c r="N1705" s="77"/>
      <c r="O1705" s="77"/>
      <c r="P1705" s="76"/>
      <c r="Q1705" s="76"/>
    </row>
    <row r="1706" spans="6:17" hidden="1" outlineLevel="4" collapsed="1" x14ac:dyDescent="0.25">
      <c r="F1706" s="96" t="s">
        <v>1337</v>
      </c>
      <c r="G1706" s="91"/>
      <c r="H1706" s="92"/>
      <c r="I1706" s="93"/>
      <c r="J1706" s="95">
        <f>HYPERLINK("#Структура!E2515",Структура!E2515)</f>
        <v>1</v>
      </c>
      <c r="K1706" s="116">
        <f>HYPERLINK("#Структура!G2515",Структура!G2515)</f>
        <v>4.04915</v>
      </c>
      <c r="L1706" s="93">
        <f>M1706/J1706</f>
        <v>836.96619959999998</v>
      </c>
      <c r="M1706" s="93">
        <f>SUMIF(G1707:G1741,"*",M1707:M1741)*J1706</f>
        <v>836.96619959999998</v>
      </c>
      <c r="N1706" s="125">
        <f>HYPERLINK("#Трудозатраты!B646",Трудозатраты!B646+SUMIF(G1707:G1741,"*",O1707:O1741))</f>
        <v>229.44499999999999</v>
      </c>
      <c r="O1706" s="94">
        <f>N1706*J1706</f>
        <v>229.44499999999999</v>
      </c>
      <c r="P1706" s="93">
        <f>O1706/60*(1+запас_труд)*стоимость_трудочаса</f>
        <v>8986.5958333333328</v>
      </c>
      <c r="Q1706" s="130">
        <f>M1706*(1+наценка_покупное)+P1706</f>
        <v>9990.9552728533326</v>
      </c>
    </row>
    <row r="1707" spans="6:17" hidden="1" outlineLevel="5" collapsed="1" x14ac:dyDescent="0.25">
      <c r="G1707" s="97" t="s">
        <v>1357</v>
      </c>
      <c r="H1707" s="99"/>
      <c r="I1707" s="100"/>
      <c r="J1707" s="102">
        <f>HYPERLINK("#Структура!E2607",Структура!E2607)</f>
        <v>1</v>
      </c>
      <c r="K1707" s="112">
        <f>HYPERLINK("#Структура!G2607",Структура!G2607)</f>
        <v>1.17445</v>
      </c>
      <c r="L1707" s="100">
        <f>M1707/J1707</f>
        <v>226.24409040000003</v>
      </c>
      <c r="M1707" s="100">
        <f>SUMIF(H1708:H1719,"*",M1708:M1719)*J1707</f>
        <v>226.24409040000003</v>
      </c>
      <c r="N1707" s="122">
        <f>HYPERLINK("#Трудозатраты!B652",Трудозатраты!B652+SUMIF(H1708:H1719,"*",O1708:O1719))</f>
        <v>31.27</v>
      </c>
      <c r="O1707" s="101">
        <f>N1707*J1707</f>
        <v>31.27</v>
      </c>
      <c r="P1707" s="100">
        <f>O1707/60*(1+запас_труд)*стоимость_трудочаса</f>
        <v>1224.7416666666666</v>
      </c>
      <c r="Q1707" s="127">
        <f>M1707*(1+наценка_покупное)+P1707</f>
        <v>1496.2345751466667</v>
      </c>
    </row>
    <row r="1708" spans="6:17" hidden="1" outlineLevel="6" collapsed="1" x14ac:dyDescent="0.25">
      <c r="H1708" s="104" t="s">
        <v>1363</v>
      </c>
      <c r="I1708" s="88"/>
      <c r="J1708" s="90">
        <f>HYPERLINK("#Структура!E2630",Структура!E2630)</f>
        <v>1</v>
      </c>
      <c r="K1708" s="113">
        <f>HYPERLINK("#Структура!G2630",Структура!G2630)</f>
        <v>0.26058999999999999</v>
      </c>
      <c r="L1708" s="88">
        <f>M1708/J1708</f>
        <v>61.68</v>
      </c>
      <c r="M1708" s="88">
        <f>SUMIF(I1709,"*",M1709)*J1708</f>
        <v>61.68</v>
      </c>
      <c r="N1708" s="123">
        <f>HYPERLINK("#Трудозатраты!B653",Трудозатраты!B653+SUMIF(I1709,"*",O1709))</f>
        <v>0.7</v>
      </c>
      <c r="O1708" s="89">
        <f>N1708*J1708</f>
        <v>0.7</v>
      </c>
      <c r="P1708" s="88">
        <f>O1708/60*(1+запас_труд)*стоимость_трудочаса</f>
        <v>27.416666666666664</v>
      </c>
      <c r="Q1708" s="128">
        <f>M1708*(1+наценка_покупное)+P1708</f>
        <v>101.43266666666665</v>
      </c>
    </row>
    <row r="1709" spans="6:17" hidden="1" outlineLevel="7" x14ac:dyDescent="0.25">
      <c r="I1709" s="76" t="s">
        <v>115</v>
      </c>
      <c r="J1709" s="78">
        <f>HYPERLINK("#Структура!E2637",Структура!E2637)</f>
        <v>0.51400000000000001</v>
      </c>
      <c r="K1709" s="114" t="str">
        <f>HYPERLINK("#Структура!G2637","")</f>
        <v/>
      </c>
      <c r="L1709" s="120">
        <f>HYPERLINK("#Покупные_изделия!D289",Покупные_изделия!D289)</f>
        <v>120</v>
      </c>
      <c r="M1709" s="76">
        <f>J1709*L1709</f>
        <v>61.68</v>
      </c>
      <c r="N1709" s="77"/>
      <c r="O1709" s="77"/>
      <c r="P1709" s="76"/>
      <c r="Q1709" s="76"/>
    </row>
    <row r="1710" spans="6:17" hidden="1" outlineLevel="6" collapsed="1" x14ac:dyDescent="0.25">
      <c r="H1710" s="103" t="s">
        <v>1364</v>
      </c>
      <c r="I1710" s="81"/>
      <c r="J1710" s="83">
        <f>HYPERLINK("#Структура!E2631",Структура!E2631)</f>
        <v>1</v>
      </c>
      <c r="K1710" s="115">
        <f>HYPERLINK("#Структура!G2631",Структура!G2631)</f>
        <v>0.34426000000000001</v>
      </c>
      <c r="L1710" s="81">
        <f>M1710/J1710</f>
        <v>80.400000000000006</v>
      </c>
      <c r="M1710" s="81">
        <f>SUMIF(I1711,"*",M1711)*J1710</f>
        <v>80.400000000000006</v>
      </c>
      <c r="N1710" s="124">
        <f>HYPERLINK("#Трудозатраты!B654",Трудозатраты!B654+SUMIF(I1711,"*",O1711))</f>
        <v>0.8</v>
      </c>
      <c r="O1710" s="82">
        <f>N1710*J1710</f>
        <v>0.8</v>
      </c>
      <c r="P1710" s="81">
        <f>O1710/60*(1+запас_труд)*стоимость_трудочаса</f>
        <v>31.333333333333336</v>
      </c>
      <c r="Q1710" s="129">
        <f>M1710*(1+наценка_покупное)+P1710</f>
        <v>127.81333333333333</v>
      </c>
    </row>
    <row r="1711" spans="6:17" hidden="1" outlineLevel="7" x14ac:dyDescent="0.25">
      <c r="I1711" s="76" t="s">
        <v>115</v>
      </c>
      <c r="J1711" s="78">
        <f>HYPERLINK("#Структура!E2638",Структура!E2638)</f>
        <v>0.67</v>
      </c>
      <c r="K1711" s="114" t="str">
        <f>HYPERLINK("#Структура!G2638","")</f>
        <v/>
      </c>
      <c r="L1711" s="120">
        <f>HYPERLINK("#Покупные_изделия!D289",Покупные_изделия!D289)</f>
        <v>120</v>
      </c>
      <c r="M1711" s="76">
        <f>J1711*L1711</f>
        <v>80.400000000000006</v>
      </c>
      <c r="N1711" s="77"/>
      <c r="O1711" s="77"/>
      <c r="P1711" s="76"/>
      <c r="Q1711" s="76"/>
    </row>
    <row r="1712" spans="6:17" hidden="1" outlineLevel="6" collapsed="1" x14ac:dyDescent="0.25">
      <c r="H1712" s="103" t="s">
        <v>1365</v>
      </c>
      <c r="I1712" s="81"/>
      <c r="J1712" s="83">
        <f>HYPERLINK("#Структура!E2632",Структура!E2632)</f>
        <v>2</v>
      </c>
      <c r="K1712" s="115">
        <f>HYPERLINK("#Структура!G2632",Структура!G2632)</f>
        <v>0.14924000000000001</v>
      </c>
      <c r="L1712" s="81">
        <f>M1712/J1712</f>
        <v>21.84</v>
      </c>
      <c r="M1712" s="81">
        <f>SUMIF(I1713,"*",M1713)*J1712</f>
        <v>43.68</v>
      </c>
      <c r="N1712" s="124">
        <f>HYPERLINK("#Трудозатраты!B655",Трудозатраты!B655+SUMIF(I1713,"*",O1713))</f>
        <v>0.5</v>
      </c>
      <c r="O1712" s="82">
        <f>N1712*J1712</f>
        <v>1</v>
      </c>
      <c r="P1712" s="81">
        <f>O1712/60*(1+запас_труд)*стоимость_трудочаса</f>
        <v>39.166666666666664</v>
      </c>
      <c r="Q1712" s="129">
        <f>M1712*(1+наценка_покупное)+P1712</f>
        <v>91.582666666666654</v>
      </c>
    </row>
    <row r="1713" spans="7:17" hidden="1" outlineLevel="7" x14ac:dyDescent="0.25">
      <c r="I1713" s="76" t="s">
        <v>115</v>
      </c>
      <c r="J1713" s="78">
        <f>HYPERLINK("#Структура!E2639",Структура!E2639)</f>
        <v>0.182</v>
      </c>
      <c r="K1713" s="114" t="str">
        <f>HYPERLINK("#Структура!G2639","")</f>
        <v/>
      </c>
      <c r="L1713" s="120">
        <f>HYPERLINK("#Покупные_изделия!D289",Покупные_изделия!D289)</f>
        <v>120</v>
      </c>
      <c r="M1713" s="76">
        <f>J1713*L1713</f>
        <v>21.84</v>
      </c>
      <c r="N1713" s="77"/>
      <c r="O1713" s="77"/>
      <c r="P1713" s="76"/>
      <c r="Q1713" s="76"/>
    </row>
    <row r="1714" spans="7:17" hidden="1" outlineLevel="6" collapsed="1" x14ac:dyDescent="0.25">
      <c r="H1714" s="103" t="s">
        <v>1366</v>
      </c>
      <c r="I1714" s="81"/>
      <c r="J1714" s="83">
        <f>HYPERLINK("#Структура!E2633",Структура!E2633)</f>
        <v>1</v>
      </c>
      <c r="K1714" s="115">
        <f>HYPERLINK("#Структура!G2633",Структура!G2633)</f>
        <v>0.10181999999999999</v>
      </c>
      <c r="L1714" s="81">
        <f>M1714/J1714</f>
        <v>15.600000000000001</v>
      </c>
      <c r="M1714" s="81">
        <f>SUMIF(I1715,"*",M1715)*J1714</f>
        <v>15.600000000000001</v>
      </c>
      <c r="N1714" s="124">
        <f>HYPERLINK("#Трудозатраты!B656",Трудозатраты!B656+SUMIF(I1715,"*",O1715))</f>
        <v>1.1000000000000001</v>
      </c>
      <c r="O1714" s="82">
        <f>N1714*J1714</f>
        <v>1.1000000000000001</v>
      </c>
      <c r="P1714" s="81">
        <f>O1714/60*(1+запас_труд)*стоимость_трудочаса</f>
        <v>43.083333333333336</v>
      </c>
      <c r="Q1714" s="129">
        <f>M1714*(1+наценка_покупное)+P1714</f>
        <v>61.803333333333342</v>
      </c>
    </row>
    <row r="1715" spans="7:17" hidden="1" outlineLevel="7" x14ac:dyDescent="0.25">
      <c r="I1715" s="76" t="s">
        <v>117</v>
      </c>
      <c r="J1715" s="78">
        <f>HYPERLINK("#Структура!E2640",Структура!E2640)</f>
        <v>0.13</v>
      </c>
      <c r="K1715" s="114" t="str">
        <f>HYPERLINK("#Структура!G2640","")</f>
        <v/>
      </c>
      <c r="L1715" s="120">
        <f>HYPERLINK("#Покупные_изделия!D292",Покупные_изделия!D292)</f>
        <v>120</v>
      </c>
      <c r="M1715" s="76">
        <f>J1715*L1715</f>
        <v>15.600000000000001</v>
      </c>
      <c r="N1715" s="77"/>
      <c r="O1715" s="77"/>
      <c r="P1715" s="76"/>
      <c r="Q1715" s="76"/>
    </row>
    <row r="1716" spans="7:17" hidden="1" outlineLevel="6" collapsed="1" x14ac:dyDescent="0.25">
      <c r="H1716" s="103" t="s">
        <v>1367</v>
      </c>
      <c r="I1716" s="81"/>
      <c r="J1716" s="83">
        <f>HYPERLINK("#Структура!E2634",Структура!E2634)</f>
        <v>1</v>
      </c>
      <c r="K1716" s="115">
        <f>HYPERLINK("#Структура!G2634",Структура!G2634)</f>
        <v>0.16932</v>
      </c>
      <c r="L1716" s="81">
        <f>M1716/J1716</f>
        <v>18</v>
      </c>
      <c r="M1716" s="81">
        <f>SUMIF(I1717,"*",M1717)*J1716</f>
        <v>18</v>
      </c>
      <c r="N1716" s="124">
        <f>HYPERLINK("#Трудозатраты!B657",Трудозатраты!B657+SUMIF(I1717,"*",O1717))</f>
        <v>12.67</v>
      </c>
      <c r="O1716" s="82">
        <f>N1716*J1716</f>
        <v>12.67</v>
      </c>
      <c r="P1716" s="81">
        <f>O1716/60*(1+запас_труд)*стоимость_трудочаса</f>
        <v>496.24166666666667</v>
      </c>
      <c r="Q1716" s="129">
        <f>M1716*(1+наценка_покупное)+P1716</f>
        <v>517.8416666666667</v>
      </c>
    </row>
    <row r="1717" spans="7:17" hidden="1" outlineLevel="7" x14ac:dyDescent="0.25">
      <c r="I1717" s="76" t="s">
        <v>75</v>
      </c>
      <c r="J1717" s="78">
        <f>HYPERLINK("#Структура!E2641",Структура!E2641)</f>
        <v>0.18</v>
      </c>
      <c r="K1717" s="114" t="str">
        <f>HYPERLINK("#Структура!G2641","")</f>
        <v/>
      </c>
      <c r="L1717" s="120">
        <f>HYPERLINK("#Покупные_изделия!D244",Покупные_изделия!D244)</f>
        <v>100</v>
      </c>
      <c r="M1717" s="76">
        <f>J1717*L1717</f>
        <v>18</v>
      </c>
      <c r="N1717" s="77"/>
      <c r="O1717" s="77"/>
      <c r="P1717" s="76"/>
      <c r="Q1717" s="76"/>
    </row>
    <row r="1718" spans="7:17" hidden="1" outlineLevel="6" x14ac:dyDescent="0.25">
      <c r="H1718" s="75" t="s">
        <v>67</v>
      </c>
      <c r="I1718" s="76"/>
      <c r="J1718" s="78">
        <f>HYPERLINK("#Структура!E2635",Структура!E2635)</f>
        <v>7.3999999999999996E-2</v>
      </c>
      <c r="K1718" s="114" t="str">
        <f>HYPERLINK("#Структура!G2635","")</f>
        <v/>
      </c>
      <c r="L1718" s="120">
        <f>HYPERLINK("#Покупные_изделия!D203",Покупные_изделия!D203)</f>
        <v>30.003600000000002</v>
      </c>
      <c r="M1718" s="76">
        <f>J1718*L1718</f>
        <v>2.2202663999999999</v>
      </c>
      <c r="N1718" s="77"/>
      <c r="O1718" s="77"/>
      <c r="P1718" s="76"/>
      <c r="Q1718" s="76"/>
    </row>
    <row r="1719" spans="7:17" hidden="1" outlineLevel="6" x14ac:dyDescent="0.25">
      <c r="H1719" s="75" t="s">
        <v>146</v>
      </c>
      <c r="I1719" s="76"/>
      <c r="J1719" s="78">
        <f>HYPERLINK("#Структура!E2636",Структура!E2636)</f>
        <v>4.3999999999999997E-2</v>
      </c>
      <c r="K1719" s="114" t="str">
        <f>HYPERLINK("#Структура!G2636","")</f>
        <v/>
      </c>
      <c r="L1719" s="120">
        <f>HYPERLINK("#Покупные_изделия!D406",Покупные_изделия!D406)</f>
        <v>105.996</v>
      </c>
      <c r="M1719" s="76">
        <f>J1719*L1719</f>
        <v>4.6638239999999991</v>
      </c>
      <c r="N1719" s="77"/>
      <c r="O1719" s="77"/>
      <c r="P1719" s="76"/>
      <c r="Q1719" s="76"/>
    </row>
    <row r="1720" spans="7:17" hidden="1" outlineLevel="5" collapsed="1" x14ac:dyDescent="0.25">
      <c r="G1720" s="84" t="s">
        <v>1358</v>
      </c>
      <c r="H1720" s="80"/>
      <c r="I1720" s="81"/>
      <c r="J1720" s="83">
        <f>HYPERLINK("#Структура!E2608",Структура!E2608)</f>
        <v>1</v>
      </c>
      <c r="K1720" s="115">
        <f>HYPERLINK("#Структура!G2608",Структура!G2608)</f>
        <v>1.1667000000000001</v>
      </c>
      <c r="L1720" s="81">
        <f>M1720/J1720</f>
        <v>238.18208759999999</v>
      </c>
      <c r="M1720" s="81">
        <f>SUMIF(H1721:H1723,"*",M1721:M1723)*J1720</f>
        <v>238.18208759999999</v>
      </c>
      <c r="N1720" s="124">
        <f>HYPERLINK("#Трудозатраты!B647",Трудозатраты!B647+SUMIF(H1721:H1723,"*",O1721:O1723))</f>
        <v>19.25</v>
      </c>
      <c r="O1720" s="82">
        <f>N1720*J1720</f>
        <v>19.25</v>
      </c>
      <c r="P1720" s="81">
        <f>O1720/60*(1+запас_труд)*стоимость_трудочаса</f>
        <v>753.95833333333337</v>
      </c>
      <c r="Q1720" s="129">
        <f>M1720*(1+наценка_покупное)+P1720</f>
        <v>1039.7768384533333</v>
      </c>
    </row>
    <row r="1721" spans="7:17" hidden="1" outlineLevel="6" x14ac:dyDescent="0.25">
      <c r="H1721" s="75" t="s">
        <v>67</v>
      </c>
      <c r="I1721" s="76"/>
      <c r="J1721" s="78">
        <f>HYPERLINK("#Структура!E2619",Структура!E2619)</f>
        <v>7.0999999999999994E-2</v>
      </c>
      <c r="K1721" s="114" t="str">
        <f>HYPERLINK("#Структура!G2619","")</f>
        <v/>
      </c>
      <c r="L1721" s="120">
        <f>HYPERLINK("#Покупные_изделия!D203",Покупные_изделия!D203)</f>
        <v>30.003600000000002</v>
      </c>
      <c r="M1721" s="76">
        <f>J1721*L1721</f>
        <v>2.1302555999999999</v>
      </c>
      <c r="N1721" s="77"/>
      <c r="O1721" s="77"/>
      <c r="P1721" s="76"/>
      <c r="Q1721" s="76"/>
    </row>
    <row r="1722" spans="7:17" hidden="1" outlineLevel="6" x14ac:dyDescent="0.25">
      <c r="H1722" s="75" t="s">
        <v>109</v>
      </c>
      <c r="I1722" s="76"/>
      <c r="J1722" s="78">
        <f>HYPERLINK("#Структура!E2620",Структура!E2620)</f>
        <v>1.93</v>
      </c>
      <c r="K1722" s="114" t="str">
        <f>HYPERLINK("#Структура!G2620","")</f>
        <v/>
      </c>
      <c r="L1722" s="120">
        <f>HYPERLINK("#Покупные_изделия!D281",Покупные_изделия!D281)</f>
        <v>120</v>
      </c>
      <c r="M1722" s="76">
        <f>J1722*L1722</f>
        <v>231.6</v>
      </c>
      <c r="N1722" s="77"/>
      <c r="O1722" s="77"/>
      <c r="P1722" s="76"/>
      <c r="Q1722" s="76"/>
    </row>
    <row r="1723" spans="7:17" hidden="1" outlineLevel="6" x14ac:dyDescent="0.25">
      <c r="H1723" s="75" t="s">
        <v>146</v>
      </c>
      <c r="I1723" s="76"/>
      <c r="J1723" s="78">
        <f>HYPERLINK("#Структура!E2621",Структура!E2621)</f>
        <v>4.2000000000000003E-2</v>
      </c>
      <c r="K1723" s="114" t="str">
        <f>HYPERLINK("#Структура!G2621","")</f>
        <v/>
      </c>
      <c r="L1723" s="120">
        <f>HYPERLINK("#Покупные_изделия!D406",Покупные_изделия!D406)</f>
        <v>105.996</v>
      </c>
      <c r="M1723" s="76">
        <f>J1723*L1723</f>
        <v>4.4518320000000005</v>
      </c>
      <c r="N1723" s="77"/>
      <c r="O1723" s="77"/>
      <c r="P1723" s="76"/>
      <c r="Q1723" s="76"/>
    </row>
    <row r="1724" spans="7:17" hidden="1" outlineLevel="5" collapsed="1" x14ac:dyDescent="0.25">
      <c r="G1724" s="84" t="s">
        <v>1359</v>
      </c>
      <c r="H1724" s="80"/>
      <c r="I1724" s="81"/>
      <c r="J1724" s="83">
        <f>HYPERLINK("#Структура!E2609",Структура!E2609)</f>
        <v>1</v>
      </c>
      <c r="K1724" s="115">
        <f>HYPERLINK("#Структура!G2609",Структура!G2609)</f>
        <v>0.57042999999999999</v>
      </c>
      <c r="L1724" s="81">
        <f>M1724/J1724</f>
        <v>85.102015200000011</v>
      </c>
      <c r="M1724" s="81">
        <f>SUMIF(H1725:H1727,"*",M1725:M1727)*J1724</f>
        <v>85.102015200000011</v>
      </c>
      <c r="N1724" s="124">
        <f>HYPERLINK("#Трудозатраты!B648",Трудозатраты!B648+SUMIF(H1725:H1727,"*",O1725:O1727))</f>
        <v>46.1</v>
      </c>
      <c r="O1724" s="82">
        <f>N1724*J1724</f>
        <v>46.1</v>
      </c>
      <c r="P1724" s="81">
        <f>O1724/60*(1+запас_труд)*стоимость_трудочаса</f>
        <v>1805.5833333333333</v>
      </c>
      <c r="Q1724" s="129">
        <f>M1724*(1+наценка_покупное)+P1724</f>
        <v>1907.7057515733334</v>
      </c>
    </row>
    <row r="1725" spans="7:17" hidden="1" outlineLevel="6" x14ac:dyDescent="0.25">
      <c r="H1725" s="75" t="s">
        <v>67</v>
      </c>
      <c r="I1725" s="76"/>
      <c r="J1725" s="78">
        <f>HYPERLINK("#Структура!E2622",Структура!E2622)</f>
        <v>1.2E-2</v>
      </c>
      <c r="K1725" s="114" t="str">
        <f>HYPERLINK("#Структура!G2622","")</f>
        <v/>
      </c>
      <c r="L1725" s="120">
        <f>HYPERLINK("#Покупные_изделия!D203",Покупные_изделия!D203)</f>
        <v>30.003600000000002</v>
      </c>
      <c r="M1725" s="76">
        <f>J1725*L1725</f>
        <v>0.36004320000000001</v>
      </c>
      <c r="N1725" s="77"/>
      <c r="O1725" s="77"/>
      <c r="P1725" s="76"/>
      <c r="Q1725" s="76"/>
    </row>
    <row r="1726" spans="7:17" hidden="1" outlineLevel="6" x14ac:dyDescent="0.25">
      <c r="H1726" s="75" t="s">
        <v>116</v>
      </c>
      <c r="I1726" s="76"/>
      <c r="J1726" s="78">
        <f>HYPERLINK("#Структура!E2623",Структура!E2623)</f>
        <v>0.7</v>
      </c>
      <c r="K1726" s="114" t="str">
        <f>HYPERLINK("#Структура!G2623","")</f>
        <v/>
      </c>
      <c r="L1726" s="120">
        <f>HYPERLINK("#Покупные_изделия!D291",Покупные_изделия!D291)</f>
        <v>120</v>
      </c>
      <c r="M1726" s="76">
        <f>J1726*L1726</f>
        <v>84</v>
      </c>
      <c r="N1726" s="77"/>
      <c r="O1726" s="77"/>
      <c r="P1726" s="76"/>
      <c r="Q1726" s="76"/>
    </row>
    <row r="1727" spans="7:17" hidden="1" outlineLevel="6" x14ac:dyDescent="0.25">
      <c r="H1727" s="75" t="s">
        <v>146</v>
      </c>
      <c r="I1727" s="76"/>
      <c r="J1727" s="78">
        <f>HYPERLINK("#Структура!E2624",Структура!E2624)</f>
        <v>7.0000000000000001E-3</v>
      </c>
      <c r="K1727" s="114" t="str">
        <f>HYPERLINK("#Структура!G2624","")</f>
        <v/>
      </c>
      <c r="L1727" s="120">
        <f>HYPERLINK("#Покупные_изделия!D406",Покупные_изделия!D406)</f>
        <v>105.996</v>
      </c>
      <c r="M1727" s="76">
        <f>J1727*L1727</f>
        <v>0.74197199999999996</v>
      </c>
      <c r="N1727" s="77"/>
      <c r="O1727" s="77"/>
      <c r="P1727" s="76"/>
      <c r="Q1727" s="76"/>
    </row>
    <row r="1728" spans="7:17" hidden="1" outlineLevel="5" collapsed="1" x14ac:dyDescent="0.25">
      <c r="G1728" s="84" t="s">
        <v>1360</v>
      </c>
      <c r="H1728" s="80"/>
      <c r="I1728" s="81"/>
      <c r="J1728" s="83">
        <f>HYPERLINK("#Структура!E2610",Структура!E2610)</f>
        <v>1</v>
      </c>
      <c r="K1728" s="115">
        <f>HYPERLINK("#Структура!G2610",Структура!G2610)</f>
        <v>0.30038999999999999</v>
      </c>
      <c r="L1728" s="81">
        <f>M1728/J1728</f>
        <v>54</v>
      </c>
      <c r="M1728" s="81">
        <f>SUMIF(H1729,"*",M1729)*J1728</f>
        <v>54</v>
      </c>
      <c r="N1728" s="124">
        <f>HYPERLINK("#Трудозатраты!B649",Трудозатраты!B649+SUMIF(H1729,"*",O1729))</f>
        <v>30.9</v>
      </c>
      <c r="O1728" s="82">
        <f>N1728*J1728</f>
        <v>30.9</v>
      </c>
      <c r="P1728" s="81">
        <f>O1728/60*(1+запас_труд)*стоимость_трудочаса</f>
        <v>1210.25</v>
      </c>
      <c r="Q1728" s="129">
        <f>M1728*(1+наценка_покупное)+P1728</f>
        <v>1275.05</v>
      </c>
    </row>
    <row r="1729" spans="6:17" hidden="1" outlineLevel="6" x14ac:dyDescent="0.25">
      <c r="H1729" s="75" t="s">
        <v>113</v>
      </c>
      <c r="I1729" s="76"/>
      <c r="J1729" s="78">
        <f>HYPERLINK("#Структура!E2625",Структура!E2625)</f>
        <v>0.45</v>
      </c>
      <c r="K1729" s="114" t="str">
        <f>HYPERLINK("#Структура!G2625","")</f>
        <v/>
      </c>
      <c r="L1729" s="120">
        <f>HYPERLINK("#Покупные_изделия!D286",Покупные_изделия!D286)</f>
        <v>120</v>
      </c>
      <c r="M1729" s="76">
        <f>J1729*L1729</f>
        <v>54</v>
      </c>
      <c r="N1729" s="77"/>
      <c r="O1729" s="77"/>
      <c r="P1729" s="76"/>
      <c r="Q1729" s="76"/>
    </row>
    <row r="1730" spans="6:17" hidden="1" outlineLevel="5" collapsed="1" x14ac:dyDescent="0.25">
      <c r="G1730" s="84" t="s">
        <v>1361</v>
      </c>
      <c r="H1730" s="80"/>
      <c r="I1730" s="81"/>
      <c r="J1730" s="83">
        <f>HYPERLINK("#Структура!E2611",Структура!E2611)</f>
        <v>1</v>
      </c>
      <c r="K1730" s="115">
        <f>HYPERLINK("#Структура!G2611",Структура!G2611)</f>
        <v>0.68423999999999996</v>
      </c>
      <c r="L1730" s="81">
        <f>M1730/J1730</f>
        <v>96</v>
      </c>
      <c r="M1730" s="81">
        <f>SUMIF(H1731,"*",M1731)*J1730</f>
        <v>96</v>
      </c>
      <c r="N1730" s="124">
        <f>HYPERLINK("#Трудозатраты!B650",Трудозатраты!B650+SUMIF(H1731,"*",O1731))</f>
        <v>33</v>
      </c>
      <c r="O1730" s="82">
        <f>N1730*J1730</f>
        <v>33</v>
      </c>
      <c r="P1730" s="81">
        <f>O1730/60*(1+запас_труд)*стоимость_трудочаса</f>
        <v>1292.5</v>
      </c>
      <c r="Q1730" s="129">
        <f>M1730*(1+наценка_покупное)+P1730</f>
        <v>1407.7</v>
      </c>
    </row>
    <row r="1731" spans="6:17" hidden="1" outlineLevel="6" x14ac:dyDescent="0.25">
      <c r="H1731" s="75" t="s">
        <v>183</v>
      </c>
      <c r="I1731" s="76"/>
      <c r="J1731" s="78">
        <f>HYPERLINK("#Структура!E2626",Структура!E2626)</f>
        <v>0.8</v>
      </c>
      <c r="K1731" s="114" t="str">
        <f>HYPERLINK("#Структура!G2626","")</f>
        <v/>
      </c>
      <c r="L1731" s="120">
        <f>HYPERLINK("#Покупные_изделия!D494",Покупные_изделия!D494)</f>
        <v>120</v>
      </c>
      <c r="M1731" s="76">
        <f>J1731*L1731</f>
        <v>96</v>
      </c>
      <c r="N1731" s="77"/>
      <c r="O1731" s="77"/>
      <c r="P1731" s="76"/>
      <c r="Q1731" s="76"/>
    </row>
    <row r="1732" spans="6:17" hidden="1" outlineLevel="5" collapsed="1" x14ac:dyDescent="0.25">
      <c r="G1732" s="84" t="s">
        <v>1362</v>
      </c>
      <c r="H1732" s="80"/>
      <c r="I1732" s="81"/>
      <c r="J1732" s="83">
        <f>HYPERLINK("#Структура!E2612",Структура!E2612)</f>
        <v>1</v>
      </c>
      <c r="K1732" s="115">
        <f>HYPERLINK("#Структура!G2612",Структура!G2612)</f>
        <v>8.3070000000000005E-2</v>
      </c>
      <c r="L1732" s="81">
        <f>M1732/J1732</f>
        <v>33.634009199999994</v>
      </c>
      <c r="M1732" s="81">
        <f>SUMIF(H1733:H1735,"*",M1733:M1735)*J1732</f>
        <v>33.634009199999994</v>
      </c>
      <c r="N1732" s="124">
        <f>HYPERLINK("#Трудозатраты!B651",Трудозатраты!B651+SUMIF(H1733:H1735,"*",O1733:O1735))</f>
        <v>13.225000000000001</v>
      </c>
      <c r="O1732" s="82">
        <f>N1732*J1732</f>
        <v>13.225000000000001</v>
      </c>
      <c r="P1732" s="81">
        <f>O1732/60*(1+запас_труд)*стоимость_трудочаса</f>
        <v>517.97916666666674</v>
      </c>
      <c r="Q1732" s="129">
        <f>M1732*(1+наценка_покупное)+P1732</f>
        <v>558.33997770666679</v>
      </c>
    </row>
    <row r="1733" spans="6:17" hidden="1" outlineLevel="6" x14ac:dyDescent="0.25">
      <c r="H1733" s="75" t="s">
        <v>67</v>
      </c>
      <c r="I1733" s="76"/>
      <c r="J1733" s="78">
        <f>HYPERLINK("#Структура!E2627",Структура!E2627)</f>
        <v>7.0000000000000001E-3</v>
      </c>
      <c r="K1733" s="114" t="str">
        <f>HYPERLINK("#Структура!G2627","")</f>
        <v/>
      </c>
      <c r="L1733" s="120">
        <f>HYPERLINK("#Покупные_изделия!D203",Покупные_изделия!D203)</f>
        <v>30.003600000000002</v>
      </c>
      <c r="M1733" s="76">
        <f t="shared" ref="M1733:M1741" si="67">J1733*L1733</f>
        <v>0.21002520000000002</v>
      </c>
      <c r="N1733" s="77"/>
      <c r="O1733" s="77"/>
      <c r="P1733" s="76"/>
      <c r="Q1733" s="76"/>
    </row>
    <row r="1734" spans="6:17" hidden="1" outlineLevel="6" x14ac:dyDescent="0.25">
      <c r="H1734" s="75" t="s">
        <v>108</v>
      </c>
      <c r="I1734" s="76"/>
      <c r="J1734" s="78">
        <f>HYPERLINK("#Структура!E2628",Структура!E2628)</f>
        <v>0.11</v>
      </c>
      <c r="K1734" s="114" t="str">
        <f>HYPERLINK("#Структура!G2628","")</f>
        <v/>
      </c>
      <c r="L1734" s="120">
        <f>HYPERLINK("#Покупные_изделия!D280",Покупные_изделия!D280)</f>
        <v>300</v>
      </c>
      <c r="M1734" s="76">
        <f t="shared" si="67"/>
        <v>33</v>
      </c>
      <c r="N1734" s="77"/>
      <c r="O1734" s="77"/>
      <c r="P1734" s="76"/>
      <c r="Q1734" s="76"/>
    </row>
    <row r="1735" spans="6:17" hidden="1" outlineLevel="6" x14ac:dyDescent="0.25">
      <c r="H1735" s="75" t="s">
        <v>146</v>
      </c>
      <c r="I1735" s="76"/>
      <c r="J1735" s="78">
        <f>HYPERLINK("#Структура!E2629",Структура!E2629)</f>
        <v>4.0000000000000001E-3</v>
      </c>
      <c r="K1735" s="114" t="str">
        <f>HYPERLINK("#Структура!G2629","")</f>
        <v/>
      </c>
      <c r="L1735" s="120">
        <f>HYPERLINK("#Покупные_изделия!D406",Покупные_изделия!D406)</f>
        <v>105.996</v>
      </c>
      <c r="M1735" s="76">
        <f t="shared" si="67"/>
        <v>0.42398399999999997</v>
      </c>
      <c r="N1735" s="77"/>
      <c r="O1735" s="77"/>
      <c r="P1735" s="76"/>
      <c r="Q1735" s="76"/>
    </row>
    <row r="1736" spans="6:17" hidden="1" outlineLevel="5" x14ac:dyDescent="0.25">
      <c r="G1736" s="74" t="s">
        <v>65</v>
      </c>
      <c r="H1736" s="75"/>
      <c r="I1736" s="76"/>
      <c r="J1736" s="78">
        <f>HYPERLINK("#Структура!E2613",Структура!E2613)</f>
        <v>0.06</v>
      </c>
      <c r="K1736" s="114" t="str">
        <f>HYPERLINK("#Структура!G2613","")</f>
        <v/>
      </c>
      <c r="L1736" s="120">
        <f>HYPERLINK("#Покупные_изделия!D197",Покупные_изделия!D197)</f>
        <v>264.50399999999996</v>
      </c>
      <c r="M1736" s="76">
        <f t="shared" si="67"/>
        <v>15.870239999999997</v>
      </c>
      <c r="N1736" s="77"/>
      <c r="O1736" s="77"/>
      <c r="P1736" s="76"/>
      <c r="Q1736" s="76"/>
    </row>
    <row r="1737" spans="6:17" hidden="1" outlineLevel="5" x14ac:dyDescent="0.25">
      <c r="G1737" s="74" t="s">
        <v>67</v>
      </c>
      <c r="H1737" s="75"/>
      <c r="I1737" s="76"/>
      <c r="J1737" s="78">
        <f>HYPERLINK("#Структура!E2614",Структура!E2614)</f>
        <v>0.317</v>
      </c>
      <c r="K1737" s="114" t="str">
        <f>HYPERLINK("#Структура!G2614","")</f>
        <v/>
      </c>
      <c r="L1737" s="120">
        <f>HYPERLINK("#Покупные_изделия!D203",Покупные_изделия!D203)</f>
        <v>30.003600000000002</v>
      </c>
      <c r="M1737" s="76">
        <f t="shared" si="67"/>
        <v>9.5111412000000009</v>
      </c>
      <c r="N1737" s="77"/>
      <c r="O1737" s="77"/>
      <c r="P1737" s="76"/>
      <c r="Q1737" s="76"/>
    </row>
    <row r="1738" spans="6:17" hidden="1" outlineLevel="5" x14ac:dyDescent="0.25">
      <c r="G1738" s="74" t="s">
        <v>146</v>
      </c>
      <c r="H1738" s="75"/>
      <c r="I1738" s="76"/>
      <c r="J1738" s="78">
        <f>HYPERLINK("#Структура!E2615",Структура!E2615)</f>
        <v>0.186</v>
      </c>
      <c r="K1738" s="114" t="str">
        <f>HYPERLINK("#Структура!G2615","")</f>
        <v/>
      </c>
      <c r="L1738" s="120">
        <f>HYPERLINK("#Покупные_изделия!D406",Покупные_изделия!D406)</f>
        <v>105.996</v>
      </c>
      <c r="M1738" s="76">
        <f t="shared" si="67"/>
        <v>19.715256</v>
      </c>
      <c r="N1738" s="77"/>
      <c r="O1738" s="77"/>
      <c r="P1738" s="76"/>
      <c r="Q1738" s="76"/>
    </row>
    <row r="1739" spans="6:17" hidden="1" outlineLevel="5" x14ac:dyDescent="0.25">
      <c r="G1739" s="74" t="s">
        <v>155</v>
      </c>
      <c r="H1739" s="75"/>
      <c r="I1739" s="76"/>
      <c r="J1739" s="78">
        <f>HYPERLINK("#Структура!E2616",Структура!E2616)</f>
        <v>3.5999999999999997E-2</v>
      </c>
      <c r="K1739" s="114" t="str">
        <f>HYPERLINK("#Структура!G2616","")</f>
        <v/>
      </c>
      <c r="L1739" s="120">
        <f>HYPERLINK("#Покупные_изделия!D423",Покупные_изделия!D423)</f>
        <v>218.28</v>
      </c>
      <c r="M1739" s="76">
        <f t="shared" si="67"/>
        <v>7.8580799999999993</v>
      </c>
      <c r="N1739" s="77"/>
      <c r="O1739" s="77"/>
      <c r="P1739" s="76"/>
      <c r="Q1739" s="76"/>
    </row>
    <row r="1740" spans="6:17" hidden="1" outlineLevel="5" x14ac:dyDescent="0.25">
      <c r="G1740" s="74" t="s">
        <v>200</v>
      </c>
      <c r="H1740" s="75"/>
      <c r="I1740" s="76"/>
      <c r="J1740" s="78">
        <f>HYPERLINK("#Структура!E2617",Структура!E2617)</f>
        <v>8.0000000000000002E-3</v>
      </c>
      <c r="K1740" s="114" t="str">
        <f>HYPERLINK("#Структура!G2617","")</f>
        <v/>
      </c>
      <c r="L1740" s="120">
        <f>HYPERLINK("#Покупные_изделия!D518",Покупные_изделия!D518)</f>
        <v>270</v>
      </c>
      <c r="M1740" s="76">
        <f t="shared" si="67"/>
        <v>2.16</v>
      </c>
      <c r="N1740" s="77"/>
      <c r="O1740" s="77"/>
      <c r="P1740" s="76"/>
      <c r="Q1740" s="76"/>
    </row>
    <row r="1741" spans="6:17" hidden="1" outlineLevel="5" x14ac:dyDescent="0.25">
      <c r="G1741" s="74" t="s">
        <v>215</v>
      </c>
      <c r="H1741" s="75"/>
      <c r="I1741" s="76"/>
      <c r="J1741" s="78">
        <f>HYPERLINK("#Структура!E2618",Структура!E2618)</f>
        <v>0.12</v>
      </c>
      <c r="K1741" s="114" t="str">
        <f>HYPERLINK("#Структура!G2618","")</f>
        <v/>
      </c>
      <c r="L1741" s="120">
        <f>HYPERLINK("#Покупные_изделия!D567",Покупные_изделия!D567)</f>
        <v>405.74399999999997</v>
      </c>
      <c r="M1741" s="76">
        <f t="shared" si="67"/>
        <v>48.689279999999997</v>
      </c>
      <c r="N1741" s="77"/>
      <c r="O1741" s="77"/>
      <c r="P1741" s="76"/>
      <c r="Q1741" s="76"/>
    </row>
    <row r="1742" spans="6:17" hidden="1" outlineLevel="4" collapsed="1" x14ac:dyDescent="0.25">
      <c r="F1742" s="96" t="s">
        <v>1338</v>
      </c>
      <c r="G1742" s="91"/>
      <c r="H1742" s="92"/>
      <c r="I1742" s="93"/>
      <c r="J1742" s="95">
        <f>HYPERLINK("#Структура!E2516",Структура!E2516)</f>
        <v>2</v>
      </c>
      <c r="K1742" s="116">
        <f>HYPERLINK("#Структура!G2516",Структура!G2516)</f>
        <v>1.83558</v>
      </c>
      <c r="L1742" s="93">
        <f>M1742/J1742</f>
        <v>529.55071359999999</v>
      </c>
      <c r="M1742" s="93">
        <f>SUMIF(G1743:G1767,"*",M1743:M1767)*J1742</f>
        <v>1059.1014272</v>
      </c>
      <c r="N1742" s="125">
        <f>HYPERLINK("#Трудозатраты!B658",Трудозатраты!B658+SUMIF(G1743:G1767,"*",O1743:O1767))</f>
        <v>300.90000000000003</v>
      </c>
      <c r="O1742" s="94">
        <f>N1742*J1742</f>
        <v>601.80000000000007</v>
      </c>
      <c r="P1742" s="93">
        <f>O1742/60*(1+запас_труд)*стоимость_трудочаса</f>
        <v>23570.500000000004</v>
      </c>
      <c r="Q1742" s="130">
        <f>M1742*(1+наценка_покупное)+P1742</f>
        <v>24841.421712640004</v>
      </c>
    </row>
    <row r="1743" spans="6:17" hidden="1" outlineLevel="5" collapsed="1" x14ac:dyDescent="0.25">
      <c r="G1743" s="97" t="s">
        <v>1368</v>
      </c>
      <c r="H1743" s="99"/>
      <c r="I1743" s="100"/>
      <c r="J1743" s="102">
        <f>HYPERLINK("#Структура!E2642",Структура!E2642)</f>
        <v>1</v>
      </c>
      <c r="K1743" s="112">
        <f>HYPERLINK("#Структура!G2642",Структура!G2642)</f>
        <v>0.81493000000000004</v>
      </c>
      <c r="L1743" s="100">
        <f>M1743/J1743</f>
        <v>151.0501184</v>
      </c>
      <c r="M1743" s="100">
        <f>SUMIF(H1744:H1751,"*",M1744:M1751)*J1743</f>
        <v>151.0501184</v>
      </c>
      <c r="N1743" s="122">
        <f>HYPERLINK("#Трудозатраты!B660",Трудозатраты!B660+SUMIF(H1744:H1751,"*",O1744:O1751))</f>
        <v>103.4</v>
      </c>
      <c r="O1743" s="101">
        <f>N1743*J1743</f>
        <v>103.4</v>
      </c>
      <c r="P1743" s="100">
        <f>O1743/60*(1+запас_труд)*стоимость_трудочаса</f>
        <v>4049.8333333333335</v>
      </c>
      <c r="Q1743" s="127">
        <f>M1743*(1+наценка_покупное)+P1743</f>
        <v>4231.0934754133332</v>
      </c>
    </row>
    <row r="1744" spans="6:17" hidden="1" outlineLevel="6" collapsed="1" x14ac:dyDescent="0.25">
      <c r="H1744" s="104" t="s">
        <v>1371</v>
      </c>
      <c r="I1744" s="88"/>
      <c r="J1744" s="90">
        <f>HYPERLINK("#Структура!E2653",Структура!E2653)</f>
        <v>1</v>
      </c>
      <c r="K1744" s="113">
        <f>HYPERLINK("#Структура!G2653",Структура!G2653)</f>
        <v>0.29077999999999998</v>
      </c>
      <c r="L1744" s="88">
        <f>M1744/J1744</f>
        <v>60</v>
      </c>
      <c r="M1744" s="88">
        <f>SUMIF(I1745,"*",M1745)*J1744</f>
        <v>60</v>
      </c>
      <c r="N1744" s="123">
        <f>HYPERLINK("#Трудозатраты!B661",Трудозатраты!B661+SUMIF(I1745,"*",O1745))</f>
        <v>15.9</v>
      </c>
      <c r="O1744" s="89">
        <f>N1744*J1744</f>
        <v>15.9</v>
      </c>
      <c r="P1744" s="88">
        <f>O1744/60*(1+запас_труд)*стоимость_трудочаса</f>
        <v>622.75</v>
      </c>
      <c r="Q1744" s="128">
        <f>M1744*(1+наценка_покупное)+P1744</f>
        <v>694.75</v>
      </c>
    </row>
    <row r="1745" spans="7:17" hidden="1" outlineLevel="7" x14ac:dyDescent="0.25">
      <c r="I1745" s="76" t="s">
        <v>109</v>
      </c>
      <c r="J1745" s="78">
        <f>HYPERLINK("#Структура!E2658",Структура!E2658)</f>
        <v>0.5</v>
      </c>
      <c r="K1745" s="114" t="str">
        <f>HYPERLINK("#Структура!G2658","")</f>
        <v/>
      </c>
      <c r="L1745" s="120">
        <f>HYPERLINK("#Покупные_изделия!D281",Покупные_изделия!D281)</f>
        <v>120</v>
      </c>
      <c r="M1745" s="76">
        <f>J1745*L1745</f>
        <v>60</v>
      </c>
      <c r="N1745" s="77"/>
      <c r="O1745" s="77"/>
      <c r="P1745" s="76"/>
      <c r="Q1745" s="76"/>
    </row>
    <row r="1746" spans="7:17" hidden="1" outlineLevel="6" collapsed="1" x14ac:dyDescent="0.25">
      <c r="H1746" s="103" t="s">
        <v>1372</v>
      </c>
      <c r="I1746" s="81"/>
      <c r="J1746" s="83">
        <f>HYPERLINK("#Структура!E2654",Структура!E2654)</f>
        <v>1</v>
      </c>
      <c r="K1746" s="115">
        <f>HYPERLINK("#Структура!G2654",Структура!G2654)</f>
        <v>8.9849999999999999E-2</v>
      </c>
      <c r="L1746" s="81">
        <f>M1746/J1746</f>
        <v>26</v>
      </c>
      <c r="M1746" s="81">
        <f>SUMIF(I1747,"*",M1747)*J1746</f>
        <v>26</v>
      </c>
      <c r="N1746" s="124">
        <f>HYPERLINK("#Трудозатраты!B662",Трудозатраты!B662+SUMIF(I1747,"*",O1747))</f>
        <v>47</v>
      </c>
      <c r="O1746" s="82">
        <f>N1746*J1746</f>
        <v>47</v>
      </c>
      <c r="P1746" s="81">
        <f>O1746/60*(1+запас_труд)*стоимость_трудочаса</f>
        <v>1840.8333333333333</v>
      </c>
      <c r="Q1746" s="129">
        <f>M1746*(1+наценка_покупное)+P1746</f>
        <v>1872.0333333333333</v>
      </c>
    </row>
    <row r="1747" spans="7:17" hidden="1" outlineLevel="7" x14ac:dyDescent="0.25">
      <c r="I1747" s="76" t="s">
        <v>97</v>
      </c>
      <c r="J1747" s="78">
        <f>HYPERLINK("#Структура!E2659",Структура!E2659)</f>
        <v>0.26</v>
      </c>
      <c r="K1747" s="114" t="str">
        <f>HYPERLINK("#Структура!G2659","")</f>
        <v/>
      </c>
      <c r="L1747" s="120">
        <f>HYPERLINK("#Покупные_изделия!D266",Покупные_изделия!D266)</f>
        <v>100</v>
      </c>
      <c r="M1747" s="76">
        <f>J1747*L1747</f>
        <v>26</v>
      </c>
      <c r="N1747" s="77"/>
      <c r="O1747" s="77"/>
      <c r="P1747" s="76"/>
      <c r="Q1747" s="76"/>
    </row>
    <row r="1748" spans="7:17" hidden="1" outlineLevel="6" collapsed="1" x14ac:dyDescent="0.25">
      <c r="H1748" s="103" t="s">
        <v>1373</v>
      </c>
      <c r="I1748" s="81"/>
      <c r="J1748" s="83">
        <f>HYPERLINK("#Структура!E2655",Структура!E2655)</f>
        <v>1</v>
      </c>
      <c r="K1748" s="115">
        <f>HYPERLINK("#Структура!G2655",Структура!G2655)</f>
        <v>0.43430000000000002</v>
      </c>
      <c r="L1748" s="81">
        <f>M1748/J1748</f>
        <v>56.4</v>
      </c>
      <c r="M1748" s="81">
        <f>SUMIF(I1749,"*",M1749)*J1748</f>
        <v>56.4</v>
      </c>
      <c r="N1748" s="124">
        <f>HYPERLINK("#Трудозатраты!B663",Трудозатраты!B663+SUMIF(I1749,"*",O1749))</f>
        <v>31.5</v>
      </c>
      <c r="O1748" s="82">
        <f>N1748*J1748</f>
        <v>31.5</v>
      </c>
      <c r="P1748" s="81">
        <f>O1748/60*(1+запас_труд)*стоимость_трудочаса</f>
        <v>1233.75</v>
      </c>
      <c r="Q1748" s="129">
        <f>M1748*(1+наценка_покупное)+P1748</f>
        <v>1301.43</v>
      </c>
    </row>
    <row r="1749" spans="7:17" hidden="1" outlineLevel="7" x14ac:dyDescent="0.25">
      <c r="I1749" s="76" t="s">
        <v>180</v>
      </c>
      <c r="J1749" s="78">
        <f>HYPERLINK("#Структура!E2660",Структура!E2660)</f>
        <v>0.47</v>
      </c>
      <c r="K1749" s="114" t="str">
        <f>HYPERLINK("#Структура!G2660","")</f>
        <v/>
      </c>
      <c r="L1749" s="120">
        <f>HYPERLINK("#Покупные_изделия!D491",Покупные_изделия!D491)</f>
        <v>120</v>
      </c>
      <c r="M1749" s="76">
        <f>J1749*L1749</f>
        <v>56.4</v>
      </c>
      <c r="N1749" s="77"/>
      <c r="O1749" s="77"/>
      <c r="P1749" s="76"/>
      <c r="Q1749" s="76"/>
    </row>
    <row r="1750" spans="7:17" hidden="1" outlineLevel="6" x14ac:dyDescent="0.25">
      <c r="H1750" s="75" t="s">
        <v>67</v>
      </c>
      <c r="I1750" s="76"/>
      <c r="J1750" s="78">
        <f>HYPERLINK("#Структура!E2656",Структура!E2656)</f>
        <v>9.4E-2</v>
      </c>
      <c r="K1750" s="114" t="str">
        <f>HYPERLINK("#Структура!G2656","")</f>
        <v/>
      </c>
      <c r="L1750" s="120">
        <f>HYPERLINK("#Покупные_изделия!D203",Покупные_изделия!D203)</f>
        <v>30.003600000000002</v>
      </c>
      <c r="M1750" s="76">
        <f>J1750*L1750</f>
        <v>2.8203384000000002</v>
      </c>
      <c r="N1750" s="77"/>
      <c r="O1750" s="77"/>
      <c r="P1750" s="76"/>
      <c r="Q1750" s="76"/>
    </row>
    <row r="1751" spans="7:17" hidden="1" outlineLevel="6" x14ac:dyDescent="0.25">
      <c r="H1751" s="75" t="s">
        <v>146</v>
      </c>
      <c r="I1751" s="76"/>
      <c r="J1751" s="78">
        <f>HYPERLINK("#Структура!E2657",Структура!E2657)</f>
        <v>5.5E-2</v>
      </c>
      <c r="K1751" s="114" t="str">
        <f>HYPERLINK("#Структура!G2657","")</f>
        <v/>
      </c>
      <c r="L1751" s="120">
        <f>HYPERLINK("#Покупные_изделия!D406",Покупные_изделия!D406)</f>
        <v>105.996</v>
      </c>
      <c r="M1751" s="76">
        <f>J1751*L1751</f>
        <v>5.8297799999999995</v>
      </c>
      <c r="N1751" s="77"/>
      <c r="O1751" s="77"/>
      <c r="P1751" s="76"/>
      <c r="Q1751" s="76"/>
    </row>
    <row r="1752" spans="7:17" hidden="1" outlineLevel="5" collapsed="1" x14ac:dyDescent="0.25">
      <c r="G1752" s="96" t="s">
        <v>1369</v>
      </c>
      <c r="H1752" s="92"/>
      <c r="I1752" s="93"/>
      <c r="J1752" s="95">
        <f>HYPERLINK("#Структура!E2643",Структура!E2643)</f>
        <v>1</v>
      </c>
      <c r="K1752" s="116">
        <f>HYPERLINK("#Структура!G2643",Структура!G2643)</f>
        <v>0.16705</v>
      </c>
      <c r="L1752" s="93">
        <f>M1752/J1752</f>
        <v>43.310063599999999</v>
      </c>
      <c r="M1752" s="93">
        <f>SUMIF(H1753:H1758,"*",M1753:M1758)*J1752</f>
        <v>43.310063599999999</v>
      </c>
      <c r="N1752" s="125">
        <f>HYPERLINK("#Трудозатраты!B664",Трудозатраты!B664+SUMIF(H1753:H1758,"*",O1753:O1758))</f>
        <v>143.80000000000001</v>
      </c>
      <c r="O1752" s="94">
        <f>N1752*J1752</f>
        <v>143.80000000000001</v>
      </c>
      <c r="P1752" s="93">
        <f>O1752/60*(1+запас_труд)*стоимость_трудочаса</f>
        <v>5632.166666666667</v>
      </c>
      <c r="Q1752" s="130">
        <f>M1752*(1+наценка_покупное)+P1752</f>
        <v>5684.1387429866672</v>
      </c>
    </row>
    <row r="1753" spans="7:17" hidden="1" outlineLevel="6" collapsed="1" x14ac:dyDescent="0.25">
      <c r="H1753" s="104" t="s">
        <v>1372</v>
      </c>
      <c r="I1753" s="88"/>
      <c r="J1753" s="90">
        <f>HYPERLINK("#Структура!E2661",Структура!E2661)</f>
        <v>1</v>
      </c>
      <c r="K1753" s="113">
        <f>HYPERLINK("#Структура!G2661",Структура!G2661)</f>
        <v>8.9849999999999999E-2</v>
      </c>
      <c r="L1753" s="88">
        <f>M1753/J1753</f>
        <v>26</v>
      </c>
      <c r="M1753" s="88">
        <f>SUMIF(I1754,"*",M1754)*J1753</f>
        <v>26</v>
      </c>
      <c r="N1753" s="123">
        <f>HYPERLINK("#Трудозатраты!B662",Трудозатраты!B662+SUMIF(I1754,"*",O1754))</f>
        <v>47</v>
      </c>
      <c r="O1753" s="89">
        <f>N1753*J1753</f>
        <v>47</v>
      </c>
      <c r="P1753" s="88">
        <f>O1753/60*(1+запас_труд)*стоимость_трудочаса</f>
        <v>1840.8333333333333</v>
      </c>
      <c r="Q1753" s="128">
        <f>M1753*(1+наценка_покупное)+P1753</f>
        <v>1872.0333333333333</v>
      </c>
    </row>
    <row r="1754" spans="7:17" hidden="1" outlineLevel="7" x14ac:dyDescent="0.25">
      <c r="I1754" s="76" t="s">
        <v>97</v>
      </c>
      <c r="J1754" s="78">
        <f>HYPERLINK("#Структура!E2659",Структура!E2659)</f>
        <v>0.26</v>
      </c>
      <c r="K1754" s="114" t="str">
        <f>HYPERLINK("#Структура!G2659","")</f>
        <v/>
      </c>
      <c r="L1754" s="120">
        <f>HYPERLINK("#Покупные_изделия!D266",Покупные_изделия!D266)</f>
        <v>100</v>
      </c>
      <c r="M1754" s="76">
        <f>J1754*L1754</f>
        <v>26</v>
      </c>
      <c r="N1754" s="77"/>
      <c r="O1754" s="77"/>
      <c r="P1754" s="76"/>
      <c r="Q1754" s="76"/>
    </row>
    <row r="1755" spans="7:17" hidden="1" outlineLevel="6" collapsed="1" x14ac:dyDescent="0.25">
      <c r="H1755" s="103" t="s">
        <v>1374</v>
      </c>
      <c r="I1755" s="81"/>
      <c r="J1755" s="83">
        <f>HYPERLINK("#Структура!E2662",Структура!E2662)</f>
        <v>3</v>
      </c>
      <c r="K1755" s="115">
        <f>HYPERLINK("#Структура!G2662",Структура!G2662)</f>
        <v>2.5729999999999999E-2</v>
      </c>
      <c r="L1755" s="81">
        <f>M1755/J1755</f>
        <v>4.2</v>
      </c>
      <c r="M1755" s="81">
        <f>SUMIF(I1756,"*",M1756)*J1755</f>
        <v>12.600000000000001</v>
      </c>
      <c r="N1755" s="124">
        <f>HYPERLINK("#Трудозатраты!B665",Трудозатраты!B665+SUMIF(I1756,"*",O1756))</f>
        <v>28.6</v>
      </c>
      <c r="O1755" s="82">
        <f>N1755*J1755</f>
        <v>85.800000000000011</v>
      </c>
      <c r="P1755" s="81">
        <f>O1755/60*(1+запас_труд)*стоимость_трудочаса</f>
        <v>3360.5000000000005</v>
      </c>
      <c r="Q1755" s="129">
        <f>M1755*(1+наценка_покупное)+P1755</f>
        <v>3375.6200000000003</v>
      </c>
    </row>
    <row r="1756" spans="7:17" hidden="1" outlineLevel="7" x14ac:dyDescent="0.25">
      <c r="I1756" s="76" t="s">
        <v>78</v>
      </c>
      <c r="J1756" s="78">
        <f>HYPERLINK("#Структура!E2665",Структура!E2665)</f>
        <v>4.2000000000000003E-2</v>
      </c>
      <c r="K1756" s="114" t="str">
        <f>HYPERLINK("#Структура!G2665","")</f>
        <v/>
      </c>
      <c r="L1756" s="120">
        <f>HYPERLINK("#Покупные_изделия!D247",Покупные_изделия!D247)</f>
        <v>100</v>
      </c>
      <c r="M1756" s="76">
        <f>J1756*L1756</f>
        <v>4.2</v>
      </c>
      <c r="N1756" s="77"/>
      <c r="O1756" s="77"/>
      <c r="P1756" s="76"/>
      <c r="Q1756" s="76"/>
    </row>
    <row r="1757" spans="7:17" hidden="1" outlineLevel="6" x14ac:dyDescent="0.25">
      <c r="H1757" s="75" t="s">
        <v>67</v>
      </c>
      <c r="I1757" s="76"/>
      <c r="J1757" s="78">
        <f>HYPERLINK("#Структура!E2663",Структура!E2663)</f>
        <v>5.0999999999999997E-2</v>
      </c>
      <c r="K1757" s="114" t="str">
        <f>HYPERLINK("#Структура!G2663","")</f>
        <v/>
      </c>
      <c r="L1757" s="120">
        <f>HYPERLINK("#Покупные_изделия!D203",Покупные_изделия!D203)</f>
        <v>30.003600000000002</v>
      </c>
      <c r="M1757" s="76">
        <f>J1757*L1757</f>
        <v>1.5301836</v>
      </c>
      <c r="N1757" s="77"/>
      <c r="O1757" s="77"/>
      <c r="P1757" s="76"/>
      <c r="Q1757" s="76"/>
    </row>
    <row r="1758" spans="7:17" hidden="1" outlineLevel="6" x14ac:dyDescent="0.25">
      <c r="H1758" s="75" t="s">
        <v>146</v>
      </c>
      <c r="I1758" s="76"/>
      <c r="J1758" s="78">
        <f>HYPERLINK("#Структура!E2664",Структура!E2664)</f>
        <v>0.03</v>
      </c>
      <c r="K1758" s="114" t="str">
        <f>HYPERLINK("#Структура!G2664","")</f>
        <v/>
      </c>
      <c r="L1758" s="120">
        <f>HYPERLINK("#Покупные_изделия!D406",Покупные_изделия!D406)</f>
        <v>105.996</v>
      </c>
      <c r="M1758" s="76">
        <f>J1758*L1758</f>
        <v>3.1798799999999998</v>
      </c>
      <c r="N1758" s="77"/>
      <c r="O1758" s="77"/>
      <c r="P1758" s="76"/>
      <c r="Q1758" s="76"/>
    </row>
    <row r="1759" spans="7:17" hidden="1" outlineLevel="5" collapsed="1" x14ac:dyDescent="0.25">
      <c r="G1759" s="84" t="s">
        <v>1370</v>
      </c>
      <c r="H1759" s="80"/>
      <c r="I1759" s="81"/>
      <c r="J1759" s="83">
        <f>HYPERLINK("#Структура!E2644",Структура!E2644)</f>
        <v>1</v>
      </c>
      <c r="K1759" s="115">
        <f>HYPERLINK("#Структура!G2644",Структура!G2644)</f>
        <v>0.85358999999999996</v>
      </c>
      <c r="L1759" s="81">
        <f>M1759/J1759</f>
        <v>108</v>
      </c>
      <c r="M1759" s="81">
        <f>SUMIF(H1760,"*",M1760)*J1759</f>
        <v>108</v>
      </c>
      <c r="N1759" s="124">
        <f>HYPERLINK("#Трудозатраты!B659",Трудозатраты!B659+SUMIF(H1760,"*",O1760))</f>
        <v>37</v>
      </c>
      <c r="O1759" s="82">
        <f>N1759*J1759</f>
        <v>37</v>
      </c>
      <c r="P1759" s="81">
        <f>O1759/60*(1+запас_труд)*стоимость_трудочаса</f>
        <v>1449.1666666666667</v>
      </c>
      <c r="Q1759" s="129">
        <f>M1759*(1+наценка_покупное)+P1759</f>
        <v>1578.7666666666667</v>
      </c>
    </row>
    <row r="1760" spans="7:17" hidden="1" outlineLevel="6" x14ac:dyDescent="0.25">
      <c r="H1760" s="75" t="s">
        <v>177</v>
      </c>
      <c r="I1760" s="76"/>
      <c r="J1760" s="78">
        <f>HYPERLINK("#Структура!E2652",Структура!E2652)</f>
        <v>0.9</v>
      </c>
      <c r="K1760" s="114" t="str">
        <f>HYPERLINK("#Структура!G2652","")</f>
        <v/>
      </c>
      <c r="L1760" s="120">
        <f>HYPERLINK("#Покупные_изделия!D488",Покупные_изделия!D488)</f>
        <v>120</v>
      </c>
      <c r="M1760" s="76">
        <f t="shared" ref="M1760:M1767" si="68">J1760*L1760</f>
        <v>108</v>
      </c>
      <c r="N1760" s="77"/>
      <c r="O1760" s="77"/>
      <c r="P1760" s="76"/>
      <c r="Q1760" s="76"/>
    </row>
    <row r="1761" spans="6:17" hidden="1" outlineLevel="5" x14ac:dyDescent="0.25">
      <c r="G1761" s="74" t="s">
        <v>65</v>
      </c>
      <c r="H1761" s="75"/>
      <c r="I1761" s="76"/>
      <c r="J1761" s="78">
        <f>HYPERLINK("#Структура!E2645",Структура!E2645)</f>
        <v>1.4999999999999999E-2</v>
      </c>
      <c r="K1761" s="114" t="str">
        <f>HYPERLINK("#Структура!G2645","")</f>
        <v/>
      </c>
      <c r="L1761" s="120">
        <f>HYPERLINK("#Покупные_изделия!D197",Покупные_изделия!D197)</f>
        <v>264.50399999999996</v>
      </c>
      <c r="M1761" s="76">
        <f t="shared" si="68"/>
        <v>3.9675599999999993</v>
      </c>
      <c r="N1761" s="77"/>
      <c r="O1761" s="77"/>
      <c r="P1761" s="76"/>
      <c r="Q1761" s="76"/>
    </row>
    <row r="1762" spans="6:17" hidden="1" outlineLevel="5" x14ac:dyDescent="0.25">
      <c r="G1762" s="74" t="s">
        <v>67</v>
      </c>
      <c r="H1762" s="75"/>
      <c r="I1762" s="76"/>
      <c r="J1762" s="78">
        <f>HYPERLINK("#Структура!E2646",Структура!E2646)</f>
        <v>1.0999999999999999E-2</v>
      </c>
      <c r="K1762" s="114" t="str">
        <f>HYPERLINK("#Структура!G2646","")</f>
        <v/>
      </c>
      <c r="L1762" s="120">
        <f>HYPERLINK("#Покупные_изделия!D203",Покупные_изделия!D203)</f>
        <v>30.003600000000002</v>
      </c>
      <c r="M1762" s="76">
        <f t="shared" si="68"/>
        <v>0.33003959999999999</v>
      </c>
      <c r="N1762" s="77"/>
      <c r="O1762" s="77"/>
      <c r="P1762" s="76"/>
      <c r="Q1762" s="76"/>
    </row>
    <row r="1763" spans="6:17" hidden="1" outlineLevel="5" x14ac:dyDescent="0.25">
      <c r="G1763" s="74" t="s">
        <v>146</v>
      </c>
      <c r="H1763" s="75"/>
      <c r="I1763" s="76"/>
      <c r="J1763" s="78">
        <f>HYPERLINK("#Структура!E2647",Структура!E2647)</f>
        <v>6.0000000000000001E-3</v>
      </c>
      <c r="K1763" s="114" t="str">
        <f>HYPERLINK("#Структура!G2647","")</f>
        <v/>
      </c>
      <c r="L1763" s="120">
        <f>HYPERLINK("#Покупные_изделия!D406",Покупные_изделия!D406)</f>
        <v>105.996</v>
      </c>
      <c r="M1763" s="76">
        <f t="shared" si="68"/>
        <v>0.63597599999999999</v>
      </c>
      <c r="N1763" s="77"/>
      <c r="O1763" s="77"/>
      <c r="P1763" s="76"/>
      <c r="Q1763" s="76"/>
    </row>
    <row r="1764" spans="6:17" hidden="1" outlineLevel="5" x14ac:dyDescent="0.25">
      <c r="G1764" s="74" t="s">
        <v>155</v>
      </c>
      <c r="H1764" s="75"/>
      <c r="I1764" s="76"/>
      <c r="J1764" s="78">
        <f>HYPERLINK("#Структура!E2648",Структура!E2648)</f>
        <v>8.9999999999999993E-3</v>
      </c>
      <c r="K1764" s="114" t="str">
        <f>HYPERLINK("#Структура!G2648","")</f>
        <v/>
      </c>
      <c r="L1764" s="120">
        <f>HYPERLINK("#Покупные_изделия!D423",Покупные_изделия!D423)</f>
        <v>218.28</v>
      </c>
      <c r="M1764" s="76">
        <f t="shared" si="68"/>
        <v>1.9645199999999998</v>
      </c>
      <c r="N1764" s="77"/>
      <c r="O1764" s="77"/>
      <c r="P1764" s="76"/>
      <c r="Q1764" s="76"/>
    </row>
    <row r="1765" spans="6:17" hidden="1" outlineLevel="5" x14ac:dyDescent="0.25">
      <c r="G1765" s="74" t="s">
        <v>156</v>
      </c>
      <c r="H1765" s="75"/>
      <c r="I1765" s="76"/>
      <c r="J1765" s="78">
        <f>HYPERLINK("#Структура!E2649",Структура!E2649)</f>
        <v>1.2999999999999999E-2</v>
      </c>
      <c r="K1765" s="114" t="str">
        <f>HYPERLINK("#Структура!G2649","")</f>
        <v/>
      </c>
      <c r="L1765" s="120">
        <f>HYPERLINK("#Покупные_изделия!D427",Покупные_изделия!D427)</f>
        <v>155.53200000000001</v>
      </c>
      <c r="M1765" s="76">
        <f t="shared" si="68"/>
        <v>2.021916</v>
      </c>
      <c r="N1765" s="77"/>
      <c r="O1765" s="77"/>
      <c r="P1765" s="76"/>
      <c r="Q1765" s="76"/>
    </row>
    <row r="1766" spans="6:17" hidden="1" outlineLevel="5" x14ac:dyDescent="0.25">
      <c r="G1766" s="74" t="s">
        <v>161</v>
      </c>
      <c r="H1766" s="75"/>
      <c r="I1766" s="76"/>
      <c r="J1766" s="78">
        <f>HYPERLINK("#Структура!E2650",Структура!E2650)</f>
        <v>0.05</v>
      </c>
      <c r="K1766" s="114" t="str">
        <f>HYPERLINK("#Структура!G2650","")</f>
        <v/>
      </c>
      <c r="L1766" s="120">
        <f>HYPERLINK("#Покупные_изделия!D446",Покупные_изделия!D446)</f>
        <v>4121.9639999999999</v>
      </c>
      <c r="M1766" s="76">
        <f t="shared" si="68"/>
        <v>206.09820000000002</v>
      </c>
      <c r="N1766" s="77"/>
      <c r="O1766" s="77"/>
      <c r="P1766" s="76"/>
      <c r="Q1766" s="76"/>
    </row>
    <row r="1767" spans="6:17" hidden="1" outlineLevel="5" x14ac:dyDescent="0.25">
      <c r="G1767" s="74" t="s">
        <v>215</v>
      </c>
      <c r="H1767" s="75"/>
      <c r="I1767" s="76"/>
      <c r="J1767" s="78">
        <f>HYPERLINK("#Структура!E2651",Структура!E2651)</f>
        <v>0.03</v>
      </c>
      <c r="K1767" s="114" t="str">
        <f>HYPERLINK("#Структура!G2651","")</f>
        <v/>
      </c>
      <c r="L1767" s="120">
        <f>HYPERLINK("#Покупные_изделия!D567",Покупные_изделия!D567)</f>
        <v>405.74399999999997</v>
      </c>
      <c r="M1767" s="76">
        <f t="shared" si="68"/>
        <v>12.172319999999999</v>
      </c>
      <c r="N1767" s="77"/>
      <c r="O1767" s="77"/>
      <c r="P1767" s="76"/>
      <c r="Q1767" s="76"/>
    </row>
    <row r="1768" spans="6:17" hidden="1" outlineLevel="4" collapsed="1" x14ac:dyDescent="0.25">
      <c r="F1768" s="96" t="s">
        <v>1339</v>
      </c>
      <c r="G1768" s="91"/>
      <c r="H1768" s="92"/>
      <c r="I1768" s="93"/>
      <c r="J1768" s="95">
        <f>HYPERLINK("#Структура!E2517",Структура!E2517)</f>
        <v>1</v>
      </c>
      <c r="K1768" s="116">
        <f>HYPERLINK("#Структура!G2517",Структура!G2517)</f>
        <v>4.1160000000000002E-2</v>
      </c>
      <c r="L1768" s="93">
        <f>M1768/J1768</f>
        <v>19.0522092</v>
      </c>
      <c r="M1768" s="93">
        <f>SUMIF(G1769:G1773,"*",M1769:M1773)*J1768</f>
        <v>19.0522092</v>
      </c>
      <c r="N1768" s="125">
        <f>HYPERLINK("#Трудозатраты!B666",Трудозатраты!B666+SUMIF(G1769:G1773,"*",O1769:O1773))</f>
        <v>6.6</v>
      </c>
      <c r="O1768" s="94">
        <f>N1768*J1768</f>
        <v>6.6</v>
      </c>
      <c r="P1768" s="93">
        <f>O1768/60*(1+запас_труд)*стоимость_трудочаса</f>
        <v>258.5</v>
      </c>
      <c r="Q1768" s="130">
        <f>M1768*(1+наценка_покупное)+P1768</f>
        <v>281.36265104</v>
      </c>
    </row>
    <row r="1769" spans="6:17" hidden="1" outlineLevel="5" collapsed="1" x14ac:dyDescent="0.25">
      <c r="G1769" s="85" t="s">
        <v>1375</v>
      </c>
      <c r="H1769" s="87"/>
      <c r="I1769" s="88"/>
      <c r="J1769" s="90">
        <f>HYPERLINK("#Структура!E2666",Структура!E2666)</f>
        <v>1</v>
      </c>
      <c r="K1769" s="113">
        <f>HYPERLINK("#Структура!G2666",Структура!G2666)</f>
        <v>2.632E-2</v>
      </c>
      <c r="L1769" s="88">
        <f>M1769/J1769</f>
        <v>9</v>
      </c>
      <c r="M1769" s="88">
        <f>SUMIF(H1770,"*",M1770)*J1769</f>
        <v>9</v>
      </c>
      <c r="N1769" s="123">
        <f>HYPERLINK("#Трудозатраты!B667",Трудозатраты!B667+SUMIF(H1770,"*",O1770))</f>
        <v>3.6</v>
      </c>
      <c r="O1769" s="89">
        <f>N1769*J1769</f>
        <v>3.6</v>
      </c>
      <c r="P1769" s="88">
        <f>O1769/60*(1+запас_труд)*стоимость_трудочаса</f>
        <v>141</v>
      </c>
      <c r="Q1769" s="128">
        <f>M1769*(1+наценка_покупное)+P1769</f>
        <v>151.80000000000001</v>
      </c>
    </row>
    <row r="1770" spans="6:17" hidden="1" outlineLevel="6" x14ac:dyDescent="0.25">
      <c r="H1770" s="75" t="s">
        <v>99</v>
      </c>
      <c r="I1770" s="76"/>
      <c r="J1770" s="78">
        <f>HYPERLINK("#Структура!E2670",Структура!E2670)</f>
        <v>0.03</v>
      </c>
      <c r="K1770" s="114" t="str">
        <f>HYPERLINK("#Структура!G2670","")</f>
        <v/>
      </c>
      <c r="L1770" s="120">
        <f>HYPERLINK("#Покупные_изделия!D268",Покупные_изделия!D268)</f>
        <v>300</v>
      </c>
      <c r="M1770" s="76">
        <f>J1770*L1770</f>
        <v>9</v>
      </c>
      <c r="N1770" s="77"/>
      <c r="O1770" s="77"/>
      <c r="P1770" s="76"/>
      <c r="Q1770" s="76"/>
    </row>
    <row r="1771" spans="6:17" hidden="1" outlineLevel="5" x14ac:dyDescent="0.25">
      <c r="G1771" s="74" t="s">
        <v>47</v>
      </c>
      <c r="H1771" s="75"/>
      <c r="I1771" s="76"/>
      <c r="J1771" s="78">
        <f>HYPERLINK("#Структура!E2667",Структура!E2667)</f>
        <v>1</v>
      </c>
      <c r="K1771" s="114">
        <f>HYPERLINK("#Структура!G2667",Структура!G2667)</f>
        <v>1.5699999999999999E-2</v>
      </c>
      <c r="L1771" s="120">
        <f>HYPERLINK("#Покупные_изделия!D104",Покупные_изделия!D104)</f>
        <v>6.8772000000000002</v>
      </c>
      <c r="M1771" s="76">
        <f>J1771*L1771</f>
        <v>6.8772000000000002</v>
      </c>
      <c r="N1771" s="77"/>
      <c r="O1771" s="77"/>
      <c r="P1771" s="76"/>
      <c r="Q1771" s="76"/>
    </row>
    <row r="1772" spans="6:17" hidden="1" outlineLevel="5" x14ac:dyDescent="0.25">
      <c r="G1772" s="74" t="s">
        <v>67</v>
      </c>
      <c r="H1772" s="75"/>
      <c r="I1772" s="76"/>
      <c r="J1772" s="78">
        <f>HYPERLINK("#Структура!E2668",Структура!E2668)</f>
        <v>7.0000000000000001E-3</v>
      </c>
      <c r="K1772" s="114" t="str">
        <f>HYPERLINK("#Структура!G2668","")</f>
        <v/>
      </c>
      <c r="L1772" s="120">
        <f>HYPERLINK("#Покупные_изделия!D203",Покупные_изделия!D203)</f>
        <v>30.003600000000002</v>
      </c>
      <c r="M1772" s="76">
        <f>J1772*L1772</f>
        <v>0.21002520000000002</v>
      </c>
      <c r="N1772" s="77"/>
      <c r="O1772" s="77"/>
      <c r="P1772" s="76"/>
      <c r="Q1772" s="76"/>
    </row>
    <row r="1773" spans="6:17" hidden="1" outlineLevel="5" x14ac:dyDescent="0.25">
      <c r="G1773" s="74" t="s">
        <v>147</v>
      </c>
      <c r="H1773" s="75"/>
      <c r="I1773" s="76"/>
      <c r="J1773" s="78">
        <f>HYPERLINK("#Структура!E2669",Структура!E2669)</f>
        <v>4.0000000000000001E-3</v>
      </c>
      <c r="K1773" s="114" t="str">
        <f>HYPERLINK("#Структура!G2669","")</f>
        <v/>
      </c>
      <c r="L1773" s="120">
        <f>HYPERLINK("#Покупные_изделия!D407",Покупные_изделия!D407)</f>
        <v>741.24599999999998</v>
      </c>
      <c r="M1773" s="76">
        <f>J1773*L1773</f>
        <v>2.9649839999999998</v>
      </c>
      <c r="N1773" s="77"/>
      <c r="O1773" s="77"/>
      <c r="P1773" s="76"/>
      <c r="Q1773" s="76"/>
    </row>
    <row r="1774" spans="6:17" hidden="1" outlineLevel="4" collapsed="1" x14ac:dyDescent="0.25">
      <c r="F1774" s="84" t="s">
        <v>1340</v>
      </c>
      <c r="G1774" s="79"/>
      <c r="H1774" s="80"/>
      <c r="I1774" s="81"/>
      <c r="J1774" s="83">
        <f>HYPERLINK("#Структура!E2518",Структура!E2518)</f>
        <v>1</v>
      </c>
      <c r="K1774" s="115">
        <f>HYPERLINK("#Структура!G2518",Структура!G2518)</f>
        <v>3.1150000000000001E-2</v>
      </c>
      <c r="L1774" s="81">
        <f>M1774/J1774</f>
        <v>15.249804000000001</v>
      </c>
      <c r="M1774" s="81">
        <f>SUMIF(G1775:G1779,"*",M1775:M1779)*J1774</f>
        <v>15.249804000000001</v>
      </c>
      <c r="N1774" s="124">
        <f>HYPERLINK("#Трудозатраты!B628",Трудозатраты!B628+SUMIF(G1775:G1779,"*",O1775:O1779))</f>
        <v>2.7</v>
      </c>
      <c r="O1774" s="82">
        <f>N1774*J1774</f>
        <v>2.7</v>
      </c>
      <c r="P1774" s="81">
        <f>O1774/60*(1+запас_труд)*стоимость_трудочаса</f>
        <v>105.75000000000001</v>
      </c>
      <c r="Q1774" s="129">
        <f>M1774*(1+наценка_покупное)+P1774</f>
        <v>124.04976480000002</v>
      </c>
    </row>
    <row r="1775" spans="6:17" hidden="1" outlineLevel="5" x14ac:dyDescent="0.25">
      <c r="G1775" s="74" t="s">
        <v>65</v>
      </c>
      <c r="H1775" s="75"/>
      <c r="I1775" s="76"/>
      <c r="J1775" s="78">
        <f>HYPERLINK("#Структура!E2536",Структура!E2536)</f>
        <v>1E-3</v>
      </c>
      <c r="K1775" s="114" t="str">
        <f>HYPERLINK("#Структура!G2536","")</f>
        <v/>
      </c>
      <c r="L1775" s="120">
        <f>HYPERLINK("#Покупные_изделия!D197",Покупные_изделия!D197)</f>
        <v>264.50399999999996</v>
      </c>
      <c r="M1775" s="76">
        <f>J1775*L1775</f>
        <v>0.26450399999999996</v>
      </c>
      <c r="N1775" s="77"/>
      <c r="O1775" s="77"/>
      <c r="P1775" s="76"/>
      <c r="Q1775" s="76"/>
    </row>
    <row r="1776" spans="6:17" hidden="1" outlineLevel="5" x14ac:dyDescent="0.25">
      <c r="G1776" s="74" t="s">
        <v>112</v>
      </c>
      <c r="H1776" s="75"/>
      <c r="I1776" s="76"/>
      <c r="J1776" s="78">
        <f>HYPERLINK("#Структура!E2537",Структура!E2537)</f>
        <v>4.5999999999999999E-2</v>
      </c>
      <c r="K1776" s="114" t="str">
        <f>HYPERLINK("#Структура!G2537","")</f>
        <v/>
      </c>
      <c r="L1776" s="120">
        <f>HYPERLINK("#Покупные_изделия!D285",Покупные_изделия!D285)</f>
        <v>300</v>
      </c>
      <c r="M1776" s="76">
        <f>J1776*L1776</f>
        <v>13.799999999999999</v>
      </c>
      <c r="N1776" s="77"/>
      <c r="O1776" s="77"/>
      <c r="P1776" s="76"/>
      <c r="Q1776" s="76"/>
    </row>
    <row r="1777" spans="6:17" hidden="1" outlineLevel="5" x14ac:dyDescent="0.25">
      <c r="G1777" s="74" t="s">
        <v>155</v>
      </c>
      <c r="H1777" s="75"/>
      <c r="I1777" s="76"/>
      <c r="J1777" s="78">
        <f>HYPERLINK("#Структура!E2538",Структура!E2538)</f>
        <v>1E-3</v>
      </c>
      <c r="K1777" s="114" t="str">
        <f>HYPERLINK("#Структура!G2538","")</f>
        <v/>
      </c>
      <c r="L1777" s="120">
        <f>HYPERLINK("#Покупные_изделия!D423",Покупные_изделия!D423)</f>
        <v>218.28</v>
      </c>
      <c r="M1777" s="76">
        <f>J1777*L1777</f>
        <v>0.21828</v>
      </c>
      <c r="N1777" s="77"/>
      <c r="O1777" s="77"/>
      <c r="P1777" s="76"/>
      <c r="Q1777" s="76"/>
    </row>
    <row r="1778" spans="6:17" hidden="1" outlineLevel="5" x14ac:dyDescent="0.25">
      <c r="G1778" s="74" t="s">
        <v>156</v>
      </c>
      <c r="H1778" s="75"/>
      <c r="I1778" s="76"/>
      <c r="J1778" s="78">
        <f>HYPERLINK("#Структура!E2539",Структура!E2539)</f>
        <v>1E-3</v>
      </c>
      <c r="K1778" s="114" t="str">
        <f>HYPERLINK("#Структура!G2539","")</f>
        <v/>
      </c>
      <c r="L1778" s="120">
        <f>HYPERLINK("#Покупные_изделия!D427",Покупные_изделия!D427)</f>
        <v>155.53200000000001</v>
      </c>
      <c r="M1778" s="76">
        <f>J1778*L1778</f>
        <v>0.155532</v>
      </c>
      <c r="N1778" s="77"/>
      <c r="O1778" s="77"/>
      <c r="P1778" s="76"/>
      <c r="Q1778" s="76"/>
    </row>
    <row r="1779" spans="6:17" hidden="1" outlineLevel="5" x14ac:dyDescent="0.25">
      <c r="G1779" s="74" t="s">
        <v>215</v>
      </c>
      <c r="H1779" s="75"/>
      <c r="I1779" s="76"/>
      <c r="J1779" s="78">
        <f>HYPERLINK("#Структура!E2540",Структура!E2540)</f>
        <v>2E-3</v>
      </c>
      <c r="K1779" s="114" t="str">
        <f>HYPERLINK("#Структура!G2540","")</f>
        <v/>
      </c>
      <c r="L1779" s="120">
        <f>HYPERLINK("#Покупные_изделия!D567",Покупные_изделия!D567)</f>
        <v>405.74399999999997</v>
      </c>
      <c r="M1779" s="76">
        <f>J1779*L1779</f>
        <v>0.81148799999999999</v>
      </c>
      <c r="N1779" s="77"/>
      <c r="O1779" s="77"/>
      <c r="P1779" s="76"/>
      <c r="Q1779" s="76"/>
    </row>
    <row r="1780" spans="6:17" hidden="1" outlineLevel="4" collapsed="1" x14ac:dyDescent="0.25">
      <c r="F1780" s="84" t="s">
        <v>1341</v>
      </c>
      <c r="G1780" s="79"/>
      <c r="H1780" s="80"/>
      <c r="I1780" s="81"/>
      <c r="J1780" s="83">
        <f>HYPERLINK("#Структура!E2519",Структура!E2519)</f>
        <v>1</v>
      </c>
      <c r="K1780" s="115">
        <f>HYPERLINK("#Структура!G2519",Структура!G2519)</f>
        <v>0.65620000000000001</v>
      </c>
      <c r="L1780" s="81">
        <f>M1780/J1780</f>
        <v>167.43520000000001</v>
      </c>
      <c r="M1780" s="81">
        <f>SUMIF(G1781,"*",M1781)*J1780</f>
        <v>167.43520000000001</v>
      </c>
      <c r="N1780" s="124">
        <f>HYPERLINK("#Трудозатраты!B629",Трудозатраты!B629+SUMIF(G1781,"*",O1781))</f>
        <v>2.8</v>
      </c>
      <c r="O1780" s="82">
        <f>N1780*J1780</f>
        <v>2.8</v>
      </c>
      <c r="P1780" s="81">
        <f>O1780/60*(1+запас_труд)*стоимость_трудочаса</f>
        <v>109.66666666666666</v>
      </c>
      <c r="Q1780" s="129">
        <f>M1780*(1+наценка_покупное)+P1780</f>
        <v>310.58890666666667</v>
      </c>
    </row>
    <row r="1781" spans="6:17" hidden="1" outlineLevel="5" x14ac:dyDescent="0.25">
      <c r="G1781" s="74" t="s">
        <v>131</v>
      </c>
      <c r="H1781" s="75"/>
      <c r="I1781" s="76"/>
      <c r="J1781" s="78">
        <f>HYPERLINK("#Структура!E2541",Структура!E2541)</f>
        <v>1.04647</v>
      </c>
      <c r="K1781" s="114" t="str">
        <f>HYPERLINK("#Структура!G2541","")</f>
        <v/>
      </c>
      <c r="L1781" s="120">
        <f>HYPERLINK("#Покупные_изделия!D306",Покупные_изделия!D306)</f>
        <v>160</v>
      </c>
      <c r="M1781" s="76">
        <f>J1781*L1781</f>
        <v>167.43520000000001</v>
      </c>
      <c r="N1781" s="77"/>
      <c r="O1781" s="77"/>
      <c r="P1781" s="76"/>
      <c r="Q1781" s="76"/>
    </row>
    <row r="1782" spans="6:17" hidden="1" outlineLevel="4" collapsed="1" x14ac:dyDescent="0.25">
      <c r="F1782" s="84" t="s">
        <v>1342</v>
      </c>
      <c r="G1782" s="79"/>
      <c r="H1782" s="80"/>
      <c r="I1782" s="81"/>
      <c r="J1782" s="83">
        <f>HYPERLINK("#Структура!E2520",Структура!E2520)</f>
        <v>1</v>
      </c>
      <c r="K1782" s="115">
        <f>HYPERLINK("#Структура!G2520",Структура!G2520)</f>
        <v>0.65620000000000001</v>
      </c>
      <c r="L1782" s="81">
        <f>M1782/J1782</f>
        <v>167.43520000000001</v>
      </c>
      <c r="M1782" s="81">
        <f>SUMIF(G1783,"*",M1783)*J1782</f>
        <v>167.43520000000001</v>
      </c>
      <c r="N1782" s="124">
        <f>HYPERLINK("#Трудозатраты!B630",Трудозатраты!B630+SUMIF(G1783,"*",O1783))</f>
        <v>2.8</v>
      </c>
      <c r="O1782" s="82">
        <f>N1782*J1782</f>
        <v>2.8</v>
      </c>
      <c r="P1782" s="81">
        <f>O1782/60*(1+запас_труд)*стоимость_трудочаса</f>
        <v>109.66666666666666</v>
      </c>
      <c r="Q1782" s="129">
        <f>M1782*(1+наценка_покупное)+P1782</f>
        <v>310.58890666666667</v>
      </c>
    </row>
    <row r="1783" spans="6:17" hidden="1" outlineLevel="5" x14ac:dyDescent="0.25">
      <c r="G1783" s="74" t="s">
        <v>131</v>
      </c>
      <c r="H1783" s="75"/>
      <c r="I1783" s="76"/>
      <c r="J1783" s="78">
        <f>HYPERLINK("#Структура!E2542",Структура!E2542)</f>
        <v>1.04647</v>
      </c>
      <c r="K1783" s="114" t="str">
        <f>HYPERLINK("#Структура!G2542","")</f>
        <v/>
      </c>
      <c r="L1783" s="120">
        <f>HYPERLINK("#Покупные_изделия!D306",Покупные_изделия!D306)</f>
        <v>160</v>
      </c>
      <c r="M1783" s="76">
        <f>J1783*L1783</f>
        <v>167.43520000000001</v>
      </c>
      <c r="N1783" s="77"/>
      <c r="O1783" s="77"/>
      <c r="P1783" s="76"/>
      <c r="Q1783" s="76"/>
    </row>
    <row r="1784" spans="6:17" hidden="1" outlineLevel="4" collapsed="1" x14ac:dyDescent="0.25">
      <c r="F1784" s="84" t="s">
        <v>1343</v>
      </c>
      <c r="G1784" s="79"/>
      <c r="H1784" s="80"/>
      <c r="I1784" s="81"/>
      <c r="J1784" s="83">
        <f>HYPERLINK("#Структура!E2521",Структура!E2521)</f>
        <v>1</v>
      </c>
      <c r="K1784" s="115">
        <f>HYPERLINK("#Структура!G2521",Структура!G2521)</f>
        <v>5.3449999999999998E-2</v>
      </c>
      <c r="L1784" s="81">
        <f>M1784/J1784</f>
        <v>10.475200000000001</v>
      </c>
      <c r="M1784" s="81">
        <f>SUMIF(G1785,"*",M1785)*J1784</f>
        <v>10.475200000000001</v>
      </c>
      <c r="N1784" s="124">
        <f>HYPERLINK("#Трудозатраты!B631",Трудозатраты!B631+SUMIF(G1785,"*",O1785))</f>
        <v>6.3</v>
      </c>
      <c r="O1784" s="82">
        <f>N1784*J1784</f>
        <v>6.3</v>
      </c>
      <c r="P1784" s="81">
        <f>O1784/60*(1+запас_труд)*стоимость_трудочаса</f>
        <v>246.75</v>
      </c>
      <c r="Q1784" s="129">
        <f>M1784*(1+наценка_покупное)+P1784</f>
        <v>259.32024000000001</v>
      </c>
    </row>
    <row r="1785" spans="6:17" hidden="1" outlineLevel="5" x14ac:dyDescent="0.25">
      <c r="G1785" s="74" t="s">
        <v>123</v>
      </c>
      <c r="H1785" s="75"/>
      <c r="I1785" s="76"/>
      <c r="J1785" s="78">
        <f>HYPERLINK("#Структура!E2543",Структура!E2543)</f>
        <v>6.547E-2</v>
      </c>
      <c r="K1785" s="114" t="str">
        <f>HYPERLINK("#Структура!G2543","")</f>
        <v/>
      </c>
      <c r="L1785" s="120">
        <f>HYPERLINK("#Покупные_изделия!D298",Покупные_изделия!D298)</f>
        <v>160</v>
      </c>
      <c r="M1785" s="76">
        <f>J1785*L1785</f>
        <v>10.475200000000001</v>
      </c>
      <c r="N1785" s="77"/>
      <c r="O1785" s="77"/>
      <c r="P1785" s="76"/>
      <c r="Q1785" s="76"/>
    </row>
    <row r="1786" spans="6:17" hidden="1" outlineLevel="4" collapsed="1" x14ac:dyDescent="0.25">
      <c r="F1786" s="84" t="s">
        <v>1344</v>
      </c>
      <c r="G1786" s="79"/>
      <c r="H1786" s="80"/>
      <c r="I1786" s="81"/>
      <c r="J1786" s="83">
        <f>HYPERLINK("#Структура!E2522",Структура!E2522)</f>
        <v>1</v>
      </c>
      <c r="K1786" s="115">
        <f>HYPERLINK("#Структура!G2522",Структура!G2522)</f>
        <v>3.662E-2</v>
      </c>
      <c r="L1786" s="81">
        <f>M1786/J1786</f>
        <v>7.6559999999999997</v>
      </c>
      <c r="M1786" s="81">
        <f>SUMIF(G1787,"*",M1787)*J1786</f>
        <v>7.6559999999999997</v>
      </c>
      <c r="N1786" s="124">
        <f>HYPERLINK("#Трудозатраты!B632",Трудозатраты!B632+SUMIF(G1787,"*",O1787))</f>
        <v>4.5</v>
      </c>
      <c r="O1786" s="82">
        <f>N1786*J1786</f>
        <v>4.5</v>
      </c>
      <c r="P1786" s="81">
        <f>O1786/60*(1+запас_труд)*стоимость_трудочаса</f>
        <v>176.25</v>
      </c>
      <c r="Q1786" s="129">
        <f>M1786*(1+наценка_покупное)+P1786</f>
        <v>185.43719999999999</v>
      </c>
    </row>
    <row r="1787" spans="6:17" hidden="1" outlineLevel="5" x14ac:dyDescent="0.25">
      <c r="G1787" s="74" t="s">
        <v>123</v>
      </c>
      <c r="H1787" s="75"/>
      <c r="I1787" s="76"/>
      <c r="J1787" s="78">
        <f>HYPERLINK("#Структура!E2544",Структура!E2544)</f>
        <v>4.7849999999999997E-2</v>
      </c>
      <c r="K1787" s="114" t="str">
        <f>HYPERLINK("#Структура!G2544","")</f>
        <v/>
      </c>
      <c r="L1787" s="120">
        <f>HYPERLINK("#Покупные_изделия!D298",Покупные_изделия!D298)</f>
        <v>160</v>
      </c>
      <c r="M1787" s="76">
        <f>J1787*L1787</f>
        <v>7.6559999999999997</v>
      </c>
      <c r="N1787" s="77"/>
      <c r="O1787" s="77"/>
      <c r="P1787" s="76"/>
      <c r="Q1787" s="76"/>
    </row>
    <row r="1788" spans="6:17" hidden="1" outlineLevel="4" collapsed="1" x14ac:dyDescent="0.25">
      <c r="F1788" s="84" t="s">
        <v>1345</v>
      </c>
      <c r="G1788" s="79"/>
      <c r="H1788" s="80"/>
      <c r="I1788" s="81"/>
      <c r="J1788" s="83">
        <f>HYPERLINK("#Структура!E2523",Структура!E2523)</f>
        <v>1</v>
      </c>
      <c r="K1788" s="115">
        <f>HYPERLINK("#Структура!G2523",Структура!G2523)</f>
        <v>3.0429999999999999E-2</v>
      </c>
      <c r="L1788" s="81">
        <f>M1788/J1788</f>
        <v>6.4512</v>
      </c>
      <c r="M1788" s="81">
        <f>SUMIF(G1789,"*",M1789)*J1788</f>
        <v>6.4512</v>
      </c>
      <c r="N1788" s="124">
        <f>HYPERLINK("#Трудозатраты!B633",Трудозатраты!B633+SUMIF(G1789,"*",O1789))</f>
        <v>4.5999999999999996</v>
      </c>
      <c r="O1788" s="82">
        <f>N1788*J1788</f>
        <v>4.5999999999999996</v>
      </c>
      <c r="P1788" s="81">
        <f>O1788/60*(1+запас_труд)*стоимость_трудочаса</f>
        <v>180.16666666666666</v>
      </c>
      <c r="Q1788" s="129">
        <f>M1788*(1+наценка_покупное)+P1788</f>
        <v>187.90810666666667</v>
      </c>
    </row>
    <row r="1789" spans="6:17" hidden="1" outlineLevel="5" x14ac:dyDescent="0.25">
      <c r="G1789" s="74" t="s">
        <v>123</v>
      </c>
      <c r="H1789" s="75"/>
      <c r="I1789" s="76"/>
      <c r="J1789" s="78">
        <f>HYPERLINK("#Структура!E2545",Структура!E2545)</f>
        <v>4.0320000000000002E-2</v>
      </c>
      <c r="K1789" s="114" t="str">
        <f>HYPERLINK("#Структура!G2545","")</f>
        <v/>
      </c>
      <c r="L1789" s="120">
        <f>HYPERLINK("#Покупные_изделия!D298",Покупные_изделия!D298)</f>
        <v>160</v>
      </c>
      <c r="M1789" s="76">
        <f>J1789*L1789</f>
        <v>6.4512</v>
      </c>
      <c r="N1789" s="77"/>
      <c r="O1789" s="77"/>
      <c r="P1789" s="76"/>
      <c r="Q1789" s="76"/>
    </row>
    <row r="1790" spans="6:17" hidden="1" outlineLevel="4" collapsed="1" x14ac:dyDescent="0.25">
      <c r="F1790" s="84" t="s">
        <v>1346</v>
      </c>
      <c r="G1790" s="79"/>
      <c r="H1790" s="80"/>
      <c r="I1790" s="81"/>
      <c r="J1790" s="83">
        <f>HYPERLINK("#Структура!E2524",Структура!E2524)</f>
        <v>6</v>
      </c>
      <c r="K1790" s="115">
        <f>HYPERLINK("#Структура!G2524",Структура!G2524)</f>
        <v>3.3660000000000002E-2</v>
      </c>
      <c r="L1790" s="81">
        <f>M1790/J1790</f>
        <v>9.2440600000000028</v>
      </c>
      <c r="M1790" s="81">
        <f>SUMIF(G1791:G1795,"*",M1791:M1795)*J1790</f>
        <v>55.464360000000013</v>
      </c>
      <c r="N1790" s="124">
        <f>HYPERLINK("#Трудозатраты!B634",Трудозатраты!B634+SUMIF(G1791:G1795,"*",O1791:O1795))</f>
        <v>12.7</v>
      </c>
      <c r="O1790" s="82">
        <f>N1790*J1790</f>
        <v>76.199999999999989</v>
      </c>
      <c r="P1790" s="81">
        <f>O1790/60*(1+запас_труд)*стоимость_трудочаса</f>
        <v>2984.4999999999995</v>
      </c>
      <c r="Q1790" s="129">
        <f>M1790*(1+наценка_покупное)+P1790</f>
        <v>3051.0572319999997</v>
      </c>
    </row>
    <row r="1791" spans="6:17" hidden="1" outlineLevel="5" x14ac:dyDescent="0.25">
      <c r="G1791" s="74" t="s">
        <v>65</v>
      </c>
      <c r="H1791" s="75"/>
      <c r="I1791" s="76"/>
      <c r="J1791" s="78">
        <f>HYPERLINK("#Структура!E2546",Структура!E2546)</f>
        <v>1E-3</v>
      </c>
      <c r="K1791" s="114" t="str">
        <f>HYPERLINK("#Структура!G2546","")</f>
        <v/>
      </c>
      <c r="L1791" s="120">
        <f>HYPERLINK("#Покупные_изделия!D197",Покупные_изделия!D197)</f>
        <v>264.50399999999996</v>
      </c>
      <c r="M1791" s="76">
        <f>J1791*L1791</f>
        <v>0.26450399999999996</v>
      </c>
      <c r="N1791" s="77"/>
      <c r="O1791" s="77"/>
      <c r="P1791" s="76"/>
      <c r="Q1791" s="76"/>
    </row>
    <row r="1792" spans="6:17" hidden="1" outlineLevel="5" x14ac:dyDescent="0.25">
      <c r="G1792" s="74" t="s">
        <v>83</v>
      </c>
      <c r="H1792" s="75"/>
      <c r="I1792" s="76"/>
      <c r="J1792" s="78">
        <f>HYPERLINK("#Структура!E2547",Структура!E2547)</f>
        <v>8.2000000000000003E-2</v>
      </c>
      <c r="K1792" s="114" t="str">
        <f>HYPERLINK("#Структура!G2547","")</f>
        <v/>
      </c>
      <c r="L1792" s="120">
        <f>HYPERLINK("#Покупные_изделия!D252",Покупные_изделия!D252)</f>
        <v>100</v>
      </c>
      <c r="M1792" s="76">
        <f>J1792*L1792</f>
        <v>8.2000000000000011</v>
      </c>
      <c r="N1792" s="77"/>
      <c r="O1792" s="77"/>
      <c r="P1792" s="76"/>
      <c r="Q1792" s="76"/>
    </row>
    <row r="1793" spans="6:17" hidden="1" outlineLevel="5" x14ac:dyDescent="0.25">
      <c r="G1793" s="74" t="s">
        <v>155</v>
      </c>
      <c r="H1793" s="75"/>
      <c r="I1793" s="76"/>
      <c r="J1793" s="78">
        <f>HYPERLINK("#Структура!E2548",Структура!E2548)</f>
        <v>1E-3</v>
      </c>
      <c r="K1793" s="114" t="str">
        <f>HYPERLINK("#Структура!G2548","")</f>
        <v/>
      </c>
      <c r="L1793" s="120">
        <f>HYPERLINK("#Покупные_изделия!D423",Покупные_изделия!D423)</f>
        <v>218.28</v>
      </c>
      <c r="M1793" s="76">
        <f>J1793*L1793</f>
        <v>0.21828</v>
      </c>
      <c r="N1793" s="77"/>
      <c r="O1793" s="77"/>
      <c r="P1793" s="76"/>
      <c r="Q1793" s="76"/>
    </row>
    <row r="1794" spans="6:17" hidden="1" outlineLevel="5" x14ac:dyDescent="0.25">
      <c r="G1794" s="74" t="s">
        <v>156</v>
      </c>
      <c r="H1794" s="75"/>
      <c r="I1794" s="76"/>
      <c r="J1794" s="78">
        <f>HYPERLINK("#Структура!E2549",Структура!E2549)</f>
        <v>1E-3</v>
      </c>
      <c r="K1794" s="114" t="str">
        <f>HYPERLINK("#Структура!G2549","")</f>
        <v/>
      </c>
      <c r="L1794" s="120">
        <f>HYPERLINK("#Покупные_изделия!D427",Покупные_изделия!D427)</f>
        <v>155.53200000000001</v>
      </c>
      <c r="M1794" s="76">
        <f>J1794*L1794</f>
        <v>0.155532</v>
      </c>
      <c r="N1794" s="77"/>
      <c r="O1794" s="77"/>
      <c r="P1794" s="76"/>
      <c r="Q1794" s="76"/>
    </row>
    <row r="1795" spans="6:17" hidden="1" outlineLevel="5" x14ac:dyDescent="0.25">
      <c r="G1795" s="74" t="s">
        <v>215</v>
      </c>
      <c r="H1795" s="75"/>
      <c r="I1795" s="76"/>
      <c r="J1795" s="78">
        <f>HYPERLINK("#Структура!E2550",Структура!E2550)</f>
        <v>1E-3</v>
      </c>
      <c r="K1795" s="114" t="str">
        <f>HYPERLINK("#Структура!G2550","")</f>
        <v/>
      </c>
      <c r="L1795" s="120">
        <f>HYPERLINK("#Покупные_изделия!D567",Покупные_изделия!D567)</f>
        <v>405.74399999999997</v>
      </c>
      <c r="M1795" s="76">
        <f>J1795*L1795</f>
        <v>0.40574399999999999</v>
      </c>
      <c r="N1795" s="77"/>
      <c r="O1795" s="77"/>
      <c r="P1795" s="76"/>
      <c r="Q1795" s="76"/>
    </row>
    <row r="1796" spans="6:17" hidden="1" outlineLevel="4" collapsed="1" x14ac:dyDescent="0.25">
      <c r="F1796" s="84" t="s">
        <v>1347</v>
      </c>
      <c r="G1796" s="79"/>
      <c r="H1796" s="80"/>
      <c r="I1796" s="81"/>
      <c r="J1796" s="83">
        <f>HYPERLINK("#Структура!E2525",Структура!E2525)</f>
        <v>1</v>
      </c>
      <c r="K1796" s="115">
        <f>HYPERLINK("#Структура!G2525",Структура!G2525)</f>
        <v>3.6850000000000001E-2</v>
      </c>
      <c r="L1796" s="81">
        <f>M1796/J1796</f>
        <v>11.608619999999998</v>
      </c>
      <c r="M1796" s="81">
        <f>SUMIF(G1797:G1801,"*",M1797:M1801)*J1796</f>
        <v>11.608619999999998</v>
      </c>
      <c r="N1796" s="124">
        <f>HYPERLINK("#Трудозатраты!B635",Трудозатраты!B635+SUMIF(G1797:G1801,"*",O1797:O1801))</f>
        <v>14.6</v>
      </c>
      <c r="O1796" s="82">
        <f>N1796*J1796</f>
        <v>14.6</v>
      </c>
      <c r="P1796" s="81">
        <f>O1796/60*(1+запас_труд)*стоимость_трудочаса</f>
        <v>571.83333333333326</v>
      </c>
      <c r="Q1796" s="129">
        <f>M1796*(1+наценка_покупное)+P1796</f>
        <v>585.76367733333325</v>
      </c>
    </row>
    <row r="1797" spans="6:17" hidden="1" outlineLevel="5" x14ac:dyDescent="0.25">
      <c r="G1797" s="74" t="s">
        <v>65</v>
      </c>
      <c r="H1797" s="75"/>
      <c r="I1797" s="76"/>
      <c r="J1797" s="78">
        <f>HYPERLINK("#Структура!E2551",Структура!E2551)</f>
        <v>1E-3</v>
      </c>
      <c r="K1797" s="114" t="str">
        <f>HYPERLINK("#Структура!G2551","")</f>
        <v/>
      </c>
      <c r="L1797" s="120">
        <f>HYPERLINK("#Покупные_изделия!D197",Покупные_изделия!D197)</f>
        <v>264.50399999999996</v>
      </c>
      <c r="M1797" s="76">
        <f t="shared" ref="M1797:M1811" si="69">J1797*L1797</f>
        <v>0.26450399999999996</v>
      </c>
      <c r="N1797" s="77"/>
      <c r="O1797" s="77"/>
      <c r="P1797" s="76"/>
      <c r="Q1797" s="76"/>
    </row>
    <row r="1798" spans="6:17" hidden="1" outlineLevel="5" x14ac:dyDescent="0.25">
      <c r="G1798" s="74" t="s">
        <v>155</v>
      </c>
      <c r="H1798" s="75"/>
      <c r="I1798" s="76"/>
      <c r="J1798" s="78">
        <f>HYPERLINK("#Структура!E2552",Структура!E2552)</f>
        <v>1E-3</v>
      </c>
      <c r="K1798" s="114" t="str">
        <f>HYPERLINK("#Структура!G2552","")</f>
        <v/>
      </c>
      <c r="L1798" s="120">
        <f>HYPERLINK("#Покупные_изделия!D423",Покупные_изделия!D423)</f>
        <v>218.28</v>
      </c>
      <c r="M1798" s="76">
        <f t="shared" si="69"/>
        <v>0.21828</v>
      </c>
      <c r="N1798" s="77"/>
      <c r="O1798" s="77"/>
      <c r="P1798" s="76"/>
      <c r="Q1798" s="76"/>
    </row>
    <row r="1799" spans="6:17" hidden="1" outlineLevel="5" x14ac:dyDescent="0.25">
      <c r="G1799" s="74" t="s">
        <v>156</v>
      </c>
      <c r="H1799" s="75"/>
      <c r="I1799" s="76"/>
      <c r="J1799" s="78">
        <f>HYPERLINK("#Структура!E2553",Структура!E2553)</f>
        <v>1E-3</v>
      </c>
      <c r="K1799" s="114" t="str">
        <f>HYPERLINK("#Структура!G2553","")</f>
        <v/>
      </c>
      <c r="L1799" s="120">
        <f>HYPERLINK("#Покупные_изделия!D427",Покупные_изделия!D427)</f>
        <v>155.53200000000001</v>
      </c>
      <c r="M1799" s="76">
        <f t="shared" si="69"/>
        <v>0.155532</v>
      </c>
      <c r="N1799" s="77"/>
      <c r="O1799" s="77"/>
      <c r="P1799" s="76"/>
      <c r="Q1799" s="76"/>
    </row>
    <row r="1800" spans="6:17" hidden="1" outlineLevel="5" x14ac:dyDescent="0.25">
      <c r="G1800" s="74" t="s">
        <v>208</v>
      </c>
      <c r="H1800" s="75"/>
      <c r="I1800" s="76"/>
      <c r="J1800" s="78">
        <f>HYPERLINK("#Структура!E2554",Структура!E2554)</f>
        <v>0.09</v>
      </c>
      <c r="K1800" s="114" t="str">
        <f>HYPERLINK("#Структура!G2554","")</f>
        <v/>
      </c>
      <c r="L1800" s="120">
        <f>HYPERLINK("#Покупные_изделия!D553",Покупные_изделия!D553)</f>
        <v>117.38399999999999</v>
      </c>
      <c r="M1800" s="76">
        <f t="shared" si="69"/>
        <v>10.564559999999998</v>
      </c>
      <c r="N1800" s="77"/>
      <c r="O1800" s="77"/>
      <c r="P1800" s="76"/>
      <c r="Q1800" s="76"/>
    </row>
    <row r="1801" spans="6:17" hidden="1" outlineLevel="5" x14ac:dyDescent="0.25">
      <c r="G1801" s="74" t="s">
        <v>215</v>
      </c>
      <c r="H1801" s="75"/>
      <c r="I1801" s="76"/>
      <c r="J1801" s="78">
        <f>HYPERLINK("#Структура!E2555",Структура!E2555)</f>
        <v>1E-3</v>
      </c>
      <c r="K1801" s="114" t="str">
        <f>HYPERLINK("#Структура!G2555","")</f>
        <v/>
      </c>
      <c r="L1801" s="120">
        <f>HYPERLINK("#Покупные_изделия!D567",Покупные_изделия!D567)</f>
        <v>405.74399999999997</v>
      </c>
      <c r="M1801" s="76">
        <f t="shared" si="69"/>
        <v>0.40574399999999999</v>
      </c>
      <c r="N1801" s="77"/>
      <c r="O1801" s="77"/>
      <c r="P1801" s="76"/>
      <c r="Q1801" s="76"/>
    </row>
    <row r="1802" spans="6:17" hidden="1" outlineLevel="4" x14ac:dyDescent="0.25">
      <c r="F1802" s="74" t="s">
        <v>623</v>
      </c>
      <c r="G1802" s="74"/>
      <c r="H1802" s="75"/>
      <c r="I1802" s="76"/>
      <c r="J1802" s="78">
        <f>HYPERLINK("#Структура!E2526",Структура!E2526)</f>
        <v>6</v>
      </c>
      <c r="K1802" s="114">
        <f>HYPERLINK("#Структура!G2526",Структура!G2526)</f>
        <v>1.67E-2</v>
      </c>
      <c r="L1802" s="120">
        <f>HYPERLINK("#Покупные_изделия!D86",Покупные_изделия!D86)</f>
        <v>8.7719999999999985</v>
      </c>
      <c r="M1802" s="76">
        <f t="shared" si="69"/>
        <v>52.631999999999991</v>
      </c>
      <c r="N1802" s="77"/>
      <c r="O1802" s="77"/>
      <c r="P1802" s="76"/>
      <c r="Q1802" s="76"/>
    </row>
    <row r="1803" spans="6:17" hidden="1" outlineLevel="4" x14ac:dyDescent="0.25">
      <c r="F1803" s="74" t="s">
        <v>47</v>
      </c>
      <c r="G1803" s="74"/>
      <c r="H1803" s="75"/>
      <c r="I1803" s="76"/>
      <c r="J1803" s="78">
        <f>HYPERLINK("#Структура!E2527",Структура!E2527)</f>
        <v>3</v>
      </c>
      <c r="K1803" s="114">
        <f>HYPERLINK("#Структура!G2527",Структура!G2527)</f>
        <v>1.5699999999999999E-2</v>
      </c>
      <c r="L1803" s="120">
        <f>HYPERLINK("#Покупные_изделия!D104",Покупные_изделия!D104)</f>
        <v>6.8772000000000002</v>
      </c>
      <c r="M1803" s="76">
        <f t="shared" si="69"/>
        <v>20.631599999999999</v>
      </c>
      <c r="N1803" s="77"/>
      <c r="O1803" s="77"/>
      <c r="P1803" s="76"/>
      <c r="Q1803" s="76"/>
    </row>
    <row r="1804" spans="6:17" hidden="1" outlineLevel="4" x14ac:dyDescent="0.25">
      <c r="F1804" s="74" t="s">
        <v>48</v>
      </c>
      <c r="G1804" s="74"/>
      <c r="H1804" s="75"/>
      <c r="I1804" s="76"/>
      <c r="J1804" s="78">
        <f>HYPERLINK("#Структура!E2528",Структура!E2528)</f>
        <v>6</v>
      </c>
      <c r="K1804" s="114">
        <f>HYPERLINK("#Структура!G2528",Структура!G2528)</f>
        <v>3.3140000000000003E-2</v>
      </c>
      <c r="L1804" s="120">
        <f>HYPERLINK("#Покупные_изделия!D111",Покупные_изделия!D111)</f>
        <v>13.9656</v>
      </c>
      <c r="M1804" s="76">
        <f t="shared" si="69"/>
        <v>83.793599999999998</v>
      </c>
      <c r="N1804" s="77"/>
      <c r="O1804" s="77"/>
      <c r="P1804" s="76"/>
      <c r="Q1804" s="76"/>
    </row>
    <row r="1805" spans="6:17" hidden="1" outlineLevel="4" x14ac:dyDescent="0.25">
      <c r="F1805" s="74" t="s">
        <v>49</v>
      </c>
      <c r="G1805" s="74"/>
      <c r="H1805" s="75"/>
      <c r="I1805" s="76"/>
      <c r="J1805" s="78">
        <f>HYPERLINK("#Структура!E2529",Структура!E2529)</f>
        <v>4</v>
      </c>
      <c r="K1805" s="114">
        <f>HYPERLINK("#Структура!G2529",Структура!G2529)</f>
        <v>1.2199999999999999E-3</v>
      </c>
      <c r="L1805" s="120">
        <f>HYPERLINK("#Покупные_изделия!D133",Покупные_изделия!D133)</f>
        <v>1.2012000000000003</v>
      </c>
      <c r="M1805" s="76">
        <f t="shared" si="69"/>
        <v>4.8048000000000011</v>
      </c>
      <c r="N1805" s="77"/>
      <c r="O1805" s="77"/>
      <c r="P1805" s="76"/>
      <c r="Q1805" s="76"/>
    </row>
    <row r="1806" spans="6:17" hidden="1" outlineLevel="4" x14ac:dyDescent="0.25">
      <c r="F1806" s="74" t="s">
        <v>53</v>
      </c>
      <c r="G1806" s="74"/>
      <c r="H1806" s="75"/>
      <c r="I1806" s="76"/>
      <c r="J1806" s="78">
        <f>HYPERLINK("#Структура!E2530",Структура!E2530)</f>
        <v>2</v>
      </c>
      <c r="K1806" s="114">
        <f>HYPERLINK("#Структура!G2530",Структура!G2530)</f>
        <v>1.32E-3</v>
      </c>
      <c r="L1806" s="120">
        <f>HYPERLINK("#Покупные_изделия!D142",Покупные_изделия!D142)</f>
        <v>1.5047999999999999</v>
      </c>
      <c r="M1806" s="76">
        <f t="shared" si="69"/>
        <v>3.0095999999999998</v>
      </c>
      <c r="N1806" s="77"/>
      <c r="O1806" s="77"/>
      <c r="P1806" s="76"/>
      <c r="Q1806" s="76"/>
    </row>
    <row r="1807" spans="6:17" hidden="1" outlineLevel="4" x14ac:dyDescent="0.25">
      <c r="F1807" s="74" t="s">
        <v>1002</v>
      </c>
      <c r="G1807" s="74"/>
      <c r="H1807" s="75"/>
      <c r="I1807" s="76"/>
      <c r="J1807" s="78">
        <f>HYPERLINK("#Структура!E2531",Структура!E2531)</f>
        <v>6</v>
      </c>
      <c r="K1807" s="114">
        <f>HYPERLINK("#Структура!G2531",Структура!G2531)</f>
        <v>8.0000000000000004E-4</v>
      </c>
      <c r="L1807" s="120">
        <f>HYPERLINK("#Покупные_изделия!D186",Покупные_изделия!D186)</f>
        <v>0.51480000000000004</v>
      </c>
      <c r="M1807" s="76">
        <f t="shared" si="69"/>
        <v>3.0888</v>
      </c>
      <c r="N1807" s="77"/>
      <c r="O1807" s="77"/>
      <c r="P1807" s="76"/>
      <c r="Q1807" s="76"/>
    </row>
    <row r="1808" spans="6:17" hidden="1" outlineLevel="4" x14ac:dyDescent="0.25">
      <c r="F1808" s="74" t="s">
        <v>625</v>
      </c>
      <c r="G1808" s="74"/>
      <c r="H1808" s="75"/>
      <c r="I1808" s="76"/>
      <c r="J1808" s="78">
        <f>HYPERLINK("#Структура!E2532",Структура!E2532)</f>
        <v>10</v>
      </c>
      <c r="K1808" s="114">
        <f>HYPERLINK("#Структура!G2532",Структура!G2532)</f>
        <v>7.1399999999999996E-3</v>
      </c>
      <c r="L1808" s="120">
        <f>HYPERLINK("#Покупные_изделия!D168",Покупные_изделия!D168)</f>
        <v>1.9715672368421051</v>
      </c>
      <c r="M1808" s="76">
        <f t="shared" si="69"/>
        <v>19.71567236842105</v>
      </c>
      <c r="N1808" s="77"/>
      <c r="O1808" s="77"/>
      <c r="P1808" s="76"/>
      <c r="Q1808" s="76"/>
    </row>
    <row r="1809" spans="5:17" hidden="1" outlineLevel="4" x14ac:dyDescent="0.25">
      <c r="F1809" s="74" t="s">
        <v>1348</v>
      </c>
      <c r="G1809" s="74"/>
      <c r="H1809" s="75"/>
      <c r="I1809" s="76"/>
      <c r="J1809" s="78">
        <f>HYPERLINK("#Структура!E2533",Структура!E2533)</f>
        <v>4</v>
      </c>
      <c r="K1809" s="114">
        <f>HYPERLINK("#Структура!G2533",Структура!G2533)</f>
        <v>2.9999999999999997E-4</v>
      </c>
      <c r="L1809" s="120">
        <f>HYPERLINK("#Покупные_изделия!D544",Покупные_изделия!D544)</f>
        <v>0.55000000000000004</v>
      </c>
      <c r="M1809" s="76">
        <f t="shared" si="69"/>
        <v>2.2000000000000002</v>
      </c>
      <c r="N1809" s="77"/>
      <c r="O1809" s="77"/>
      <c r="P1809" s="76"/>
      <c r="Q1809" s="76"/>
    </row>
    <row r="1810" spans="5:17" hidden="1" outlineLevel="4" x14ac:dyDescent="0.25">
      <c r="F1810" s="74" t="s">
        <v>12</v>
      </c>
      <c r="G1810" s="74"/>
      <c r="H1810" s="75"/>
      <c r="I1810" s="76"/>
      <c r="J1810" s="78">
        <f>HYPERLINK("#Структура!E2534",Структура!E2534)</f>
        <v>1</v>
      </c>
      <c r="K1810" s="114">
        <f>HYPERLINK("#Структура!G2534",Структура!G2534)</f>
        <v>0.15347</v>
      </c>
      <c r="L1810" s="120">
        <f>HYPERLINK("#Покупные_изделия!D18",Покупные_изделия!D18)</f>
        <v>4504.5</v>
      </c>
      <c r="M1810" s="76">
        <f t="shared" si="69"/>
        <v>4504.5</v>
      </c>
      <c r="N1810" s="77"/>
      <c r="O1810" s="77"/>
      <c r="P1810" s="76"/>
      <c r="Q1810" s="76"/>
    </row>
    <row r="1811" spans="5:17" hidden="1" outlineLevel="4" x14ac:dyDescent="0.25">
      <c r="F1811" s="74" t="s">
        <v>13</v>
      </c>
      <c r="G1811" s="74"/>
      <c r="H1811" s="75"/>
      <c r="I1811" s="76"/>
      <c r="J1811" s="78">
        <f>HYPERLINK("#Структура!E2535",Структура!E2535)</f>
        <v>1</v>
      </c>
      <c r="K1811" s="114">
        <f>HYPERLINK("#Структура!G2535",Структура!G2535)</f>
        <v>0.12407</v>
      </c>
      <c r="L1811" s="120">
        <f>HYPERLINK("#Покупные_изделия!D20",Покупные_изделия!D20)</f>
        <v>4594.59</v>
      </c>
      <c r="M1811" s="76">
        <f t="shared" si="69"/>
        <v>4594.59</v>
      </c>
      <c r="N1811" s="77"/>
      <c r="O1811" s="77"/>
      <c r="P1811" s="76"/>
      <c r="Q1811" s="76"/>
    </row>
    <row r="1812" spans="5:17" hidden="1" outlineLevel="3" collapsed="1" x14ac:dyDescent="0.25">
      <c r="E1812" s="84" t="s">
        <v>1188</v>
      </c>
      <c r="F1812" s="79"/>
      <c r="G1812" s="79"/>
      <c r="H1812" s="80"/>
      <c r="I1812" s="81"/>
      <c r="J1812" s="83">
        <f>HYPERLINK("#Структура!E1795",Структура!E1795)</f>
        <v>2</v>
      </c>
      <c r="K1812" s="115">
        <f>HYPERLINK("#Структура!G1795",Структура!G1795)</f>
        <v>0.10907</v>
      </c>
      <c r="L1812" s="81">
        <f>M1812/J1812</f>
        <v>24</v>
      </c>
      <c r="M1812" s="81">
        <f>SUMIF(F1813,"*",M1813)*J1812</f>
        <v>48</v>
      </c>
      <c r="N1812" s="124">
        <f>HYPERLINK("#Трудозатраты!B489",Трудозатраты!B489+SUMIF(F1813,"*",O1813))</f>
        <v>0.8</v>
      </c>
      <c r="O1812" s="82">
        <f>N1812*J1812</f>
        <v>1.6</v>
      </c>
      <c r="P1812" s="81">
        <f>O1812/60*(1+запас_труд)*стоимость_трудочаса</f>
        <v>62.666666666666671</v>
      </c>
      <c r="Q1812" s="129">
        <f>M1812*(1+наценка_покупное)+P1812</f>
        <v>120.26666666666667</v>
      </c>
    </row>
    <row r="1813" spans="5:17" hidden="1" outlineLevel="4" x14ac:dyDescent="0.25">
      <c r="F1813" s="74" t="s">
        <v>123</v>
      </c>
      <c r="G1813" s="74"/>
      <c r="H1813" s="75"/>
      <c r="I1813" s="76"/>
      <c r="J1813" s="78">
        <f>HYPERLINK("#Структура!E1834",Структура!E1834)</f>
        <v>0.15</v>
      </c>
      <c r="K1813" s="114" t="str">
        <f>HYPERLINK("#Структура!G1834","")</f>
        <v/>
      </c>
      <c r="L1813" s="120">
        <f>HYPERLINK("#Покупные_изделия!D298",Покупные_изделия!D298)</f>
        <v>160</v>
      </c>
      <c r="M1813" s="76">
        <f>J1813*L1813</f>
        <v>24</v>
      </c>
      <c r="N1813" s="77"/>
      <c r="O1813" s="77"/>
      <c r="P1813" s="76"/>
      <c r="Q1813" s="76"/>
    </row>
    <row r="1814" spans="5:17" hidden="1" outlineLevel="3" collapsed="1" x14ac:dyDescent="0.25">
      <c r="E1814" s="84" t="s">
        <v>1189</v>
      </c>
      <c r="F1814" s="79"/>
      <c r="G1814" s="79"/>
      <c r="H1814" s="80"/>
      <c r="I1814" s="81"/>
      <c r="J1814" s="83">
        <f>HYPERLINK("#Структура!E1796",Структура!E1796)</f>
        <v>2</v>
      </c>
      <c r="K1814" s="115">
        <f>HYPERLINK("#Структура!G1796",Структура!G1796)</f>
        <v>0.24543999999999999</v>
      </c>
      <c r="L1814" s="81">
        <f>M1814/J1814</f>
        <v>43.169856000000003</v>
      </c>
      <c r="M1814" s="81">
        <f>SUMIF(F1815:F1819,"*",M1815:M1819)*J1814</f>
        <v>86.339712000000006</v>
      </c>
      <c r="N1814" s="124">
        <f>HYPERLINK("#Трудозатраты!B490",Трудозатраты!B490+SUMIF(F1815:F1819,"*",O1815:O1819))</f>
        <v>3</v>
      </c>
      <c r="O1814" s="82">
        <f>N1814*J1814</f>
        <v>6</v>
      </c>
      <c r="P1814" s="81">
        <f>O1814/60*(1+запас_труд)*стоимость_трудочаса</f>
        <v>235</v>
      </c>
      <c r="Q1814" s="129">
        <f>M1814*(1+наценка_покупное)+P1814</f>
        <v>338.6076544</v>
      </c>
    </row>
    <row r="1815" spans="5:17" hidden="1" outlineLevel="4" x14ac:dyDescent="0.25">
      <c r="F1815" s="74" t="s">
        <v>65</v>
      </c>
      <c r="G1815" s="74"/>
      <c r="H1815" s="75"/>
      <c r="I1815" s="76"/>
      <c r="J1815" s="78">
        <f>HYPERLINK("#Структура!E1835",Структура!E1835)</f>
        <v>3.0000000000000001E-3</v>
      </c>
      <c r="K1815" s="114" t="str">
        <f>HYPERLINK("#Структура!G1835","")</f>
        <v/>
      </c>
      <c r="L1815" s="120">
        <f>HYPERLINK("#Покупные_изделия!D197",Покупные_изделия!D197)</f>
        <v>264.50399999999996</v>
      </c>
      <c r="M1815" s="76">
        <f>J1815*L1815</f>
        <v>0.79351199999999988</v>
      </c>
      <c r="N1815" s="77"/>
      <c r="O1815" s="77"/>
      <c r="P1815" s="76"/>
      <c r="Q1815" s="76"/>
    </row>
    <row r="1816" spans="5:17" hidden="1" outlineLevel="4" x14ac:dyDescent="0.25">
      <c r="F1816" s="74" t="s">
        <v>116</v>
      </c>
      <c r="G1816" s="74"/>
      <c r="H1816" s="75"/>
      <c r="I1816" s="76"/>
      <c r="J1816" s="78">
        <f>HYPERLINK("#Структура!E1836",Структура!E1836)</f>
        <v>0.33</v>
      </c>
      <c r="K1816" s="114" t="str">
        <f>HYPERLINK("#Структура!G1836","")</f>
        <v/>
      </c>
      <c r="L1816" s="120">
        <f>HYPERLINK("#Покупные_изделия!D291",Покупные_изделия!D291)</f>
        <v>120</v>
      </c>
      <c r="M1816" s="76">
        <f>J1816*L1816</f>
        <v>39.6</v>
      </c>
      <c r="N1816" s="77"/>
      <c r="O1816" s="77"/>
      <c r="P1816" s="76"/>
      <c r="Q1816" s="76"/>
    </row>
    <row r="1817" spans="5:17" hidden="1" outlineLevel="4" x14ac:dyDescent="0.25">
      <c r="F1817" s="74" t="s">
        <v>155</v>
      </c>
      <c r="G1817" s="74"/>
      <c r="H1817" s="75"/>
      <c r="I1817" s="76"/>
      <c r="J1817" s="78">
        <f>HYPERLINK("#Структура!E1837",Структура!E1837)</f>
        <v>2E-3</v>
      </c>
      <c r="K1817" s="114" t="str">
        <f>HYPERLINK("#Структура!G1837","")</f>
        <v/>
      </c>
      <c r="L1817" s="120">
        <f>HYPERLINK("#Покупные_изделия!D423",Покупные_изделия!D423)</f>
        <v>218.28</v>
      </c>
      <c r="M1817" s="76">
        <f>J1817*L1817</f>
        <v>0.43656</v>
      </c>
      <c r="N1817" s="77"/>
      <c r="O1817" s="77"/>
      <c r="P1817" s="76"/>
      <c r="Q1817" s="76"/>
    </row>
    <row r="1818" spans="5:17" hidden="1" outlineLevel="4" x14ac:dyDescent="0.25">
      <c r="F1818" s="74" t="s">
        <v>156</v>
      </c>
      <c r="G1818" s="74"/>
      <c r="H1818" s="75"/>
      <c r="I1818" s="76"/>
      <c r="J1818" s="78">
        <f>HYPERLINK("#Структура!E1838",Структура!E1838)</f>
        <v>2E-3</v>
      </c>
      <c r="K1818" s="114" t="str">
        <f>HYPERLINK("#Структура!G1838","")</f>
        <v/>
      </c>
      <c r="L1818" s="120">
        <f>HYPERLINK("#Покупные_изделия!D427",Покупные_изделия!D427)</f>
        <v>155.53200000000001</v>
      </c>
      <c r="M1818" s="76">
        <f>J1818*L1818</f>
        <v>0.31106400000000001</v>
      </c>
      <c r="N1818" s="77"/>
      <c r="O1818" s="77"/>
      <c r="P1818" s="76"/>
      <c r="Q1818" s="76"/>
    </row>
    <row r="1819" spans="5:17" hidden="1" outlineLevel="4" x14ac:dyDescent="0.25">
      <c r="F1819" s="74" t="s">
        <v>215</v>
      </c>
      <c r="G1819" s="74"/>
      <c r="H1819" s="75"/>
      <c r="I1819" s="76"/>
      <c r="J1819" s="78">
        <f>HYPERLINK("#Структура!E1839",Структура!E1839)</f>
        <v>5.0000000000000001E-3</v>
      </c>
      <c r="K1819" s="114" t="str">
        <f>HYPERLINK("#Структура!G1839","")</f>
        <v/>
      </c>
      <c r="L1819" s="120">
        <f>HYPERLINK("#Покупные_изделия!D567",Покупные_изделия!D567)</f>
        <v>405.74399999999997</v>
      </c>
      <c r="M1819" s="76">
        <f>J1819*L1819</f>
        <v>2.0287199999999999</v>
      </c>
      <c r="N1819" s="77"/>
      <c r="O1819" s="77"/>
      <c r="P1819" s="76"/>
      <c r="Q1819" s="76"/>
    </row>
    <row r="1820" spans="5:17" hidden="1" outlineLevel="3" collapsed="1" x14ac:dyDescent="0.25">
      <c r="E1820" s="84" t="s">
        <v>1190</v>
      </c>
      <c r="F1820" s="79"/>
      <c r="G1820" s="79"/>
      <c r="H1820" s="80"/>
      <c r="I1820" s="81"/>
      <c r="J1820" s="83">
        <f>HYPERLINK("#Структура!E1797",Структура!E1797)</f>
        <v>1</v>
      </c>
      <c r="K1820" s="115">
        <f>HYPERLINK("#Структура!G1797",Структура!G1797)</f>
        <v>1.1765699999999999</v>
      </c>
      <c r="L1820" s="81">
        <f>M1820/J1820</f>
        <v>425.80499999999995</v>
      </c>
      <c r="M1820" s="81">
        <f>SUMIF(F1821,"*",M1821)*J1820</f>
        <v>425.80499999999995</v>
      </c>
      <c r="N1820" s="124">
        <f>HYPERLINK("#Трудозатраты!B491",Трудозатраты!B491+SUMIF(F1821,"*",O1821))</f>
        <v>3.1</v>
      </c>
      <c r="O1820" s="82">
        <f>N1820*J1820</f>
        <v>3.1</v>
      </c>
      <c r="P1820" s="81">
        <f>O1820/60*(1+запас_труд)*стоимость_трудочаса</f>
        <v>121.41666666666667</v>
      </c>
      <c r="Q1820" s="129">
        <f>M1820*(1+наценка_покупное)+P1820</f>
        <v>632.38266666666652</v>
      </c>
    </row>
    <row r="1821" spans="5:17" hidden="1" outlineLevel="4" x14ac:dyDescent="0.25">
      <c r="F1821" s="74" t="s">
        <v>112</v>
      </c>
      <c r="G1821" s="74"/>
      <c r="H1821" s="75"/>
      <c r="I1821" s="76"/>
      <c r="J1821" s="78">
        <f>HYPERLINK("#Структура!E1840",Структура!E1840)</f>
        <v>1.4193499999999999</v>
      </c>
      <c r="K1821" s="114" t="str">
        <f>HYPERLINK("#Структура!G1840","")</f>
        <v/>
      </c>
      <c r="L1821" s="120">
        <f>HYPERLINK("#Покупные_изделия!D285",Покупные_изделия!D285)</f>
        <v>300</v>
      </c>
      <c r="M1821" s="76">
        <f>J1821*L1821</f>
        <v>425.80499999999995</v>
      </c>
      <c r="N1821" s="77"/>
      <c r="O1821" s="77"/>
      <c r="P1821" s="76"/>
      <c r="Q1821" s="76"/>
    </row>
    <row r="1822" spans="5:17" hidden="1" outlineLevel="3" collapsed="1" x14ac:dyDescent="0.25">
      <c r="E1822" s="84" t="s">
        <v>1191</v>
      </c>
      <c r="F1822" s="79"/>
      <c r="G1822" s="79"/>
      <c r="H1822" s="80"/>
      <c r="I1822" s="81"/>
      <c r="J1822" s="83">
        <f>HYPERLINK("#Структура!E1798",Структура!E1798)</f>
        <v>1</v>
      </c>
      <c r="K1822" s="115">
        <f>HYPERLINK("#Структура!G1798",Структура!G1798)</f>
        <v>3.3625500000000001</v>
      </c>
      <c r="L1822" s="81">
        <f>M1822/J1822</f>
        <v>1539.452016</v>
      </c>
      <c r="M1822" s="81">
        <f>SUMIF(F1823:F1828,"*",M1823:M1828)*J1822</f>
        <v>1539.452016</v>
      </c>
      <c r="N1822" s="124">
        <f>HYPERLINK("#Трудозатраты!B492",Трудозатраты!B492+SUMIF(F1823:F1828,"*",O1823:O1828))</f>
        <v>47.7</v>
      </c>
      <c r="O1822" s="82">
        <f>N1822*J1822</f>
        <v>47.7</v>
      </c>
      <c r="P1822" s="81">
        <f>O1822/60*(1+запас_труд)*стоимость_трудочаса</f>
        <v>1868.25</v>
      </c>
      <c r="Q1822" s="129">
        <f>M1822*(1+наценка_покупное)+P1822</f>
        <v>3715.5924191999998</v>
      </c>
    </row>
    <row r="1823" spans="5:17" hidden="1" outlineLevel="4" x14ac:dyDescent="0.25">
      <c r="F1823" s="74" t="s">
        <v>65</v>
      </c>
      <c r="G1823" s="74"/>
      <c r="H1823" s="75"/>
      <c r="I1823" s="76"/>
      <c r="J1823" s="78">
        <f>HYPERLINK("#Структура!E1841",Структура!E1841)</f>
        <v>7.5999999999999998E-2</v>
      </c>
      <c r="K1823" s="114" t="str">
        <f>HYPERLINK("#Структура!G1841","")</f>
        <v/>
      </c>
      <c r="L1823" s="120">
        <f>HYPERLINK("#Покупные_изделия!D197",Покупные_изделия!D197)</f>
        <v>264.50399999999996</v>
      </c>
      <c r="M1823" s="76">
        <f t="shared" ref="M1823:M1828" si="70">J1823*L1823</f>
        <v>20.102303999999997</v>
      </c>
      <c r="N1823" s="77"/>
      <c r="O1823" s="77"/>
      <c r="P1823" s="76"/>
      <c r="Q1823" s="76"/>
    </row>
    <row r="1824" spans="5:17" hidden="1" outlineLevel="4" x14ac:dyDescent="0.25">
      <c r="F1824" s="74" t="s">
        <v>109</v>
      </c>
      <c r="G1824" s="74"/>
      <c r="H1824" s="75"/>
      <c r="I1824" s="76"/>
      <c r="J1824" s="78">
        <f>HYPERLINK("#Структура!E1842",Структура!E1842)</f>
        <v>9.7613599999999998</v>
      </c>
      <c r="K1824" s="114" t="str">
        <f>HYPERLINK("#Структура!G1842","")</f>
        <v/>
      </c>
      <c r="L1824" s="120">
        <f>HYPERLINK("#Покупные_изделия!D281",Покупные_изделия!D281)</f>
        <v>120</v>
      </c>
      <c r="M1824" s="76">
        <f t="shared" si="70"/>
        <v>1171.3632</v>
      </c>
      <c r="N1824" s="77"/>
      <c r="O1824" s="77"/>
      <c r="P1824" s="76"/>
      <c r="Q1824" s="76"/>
    </row>
    <row r="1825" spans="5:17" hidden="1" outlineLevel="4" x14ac:dyDescent="0.25">
      <c r="F1825" s="74" t="s">
        <v>155</v>
      </c>
      <c r="G1825" s="74"/>
      <c r="H1825" s="75"/>
      <c r="I1825" s="76"/>
      <c r="J1825" s="78">
        <f>HYPERLINK("#Структура!E1843",Структура!E1843)</f>
        <v>2.3E-2</v>
      </c>
      <c r="K1825" s="114" t="str">
        <f>HYPERLINK("#Структура!G1843","")</f>
        <v/>
      </c>
      <c r="L1825" s="120">
        <f>HYPERLINK("#Покупные_изделия!D423",Покупные_изделия!D423)</f>
        <v>218.28</v>
      </c>
      <c r="M1825" s="76">
        <f t="shared" si="70"/>
        <v>5.0204399999999998</v>
      </c>
      <c r="N1825" s="77"/>
      <c r="O1825" s="77"/>
      <c r="P1825" s="76"/>
      <c r="Q1825" s="76"/>
    </row>
    <row r="1826" spans="5:17" hidden="1" outlineLevel="4" x14ac:dyDescent="0.25">
      <c r="F1826" s="74" t="s">
        <v>156</v>
      </c>
      <c r="G1826" s="74"/>
      <c r="H1826" s="75"/>
      <c r="I1826" s="76"/>
      <c r="J1826" s="78">
        <f>HYPERLINK("#Структура!E1844",Структура!E1844)</f>
        <v>7.0000000000000007E-2</v>
      </c>
      <c r="K1826" s="114" t="str">
        <f>HYPERLINK("#Структура!G1844","")</f>
        <v/>
      </c>
      <c r="L1826" s="120">
        <f>HYPERLINK("#Покупные_изделия!D427",Покупные_изделия!D427)</f>
        <v>155.53200000000001</v>
      </c>
      <c r="M1826" s="76">
        <f t="shared" si="70"/>
        <v>10.887240000000002</v>
      </c>
      <c r="N1826" s="77"/>
      <c r="O1826" s="77"/>
      <c r="P1826" s="76"/>
      <c r="Q1826" s="76"/>
    </row>
    <row r="1827" spans="5:17" hidden="1" outlineLevel="4" x14ac:dyDescent="0.25">
      <c r="F1827" s="74" t="s">
        <v>200</v>
      </c>
      <c r="G1827" s="74"/>
      <c r="H1827" s="75"/>
      <c r="I1827" s="76"/>
      <c r="J1827" s="78">
        <f>HYPERLINK("#Структура!E1845",Структура!E1845)</f>
        <v>1</v>
      </c>
      <c r="K1827" s="114" t="str">
        <f>HYPERLINK("#Структура!G1845","")</f>
        <v/>
      </c>
      <c r="L1827" s="120">
        <f>HYPERLINK("#Покупные_изделия!D518",Покупные_изделия!D518)</f>
        <v>270</v>
      </c>
      <c r="M1827" s="76">
        <f t="shared" si="70"/>
        <v>270</v>
      </c>
      <c r="N1827" s="77"/>
      <c r="O1827" s="77"/>
      <c r="P1827" s="76"/>
      <c r="Q1827" s="76"/>
    </row>
    <row r="1828" spans="5:17" hidden="1" outlineLevel="4" x14ac:dyDescent="0.25">
      <c r="F1828" s="74" t="s">
        <v>215</v>
      </c>
      <c r="G1828" s="74"/>
      <c r="H1828" s="75"/>
      <c r="I1828" s="76"/>
      <c r="J1828" s="78">
        <f>HYPERLINK("#Структура!E1846",Структура!E1846)</f>
        <v>0.153</v>
      </c>
      <c r="K1828" s="114" t="str">
        <f>HYPERLINK("#Структура!G1846","")</f>
        <v/>
      </c>
      <c r="L1828" s="120">
        <f>HYPERLINK("#Покупные_изделия!D567",Покупные_изделия!D567)</f>
        <v>405.74399999999997</v>
      </c>
      <c r="M1828" s="76">
        <f t="shared" si="70"/>
        <v>62.078831999999991</v>
      </c>
      <c r="N1828" s="77"/>
      <c r="O1828" s="77"/>
      <c r="P1828" s="76"/>
      <c r="Q1828" s="76"/>
    </row>
    <row r="1829" spans="5:17" hidden="1" outlineLevel="3" collapsed="1" x14ac:dyDescent="0.25">
      <c r="E1829" s="84" t="s">
        <v>1192</v>
      </c>
      <c r="F1829" s="79"/>
      <c r="G1829" s="79"/>
      <c r="H1829" s="80"/>
      <c r="I1829" s="81"/>
      <c r="J1829" s="83">
        <f>HYPERLINK("#Структура!E1799",Структура!E1799)</f>
        <v>2</v>
      </c>
      <c r="K1829" s="115">
        <f>HYPERLINK("#Структура!G1799",Структура!G1799)</f>
        <v>3.1669999999999997E-2</v>
      </c>
      <c r="L1829" s="81">
        <f>M1829/J1829</f>
        <v>6.7200000000000006</v>
      </c>
      <c r="M1829" s="81">
        <f>SUMIF(F1830,"*",M1830)*J1829</f>
        <v>13.440000000000001</v>
      </c>
      <c r="N1829" s="124">
        <f>HYPERLINK("#Трудозатраты!B493",Трудозатраты!B493+SUMIF(F1830,"*",O1830))</f>
        <v>2.5</v>
      </c>
      <c r="O1829" s="82">
        <f>N1829*J1829</f>
        <v>5</v>
      </c>
      <c r="P1829" s="81">
        <f>O1829/60*(1+запас_труд)*стоимость_трудочаса</f>
        <v>195.83333333333331</v>
      </c>
      <c r="Q1829" s="129">
        <f>M1829*(1+наценка_покупное)+P1829</f>
        <v>211.9613333333333</v>
      </c>
    </row>
    <row r="1830" spans="5:17" hidden="1" outlineLevel="4" x14ac:dyDescent="0.25">
      <c r="F1830" s="74" t="s">
        <v>130</v>
      </c>
      <c r="G1830" s="74"/>
      <c r="H1830" s="75"/>
      <c r="I1830" s="76"/>
      <c r="J1830" s="78">
        <f>HYPERLINK("#Структура!E1847",Структура!E1847)</f>
        <v>4.2000000000000003E-2</v>
      </c>
      <c r="K1830" s="114" t="str">
        <f>HYPERLINK("#Структура!G1847","")</f>
        <v/>
      </c>
      <c r="L1830" s="120">
        <f>HYPERLINK("#Покупные_изделия!D305",Покупные_изделия!D305)</f>
        <v>160</v>
      </c>
      <c r="M1830" s="76">
        <f>J1830*L1830</f>
        <v>6.7200000000000006</v>
      </c>
      <c r="N1830" s="77"/>
      <c r="O1830" s="77"/>
      <c r="P1830" s="76"/>
      <c r="Q1830" s="76"/>
    </row>
    <row r="1831" spans="5:17" hidden="1" outlineLevel="3" collapsed="1" x14ac:dyDescent="0.25">
      <c r="E1831" s="84" t="s">
        <v>1193</v>
      </c>
      <c r="F1831" s="79"/>
      <c r="G1831" s="79"/>
      <c r="H1831" s="80"/>
      <c r="I1831" s="81"/>
      <c r="J1831" s="83">
        <f>HYPERLINK("#Структура!E1800",Структура!E1800)</f>
        <v>1</v>
      </c>
      <c r="K1831" s="115">
        <f>HYPERLINK("#Структура!G1800",Структура!G1800)</f>
        <v>3.0291000000000001</v>
      </c>
      <c r="L1831" s="81">
        <f>M1831/J1831</f>
        <v>1593.26316</v>
      </c>
      <c r="M1831" s="81">
        <f>SUMIF(F1832:F1837,"*",M1832:M1837)*J1831</f>
        <v>1593.26316</v>
      </c>
      <c r="N1831" s="124">
        <f>HYPERLINK("#Трудозатраты!B494",Трудозатраты!B494+SUMIF(F1832:F1837,"*",O1832:O1837))</f>
        <v>43.5</v>
      </c>
      <c r="O1831" s="82">
        <f>N1831*J1831</f>
        <v>43.5</v>
      </c>
      <c r="P1831" s="81">
        <f>O1831/60*(1+запас_труд)*стоимость_трудочаса</f>
        <v>1703.75</v>
      </c>
      <c r="Q1831" s="129">
        <f>M1831*(1+наценка_покупное)+P1831</f>
        <v>3615.6657919999998</v>
      </c>
    </row>
    <row r="1832" spans="5:17" hidden="1" outlineLevel="4" x14ac:dyDescent="0.25">
      <c r="F1832" s="74" t="s">
        <v>65</v>
      </c>
      <c r="G1832" s="74"/>
      <c r="H1832" s="75"/>
      <c r="I1832" s="76"/>
      <c r="J1832" s="78">
        <f>HYPERLINK("#Структура!E1848",Структура!E1848)</f>
        <v>0.15</v>
      </c>
      <c r="K1832" s="114" t="str">
        <f>HYPERLINK("#Структура!G1848","")</f>
        <v/>
      </c>
      <c r="L1832" s="120">
        <f>HYPERLINK("#Покупные_изделия!D197",Покупные_изделия!D197)</f>
        <v>264.50399999999996</v>
      </c>
      <c r="M1832" s="76">
        <f t="shared" ref="M1832:M1837" si="71">J1832*L1832</f>
        <v>39.675599999999996</v>
      </c>
      <c r="N1832" s="77"/>
      <c r="O1832" s="77"/>
      <c r="P1832" s="76"/>
      <c r="Q1832" s="76"/>
    </row>
    <row r="1833" spans="5:17" hidden="1" outlineLevel="4" x14ac:dyDescent="0.25">
      <c r="F1833" s="74" t="s">
        <v>113</v>
      </c>
      <c r="G1833" s="74"/>
      <c r="H1833" s="75"/>
      <c r="I1833" s="76"/>
      <c r="J1833" s="78">
        <f>HYPERLINK("#Структура!E1849",Структура!E1849)</f>
        <v>11.42</v>
      </c>
      <c r="K1833" s="114" t="str">
        <f>HYPERLINK("#Структура!G1849","")</f>
        <v/>
      </c>
      <c r="L1833" s="120">
        <f>HYPERLINK("#Покупные_изделия!D286",Покупные_изделия!D286)</f>
        <v>120</v>
      </c>
      <c r="M1833" s="76">
        <f t="shared" si="71"/>
        <v>1370.4</v>
      </c>
      <c r="N1833" s="77"/>
      <c r="O1833" s="77"/>
      <c r="P1833" s="76"/>
      <c r="Q1833" s="76"/>
    </row>
    <row r="1834" spans="5:17" hidden="1" outlineLevel="4" x14ac:dyDescent="0.25">
      <c r="F1834" s="74" t="s">
        <v>155</v>
      </c>
      <c r="G1834" s="74"/>
      <c r="H1834" s="75"/>
      <c r="I1834" s="76"/>
      <c r="J1834" s="78">
        <f>HYPERLINK("#Структура!E1850",Структура!E1850)</f>
        <v>0.09</v>
      </c>
      <c r="K1834" s="114" t="str">
        <f>HYPERLINK("#Структура!G1850","")</f>
        <v/>
      </c>
      <c r="L1834" s="120">
        <f>HYPERLINK("#Покупные_изделия!D423",Покупные_изделия!D423)</f>
        <v>218.28</v>
      </c>
      <c r="M1834" s="76">
        <f t="shared" si="71"/>
        <v>19.645199999999999</v>
      </c>
      <c r="N1834" s="77"/>
      <c r="O1834" s="77"/>
      <c r="P1834" s="76"/>
      <c r="Q1834" s="76"/>
    </row>
    <row r="1835" spans="5:17" hidden="1" outlineLevel="4" x14ac:dyDescent="0.25">
      <c r="F1835" s="74" t="s">
        <v>156</v>
      </c>
      <c r="G1835" s="74"/>
      <c r="H1835" s="75"/>
      <c r="I1835" s="76"/>
      <c r="J1835" s="78">
        <f>HYPERLINK("#Структура!E1851",Структура!E1851)</f>
        <v>0.13</v>
      </c>
      <c r="K1835" s="114" t="str">
        <f>HYPERLINK("#Структура!G1851","")</f>
        <v/>
      </c>
      <c r="L1835" s="120">
        <f>HYPERLINK("#Покупные_изделия!D427",Покупные_изделия!D427)</f>
        <v>155.53200000000001</v>
      </c>
      <c r="M1835" s="76">
        <f t="shared" si="71"/>
        <v>20.219160000000002</v>
      </c>
      <c r="N1835" s="77"/>
      <c r="O1835" s="77"/>
      <c r="P1835" s="76"/>
      <c r="Q1835" s="76"/>
    </row>
    <row r="1836" spans="5:17" hidden="1" outlineLevel="4" x14ac:dyDescent="0.25">
      <c r="F1836" s="74" t="s">
        <v>200</v>
      </c>
      <c r="G1836" s="74"/>
      <c r="H1836" s="75"/>
      <c r="I1836" s="76"/>
      <c r="J1836" s="78">
        <f>HYPERLINK("#Структура!E1852",Структура!E1852)</f>
        <v>0.08</v>
      </c>
      <c r="K1836" s="114" t="str">
        <f>HYPERLINK("#Структура!G1852","")</f>
        <v/>
      </c>
      <c r="L1836" s="120">
        <f>HYPERLINK("#Покупные_изделия!D518",Покупные_изделия!D518)</f>
        <v>270</v>
      </c>
      <c r="M1836" s="76">
        <f t="shared" si="71"/>
        <v>21.6</v>
      </c>
      <c r="N1836" s="77"/>
      <c r="O1836" s="77"/>
      <c r="P1836" s="76"/>
      <c r="Q1836" s="76"/>
    </row>
    <row r="1837" spans="5:17" hidden="1" outlineLevel="4" x14ac:dyDescent="0.25">
      <c r="F1837" s="74" t="s">
        <v>215</v>
      </c>
      <c r="G1837" s="74"/>
      <c r="H1837" s="75"/>
      <c r="I1837" s="76"/>
      <c r="J1837" s="78">
        <f>HYPERLINK("#Структура!E1853",Структура!E1853)</f>
        <v>0.3</v>
      </c>
      <c r="K1837" s="114" t="str">
        <f>HYPERLINK("#Структура!G1853","")</f>
        <v/>
      </c>
      <c r="L1837" s="120">
        <f>HYPERLINK("#Покупные_изделия!D567",Покупные_изделия!D567)</f>
        <v>405.74399999999997</v>
      </c>
      <c r="M1837" s="76">
        <f t="shared" si="71"/>
        <v>121.72319999999999</v>
      </c>
      <c r="N1837" s="77"/>
      <c r="O1837" s="77"/>
      <c r="P1837" s="76"/>
      <c r="Q1837" s="76"/>
    </row>
    <row r="1838" spans="5:17" hidden="1" outlineLevel="3" collapsed="1" x14ac:dyDescent="0.25">
      <c r="E1838" s="84" t="s">
        <v>1194</v>
      </c>
      <c r="F1838" s="79"/>
      <c r="G1838" s="79"/>
      <c r="H1838" s="80"/>
      <c r="I1838" s="81"/>
      <c r="J1838" s="83">
        <f>HYPERLINK("#Структура!E1801",Структура!E1801)</f>
        <v>2</v>
      </c>
      <c r="K1838" s="115">
        <f>HYPERLINK("#Структура!G1801",Структура!G1801)</f>
        <v>6.1120000000000001E-2</v>
      </c>
      <c r="L1838" s="81">
        <f>M1838/J1838</f>
        <v>12.8</v>
      </c>
      <c r="M1838" s="81">
        <f>SUMIF(F1839,"*",M1839)*J1838</f>
        <v>25.6</v>
      </c>
      <c r="N1838" s="124">
        <f>HYPERLINK("#Трудозатраты!B495",Трудозатраты!B495+SUMIF(F1839,"*",O1839))</f>
        <v>1.9000000000000001</v>
      </c>
      <c r="O1838" s="82">
        <f>N1838*J1838</f>
        <v>3.8000000000000003</v>
      </c>
      <c r="P1838" s="81">
        <f>O1838/60*(1+запас_труд)*стоимость_трудочаса</f>
        <v>148.83333333333334</v>
      </c>
      <c r="Q1838" s="129">
        <f>M1838*(1+наценка_покупное)+P1838</f>
        <v>179.55333333333334</v>
      </c>
    </row>
    <row r="1839" spans="5:17" hidden="1" outlineLevel="4" x14ac:dyDescent="0.25">
      <c r="F1839" s="74" t="s">
        <v>131</v>
      </c>
      <c r="G1839" s="74"/>
      <c r="H1839" s="75"/>
      <c r="I1839" s="76"/>
      <c r="J1839" s="78">
        <f>HYPERLINK("#Структура!E1854",Структура!E1854)</f>
        <v>0.08</v>
      </c>
      <c r="K1839" s="114" t="str">
        <f>HYPERLINK("#Структура!G1854","")</f>
        <v/>
      </c>
      <c r="L1839" s="120">
        <f>HYPERLINK("#Покупные_изделия!D306",Покупные_изделия!D306)</f>
        <v>160</v>
      </c>
      <c r="M1839" s="76">
        <f>J1839*L1839</f>
        <v>12.8</v>
      </c>
      <c r="N1839" s="77"/>
      <c r="O1839" s="77"/>
      <c r="P1839" s="76"/>
      <c r="Q1839" s="76"/>
    </row>
    <row r="1840" spans="5:17" hidden="1" outlineLevel="3" collapsed="1" x14ac:dyDescent="0.25">
      <c r="E1840" s="84" t="s">
        <v>1195</v>
      </c>
      <c r="F1840" s="79"/>
      <c r="G1840" s="79"/>
      <c r="H1840" s="80"/>
      <c r="I1840" s="81"/>
      <c r="J1840" s="83">
        <f>HYPERLINK("#Структура!E1802",Структура!E1802)</f>
        <v>2</v>
      </c>
      <c r="K1840" s="115">
        <f>HYPERLINK("#Структура!G1802",Структура!G1802)</f>
        <v>5.7880000000000001E-2</v>
      </c>
      <c r="L1840" s="81">
        <f>M1840/J1840</f>
        <v>10.689804000000002</v>
      </c>
      <c r="M1840" s="81">
        <f>SUMIF(F1841:F1845,"*",M1841:M1845)*J1840</f>
        <v>21.379608000000005</v>
      </c>
      <c r="N1840" s="124">
        <f>HYPERLINK("#Трудозатраты!B496",Трудозатраты!B496+SUMIF(F1841:F1845,"*",O1841:O1845))</f>
        <v>7.9</v>
      </c>
      <c r="O1840" s="82">
        <f>N1840*J1840</f>
        <v>15.8</v>
      </c>
      <c r="P1840" s="81">
        <f>O1840/60*(1+запас_труд)*стоимость_трудочаса</f>
        <v>618.83333333333337</v>
      </c>
      <c r="Q1840" s="129">
        <f>M1840*(1+наценка_покупное)+P1840</f>
        <v>644.48886293333339</v>
      </c>
    </row>
    <row r="1841" spans="5:17" hidden="1" outlineLevel="4" x14ac:dyDescent="0.25">
      <c r="F1841" s="74" t="s">
        <v>65</v>
      </c>
      <c r="G1841" s="74"/>
      <c r="H1841" s="75"/>
      <c r="I1841" s="76"/>
      <c r="J1841" s="78">
        <f>HYPERLINK("#Структура!E1855",Структура!E1855)</f>
        <v>1E-3</v>
      </c>
      <c r="K1841" s="114" t="str">
        <f>HYPERLINK("#Структура!G1855","")</f>
        <v/>
      </c>
      <c r="L1841" s="120">
        <f>HYPERLINK("#Покупные_изделия!D197",Покупные_изделия!D197)</f>
        <v>264.50399999999996</v>
      </c>
      <c r="M1841" s="76">
        <f>J1841*L1841</f>
        <v>0.26450399999999996</v>
      </c>
      <c r="N1841" s="77"/>
      <c r="O1841" s="77"/>
      <c r="P1841" s="76"/>
      <c r="Q1841" s="76"/>
    </row>
    <row r="1842" spans="5:17" hidden="1" outlineLevel="4" x14ac:dyDescent="0.25">
      <c r="F1842" s="74" t="s">
        <v>109</v>
      </c>
      <c r="G1842" s="74"/>
      <c r="H1842" s="75"/>
      <c r="I1842" s="76"/>
      <c r="J1842" s="78">
        <f>HYPERLINK("#Структура!E1856",Структура!E1856)</f>
        <v>7.6999999999999999E-2</v>
      </c>
      <c r="K1842" s="114" t="str">
        <f>HYPERLINK("#Структура!G1856","")</f>
        <v/>
      </c>
      <c r="L1842" s="120">
        <f>HYPERLINK("#Покупные_изделия!D281",Покупные_изделия!D281)</f>
        <v>120</v>
      </c>
      <c r="M1842" s="76">
        <f>J1842*L1842</f>
        <v>9.24</v>
      </c>
      <c r="N1842" s="77"/>
      <c r="O1842" s="77"/>
      <c r="P1842" s="76"/>
      <c r="Q1842" s="76"/>
    </row>
    <row r="1843" spans="5:17" hidden="1" outlineLevel="4" x14ac:dyDescent="0.25">
      <c r="F1843" s="74" t="s">
        <v>155</v>
      </c>
      <c r="G1843" s="74"/>
      <c r="H1843" s="75"/>
      <c r="I1843" s="76"/>
      <c r="J1843" s="78">
        <f>HYPERLINK("#Структура!E1857",Структура!E1857)</f>
        <v>1E-3</v>
      </c>
      <c r="K1843" s="114" t="str">
        <f>HYPERLINK("#Структура!G1857","")</f>
        <v/>
      </c>
      <c r="L1843" s="120">
        <f>HYPERLINK("#Покупные_изделия!D423",Покупные_изделия!D423)</f>
        <v>218.28</v>
      </c>
      <c r="M1843" s="76">
        <f>J1843*L1843</f>
        <v>0.21828</v>
      </c>
      <c r="N1843" s="77"/>
      <c r="O1843" s="77"/>
      <c r="P1843" s="76"/>
      <c r="Q1843" s="76"/>
    </row>
    <row r="1844" spans="5:17" hidden="1" outlineLevel="4" x14ac:dyDescent="0.25">
      <c r="F1844" s="74" t="s">
        <v>156</v>
      </c>
      <c r="G1844" s="74"/>
      <c r="H1844" s="75"/>
      <c r="I1844" s="76"/>
      <c r="J1844" s="78">
        <f>HYPERLINK("#Структура!E1858",Структура!E1858)</f>
        <v>1E-3</v>
      </c>
      <c r="K1844" s="114" t="str">
        <f>HYPERLINK("#Структура!G1858","")</f>
        <v/>
      </c>
      <c r="L1844" s="120">
        <f>HYPERLINK("#Покупные_изделия!D427",Покупные_изделия!D427)</f>
        <v>155.53200000000001</v>
      </c>
      <c r="M1844" s="76">
        <f>J1844*L1844</f>
        <v>0.155532</v>
      </c>
      <c r="N1844" s="77"/>
      <c r="O1844" s="77"/>
      <c r="P1844" s="76"/>
      <c r="Q1844" s="76"/>
    </row>
    <row r="1845" spans="5:17" hidden="1" outlineLevel="4" x14ac:dyDescent="0.25">
      <c r="F1845" s="74" t="s">
        <v>215</v>
      </c>
      <c r="G1845" s="74"/>
      <c r="H1845" s="75"/>
      <c r="I1845" s="76"/>
      <c r="J1845" s="78">
        <f>HYPERLINK("#Структура!E1859",Структура!E1859)</f>
        <v>2E-3</v>
      </c>
      <c r="K1845" s="114" t="str">
        <f>HYPERLINK("#Структура!G1859","")</f>
        <v/>
      </c>
      <c r="L1845" s="120">
        <f>HYPERLINK("#Покупные_изделия!D567",Покупные_изделия!D567)</f>
        <v>405.74399999999997</v>
      </c>
      <c r="M1845" s="76">
        <f>J1845*L1845</f>
        <v>0.81148799999999999</v>
      </c>
      <c r="N1845" s="77"/>
      <c r="O1845" s="77"/>
      <c r="P1845" s="76"/>
      <c r="Q1845" s="76"/>
    </row>
    <row r="1846" spans="5:17" hidden="1" outlineLevel="3" collapsed="1" x14ac:dyDescent="0.25">
      <c r="E1846" s="84" t="s">
        <v>1196</v>
      </c>
      <c r="F1846" s="79"/>
      <c r="G1846" s="79"/>
      <c r="H1846" s="80"/>
      <c r="I1846" s="81"/>
      <c r="J1846" s="83">
        <f>HYPERLINK("#Структура!E1803",Структура!E1803)</f>
        <v>1</v>
      </c>
      <c r="K1846" s="115">
        <f>HYPERLINK("#Структура!G1803",Структура!G1803)</f>
        <v>1.4852700000000001</v>
      </c>
      <c r="L1846" s="81">
        <f>M1846/J1846</f>
        <v>513.63986399999999</v>
      </c>
      <c r="M1846" s="81">
        <f>SUMIF(F1847:F1851,"*",M1847:M1851)*J1846</f>
        <v>513.63986399999999</v>
      </c>
      <c r="N1846" s="124">
        <f>HYPERLINK("#Трудозатраты!B497",Трудозатраты!B497+SUMIF(F1847:F1851,"*",O1847:O1851))</f>
        <v>9.1</v>
      </c>
      <c r="O1846" s="82">
        <f>N1846*J1846</f>
        <v>9.1</v>
      </c>
      <c r="P1846" s="81">
        <f>O1846/60*(1+запас_труд)*стоимость_трудочаса</f>
        <v>356.41666666666669</v>
      </c>
      <c r="Q1846" s="129">
        <f>M1846*(1+наценка_покупное)+P1846</f>
        <v>972.78450346666659</v>
      </c>
    </row>
    <row r="1847" spans="5:17" hidden="1" outlineLevel="4" x14ac:dyDescent="0.25">
      <c r="F1847" s="74" t="s">
        <v>65</v>
      </c>
      <c r="G1847" s="74"/>
      <c r="H1847" s="75"/>
      <c r="I1847" s="76"/>
      <c r="J1847" s="78">
        <f>HYPERLINK("#Структура!E1860",Структура!E1860)</f>
        <v>1.2E-2</v>
      </c>
      <c r="K1847" s="114" t="str">
        <f>HYPERLINK("#Структура!G1860","")</f>
        <v/>
      </c>
      <c r="L1847" s="120">
        <f>HYPERLINK("#Покупные_изделия!D197",Покупные_изделия!D197)</f>
        <v>264.50399999999996</v>
      </c>
      <c r="M1847" s="76">
        <f>J1847*L1847</f>
        <v>3.1740479999999995</v>
      </c>
      <c r="N1847" s="77"/>
      <c r="O1847" s="77"/>
      <c r="P1847" s="76"/>
      <c r="Q1847" s="76"/>
    </row>
    <row r="1848" spans="5:17" hidden="1" outlineLevel="4" x14ac:dyDescent="0.25">
      <c r="F1848" s="74" t="s">
        <v>116</v>
      </c>
      <c r="G1848" s="74"/>
      <c r="H1848" s="75"/>
      <c r="I1848" s="76"/>
      <c r="J1848" s="78">
        <f>HYPERLINK("#Структура!E1861",Структура!E1861)</f>
        <v>1.91</v>
      </c>
      <c r="K1848" s="114" t="str">
        <f>HYPERLINK("#Структура!G1861","")</f>
        <v/>
      </c>
      <c r="L1848" s="120">
        <f>HYPERLINK("#Покупные_изделия!D291",Покупные_изделия!D291)</f>
        <v>120</v>
      </c>
      <c r="M1848" s="76">
        <f>J1848*L1848</f>
        <v>229.2</v>
      </c>
      <c r="N1848" s="77"/>
      <c r="O1848" s="77"/>
      <c r="P1848" s="76"/>
      <c r="Q1848" s="76"/>
    </row>
    <row r="1849" spans="5:17" hidden="1" outlineLevel="4" x14ac:dyDescent="0.25">
      <c r="F1849" s="74" t="s">
        <v>155</v>
      </c>
      <c r="G1849" s="74"/>
      <c r="H1849" s="75"/>
      <c r="I1849" s="76"/>
      <c r="J1849" s="78">
        <f>HYPERLINK("#Структура!E1862",Структура!E1862)</f>
        <v>7.0000000000000001E-3</v>
      </c>
      <c r="K1849" s="114" t="str">
        <f>HYPERLINK("#Структура!G1862","")</f>
        <v/>
      </c>
      <c r="L1849" s="120">
        <f>HYPERLINK("#Покупные_изделия!D423",Покупные_изделия!D423)</f>
        <v>218.28</v>
      </c>
      <c r="M1849" s="76">
        <f>J1849*L1849</f>
        <v>1.52796</v>
      </c>
      <c r="N1849" s="77"/>
      <c r="O1849" s="77"/>
      <c r="P1849" s="76"/>
      <c r="Q1849" s="76"/>
    </row>
    <row r="1850" spans="5:17" hidden="1" outlineLevel="4" x14ac:dyDescent="0.25">
      <c r="F1850" s="74" t="s">
        <v>200</v>
      </c>
      <c r="G1850" s="74"/>
      <c r="H1850" s="75"/>
      <c r="I1850" s="76"/>
      <c r="J1850" s="78">
        <f>HYPERLINK("#Структура!E1863",Структура!E1863)</f>
        <v>1</v>
      </c>
      <c r="K1850" s="114" t="str">
        <f>HYPERLINK("#Структура!G1863","")</f>
        <v/>
      </c>
      <c r="L1850" s="120">
        <f>HYPERLINK("#Покупные_изделия!D518",Покупные_изделия!D518)</f>
        <v>270</v>
      </c>
      <c r="M1850" s="76">
        <f>J1850*L1850</f>
        <v>270</v>
      </c>
      <c r="N1850" s="77"/>
      <c r="O1850" s="77"/>
      <c r="P1850" s="76"/>
      <c r="Q1850" s="76"/>
    </row>
    <row r="1851" spans="5:17" hidden="1" outlineLevel="4" x14ac:dyDescent="0.25">
      <c r="F1851" s="74" t="s">
        <v>215</v>
      </c>
      <c r="G1851" s="74"/>
      <c r="H1851" s="75"/>
      <c r="I1851" s="76"/>
      <c r="J1851" s="78">
        <f>HYPERLINK("#Структура!E1864",Структура!E1864)</f>
        <v>2.4E-2</v>
      </c>
      <c r="K1851" s="114" t="str">
        <f>HYPERLINK("#Структура!G1864","")</f>
        <v/>
      </c>
      <c r="L1851" s="120">
        <f>HYPERLINK("#Покупные_изделия!D567",Покупные_изделия!D567)</f>
        <v>405.74399999999997</v>
      </c>
      <c r="M1851" s="76">
        <f>J1851*L1851</f>
        <v>9.737855999999999</v>
      </c>
      <c r="N1851" s="77"/>
      <c r="O1851" s="77"/>
      <c r="P1851" s="76"/>
      <c r="Q1851" s="76"/>
    </row>
    <row r="1852" spans="5:17" hidden="1" outlineLevel="3" collapsed="1" x14ac:dyDescent="0.25">
      <c r="E1852" s="84" t="s">
        <v>1197</v>
      </c>
      <c r="F1852" s="79"/>
      <c r="G1852" s="79"/>
      <c r="H1852" s="80"/>
      <c r="I1852" s="81"/>
      <c r="J1852" s="83">
        <f>HYPERLINK("#Структура!E1804",Структура!E1804)</f>
        <v>2</v>
      </c>
      <c r="K1852" s="115">
        <f>HYPERLINK("#Структура!G1804",Структура!G1804)</f>
        <v>0.30839</v>
      </c>
      <c r="L1852" s="81">
        <f>M1852/J1852</f>
        <v>51.056927999999999</v>
      </c>
      <c r="M1852" s="81">
        <f>SUMIF(F1853:F1857,"*",M1853:M1857)*J1852</f>
        <v>102.113856</v>
      </c>
      <c r="N1852" s="124">
        <f>HYPERLINK("#Трудозатраты!B498",Трудозатраты!B498+SUMIF(F1853:F1857,"*",O1853:O1857))</f>
        <v>1.9000000000000001</v>
      </c>
      <c r="O1852" s="82">
        <f>N1852*J1852</f>
        <v>3.8000000000000003</v>
      </c>
      <c r="P1852" s="81">
        <f>O1852/60*(1+запас_труд)*стоимость_трудочаса</f>
        <v>148.83333333333334</v>
      </c>
      <c r="Q1852" s="129">
        <f>M1852*(1+наценка_покупное)+P1852</f>
        <v>271.36996053333337</v>
      </c>
    </row>
    <row r="1853" spans="5:17" hidden="1" outlineLevel="4" x14ac:dyDescent="0.25">
      <c r="F1853" s="74" t="s">
        <v>65</v>
      </c>
      <c r="G1853" s="74"/>
      <c r="H1853" s="75"/>
      <c r="I1853" s="76"/>
      <c r="J1853" s="78">
        <f>HYPERLINK("#Структура!E1865",Структура!E1865)</f>
        <v>5.0000000000000001E-3</v>
      </c>
      <c r="K1853" s="114" t="str">
        <f>HYPERLINK("#Структура!G1865","")</f>
        <v/>
      </c>
      <c r="L1853" s="120">
        <f>HYPERLINK("#Покупные_изделия!D197",Покупные_изделия!D197)</f>
        <v>264.50399999999996</v>
      </c>
      <c r="M1853" s="76">
        <f t="shared" ref="M1853:M1880" si="72">J1853*L1853</f>
        <v>1.3225199999999999</v>
      </c>
      <c r="N1853" s="77"/>
      <c r="O1853" s="77"/>
      <c r="P1853" s="76"/>
      <c r="Q1853" s="76"/>
    </row>
    <row r="1854" spans="5:17" hidden="1" outlineLevel="4" x14ac:dyDescent="0.25">
      <c r="F1854" s="74" t="s">
        <v>113</v>
      </c>
      <c r="G1854" s="74"/>
      <c r="H1854" s="75"/>
      <c r="I1854" s="76"/>
      <c r="J1854" s="78">
        <f>HYPERLINK("#Структура!E1866",Структура!E1866)</f>
        <v>0.37</v>
      </c>
      <c r="K1854" s="114" t="str">
        <f>HYPERLINK("#Структура!G1866","")</f>
        <v/>
      </c>
      <c r="L1854" s="120">
        <f>HYPERLINK("#Покупные_изделия!D286",Покупные_изделия!D286)</f>
        <v>120</v>
      </c>
      <c r="M1854" s="76">
        <f t="shared" si="72"/>
        <v>44.4</v>
      </c>
      <c r="N1854" s="77"/>
      <c r="O1854" s="77"/>
      <c r="P1854" s="76"/>
      <c r="Q1854" s="76"/>
    </row>
    <row r="1855" spans="5:17" hidden="1" outlineLevel="4" x14ac:dyDescent="0.25">
      <c r="F1855" s="74" t="s">
        <v>155</v>
      </c>
      <c r="G1855" s="74"/>
      <c r="H1855" s="75"/>
      <c r="I1855" s="76"/>
      <c r="J1855" s="78">
        <f>HYPERLINK("#Структура!E1867",Структура!E1867)</f>
        <v>3.0000000000000001E-3</v>
      </c>
      <c r="K1855" s="114" t="str">
        <f>HYPERLINK("#Структура!G1867","")</f>
        <v/>
      </c>
      <c r="L1855" s="120">
        <f>HYPERLINK("#Покупные_изделия!D423",Покупные_изделия!D423)</f>
        <v>218.28</v>
      </c>
      <c r="M1855" s="76">
        <f t="shared" si="72"/>
        <v>0.65483999999999998</v>
      </c>
      <c r="N1855" s="77"/>
      <c r="O1855" s="77"/>
      <c r="P1855" s="76"/>
      <c r="Q1855" s="76"/>
    </row>
    <row r="1856" spans="5:17" hidden="1" outlineLevel="4" x14ac:dyDescent="0.25">
      <c r="F1856" s="74" t="s">
        <v>156</v>
      </c>
      <c r="G1856" s="74"/>
      <c r="H1856" s="75"/>
      <c r="I1856" s="76"/>
      <c r="J1856" s="78">
        <f>HYPERLINK("#Структура!E1868",Структура!E1868)</f>
        <v>4.0000000000000001E-3</v>
      </c>
      <c r="K1856" s="114" t="str">
        <f>HYPERLINK("#Структура!G1868","")</f>
        <v/>
      </c>
      <c r="L1856" s="120">
        <f>HYPERLINK("#Покупные_изделия!D427",Покупные_изделия!D427)</f>
        <v>155.53200000000001</v>
      </c>
      <c r="M1856" s="76">
        <f t="shared" si="72"/>
        <v>0.62212800000000001</v>
      </c>
      <c r="N1856" s="77"/>
      <c r="O1856" s="77"/>
      <c r="P1856" s="76"/>
      <c r="Q1856" s="76"/>
    </row>
    <row r="1857" spans="5:17" hidden="1" outlineLevel="4" x14ac:dyDescent="0.25">
      <c r="F1857" s="74" t="s">
        <v>215</v>
      </c>
      <c r="G1857" s="74"/>
      <c r="H1857" s="75"/>
      <c r="I1857" s="76"/>
      <c r="J1857" s="78">
        <f>HYPERLINK("#Структура!E1869",Структура!E1869)</f>
        <v>0.01</v>
      </c>
      <c r="K1857" s="114" t="str">
        <f>HYPERLINK("#Структура!G1869","")</f>
        <v/>
      </c>
      <c r="L1857" s="120">
        <f>HYPERLINK("#Покупные_изделия!D567",Покупные_изделия!D567)</f>
        <v>405.74399999999997</v>
      </c>
      <c r="M1857" s="76">
        <f t="shared" si="72"/>
        <v>4.0574399999999997</v>
      </c>
      <c r="N1857" s="77"/>
      <c r="O1857" s="77"/>
      <c r="P1857" s="76"/>
      <c r="Q1857" s="76"/>
    </row>
    <row r="1858" spans="5:17" hidden="1" outlineLevel="3" x14ac:dyDescent="0.25">
      <c r="E1858" s="74" t="s">
        <v>1198</v>
      </c>
      <c r="F1858" s="74"/>
      <c r="G1858" s="74"/>
      <c r="H1858" s="75"/>
      <c r="I1858" s="76"/>
      <c r="J1858" s="78">
        <f>HYPERLINK("#Структура!E1805",Структура!E1805)</f>
        <v>4</v>
      </c>
      <c r="K1858" s="114">
        <f>HYPERLINK("#Структура!G1805",Структура!G1805)</f>
        <v>2.7699999999999999E-2</v>
      </c>
      <c r="L1858" s="120">
        <f>HYPERLINK("#Покупные_изделия!D71",Покупные_изделия!D71)</f>
        <v>10.692</v>
      </c>
      <c r="M1858" s="76">
        <f t="shared" si="72"/>
        <v>42.768000000000001</v>
      </c>
      <c r="N1858" s="77"/>
      <c r="O1858" s="77"/>
      <c r="P1858" s="76"/>
      <c r="Q1858" s="76"/>
    </row>
    <row r="1859" spans="5:17" hidden="1" outlineLevel="3" x14ac:dyDescent="0.25">
      <c r="E1859" s="74" t="s">
        <v>1199</v>
      </c>
      <c r="F1859" s="74"/>
      <c r="G1859" s="74"/>
      <c r="H1859" s="75"/>
      <c r="I1859" s="76"/>
      <c r="J1859" s="78">
        <f>HYPERLINK("#Структура!E1806",Структура!E1806)</f>
        <v>12</v>
      </c>
      <c r="K1859" s="114">
        <f>HYPERLINK("#Структура!G1806",Структура!G1806)</f>
        <v>3.5999999999999997E-2</v>
      </c>
      <c r="L1859" s="120">
        <f>HYPERLINK("#Покупные_изделия!D74",Покупные_изделия!D74)</f>
        <v>13.912799999999999</v>
      </c>
      <c r="M1859" s="76">
        <f t="shared" si="72"/>
        <v>166.95359999999999</v>
      </c>
      <c r="N1859" s="77"/>
      <c r="O1859" s="77"/>
      <c r="P1859" s="76"/>
      <c r="Q1859" s="76"/>
    </row>
    <row r="1860" spans="5:17" hidden="1" outlineLevel="3" x14ac:dyDescent="0.25">
      <c r="E1860" s="74" t="s">
        <v>1200</v>
      </c>
      <c r="F1860" s="74"/>
      <c r="G1860" s="74"/>
      <c r="H1860" s="75"/>
      <c r="I1860" s="76"/>
      <c r="J1860" s="78">
        <f>HYPERLINK("#Структура!E1807",Структура!E1807)</f>
        <v>4</v>
      </c>
      <c r="K1860" s="114">
        <f>HYPERLINK("#Структура!G1807",Структура!G1807)</f>
        <v>4.5400000000000003E-2</v>
      </c>
      <c r="L1860" s="120">
        <f>HYPERLINK("#Покупные_изделия!D75",Покупные_изделия!D75)</f>
        <v>15.367968000000003</v>
      </c>
      <c r="M1860" s="76">
        <f t="shared" si="72"/>
        <v>61.471872000000012</v>
      </c>
      <c r="N1860" s="77"/>
      <c r="O1860" s="77"/>
      <c r="P1860" s="76"/>
      <c r="Q1860" s="76"/>
    </row>
    <row r="1861" spans="5:17" hidden="1" outlineLevel="3" x14ac:dyDescent="0.25">
      <c r="E1861" s="74" t="s">
        <v>622</v>
      </c>
      <c r="F1861" s="74"/>
      <c r="G1861" s="74"/>
      <c r="H1861" s="75"/>
      <c r="I1861" s="76"/>
      <c r="J1861" s="78">
        <f>HYPERLINK("#Структура!E1808",Структура!E1808)</f>
        <v>48</v>
      </c>
      <c r="K1861" s="114">
        <f>HYPERLINK("#Структура!G1808",Структура!G1808)</f>
        <v>1.52E-2</v>
      </c>
      <c r="L1861" s="120">
        <f>HYPERLINK("#Покупные_изделия!D85",Покупные_изделия!D85)</f>
        <v>8.6999999999999993</v>
      </c>
      <c r="M1861" s="76">
        <f t="shared" si="72"/>
        <v>417.59999999999997</v>
      </c>
      <c r="N1861" s="77"/>
      <c r="O1861" s="77"/>
      <c r="P1861" s="76"/>
      <c r="Q1861" s="76"/>
    </row>
    <row r="1862" spans="5:17" hidden="1" outlineLevel="3" x14ac:dyDescent="0.25">
      <c r="E1862" s="74" t="s">
        <v>623</v>
      </c>
      <c r="F1862" s="74"/>
      <c r="G1862" s="74"/>
      <c r="H1862" s="75"/>
      <c r="I1862" s="76"/>
      <c r="J1862" s="78">
        <f>HYPERLINK("#Структура!E1809",Структура!E1809)</f>
        <v>45</v>
      </c>
      <c r="K1862" s="114">
        <f>HYPERLINK("#Структура!G1809",Структура!G1809)</f>
        <v>1.67E-2</v>
      </c>
      <c r="L1862" s="120">
        <f>HYPERLINK("#Покупные_изделия!D86",Покупные_изделия!D86)</f>
        <v>8.7719999999999985</v>
      </c>
      <c r="M1862" s="76">
        <f t="shared" si="72"/>
        <v>394.73999999999995</v>
      </c>
      <c r="N1862" s="77"/>
      <c r="O1862" s="77"/>
      <c r="P1862" s="76"/>
      <c r="Q1862" s="76"/>
    </row>
    <row r="1863" spans="5:17" hidden="1" outlineLevel="3" x14ac:dyDescent="0.25">
      <c r="E1863" s="74" t="s">
        <v>1201</v>
      </c>
      <c r="F1863" s="74"/>
      <c r="G1863" s="74"/>
      <c r="H1863" s="75"/>
      <c r="I1863" s="76"/>
      <c r="J1863" s="78">
        <f>HYPERLINK("#Структура!E1810",Структура!E1810)</f>
        <v>4</v>
      </c>
      <c r="K1863" s="114">
        <f>HYPERLINK("#Структура!G1810",Структура!G1810)</f>
        <v>0.13730000000000001</v>
      </c>
      <c r="L1863" s="120">
        <f>HYPERLINK("#Покупные_изделия!D98",Покупные_изделия!D98)</f>
        <v>21.241466400000004</v>
      </c>
      <c r="M1863" s="76">
        <f t="shared" si="72"/>
        <v>84.965865600000015</v>
      </c>
      <c r="N1863" s="77"/>
      <c r="O1863" s="77"/>
      <c r="P1863" s="76"/>
      <c r="Q1863" s="76"/>
    </row>
    <row r="1864" spans="5:17" hidden="1" outlineLevel="3" x14ac:dyDescent="0.25">
      <c r="E1864" s="74" t="s">
        <v>745</v>
      </c>
      <c r="F1864" s="74"/>
      <c r="G1864" s="74"/>
      <c r="H1864" s="75"/>
      <c r="I1864" s="76"/>
      <c r="J1864" s="78">
        <f>HYPERLINK("#Структура!E1811",Структура!E1811)</f>
        <v>20</v>
      </c>
      <c r="K1864" s="114">
        <f>HYPERLINK("#Структура!G1811",Структура!G1811)</f>
        <v>1.022E-2</v>
      </c>
      <c r="L1864" s="120">
        <f>HYPERLINK("#Покупные_изделия!D174",Покупные_изделия!D174)</f>
        <v>4.7160000000000002</v>
      </c>
      <c r="M1864" s="76">
        <f t="shared" si="72"/>
        <v>94.320000000000007</v>
      </c>
      <c r="N1864" s="77"/>
      <c r="O1864" s="77"/>
      <c r="P1864" s="76"/>
      <c r="Q1864" s="76"/>
    </row>
    <row r="1865" spans="5:17" hidden="1" outlineLevel="3" x14ac:dyDescent="0.25">
      <c r="E1865" s="74" t="s">
        <v>818</v>
      </c>
      <c r="F1865" s="74"/>
      <c r="G1865" s="74"/>
      <c r="H1865" s="75"/>
      <c r="I1865" s="76"/>
      <c r="J1865" s="78">
        <f>HYPERLINK("#Структура!E1812",Структура!E1812)</f>
        <v>4</v>
      </c>
      <c r="K1865" s="114">
        <f>HYPERLINK("#Структура!G1812",Структура!G1812)</f>
        <v>3.7609999999999998E-2</v>
      </c>
      <c r="L1865" s="120">
        <f>HYPERLINK("#Покупные_изделия!D177",Покупные_изделия!D177)</f>
        <v>9.4320000000000004</v>
      </c>
      <c r="M1865" s="76">
        <f t="shared" si="72"/>
        <v>37.728000000000002</v>
      </c>
      <c r="N1865" s="77"/>
      <c r="O1865" s="77"/>
      <c r="P1865" s="76"/>
      <c r="Q1865" s="76"/>
    </row>
    <row r="1866" spans="5:17" hidden="1" outlineLevel="3" x14ac:dyDescent="0.25">
      <c r="E1866" s="74" t="s">
        <v>733</v>
      </c>
      <c r="F1866" s="74"/>
      <c r="G1866" s="74"/>
      <c r="H1866" s="75"/>
      <c r="I1866" s="76"/>
      <c r="J1866" s="78">
        <f>HYPERLINK("#Структура!E1813",Структура!E1813)</f>
        <v>8</v>
      </c>
      <c r="K1866" s="114">
        <f>HYPERLINK("#Структура!G1813",Структура!G1813)</f>
        <v>7.1440000000000003E-2</v>
      </c>
      <c r="L1866" s="120">
        <f>HYPERLINK("#Покупные_изделия!D181",Покупные_изделия!D181)</f>
        <v>15.227999999999998</v>
      </c>
      <c r="M1866" s="76">
        <f t="shared" si="72"/>
        <v>121.82399999999998</v>
      </c>
      <c r="N1866" s="77"/>
      <c r="O1866" s="77"/>
      <c r="P1866" s="76"/>
      <c r="Q1866" s="76"/>
    </row>
    <row r="1867" spans="5:17" hidden="1" outlineLevel="3" x14ac:dyDescent="0.25">
      <c r="E1867" s="74" t="s">
        <v>625</v>
      </c>
      <c r="F1867" s="74"/>
      <c r="G1867" s="74"/>
      <c r="H1867" s="75"/>
      <c r="I1867" s="76"/>
      <c r="J1867" s="78">
        <f>HYPERLINK("#Структура!E1814",Структура!E1814)</f>
        <v>28</v>
      </c>
      <c r="K1867" s="114">
        <f>HYPERLINK("#Структура!G1814",Структура!G1814)</f>
        <v>7.1399999999999996E-3</v>
      </c>
      <c r="L1867" s="120">
        <f>HYPERLINK("#Покупные_изделия!D168",Покупные_изделия!D168)</f>
        <v>1.9715672368421051</v>
      </c>
      <c r="M1867" s="76">
        <f t="shared" si="72"/>
        <v>55.203882631578942</v>
      </c>
      <c r="N1867" s="77"/>
      <c r="O1867" s="77"/>
      <c r="P1867" s="76"/>
      <c r="Q1867" s="76"/>
    </row>
    <row r="1868" spans="5:17" hidden="1" outlineLevel="3" x14ac:dyDescent="0.25">
      <c r="E1868" s="74" t="s">
        <v>767</v>
      </c>
      <c r="F1868" s="74"/>
      <c r="G1868" s="74"/>
      <c r="H1868" s="75"/>
      <c r="I1868" s="76"/>
      <c r="J1868" s="78">
        <f>HYPERLINK("#Структура!E1815",Структура!E1815)</f>
        <v>16</v>
      </c>
      <c r="K1868" s="114">
        <f>HYPERLINK("#Структура!G1815",Структура!G1815)</f>
        <v>2.0100000000000001E-3</v>
      </c>
      <c r="L1868" s="120">
        <f>HYPERLINK("#Покупные_изделия!D522",Покупные_изделия!D522)</f>
        <v>1.6500000000000001</v>
      </c>
      <c r="M1868" s="76">
        <f t="shared" si="72"/>
        <v>26.400000000000002</v>
      </c>
      <c r="N1868" s="77"/>
      <c r="O1868" s="77"/>
      <c r="P1868" s="76"/>
      <c r="Q1868" s="76"/>
    </row>
    <row r="1869" spans="5:17" hidden="1" outlineLevel="3" x14ac:dyDescent="0.25">
      <c r="E1869" s="74" t="s">
        <v>819</v>
      </c>
      <c r="F1869" s="74"/>
      <c r="G1869" s="74"/>
      <c r="H1869" s="75"/>
      <c r="I1869" s="76"/>
      <c r="J1869" s="78">
        <f>HYPERLINK("#Структура!E1816",Структура!E1816)</f>
        <v>4</v>
      </c>
      <c r="K1869" s="114">
        <f>HYPERLINK("#Структура!G1816",Структура!G1816)</f>
        <v>6.0800000000000003E-3</v>
      </c>
      <c r="L1869" s="120">
        <f>HYPERLINK("#Покупные_изделия!D525",Покупные_изделия!D525)</f>
        <v>1.9345375522388062</v>
      </c>
      <c r="M1869" s="76">
        <f t="shared" si="72"/>
        <v>7.7381502089552248</v>
      </c>
      <c r="N1869" s="77"/>
      <c r="O1869" s="77"/>
      <c r="P1869" s="76"/>
      <c r="Q1869" s="76"/>
    </row>
    <row r="1870" spans="5:17" hidden="1" outlineLevel="3" x14ac:dyDescent="0.25">
      <c r="E1870" s="74" t="s">
        <v>735</v>
      </c>
      <c r="F1870" s="74"/>
      <c r="G1870" s="74"/>
      <c r="H1870" s="75"/>
      <c r="I1870" s="76"/>
      <c r="J1870" s="78">
        <f>HYPERLINK("#Структура!E1817",Структура!E1817)</f>
        <v>4</v>
      </c>
      <c r="K1870" s="114">
        <f>HYPERLINK("#Структура!G1817",Структура!G1817)</f>
        <v>1.289E-2</v>
      </c>
      <c r="L1870" s="120">
        <f>HYPERLINK("#Покупные_изделия!D527",Покупные_изделия!D527)</f>
        <v>5.5</v>
      </c>
      <c r="M1870" s="76">
        <f t="shared" si="72"/>
        <v>22</v>
      </c>
      <c r="N1870" s="77"/>
      <c r="O1870" s="77"/>
      <c r="P1870" s="76"/>
      <c r="Q1870" s="76"/>
    </row>
    <row r="1871" spans="5:17" hidden="1" outlineLevel="3" x14ac:dyDescent="0.25">
      <c r="E1871" s="74" t="s">
        <v>1171</v>
      </c>
      <c r="F1871" s="74"/>
      <c r="G1871" s="74"/>
      <c r="H1871" s="75"/>
      <c r="I1871" s="76"/>
      <c r="J1871" s="78">
        <f>HYPERLINK("#Структура!E1818",Структура!E1818)</f>
        <v>4</v>
      </c>
      <c r="K1871" s="114">
        <f>HYPERLINK("#Структура!G1818",Структура!G1818)</f>
        <v>1.217E-2</v>
      </c>
      <c r="L1871" s="120">
        <f>HYPERLINK("#Покупные_изделия!D531",Покупные_изделия!D531)</f>
        <v>5.0688000000000004</v>
      </c>
      <c r="M1871" s="76">
        <f t="shared" si="72"/>
        <v>20.275200000000002</v>
      </c>
      <c r="N1871" s="77"/>
      <c r="O1871" s="77"/>
      <c r="P1871" s="76"/>
      <c r="Q1871" s="76"/>
    </row>
    <row r="1872" spans="5:17" hidden="1" outlineLevel="3" x14ac:dyDescent="0.25">
      <c r="E1872" s="74" t="s">
        <v>1202</v>
      </c>
      <c r="F1872" s="74"/>
      <c r="G1872" s="74"/>
      <c r="H1872" s="75"/>
      <c r="I1872" s="76"/>
      <c r="J1872" s="78">
        <f>HYPERLINK("#Структура!E1819",Структура!E1819)</f>
        <v>4</v>
      </c>
      <c r="K1872" s="114">
        <f>HYPERLINK("#Структура!G1819",Структура!G1819)</f>
        <v>7.8E-2</v>
      </c>
      <c r="L1872" s="120">
        <f>HYPERLINK("#Покупные_изделия!D534",Покупные_изделия!D534)</f>
        <v>12.038399999999999</v>
      </c>
      <c r="M1872" s="76">
        <f t="shared" si="72"/>
        <v>48.153599999999997</v>
      </c>
      <c r="N1872" s="77"/>
      <c r="O1872" s="77"/>
      <c r="P1872" s="76"/>
      <c r="Q1872" s="76"/>
    </row>
    <row r="1873" spans="4:17" hidden="1" outlineLevel="3" x14ac:dyDescent="0.25">
      <c r="E1873" s="74" t="s">
        <v>747</v>
      </c>
      <c r="F1873" s="74"/>
      <c r="G1873" s="74"/>
      <c r="H1873" s="75"/>
      <c r="I1873" s="76"/>
      <c r="J1873" s="78">
        <f>HYPERLINK("#Структура!E1820",Структура!E1820)</f>
        <v>18</v>
      </c>
      <c r="K1873" s="114">
        <f>HYPERLINK("#Структура!G1820",Структура!G1820)</f>
        <v>6.13E-3</v>
      </c>
      <c r="L1873" s="120">
        <f>HYPERLINK("#Покупные_изделия!D537",Покупные_изделия!D537)</f>
        <v>2.8559999999999999</v>
      </c>
      <c r="M1873" s="76">
        <f t="shared" si="72"/>
        <v>51.408000000000001</v>
      </c>
      <c r="N1873" s="77"/>
      <c r="O1873" s="77"/>
      <c r="P1873" s="76"/>
      <c r="Q1873" s="76"/>
    </row>
    <row r="1874" spans="4:17" hidden="1" outlineLevel="3" x14ac:dyDescent="0.25">
      <c r="E1874" s="74" t="s">
        <v>662</v>
      </c>
      <c r="F1874" s="74"/>
      <c r="G1874" s="74"/>
      <c r="H1874" s="75"/>
      <c r="I1874" s="76"/>
      <c r="J1874" s="78">
        <f>HYPERLINK("#Структура!E1821",Структура!E1821)</f>
        <v>8</v>
      </c>
      <c r="K1874" s="114">
        <f>HYPERLINK("#Структура!G1821",Структура!G1821)</f>
        <v>1.098E-2</v>
      </c>
      <c r="L1874" s="120">
        <f>HYPERLINK("#Покупные_изделия!D541",Покупные_изделия!D541)</f>
        <v>1.713367999999998</v>
      </c>
      <c r="M1874" s="76">
        <f t="shared" si="72"/>
        <v>13.706943999999984</v>
      </c>
      <c r="N1874" s="77"/>
      <c r="O1874" s="77"/>
      <c r="P1874" s="76"/>
      <c r="Q1874" s="76"/>
    </row>
    <row r="1875" spans="4:17" hidden="1" outlineLevel="3" x14ac:dyDescent="0.25">
      <c r="E1875" s="74" t="s">
        <v>736</v>
      </c>
      <c r="F1875" s="74"/>
      <c r="G1875" s="74"/>
      <c r="H1875" s="75"/>
      <c r="I1875" s="76"/>
      <c r="J1875" s="78">
        <f>HYPERLINK("#Структура!E1822",Структура!E1822)</f>
        <v>4</v>
      </c>
      <c r="K1875" s="114">
        <f>HYPERLINK("#Структура!G1822",Структура!G1822)</f>
        <v>1.636E-2</v>
      </c>
      <c r="L1875" s="120">
        <f>HYPERLINK("#Покупные_изделия!D542",Покупные_изделия!D542)</f>
        <v>2.8467119999999975</v>
      </c>
      <c r="M1875" s="76">
        <f t="shared" si="72"/>
        <v>11.38684799999999</v>
      </c>
      <c r="N1875" s="77"/>
      <c r="O1875" s="77"/>
      <c r="P1875" s="76"/>
      <c r="Q1875" s="76"/>
    </row>
    <row r="1876" spans="4:17" hidden="1" outlineLevel="3" x14ac:dyDescent="0.25">
      <c r="E1876" s="74" t="s">
        <v>6</v>
      </c>
      <c r="F1876" s="74"/>
      <c r="G1876" s="74"/>
      <c r="H1876" s="75"/>
      <c r="I1876" s="76"/>
      <c r="J1876" s="78">
        <f>HYPERLINK("#Структура!E1823",Структура!E1823)</f>
        <v>1</v>
      </c>
      <c r="K1876" s="114">
        <f>HYPERLINK("#Структура!G1823",Структура!G1823)</f>
        <v>74.5</v>
      </c>
      <c r="L1876" s="120">
        <f>HYPERLINK("#Покупные_изделия!D8",Покупные_изделия!D8)</f>
        <v>18865.004400000002</v>
      </c>
      <c r="M1876" s="76">
        <f t="shared" si="72"/>
        <v>18865.004400000002</v>
      </c>
      <c r="N1876" s="77"/>
      <c r="O1876" s="77"/>
      <c r="P1876" s="76"/>
      <c r="Q1876" s="76"/>
    </row>
    <row r="1877" spans="4:17" hidden="1" outlineLevel="3" x14ac:dyDescent="0.25">
      <c r="E1877" s="74" t="s">
        <v>22</v>
      </c>
      <c r="F1877" s="74"/>
      <c r="G1877" s="74"/>
      <c r="H1877" s="75"/>
      <c r="I1877" s="76"/>
      <c r="J1877" s="78">
        <f>HYPERLINK("#Структура!E1824",Структура!E1824)</f>
        <v>1</v>
      </c>
      <c r="K1877" s="114">
        <f>HYPERLINK("#Структура!G1824",Структура!G1824)</f>
        <v>1.4027099999999999</v>
      </c>
      <c r="L1877" s="120">
        <f>HYPERLINK("#Покупные_изделия!D31",Покупные_изделия!D31)</f>
        <v>761.42399999999998</v>
      </c>
      <c r="M1877" s="76">
        <f t="shared" si="72"/>
        <v>761.42399999999998</v>
      </c>
      <c r="N1877" s="77"/>
      <c r="O1877" s="77"/>
      <c r="P1877" s="76"/>
      <c r="Q1877" s="76"/>
    </row>
    <row r="1878" spans="4:17" hidden="1" outlineLevel="3" x14ac:dyDescent="0.25">
      <c r="E1878" s="74" t="s">
        <v>29</v>
      </c>
      <c r="F1878" s="74"/>
      <c r="G1878" s="74"/>
      <c r="H1878" s="75"/>
      <c r="I1878" s="76"/>
      <c r="J1878" s="78">
        <f>HYPERLINK("#Структура!E1825",Структура!E1825)</f>
        <v>1</v>
      </c>
      <c r="K1878" s="114">
        <f>HYPERLINK("#Структура!G1825",Структура!G1825)</f>
        <v>5.7279499999999999</v>
      </c>
      <c r="L1878" s="120">
        <f>HYPERLINK("#Покупные_изделия!D38",Покупные_изделия!D38)</f>
        <v>3452.1479999999997</v>
      </c>
      <c r="M1878" s="76">
        <f t="shared" si="72"/>
        <v>3452.1479999999997</v>
      </c>
      <c r="N1878" s="77"/>
      <c r="O1878" s="77"/>
      <c r="P1878" s="76"/>
      <c r="Q1878" s="76"/>
    </row>
    <row r="1879" spans="4:17" hidden="1" outlineLevel="3" x14ac:dyDescent="0.25">
      <c r="E1879" s="74" t="s">
        <v>42</v>
      </c>
      <c r="F1879" s="74"/>
      <c r="G1879" s="74"/>
      <c r="H1879" s="75"/>
      <c r="I1879" s="76"/>
      <c r="J1879" s="78">
        <f>HYPERLINK("#Структура!E1826",Структура!E1826)</f>
        <v>2</v>
      </c>
      <c r="K1879" s="114">
        <f>HYPERLINK("#Структура!G1826",Структура!G1826)</f>
        <v>0.15</v>
      </c>
      <c r="L1879" s="120">
        <f>HYPERLINK("#Покупные_изделия!D53",Покупные_изделия!D53)</f>
        <v>530.86440000000005</v>
      </c>
      <c r="M1879" s="76">
        <f t="shared" si="72"/>
        <v>1061.7288000000001</v>
      </c>
      <c r="N1879" s="77"/>
      <c r="O1879" s="77"/>
      <c r="P1879" s="76"/>
      <c r="Q1879" s="76"/>
    </row>
    <row r="1880" spans="4:17" hidden="1" outlineLevel="3" x14ac:dyDescent="0.25">
      <c r="E1880" s="74" t="s">
        <v>68</v>
      </c>
      <c r="F1880" s="74"/>
      <c r="G1880" s="74"/>
      <c r="H1880" s="75"/>
      <c r="I1880" s="76"/>
      <c r="J1880" s="78">
        <f>HYPERLINK("#Структура!E1827",Структура!E1827)</f>
        <v>4</v>
      </c>
      <c r="K1880" s="114">
        <f>HYPERLINK("#Структура!G1827",Структура!G1827)</f>
        <v>3.211E-2</v>
      </c>
      <c r="L1880" s="120">
        <f>HYPERLINK("#Покупные_изделия!D204",Покупные_изделия!D204)</f>
        <v>1.2276000000000002</v>
      </c>
      <c r="M1880" s="76">
        <f t="shared" si="72"/>
        <v>4.910400000000001</v>
      </c>
      <c r="N1880" s="77"/>
      <c r="O1880" s="77"/>
      <c r="P1880" s="76"/>
      <c r="Q1880" s="76"/>
    </row>
    <row r="1881" spans="4:17" hidden="1" outlineLevel="2" collapsed="1" x14ac:dyDescent="0.25">
      <c r="D1881" s="96" t="s">
        <v>1204</v>
      </c>
      <c r="E1881" s="91"/>
      <c r="F1881" s="91"/>
      <c r="G1881" s="91"/>
      <c r="H1881" s="92"/>
      <c r="I1881" s="93"/>
      <c r="J1881" s="95">
        <f>HYPERLINK("#Структура!E1829",Структура!E1829)</f>
        <v>1</v>
      </c>
      <c r="K1881" s="116">
        <f>HYPERLINK("#Структура!G1829",Структура!G1829)</f>
        <v>25.397320000000001</v>
      </c>
      <c r="L1881" s="93">
        <f>M1881/J1881</f>
        <v>320921.3718816</v>
      </c>
      <c r="M1881" s="93">
        <f>SUMIF(E1882:E1971,"*",M1882:M1971)*J1881</f>
        <v>320921.3718816</v>
      </c>
      <c r="N1881" s="125">
        <f>HYPERLINK("#Трудозатраты!B668",Трудозатраты!B668+SUMIF(E1882:E1971,"*",O1882:O1971))</f>
        <v>1192.8600000000001</v>
      </c>
      <c r="O1881" s="94">
        <f>N1881*J1881</f>
        <v>1192.8600000000001</v>
      </c>
      <c r="P1881" s="93">
        <f>O1881/60*(1+запас_труд)*стоимость_трудочаса</f>
        <v>46720.350000000006</v>
      </c>
      <c r="Q1881" s="130">
        <f>M1881*(1+наценка_покупное)+P1881</f>
        <v>431825.99625792005</v>
      </c>
    </row>
    <row r="1882" spans="4:17" hidden="1" outlineLevel="3" collapsed="1" x14ac:dyDescent="0.25">
      <c r="E1882" s="97" t="s">
        <v>1376</v>
      </c>
      <c r="F1882" s="98"/>
      <c r="G1882" s="98"/>
      <c r="H1882" s="99"/>
      <c r="I1882" s="100"/>
      <c r="J1882" s="102">
        <f>HYPERLINK("#Структура!E2671",Структура!E2671)</f>
        <v>1</v>
      </c>
      <c r="K1882" s="112">
        <f>HYPERLINK("#Структура!G2671",Структура!G2671)</f>
        <v>17.32376</v>
      </c>
      <c r="L1882" s="100">
        <f>M1882/J1882</f>
        <v>84334.530776000014</v>
      </c>
      <c r="M1882" s="100">
        <f>SUMIF(F1883:F1909,"*",M1883:M1909)*J1882</f>
        <v>84334.530776000014</v>
      </c>
      <c r="N1882" s="122">
        <f>HYPERLINK("#Трудозатраты!B669",Трудозатраты!B669+SUMIF(F1883:F1909,"*",O1883:O1909))</f>
        <v>380.7</v>
      </c>
      <c r="O1882" s="101">
        <f>N1882*J1882</f>
        <v>380.7</v>
      </c>
      <c r="P1882" s="100">
        <f>O1882/60*(1+запас_труд)*стоимость_трудочаса</f>
        <v>14910.75</v>
      </c>
      <c r="Q1882" s="127">
        <f>M1882*(1+наценка_покупное)+P1882</f>
        <v>116112.18693120002</v>
      </c>
    </row>
    <row r="1883" spans="4:17" hidden="1" outlineLevel="4" collapsed="1" x14ac:dyDescent="0.25">
      <c r="F1883" s="85" t="s">
        <v>1382</v>
      </c>
      <c r="G1883" s="86"/>
      <c r="H1883" s="87"/>
      <c r="I1883" s="88"/>
      <c r="J1883" s="90">
        <f>HYPERLINK("#Структура!E2683",Структура!E2683)</f>
        <v>1</v>
      </c>
      <c r="K1883" s="113">
        <f>HYPERLINK("#Структура!G2683",Структура!G2683)</f>
        <v>1.0962000000000001</v>
      </c>
      <c r="L1883" s="88">
        <f>M1883/J1883</f>
        <v>133.32</v>
      </c>
      <c r="M1883" s="88">
        <f>SUMIF(G1884,"*",M1884)*J1883</f>
        <v>133.32</v>
      </c>
      <c r="N1883" s="123">
        <f>HYPERLINK("#Трудозатраты!B670",Трудозатраты!B670+SUMIF(G1884,"*",O1884))</f>
        <v>14</v>
      </c>
      <c r="O1883" s="89">
        <f>N1883*J1883</f>
        <v>14</v>
      </c>
      <c r="P1883" s="88">
        <f>O1883/60*(1+запас_труд)*стоимость_трудочаса</f>
        <v>548.33333333333337</v>
      </c>
      <c r="Q1883" s="128">
        <f>M1883*(1+наценка_покупное)+P1883</f>
        <v>708.31733333333341</v>
      </c>
    </row>
    <row r="1884" spans="4:17" hidden="1" outlineLevel="5" x14ac:dyDescent="0.25">
      <c r="G1884" s="74" t="s">
        <v>179</v>
      </c>
      <c r="H1884" s="75"/>
      <c r="I1884" s="76"/>
      <c r="J1884" s="78">
        <f>HYPERLINK("#Структура!E2702",Структура!E2702)</f>
        <v>1.111</v>
      </c>
      <c r="K1884" s="114" t="str">
        <f>HYPERLINK("#Структура!G2702","")</f>
        <v/>
      </c>
      <c r="L1884" s="120">
        <f>HYPERLINK("#Покупные_изделия!D490",Покупные_изделия!D490)</f>
        <v>120</v>
      </c>
      <c r="M1884" s="76">
        <f>J1884*L1884</f>
        <v>133.32</v>
      </c>
      <c r="N1884" s="77"/>
      <c r="O1884" s="77"/>
      <c r="P1884" s="76"/>
      <c r="Q1884" s="76"/>
    </row>
    <row r="1885" spans="4:17" hidden="1" outlineLevel="4" collapsed="1" x14ac:dyDescent="0.25">
      <c r="F1885" s="84" t="s">
        <v>1383</v>
      </c>
      <c r="G1885" s="79"/>
      <c r="H1885" s="80"/>
      <c r="I1885" s="81"/>
      <c r="J1885" s="83">
        <f>HYPERLINK("#Структура!E2684",Структура!E2684)</f>
        <v>1</v>
      </c>
      <c r="K1885" s="115">
        <f>HYPERLINK("#Структура!G2684",Структура!G2684)</f>
        <v>0.3024</v>
      </c>
      <c r="L1885" s="81">
        <f>M1885/J1885</f>
        <v>37.799999999999997</v>
      </c>
      <c r="M1885" s="81">
        <f>SUMIF(G1886,"*",M1886)*J1885</f>
        <v>37.799999999999997</v>
      </c>
      <c r="N1885" s="124">
        <f>HYPERLINK("#Трудозатраты!B671",Трудозатраты!B671+SUMIF(G1886,"*",O1886))</f>
        <v>14</v>
      </c>
      <c r="O1885" s="82">
        <f>N1885*J1885</f>
        <v>14</v>
      </c>
      <c r="P1885" s="81">
        <f>O1885/60*(1+запас_труд)*стоимость_трудочаса</f>
        <v>548.33333333333337</v>
      </c>
      <c r="Q1885" s="129">
        <f>M1885*(1+наценка_покупное)+P1885</f>
        <v>593.69333333333338</v>
      </c>
    </row>
    <row r="1886" spans="4:17" hidden="1" outlineLevel="5" x14ac:dyDescent="0.25">
      <c r="G1886" s="74" t="s">
        <v>179</v>
      </c>
      <c r="H1886" s="75"/>
      <c r="I1886" s="76"/>
      <c r="J1886" s="78">
        <f>HYPERLINK("#Структура!E2703",Структура!E2703)</f>
        <v>0.315</v>
      </c>
      <c r="K1886" s="114" t="str">
        <f>HYPERLINK("#Структура!G2703","")</f>
        <v/>
      </c>
      <c r="L1886" s="120">
        <f>HYPERLINK("#Покупные_изделия!D490",Покупные_изделия!D490)</f>
        <v>120</v>
      </c>
      <c r="M1886" s="76">
        <f>J1886*L1886</f>
        <v>37.799999999999997</v>
      </c>
      <c r="N1886" s="77"/>
      <c r="O1886" s="77"/>
      <c r="P1886" s="76"/>
      <c r="Q1886" s="76"/>
    </row>
    <row r="1887" spans="4:17" hidden="1" outlineLevel="4" collapsed="1" x14ac:dyDescent="0.25">
      <c r="F1887" s="84" t="s">
        <v>1384</v>
      </c>
      <c r="G1887" s="79"/>
      <c r="H1887" s="80"/>
      <c r="I1887" s="81"/>
      <c r="J1887" s="83">
        <f>HYPERLINK("#Структура!E2685",Структура!E2685)</f>
        <v>1</v>
      </c>
      <c r="K1887" s="115">
        <f>HYPERLINK("#Структура!G2685",Структура!G2685)</f>
        <v>0.6048</v>
      </c>
      <c r="L1887" s="81">
        <f>M1887/J1887</f>
        <v>75</v>
      </c>
      <c r="M1887" s="81">
        <f>SUMIF(G1888,"*",M1888)*J1887</f>
        <v>75</v>
      </c>
      <c r="N1887" s="124">
        <f>HYPERLINK("#Трудозатраты!B672",Трудозатраты!B672+SUMIF(G1888,"*",O1888))</f>
        <v>14</v>
      </c>
      <c r="O1887" s="82">
        <f>N1887*J1887</f>
        <v>14</v>
      </c>
      <c r="P1887" s="81">
        <f>O1887/60*(1+запас_труд)*стоимость_трудочаса</f>
        <v>548.33333333333337</v>
      </c>
      <c r="Q1887" s="129">
        <f>M1887*(1+наценка_покупное)+P1887</f>
        <v>638.33333333333337</v>
      </c>
    </row>
    <row r="1888" spans="4:17" hidden="1" outlineLevel="5" x14ac:dyDescent="0.25">
      <c r="G1888" s="74" t="s">
        <v>179</v>
      </c>
      <c r="H1888" s="75"/>
      <c r="I1888" s="76"/>
      <c r="J1888" s="78">
        <f>HYPERLINK("#Структура!E2704",Структура!E2704)</f>
        <v>0.625</v>
      </c>
      <c r="K1888" s="114" t="str">
        <f>HYPERLINK("#Структура!G2704","")</f>
        <v/>
      </c>
      <c r="L1888" s="120">
        <f>HYPERLINK("#Покупные_изделия!D490",Покупные_изделия!D490)</f>
        <v>120</v>
      </c>
      <c r="M1888" s="76">
        <f>J1888*L1888</f>
        <v>75</v>
      </c>
      <c r="N1888" s="77"/>
      <c r="O1888" s="77"/>
      <c r="P1888" s="76"/>
      <c r="Q1888" s="76"/>
    </row>
    <row r="1889" spans="6:17" hidden="1" outlineLevel="4" collapsed="1" x14ac:dyDescent="0.25">
      <c r="F1889" s="84" t="s">
        <v>1385</v>
      </c>
      <c r="G1889" s="79"/>
      <c r="H1889" s="80"/>
      <c r="I1889" s="81"/>
      <c r="J1889" s="83">
        <f>HYPERLINK("#Структура!E2686",Структура!E2686)</f>
        <v>1</v>
      </c>
      <c r="K1889" s="115">
        <f>HYPERLINK("#Структура!G2686",Структура!G2686)</f>
        <v>9.2859999999999998E-2</v>
      </c>
      <c r="L1889" s="81">
        <f>M1889/J1889</f>
        <v>15.8</v>
      </c>
      <c r="M1889" s="81">
        <f>SUMIF(G1890,"*",M1890)*J1889</f>
        <v>15.8</v>
      </c>
      <c r="N1889" s="124">
        <f>HYPERLINK("#Трудозатраты!B673",Трудозатраты!B673+SUMIF(G1890,"*",O1890))</f>
        <v>8.6999999999999993</v>
      </c>
      <c r="O1889" s="82">
        <f>N1889*J1889</f>
        <v>8.6999999999999993</v>
      </c>
      <c r="P1889" s="81">
        <f>O1889/60*(1+запас_труд)*стоимость_трудочаса</f>
        <v>340.75</v>
      </c>
      <c r="Q1889" s="129">
        <f>M1889*(1+наценка_покупное)+P1889</f>
        <v>359.71</v>
      </c>
    </row>
    <row r="1890" spans="6:17" hidden="1" outlineLevel="5" x14ac:dyDescent="0.25">
      <c r="G1890" s="74" t="s">
        <v>88</v>
      </c>
      <c r="H1890" s="75"/>
      <c r="I1890" s="76"/>
      <c r="J1890" s="78">
        <f>HYPERLINK("#Структура!E2705",Структура!E2705)</f>
        <v>0.158</v>
      </c>
      <c r="K1890" s="114" t="str">
        <f>HYPERLINK("#Структура!G2705","")</f>
        <v/>
      </c>
      <c r="L1890" s="120">
        <f>HYPERLINK("#Покупные_изделия!D257",Покупные_изделия!D257)</f>
        <v>100</v>
      </c>
      <c r="M1890" s="76">
        <f>J1890*L1890</f>
        <v>15.8</v>
      </c>
      <c r="N1890" s="77"/>
      <c r="O1890" s="77"/>
      <c r="P1890" s="76"/>
      <c r="Q1890" s="76"/>
    </row>
    <row r="1891" spans="6:17" hidden="1" outlineLevel="4" collapsed="1" x14ac:dyDescent="0.25">
      <c r="F1891" s="84" t="s">
        <v>1386</v>
      </c>
      <c r="G1891" s="79"/>
      <c r="H1891" s="80"/>
      <c r="I1891" s="81"/>
      <c r="J1891" s="83">
        <f>HYPERLINK("#Структура!E2687",Структура!E2687)</f>
        <v>2</v>
      </c>
      <c r="K1891" s="115">
        <f>HYPERLINK("#Структура!G2687",Структура!G2687)</f>
        <v>0.2268</v>
      </c>
      <c r="L1891" s="81">
        <f>M1891/J1891</f>
        <v>28.799999999999997</v>
      </c>
      <c r="M1891" s="81">
        <f>SUMIF(G1892,"*",M1892)*J1891</f>
        <v>57.599999999999994</v>
      </c>
      <c r="N1891" s="124">
        <f>HYPERLINK("#Трудозатраты!B674",Трудозатраты!B674+SUMIF(G1892,"*",O1892))</f>
        <v>14</v>
      </c>
      <c r="O1891" s="82">
        <f>N1891*J1891</f>
        <v>28</v>
      </c>
      <c r="P1891" s="81">
        <f>O1891/60*(1+запас_труд)*стоимость_трудочаса</f>
        <v>1096.6666666666667</v>
      </c>
      <c r="Q1891" s="129">
        <f>M1891*(1+наценка_покупное)+P1891</f>
        <v>1165.7866666666666</v>
      </c>
    </row>
    <row r="1892" spans="6:17" hidden="1" outlineLevel="5" x14ac:dyDescent="0.25">
      <c r="G1892" s="74" t="s">
        <v>179</v>
      </c>
      <c r="H1892" s="75"/>
      <c r="I1892" s="76"/>
      <c r="J1892" s="78">
        <f>HYPERLINK("#Структура!E2706",Структура!E2706)</f>
        <v>0.24</v>
      </c>
      <c r="K1892" s="114" t="str">
        <f>HYPERLINK("#Структура!G2706","")</f>
        <v/>
      </c>
      <c r="L1892" s="120">
        <f>HYPERLINK("#Покупные_изделия!D490",Покупные_изделия!D490)</f>
        <v>120</v>
      </c>
      <c r="M1892" s="76">
        <f>J1892*L1892</f>
        <v>28.799999999999997</v>
      </c>
      <c r="N1892" s="77"/>
      <c r="O1892" s="77"/>
      <c r="P1892" s="76"/>
      <c r="Q1892" s="76"/>
    </row>
    <row r="1893" spans="6:17" hidden="1" outlineLevel="4" collapsed="1" x14ac:dyDescent="0.25">
      <c r="F1893" s="84" t="s">
        <v>1387</v>
      </c>
      <c r="G1893" s="79"/>
      <c r="H1893" s="80"/>
      <c r="I1893" s="81"/>
      <c r="J1893" s="83">
        <f>HYPERLINK("#Структура!E2688",Структура!E2688)</f>
        <v>1</v>
      </c>
      <c r="K1893" s="115">
        <f>HYPERLINK("#Структура!G2688",Структура!G2688)</f>
        <v>0.6048</v>
      </c>
      <c r="L1893" s="81">
        <f>M1893/J1893</f>
        <v>75</v>
      </c>
      <c r="M1893" s="81">
        <f>SUMIF(G1894,"*",M1894)*J1893</f>
        <v>75</v>
      </c>
      <c r="N1893" s="124">
        <f>HYPERLINK("#Трудозатраты!B675",Трудозатраты!B675+SUMIF(G1894,"*",O1894))</f>
        <v>14</v>
      </c>
      <c r="O1893" s="82">
        <f>N1893*J1893</f>
        <v>14</v>
      </c>
      <c r="P1893" s="81">
        <f>O1893/60*(1+запас_труд)*стоимость_трудочаса</f>
        <v>548.33333333333337</v>
      </c>
      <c r="Q1893" s="129">
        <f>M1893*(1+наценка_покупное)+P1893</f>
        <v>638.33333333333337</v>
      </c>
    </row>
    <row r="1894" spans="6:17" hidden="1" outlineLevel="5" x14ac:dyDescent="0.25">
      <c r="G1894" s="74" t="s">
        <v>179</v>
      </c>
      <c r="H1894" s="75"/>
      <c r="I1894" s="76"/>
      <c r="J1894" s="78">
        <f>HYPERLINK("#Структура!E2707",Структура!E2707)</f>
        <v>0.625</v>
      </c>
      <c r="K1894" s="114" t="str">
        <f>HYPERLINK("#Структура!G2707","")</f>
        <v/>
      </c>
      <c r="L1894" s="120">
        <f>HYPERLINK("#Покупные_изделия!D490",Покупные_изделия!D490)</f>
        <v>120</v>
      </c>
      <c r="M1894" s="76">
        <f>J1894*L1894</f>
        <v>75</v>
      </c>
      <c r="N1894" s="77"/>
      <c r="O1894" s="77"/>
      <c r="P1894" s="76"/>
      <c r="Q1894" s="76"/>
    </row>
    <row r="1895" spans="6:17" hidden="1" outlineLevel="4" collapsed="1" x14ac:dyDescent="0.25">
      <c r="F1895" s="84" t="s">
        <v>1388</v>
      </c>
      <c r="G1895" s="79"/>
      <c r="H1895" s="80"/>
      <c r="I1895" s="81"/>
      <c r="J1895" s="83">
        <f>HYPERLINK("#Структура!E2689",Структура!E2689)</f>
        <v>1</v>
      </c>
      <c r="K1895" s="115">
        <f>HYPERLINK("#Структура!G2689",Структура!G2689)</f>
        <v>0.6048</v>
      </c>
      <c r="L1895" s="81">
        <f>M1895/J1895</f>
        <v>74.16</v>
      </c>
      <c r="M1895" s="81">
        <f>SUMIF(G1896,"*",M1896)*J1895</f>
        <v>74.16</v>
      </c>
      <c r="N1895" s="124">
        <f>HYPERLINK("#Трудозатраты!B676",Трудозатраты!B676+SUMIF(G1896,"*",O1896))</f>
        <v>14</v>
      </c>
      <c r="O1895" s="82">
        <f>N1895*J1895</f>
        <v>14</v>
      </c>
      <c r="P1895" s="81">
        <f>O1895/60*(1+запас_труд)*стоимость_трудочаса</f>
        <v>548.33333333333337</v>
      </c>
      <c r="Q1895" s="129">
        <f>M1895*(1+наценка_покупное)+P1895</f>
        <v>637.32533333333333</v>
      </c>
    </row>
    <row r="1896" spans="6:17" hidden="1" outlineLevel="5" x14ac:dyDescent="0.25">
      <c r="G1896" s="74" t="s">
        <v>179</v>
      </c>
      <c r="H1896" s="75"/>
      <c r="I1896" s="76"/>
      <c r="J1896" s="78">
        <f>HYPERLINK("#Структура!E2708",Структура!E2708)</f>
        <v>0.61799999999999999</v>
      </c>
      <c r="K1896" s="114" t="str">
        <f>HYPERLINK("#Структура!G2708","")</f>
        <v/>
      </c>
      <c r="L1896" s="120">
        <f>HYPERLINK("#Покупные_изделия!D490",Покупные_изделия!D490)</f>
        <v>120</v>
      </c>
      <c r="M1896" s="76">
        <f>J1896*L1896</f>
        <v>74.16</v>
      </c>
      <c r="N1896" s="77"/>
      <c r="O1896" s="77"/>
      <c r="P1896" s="76"/>
      <c r="Q1896" s="76"/>
    </row>
    <row r="1897" spans="6:17" hidden="1" outlineLevel="4" collapsed="1" x14ac:dyDescent="0.25">
      <c r="F1897" s="84" t="s">
        <v>1389</v>
      </c>
      <c r="G1897" s="79"/>
      <c r="H1897" s="80"/>
      <c r="I1897" s="81"/>
      <c r="J1897" s="83">
        <f>HYPERLINK("#Структура!E2690",Структура!E2690)</f>
        <v>1</v>
      </c>
      <c r="K1897" s="115">
        <f>HYPERLINK("#Структура!G2690",Структура!G2690)</f>
        <v>0.96389999999999998</v>
      </c>
      <c r="L1897" s="81">
        <f>M1897/J1897</f>
        <v>116.16</v>
      </c>
      <c r="M1897" s="81">
        <f>SUMIF(G1898,"*",M1898)*J1897</f>
        <v>116.16</v>
      </c>
      <c r="N1897" s="124">
        <f>HYPERLINK("#Трудозатраты!B677",Трудозатраты!B677+SUMIF(G1898,"*",O1898))</f>
        <v>14</v>
      </c>
      <c r="O1897" s="82">
        <f>N1897*J1897</f>
        <v>14</v>
      </c>
      <c r="P1897" s="81">
        <f>O1897/60*(1+запас_труд)*стоимость_трудочаса</f>
        <v>548.33333333333337</v>
      </c>
      <c r="Q1897" s="129">
        <f>M1897*(1+наценка_покупное)+P1897</f>
        <v>687.72533333333331</v>
      </c>
    </row>
    <row r="1898" spans="6:17" hidden="1" outlineLevel="5" x14ac:dyDescent="0.25">
      <c r="G1898" s="74" t="s">
        <v>179</v>
      </c>
      <c r="H1898" s="75"/>
      <c r="I1898" s="76"/>
      <c r="J1898" s="78">
        <f>HYPERLINK("#Структура!E2709",Структура!E2709)</f>
        <v>0.96799999999999997</v>
      </c>
      <c r="K1898" s="114" t="str">
        <f>HYPERLINK("#Структура!G2709","")</f>
        <v/>
      </c>
      <c r="L1898" s="120">
        <f>HYPERLINK("#Покупные_изделия!D490",Покупные_изделия!D490)</f>
        <v>120</v>
      </c>
      <c r="M1898" s="76">
        <f t="shared" ref="M1898:M1909" si="73">J1898*L1898</f>
        <v>116.16</v>
      </c>
      <c r="N1898" s="77"/>
      <c r="O1898" s="77"/>
      <c r="P1898" s="76"/>
      <c r="Q1898" s="76"/>
    </row>
    <row r="1899" spans="6:17" hidden="1" outlineLevel="4" x14ac:dyDescent="0.25">
      <c r="F1899" s="74" t="s">
        <v>171</v>
      </c>
      <c r="G1899" s="74"/>
      <c r="H1899" s="75"/>
      <c r="I1899" s="76"/>
      <c r="J1899" s="78">
        <f>HYPERLINK("#Структура!E2691",Структура!E2691)</f>
        <v>1</v>
      </c>
      <c r="K1899" s="114">
        <f>HYPERLINK("#Структура!G2691",Структура!G2691)</f>
        <v>0.49</v>
      </c>
      <c r="L1899" s="120">
        <f>HYPERLINK("#Покупные_изделия!D480",Покупные_изделия!D480)</f>
        <v>258.68399999999997</v>
      </c>
      <c r="M1899" s="76">
        <f t="shared" si="73"/>
        <v>258.68399999999997</v>
      </c>
      <c r="N1899" s="77"/>
      <c r="O1899" s="77"/>
      <c r="P1899" s="76"/>
      <c r="Q1899" s="76"/>
    </row>
    <row r="1900" spans="6:17" hidden="1" outlineLevel="4" x14ac:dyDescent="0.25">
      <c r="F1900" s="74" t="s">
        <v>172</v>
      </c>
      <c r="G1900" s="74"/>
      <c r="H1900" s="75"/>
      <c r="I1900" s="76"/>
      <c r="J1900" s="78">
        <f>HYPERLINK("#Структура!E2692",Структура!E2692)</f>
        <v>3</v>
      </c>
      <c r="K1900" s="114">
        <f>HYPERLINK("#Структура!G2692",Структура!G2692)</f>
        <v>0.35199999999999998</v>
      </c>
      <c r="L1900" s="120">
        <f>HYPERLINK("#Покупные_изделия!D481",Покупные_изделия!D481)</f>
        <v>146.8236</v>
      </c>
      <c r="M1900" s="76">
        <f t="shared" si="73"/>
        <v>440.4708</v>
      </c>
      <c r="N1900" s="77"/>
      <c r="O1900" s="77"/>
      <c r="P1900" s="76"/>
      <c r="Q1900" s="76"/>
    </row>
    <row r="1901" spans="6:17" hidden="1" outlineLevel="4" x14ac:dyDescent="0.25">
      <c r="F1901" s="74" t="s">
        <v>194</v>
      </c>
      <c r="G1901" s="74"/>
      <c r="H1901" s="75"/>
      <c r="I1901" s="76"/>
      <c r="J1901" s="78">
        <f>HYPERLINK("#Структура!E2693",Структура!E2693)</f>
        <v>2</v>
      </c>
      <c r="K1901" s="114">
        <f>HYPERLINK("#Структура!G2693",Структура!G2693)</f>
        <v>0.22900000000000001</v>
      </c>
      <c r="L1901" s="120">
        <f>HYPERLINK("#Покупные_изделия!D507",Покупные_изделия!D507)</f>
        <v>81.49199999999999</v>
      </c>
      <c r="M1901" s="76">
        <f t="shared" si="73"/>
        <v>162.98399999999998</v>
      </c>
      <c r="N1901" s="77"/>
      <c r="O1901" s="77"/>
      <c r="P1901" s="76"/>
      <c r="Q1901" s="76"/>
    </row>
    <row r="1902" spans="6:17" hidden="1" outlineLevel="4" x14ac:dyDescent="0.25">
      <c r="F1902" s="74" t="s">
        <v>195</v>
      </c>
      <c r="G1902" s="74"/>
      <c r="H1902" s="75"/>
      <c r="I1902" s="76"/>
      <c r="J1902" s="78">
        <f>HYPERLINK("#Структура!E2694",Структура!E2694)</f>
        <v>3</v>
      </c>
      <c r="K1902" s="114">
        <f>HYPERLINK("#Структура!G2694",Структура!G2694)</f>
        <v>0.35199999999999998</v>
      </c>
      <c r="L1902" s="120">
        <f>HYPERLINK("#Покупные_изделия!D508",Покупные_изделия!D508)</f>
        <v>123.85199999999999</v>
      </c>
      <c r="M1902" s="76">
        <f t="shared" si="73"/>
        <v>371.55599999999998</v>
      </c>
      <c r="N1902" s="77"/>
      <c r="O1902" s="77"/>
      <c r="P1902" s="76"/>
      <c r="Q1902" s="76"/>
    </row>
    <row r="1903" spans="6:17" hidden="1" outlineLevel="4" x14ac:dyDescent="0.25">
      <c r="F1903" s="74" t="s">
        <v>199</v>
      </c>
      <c r="G1903" s="74"/>
      <c r="H1903" s="75"/>
      <c r="I1903" s="76"/>
      <c r="J1903" s="78">
        <f>HYPERLINK("#Структура!E2695",Структура!E2695)</f>
        <v>2</v>
      </c>
      <c r="K1903" s="114">
        <f>HYPERLINK("#Структура!G2695",Структура!G2695)</f>
        <v>0.14599999999999999</v>
      </c>
      <c r="L1903" s="120">
        <f>HYPERLINK("#Покупные_изделия!D517",Покупные_изделия!D517)</f>
        <v>47.704800000000006</v>
      </c>
      <c r="M1903" s="76">
        <f t="shared" si="73"/>
        <v>95.409600000000012</v>
      </c>
      <c r="N1903" s="77"/>
      <c r="O1903" s="77"/>
      <c r="P1903" s="76"/>
      <c r="Q1903" s="76"/>
    </row>
    <row r="1904" spans="6:17" hidden="1" outlineLevel="4" x14ac:dyDescent="0.25">
      <c r="F1904" s="74" t="s">
        <v>18</v>
      </c>
      <c r="G1904" s="74"/>
      <c r="H1904" s="75"/>
      <c r="I1904" s="76"/>
      <c r="J1904" s="78">
        <f>HYPERLINK("#Структура!E2696",Структура!E2696)</f>
        <v>1</v>
      </c>
      <c r="K1904" s="114">
        <f>HYPERLINK("#Структура!G2696",Структура!G2696)</f>
        <v>1.26095</v>
      </c>
      <c r="L1904" s="120">
        <f>HYPERLINK("#Покупные_изделия!D26",Покупные_изделия!D26)</f>
        <v>35490</v>
      </c>
      <c r="M1904" s="76">
        <f t="shared" si="73"/>
        <v>35490</v>
      </c>
      <c r="N1904" s="77"/>
      <c r="O1904" s="77"/>
      <c r="P1904" s="76"/>
      <c r="Q1904" s="76"/>
    </row>
    <row r="1905" spans="5:17" hidden="1" outlineLevel="4" x14ac:dyDescent="0.25">
      <c r="F1905" s="74" t="s">
        <v>32</v>
      </c>
      <c r="G1905" s="74"/>
      <c r="H1905" s="75"/>
      <c r="I1905" s="76"/>
      <c r="J1905" s="78">
        <f>HYPERLINK("#Структура!E2697",Структура!E2697)</f>
        <v>1</v>
      </c>
      <c r="K1905" s="114">
        <f>HYPERLINK("#Структура!G2697",Структура!G2697)</f>
        <v>1.8180000000000001</v>
      </c>
      <c r="L1905" s="120">
        <f>HYPERLINK("#Покупные_изделия!D43",Покупные_изделия!D43)</f>
        <v>44821.552776000004</v>
      </c>
      <c r="M1905" s="76">
        <f t="shared" si="73"/>
        <v>44821.552776000004</v>
      </c>
      <c r="N1905" s="77"/>
      <c r="O1905" s="77"/>
      <c r="P1905" s="76"/>
      <c r="Q1905" s="76"/>
    </row>
    <row r="1906" spans="5:17" hidden="1" outlineLevel="4" x14ac:dyDescent="0.25">
      <c r="F1906" s="74" t="s">
        <v>163</v>
      </c>
      <c r="G1906" s="74"/>
      <c r="H1906" s="75"/>
      <c r="I1906" s="76"/>
      <c r="J1906" s="78">
        <f>HYPERLINK("#Структура!E2698",Структура!E2698)</f>
        <v>2</v>
      </c>
      <c r="K1906" s="114">
        <f>HYPERLINK("#Структура!G2698",Структура!G2698)</f>
        <v>0.66662999999999994</v>
      </c>
      <c r="L1906" s="120">
        <f>HYPERLINK("#Покупные_изделия!D448",Покупные_изделия!D448)</f>
        <v>421.47600000000006</v>
      </c>
      <c r="M1906" s="76">
        <f t="shared" si="73"/>
        <v>842.95200000000011</v>
      </c>
      <c r="N1906" s="77"/>
      <c r="O1906" s="77"/>
      <c r="P1906" s="76"/>
      <c r="Q1906" s="76"/>
    </row>
    <row r="1907" spans="5:17" hidden="1" outlineLevel="4" x14ac:dyDescent="0.25">
      <c r="F1907" s="74" t="s">
        <v>1390</v>
      </c>
      <c r="G1907" s="74"/>
      <c r="H1907" s="75"/>
      <c r="I1907" s="76"/>
      <c r="J1907" s="78">
        <f>HYPERLINK("#Структура!E2699",Структура!E2699)</f>
        <v>1</v>
      </c>
      <c r="K1907" s="114">
        <f>HYPERLINK("#Структура!G2699",Структура!G2699)</f>
        <v>0.30236000000000002</v>
      </c>
      <c r="L1907" s="120">
        <f>HYPERLINK("#Покупные_изделия!D468",Покупные_изделия!D468)</f>
        <v>1085.5919999999999</v>
      </c>
      <c r="M1907" s="76">
        <f t="shared" si="73"/>
        <v>1085.5919999999999</v>
      </c>
      <c r="N1907" s="77"/>
      <c r="O1907" s="77"/>
      <c r="P1907" s="76"/>
      <c r="Q1907" s="76"/>
    </row>
    <row r="1908" spans="5:17" hidden="1" outlineLevel="4" x14ac:dyDescent="0.25">
      <c r="F1908" s="74" t="s">
        <v>62</v>
      </c>
      <c r="G1908" s="74"/>
      <c r="H1908" s="75"/>
      <c r="I1908" s="76"/>
      <c r="J1908" s="78">
        <f>HYPERLINK("#Структура!E2700",Структура!E2700)</f>
        <v>0.5</v>
      </c>
      <c r="K1908" s="114" t="str">
        <f>HYPERLINK("#Структура!G2700","")</f>
        <v/>
      </c>
      <c r="L1908" s="120">
        <f>HYPERLINK("#Покупные_изделия!D194",Покупные_изделия!D194)</f>
        <v>333.22800000000001</v>
      </c>
      <c r="M1908" s="76">
        <f t="shared" si="73"/>
        <v>166.614</v>
      </c>
      <c r="N1908" s="77"/>
      <c r="O1908" s="77"/>
      <c r="P1908" s="76"/>
      <c r="Q1908" s="76"/>
    </row>
    <row r="1909" spans="5:17" hidden="1" outlineLevel="4" x14ac:dyDescent="0.25">
      <c r="F1909" s="74" t="s">
        <v>157</v>
      </c>
      <c r="G1909" s="74"/>
      <c r="H1909" s="75"/>
      <c r="I1909" s="76"/>
      <c r="J1909" s="78">
        <f>HYPERLINK("#Структура!E2701",Структура!E2701)</f>
        <v>0.1</v>
      </c>
      <c r="K1909" s="114" t="str">
        <f>HYPERLINK("#Структура!G2701","")</f>
        <v/>
      </c>
      <c r="L1909" s="120">
        <f>HYPERLINK("#Покупные_изделия!D428",Покупные_изделия!D428)</f>
        <v>138.756</v>
      </c>
      <c r="M1909" s="76">
        <f t="shared" si="73"/>
        <v>13.8756</v>
      </c>
      <c r="N1909" s="77"/>
      <c r="O1909" s="77"/>
      <c r="P1909" s="76"/>
      <c r="Q1909" s="76"/>
    </row>
    <row r="1910" spans="5:17" hidden="1" outlineLevel="3" collapsed="1" x14ac:dyDescent="0.25">
      <c r="E1910" s="96" t="s">
        <v>1377</v>
      </c>
      <c r="F1910" s="91"/>
      <c r="G1910" s="91"/>
      <c r="H1910" s="92"/>
      <c r="I1910" s="93"/>
      <c r="J1910" s="95">
        <f>HYPERLINK("#Структура!E2672",Структура!E2672)</f>
        <v>1</v>
      </c>
      <c r="K1910" s="116">
        <f>HYPERLINK("#Структура!G2672",Структура!G2672)</f>
        <v>5.7201599999999999</v>
      </c>
      <c r="L1910" s="93">
        <f>M1910/J1910</f>
        <v>97159.10176000002</v>
      </c>
      <c r="M1910" s="93">
        <f>SUMIF(F1911:F1916,"*",M1911:M1916)*J1910</f>
        <v>97159.10176000002</v>
      </c>
      <c r="N1910" s="125">
        <f>HYPERLINK("#Трудозатраты!B678",Трудозатраты!B678+SUMIF(F1911:F1916,"*",O1911:O1916))</f>
        <v>15.75</v>
      </c>
      <c r="O1910" s="94">
        <f>N1910*J1910</f>
        <v>15.75</v>
      </c>
      <c r="P1910" s="93">
        <f>O1910/60*(1+запас_труд)*стоимость_трудочаса</f>
        <v>616.875</v>
      </c>
      <c r="Q1910" s="130">
        <f>M1910*(1+наценка_покупное)+P1910</f>
        <v>117207.79711200001</v>
      </c>
    </row>
    <row r="1911" spans="5:17" hidden="1" outlineLevel="4" collapsed="1" x14ac:dyDescent="0.25">
      <c r="F1911" s="85" t="s">
        <v>1391</v>
      </c>
      <c r="G1911" s="86"/>
      <c r="H1911" s="87"/>
      <c r="I1911" s="88"/>
      <c r="J1911" s="90">
        <f>HYPERLINK("#Структура!E2710",Структура!E2710)</f>
        <v>1</v>
      </c>
      <c r="K1911" s="113">
        <f>HYPERLINK("#Структура!G2710",Структура!G2710)</f>
        <v>0.30442000000000002</v>
      </c>
      <c r="L1911" s="88">
        <f>M1911/J1911</f>
        <v>64</v>
      </c>
      <c r="M1911" s="88">
        <f>SUMIF(G1912,"*",M1912)*J1911</f>
        <v>64</v>
      </c>
      <c r="N1911" s="123">
        <f>HYPERLINK("#Трудозатраты!B679",Трудозатраты!B679+SUMIF(G1912,"*",O1912))</f>
        <v>5.75</v>
      </c>
      <c r="O1911" s="89">
        <f>N1911*J1911</f>
        <v>5.75</v>
      </c>
      <c r="P1911" s="88">
        <f>O1911/60*(1+запас_труд)*стоимость_трудочаса</f>
        <v>225.20833333333334</v>
      </c>
      <c r="Q1911" s="128">
        <f>M1911*(1+наценка_покупное)+P1911</f>
        <v>302.00833333333333</v>
      </c>
    </row>
    <row r="1912" spans="5:17" hidden="1" outlineLevel="5" x14ac:dyDescent="0.25">
      <c r="G1912" s="74" t="s">
        <v>130</v>
      </c>
      <c r="H1912" s="75"/>
      <c r="I1912" s="76"/>
      <c r="J1912" s="78">
        <f>HYPERLINK("#Структура!E2715",Структура!E2715)</f>
        <v>0.4</v>
      </c>
      <c r="K1912" s="114" t="str">
        <f>HYPERLINK("#Структура!G2715","")</f>
        <v/>
      </c>
      <c r="L1912" s="120">
        <f>HYPERLINK("#Покупные_изделия!D305",Покупные_изделия!D305)</f>
        <v>160</v>
      </c>
      <c r="M1912" s="76">
        <f>J1912*L1912</f>
        <v>64</v>
      </c>
      <c r="N1912" s="77"/>
      <c r="O1912" s="77"/>
      <c r="P1912" s="76"/>
      <c r="Q1912" s="76"/>
    </row>
    <row r="1913" spans="5:17" hidden="1" outlineLevel="4" x14ac:dyDescent="0.25">
      <c r="F1913" s="74" t="s">
        <v>1009</v>
      </c>
      <c r="G1913" s="74"/>
      <c r="H1913" s="75"/>
      <c r="I1913" s="76"/>
      <c r="J1913" s="78">
        <f>HYPERLINK("#Структура!E2711",Структура!E2711)</f>
        <v>2</v>
      </c>
      <c r="K1913" s="114">
        <f>HYPERLINK("#Структура!G2711",Структура!G2711)</f>
        <v>6.4999999999999997E-3</v>
      </c>
      <c r="L1913" s="120">
        <f>HYPERLINK("#Покупные_изделия!D82",Покупные_изделия!D82)</f>
        <v>12.06</v>
      </c>
      <c r="M1913" s="76">
        <f>J1913*L1913</f>
        <v>24.12</v>
      </c>
      <c r="N1913" s="77"/>
      <c r="O1913" s="77"/>
      <c r="P1913" s="76"/>
      <c r="Q1913" s="76"/>
    </row>
    <row r="1914" spans="5:17" hidden="1" outlineLevel="4" x14ac:dyDescent="0.25">
      <c r="F1914" s="74" t="s">
        <v>1022</v>
      </c>
      <c r="G1914" s="74"/>
      <c r="H1914" s="75"/>
      <c r="I1914" s="76"/>
      <c r="J1914" s="78">
        <f>HYPERLINK("#Структура!E2712",Структура!E2712)</f>
        <v>4</v>
      </c>
      <c r="K1914" s="114">
        <f>HYPERLINK("#Структура!G2712",Структура!G2712)</f>
        <v>8.9499999999999996E-3</v>
      </c>
      <c r="L1914" s="120">
        <f>HYPERLINK("#Покупные_изделия!D84",Покупные_изделия!D84)</f>
        <v>10.68</v>
      </c>
      <c r="M1914" s="76">
        <f>J1914*L1914</f>
        <v>42.72</v>
      </c>
      <c r="N1914" s="77"/>
      <c r="O1914" s="77"/>
      <c r="P1914" s="76"/>
      <c r="Q1914" s="76"/>
    </row>
    <row r="1915" spans="5:17" hidden="1" outlineLevel="4" x14ac:dyDescent="0.25">
      <c r="F1915" s="74" t="s">
        <v>871</v>
      </c>
      <c r="G1915" s="74"/>
      <c r="H1915" s="75"/>
      <c r="I1915" s="76"/>
      <c r="J1915" s="78">
        <f>HYPERLINK("#Структура!E2713",Структура!E2713)</f>
        <v>4</v>
      </c>
      <c r="K1915" s="114">
        <f>HYPERLINK("#Структура!G2713",Структура!G2713)</f>
        <v>3.3E-3</v>
      </c>
      <c r="L1915" s="120">
        <f>HYPERLINK("#Покупные_изделия!D167",Покупные_изделия!D167)</f>
        <v>2.0654400000000002</v>
      </c>
      <c r="M1915" s="76">
        <f>J1915*L1915</f>
        <v>8.2617600000000007</v>
      </c>
      <c r="N1915" s="77"/>
      <c r="O1915" s="77"/>
      <c r="P1915" s="76"/>
      <c r="Q1915" s="76"/>
    </row>
    <row r="1916" spans="5:17" hidden="1" outlineLevel="4" x14ac:dyDescent="0.25">
      <c r="F1916" s="74" t="s">
        <v>134</v>
      </c>
      <c r="G1916" s="74"/>
      <c r="H1916" s="75"/>
      <c r="I1916" s="76"/>
      <c r="J1916" s="78">
        <f>HYPERLINK("#Структура!E2714",Структура!E2714)</f>
        <v>1</v>
      </c>
      <c r="K1916" s="114">
        <f>HYPERLINK("#Структура!G2714",Структура!G2714)</f>
        <v>4.1453100000000003</v>
      </c>
      <c r="L1916" s="120">
        <f>HYPERLINK("#Покупные_изделия!D309",Покупные_изделия!D309)</f>
        <v>97020.000000000015</v>
      </c>
      <c r="M1916" s="76">
        <f>J1916*L1916</f>
        <v>97020.000000000015</v>
      </c>
      <c r="N1916" s="77"/>
      <c r="O1916" s="77"/>
      <c r="P1916" s="76"/>
      <c r="Q1916" s="76"/>
    </row>
    <row r="1917" spans="5:17" hidden="1" outlineLevel="3" collapsed="1" x14ac:dyDescent="0.25">
      <c r="E1917" s="96" t="s">
        <v>1378</v>
      </c>
      <c r="F1917" s="91"/>
      <c r="G1917" s="91"/>
      <c r="H1917" s="92"/>
      <c r="I1917" s="93"/>
      <c r="J1917" s="95">
        <f>HYPERLINK("#Структура!E2673",Структура!E2673)</f>
        <v>1</v>
      </c>
      <c r="K1917" s="116">
        <f>HYPERLINK("#Структура!G2673",Структура!G2673)</f>
        <v>4.2926099999999998</v>
      </c>
      <c r="L1917" s="93">
        <f>M1917/J1917</f>
        <v>90899.741453600014</v>
      </c>
      <c r="M1917" s="93">
        <f>SUMIF(F1918:F1939,"*",M1918:M1939)*J1917</f>
        <v>90899.741453600014</v>
      </c>
      <c r="N1917" s="125">
        <f>HYPERLINK("#Трудозатраты!B680",Трудозатраты!B680+SUMIF(F1918:F1939,"*",O1918:O1939))</f>
        <v>416.51</v>
      </c>
      <c r="O1917" s="94">
        <f>N1917*J1917</f>
        <v>416.51</v>
      </c>
      <c r="P1917" s="93">
        <f>O1917/60*(1+запас_труд)*стоимость_трудочаса</f>
        <v>16313.308333333332</v>
      </c>
      <c r="Q1917" s="130">
        <f>M1917*(1+наценка_покупное)+P1917</f>
        <v>125392.99807765335</v>
      </c>
    </row>
    <row r="1918" spans="5:17" hidden="1" outlineLevel="4" collapsed="1" x14ac:dyDescent="0.25">
      <c r="F1918" s="97" t="s">
        <v>1392</v>
      </c>
      <c r="G1918" s="98"/>
      <c r="H1918" s="99"/>
      <c r="I1918" s="100"/>
      <c r="J1918" s="102">
        <f>HYPERLINK("#Структура!E2716",Структура!E2716)</f>
        <v>1</v>
      </c>
      <c r="K1918" s="112">
        <f>HYPERLINK("#Структура!G2716",Структура!G2716)</f>
        <v>4.8410000000000002E-2</v>
      </c>
      <c r="L1918" s="100">
        <f>M1918/J1918</f>
        <v>372.60729119999996</v>
      </c>
      <c r="M1918" s="100">
        <f>SUMIF(G1919:G1924,"*",M1919:M1924)*J1918</f>
        <v>372.60729119999996</v>
      </c>
      <c r="N1918" s="122">
        <f>HYPERLINK("#Трудозатраты!B684",Трудозатраты!B684+SUMIF(G1919:G1924,"*",O1919:O1924))</f>
        <v>38.340000000000003</v>
      </c>
      <c r="O1918" s="101">
        <f>N1918*J1918</f>
        <v>38.340000000000003</v>
      </c>
      <c r="P1918" s="100">
        <f>O1918/60*(1+запас_труд)*стоимость_трудочаса</f>
        <v>1501.65</v>
      </c>
      <c r="Q1918" s="127">
        <f>M1918*(1+наценка_покупное)+P1918</f>
        <v>1948.77874944</v>
      </c>
    </row>
    <row r="1919" spans="5:17" hidden="1" outlineLevel="5" collapsed="1" x14ac:dyDescent="0.25">
      <c r="G1919" s="85" t="s">
        <v>1396</v>
      </c>
      <c r="H1919" s="87"/>
      <c r="I1919" s="88"/>
      <c r="J1919" s="90">
        <f>HYPERLINK("#Структура!E2732",Структура!E2732)</f>
        <v>1</v>
      </c>
      <c r="K1919" s="113">
        <f>HYPERLINK("#Структура!G2732",Структура!G2732)</f>
        <v>4.0910000000000002E-2</v>
      </c>
      <c r="L1919" s="88">
        <f>M1919/J1919</f>
        <v>99.267379199999993</v>
      </c>
      <c r="M1919" s="88">
        <f>SUMIF(H1920,"*",M1920)*J1919</f>
        <v>99.267379199999993</v>
      </c>
      <c r="N1919" s="123">
        <f>HYPERLINK("#Трудозатраты!B685",Трудозатраты!B685+SUMIF(H1920,"*",O1920))</f>
        <v>19.670000000000002</v>
      </c>
      <c r="O1919" s="89">
        <f>N1919*J1919</f>
        <v>19.670000000000002</v>
      </c>
      <c r="P1919" s="88">
        <f>O1919/60*(1+запас_труд)*стоимость_трудочаса</f>
        <v>770.40833333333342</v>
      </c>
      <c r="Q1919" s="128">
        <f>M1919*(1+наценка_покупное)+P1919</f>
        <v>889.52918837333345</v>
      </c>
    </row>
    <row r="1920" spans="5:17" hidden="1" outlineLevel="6" x14ac:dyDescent="0.25">
      <c r="H1920" s="75" t="s">
        <v>154</v>
      </c>
      <c r="I1920" s="76"/>
      <c r="J1920" s="78">
        <f>HYPERLINK("#Структура!E2736",Структура!E2736)</f>
        <v>0.10199999999999999</v>
      </c>
      <c r="K1920" s="114" t="str">
        <f>HYPERLINK("#Структура!G2736","")</f>
        <v/>
      </c>
      <c r="L1920" s="120">
        <f>HYPERLINK("#Покупные_изделия!D422",Покупные_изделия!D422)</f>
        <v>973.20960000000002</v>
      </c>
      <c r="M1920" s="76">
        <f>J1920*L1920</f>
        <v>99.267379199999993</v>
      </c>
      <c r="N1920" s="77"/>
      <c r="O1920" s="77"/>
      <c r="P1920" s="76"/>
      <c r="Q1920" s="76"/>
    </row>
    <row r="1921" spans="6:17" hidden="1" outlineLevel="5" collapsed="1" x14ac:dyDescent="0.25">
      <c r="G1921" s="84" t="s">
        <v>1397</v>
      </c>
      <c r="H1921" s="80"/>
      <c r="I1921" s="81"/>
      <c r="J1921" s="83">
        <f>HYPERLINK("#Структура!E2733",Структура!E2733)</f>
        <v>1</v>
      </c>
      <c r="K1921" s="115">
        <f>HYPERLINK("#Структура!G2733",Структура!G2733)</f>
        <v>3.0699999999999998E-3</v>
      </c>
      <c r="L1921" s="81">
        <f>M1921/J1921</f>
        <v>42.662400000000005</v>
      </c>
      <c r="M1921" s="81">
        <f>SUMIF(H1922,"*",M1922)*J1921</f>
        <v>42.662400000000005</v>
      </c>
      <c r="N1921" s="124">
        <f>HYPERLINK("#Трудозатраты!B686",Трудозатраты!B686+SUMIF(H1922,"*",O1922))</f>
        <v>8.67</v>
      </c>
      <c r="O1921" s="82">
        <f>N1921*J1921</f>
        <v>8.67</v>
      </c>
      <c r="P1921" s="81">
        <f>O1921/60*(1+запас_труд)*стоимость_трудочаса</f>
        <v>339.57499999999999</v>
      </c>
      <c r="Q1921" s="129">
        <f>M1921*(1+наценка_покупное)+P1921</f>
        <v>390.76988</v>
      </c>
    </row>
    <row r="1922" spans="6:17" hidden="1" outlineLevel="6" x14ac:dyDescent="0.25">
      <c r="H1922" s="75" t="s">
        <v>153</v>
      </c>
      <c r="I1922" s="76"/>
      <c r="J1922" s="78">
        <f>HYPERLINK("#Структура!E2737",Структура!E2737)</f>
        <v>4.8000000000000001E-2</v>
      </c>
      <c r="K1922" s="114" t="str">
        <f>HYPERLINK("#Структура!G2737","")</f>
        <v/>
      </c>
      <c r="L1922" s="120">
        <f>HYPERLINK("#Покупные_изделия!D421",Покупные_изделия!D421)</f>
        <v>888.80000000000007</v>
      </c>
      <c r="M1922" s="76">
        <f>J1922*L1922</f>
        <v>42.662400000000005</v>
      </c>
      <c r="N1922" s="77"/>
      <c r="O1922" s="77"/>
      <c r="P1922" s="76"/>
      <c r="Q1922" s="76"/>
    </row>
    <row r="1923" spans="6:17" hidden="1" outlineLevel="5" x14ac:dyDescent="0.25">
      <c r="G1923" s="74" t="s">
        <v>197</v>
      </c>
      <c r="H1923" s="75"/>
      <c r="I1923" s="76"/>
      <c r="J1923" s="78">
        <f>HYPERLINK("#Структура!E2734",Структура!E2734)</f>
        <v>1</v>
      </c>
      <c r="K1923" s="114">
        <f>HYPERLINK("#Структура!G2734",Структура!G2734)</f>
        <v>4.4400000000000004E-3</v>
      </c>
      <c r="L1923" s="120">
        <f>HYPERLINK("#Покупные_изделия!D512",Покупные_изделия!D512)</f>
        <v>230.39999999999998</v>
      </c>
      <c r="M1923" s="76">
        <f>J1923*L1923</f>
        <v>230.39999999999998</v>
      </c>
      <c r="N1923" s="77"/>
      <c r="O1923" s="77"/>
      <c r="P1923" s="76"/>
      <c r="Q1923" s="76"/>
    </row>
    <row r="1924" spans="6:17" hidden="1" outlineLevel="5" x14ac:dyDescent="0.25">
      <c r="G1924" s="74" t="s">
        <v>157</v>
      </c>
      <c r="H1924" s="75"/>
      <c r="I1924" s="76"/>
      <c r="J1924" s="78">
        <f>HYPERLINK("#Структура!E2735",Структура!E2735)</f>
        <v>2E-3</v>
      </c>
      <c r="K1924" s="114" t="str">
        <f>HYPERLINK("#Структура!G2735","")</f>
        <v/>
      </c>
      <c r="L1924" s="120">
        <f>HYPERLINK("#Покупные_изделия!D428",Покупные_изделия!D428)</f>
        <v>138.756</v>
      </c>
      <c r="M1924" s="76">
        <f>J1924*L1924</f>
        <v>0.27751199999999998</v>
      </c>
      <c r="N1924" s="77"/>
      <c r="O1924" s="77"/>
      <c r="P1924" s="76"/>
      <c r="Q1924" s="76"/>
    </row>
    <row r="1925" spans="6:17" hidden="1" outlineLevel="4" collapsed="1" x14ac:dyDescent="0.25">
      <c r="F1925" s="84" t="s">
        <v>1393</v>
      </c>
      <c r="G1925" s="79"/>
      <c r="H1925" s="80"/>
      <c r="I1925" s="81"/>
      <c r="J1925" s="83">
        <f>HYPERLINK("#Структура!E2717",Структура!E2717)</f>
        <v>11</v>
      </c>
      <c r="K1925" s="115">
        <f>HYPERLINK("#Структура!G2717",Структура!G2717)</f>
        <v>7.0150000000000004E-2</v>
      </c>
      <c r="L1925" s="81">
        <f>M1925/J1925</f>
        <v>23.828952000000001</v>
      </c>
      <c r="M1925" s="81">
        <f>SUMIF(G1926,"*",M1926)*J1925</f>
        <v>262.118472</v>
      </c>
      <c r="N1925" s="124">
        <f>HYPERLINK("#Трудозатраты!B681",Трудозатраты!B681+SUMIF(G1926,"*",O1926))</f>
        <v>13.5</v>
      </c>
      <c r="O1925" s="82">
        <f>N1925*J1925</f>
        <v>148.5</v>
      </c>
      <c r="P1925" s="81">
        <f>O1925/60*(1+запас_труд)*стоимость_трудочаса</f>
        <v>5816.25</v>
      </c>
      <c r="Q1925" s="129">
        <f>M1925*(1+наценка_покупное)+P1925</f>
        <v>6130.7921663999996</v>
      </c>
    </row>
    <row r="1926" spans="6:17" hidden="1" outlineLevel="5" x14ac:dyDescent="0.25">
      <c r="G1926" s="74" t="s">
        <v>208</v>
      </c>
      <c r="H1926" s="75"/>
      <c r="I1926" s="76"/>
      <c r="J1926" s="78">
        <f>HYPERLINK("#Структура!E2729",Структура!E2729)</f>
        <v>0.20300000000000001</v>
      </c>
      <c r="K1926" s="114" t="str">
        <f>HYPERLINK("#Структура!G2729","")</f>
        <v/>
      </c>
      <c r="L1926" s="120">
        <f>HYPERLINK("#Покупные_изделия!D553",Покупные_изделия!D553)</f>
        <v>117.38399999999999</v>
      </c>
      <c r="M1926" s="76">
        <f>J1926*L1926</f>
        <v>23.828951999999997</v>
      </c>
      <c r="N1926" s="77"/>
      <c r="O1926" s="77"/>
      <c r="P1926" s="76"/>
      <c r="Q1926" s="76"/>
    </row>
    <row r="1927" spans="6:17" hidden="1" outlineLevel="4" collapsed="1" x14ac:dyDescent="0.25">
      <c r="F1927" s="84" t="s">
        <v>1394</v>
      </c>
      <c r="G1927" s="79"/>
      <c r="H1927" s="80"/>
      <c r="I1927" s="81"/>
      <c r="J1927" s="83">
        <f>HYPERLINK("#Структура!E2718",Структура!E2718)</f>
        <v>2</v>
      </c>
      <c r="K1927" s="115">
        <f>HYPERLINK("#Структура!G2718",Структура!G2718)</f>
        <v>6.2219999999999998E-2</v>
      </c>
      <c r="L1927" s="81">
        <f>M1927/J1927</f>
        <v>21.104107199999998</v>
      </c>
      <c r="M1927" s="81">
        <f>SUMIF(G1928,"*",M1928)*J1927</f>
        <v>42.208214399999996</v>
      </c>
      <c r="N1927" s="124">
        <f>HYPERLINK("#Трудозатраты!B682",Трудозатраты!B682+SUMIF(G1928,"*",O1928))</f>
        <v>16.5</v>
      </c>
      <c r="O1927" s="82">
        <f>N1927*J1927</f>
        <v>33</v>
      </c>
      <c r="P1927" s="81">
        <f>O1927/60*(1+запас_труд)*стоимость_трудочаса</f>
        <v>1292.5</v>
      </c>
      <c r="Q1927" s="129">
        <f>M1927*(1+наценка_покупное)+P1927</f>
        <v>1343.1498572800001</v>
      </c>
    </row>
    <row r="1928" spans="6:17" hidden="1" outlineLevel="5" x14ac:dyDescent="0.25">
      <c r="G1928" s="74" t="s">
        <v>209</v>
      </c>
      <c r="H1928" s="75"/>
      <c r="I1928" s="76"/>
      <c r="J1928" s="78">
        <f>HYPERLINK("#Структура!E2730",Структура!E2730)</f>
        <v>0.17799999999999999</v>
      </c>
      <c r="K1928" s="114" t="str">
        <f>HYPERLINK("#Структура!G2730","")</f>
        <v/>
      </c>
      <c r="L1928" s="120">
        <f>HYPERLINK("#Покупные_изделия!D554",Покупные_изделия!D554)</f>
        <v>118.5624</v>
      </c>
      <c r="M1928" s="76">
        <f>J1928*L1928</f>
        <v>21.104107199999998</v>
      </c>
      <c r="N1928" s="77"/>
      <c r="O1928" s="77"/>
      <c r="P1928" s="76"/>
      <c r="Q1928" s="76"/>
    </row>
    <row r="1929" spans="6:17" hidden="1" outlineLevel="4" collapsed="1" x14ac:dyDescent="0.25">
      <c r="F1929" s="84" t="s">
        <v>1395</v>
      </c>
      <c r="G1929" s="79"/>
      <c r="H1929" s="80"/>
      <c r="I1929" s="81"/>
      <c r="J1929" s="83">
        <f>HYPERLINK("#Структура!E2719",Структура!E2719)</f>
        <v>1</v>
      </c>
      <c r="K1929" s="115">
        <f>HYPERLINK("#Структура!G2719",Структура!G2719)</f>
        <v>5.9200000000000003E-2</v>
      </c>
      <c r="L1929" s="81">
        <f>M1929/J1929</f>
        <v>13.100000000000001</v>
      </c>
      <c r="M1929" s="81">
        <f>SUMIF(G1930,"*",M1930)*J1929</f>
        <v>13.100000000000001</v>
      </c>
      <c r="N1929" s="124">
        <f>HYPERLINK("#Трудозатраты!B683",Трудозатраты!B683+SUMIF(G1930,"*",O1930))</f>
        <v>6.67</v>
      </c>
      <c r="O1929" s="82">
        <f>N1929*J1929</f>
        <v>6.67</v>
      </c>
      <c r="P1929" s="81">
        <f>O1929/60*(1+запас_труд)*стоимость_трудочаса</f>
        <v>261.24166666666667</v>
      </c>
      <c r="Q1929" s="129">
        <f>M1929*(1+наценка_покупное)+P1929</f>
        <v>276.9616666666667</v>
      </c>
    </row>
    <row r="1930" spans="6:17" hidden="1" outlineLevel="5" x14ac:dyDescent="0.25">
      <c r="G1930" s="74" t="s">
        <v>83</v>
      </c>
      <c r="H1930" s="75"/>
      <c r="I1930" s="76"/>
      <c r="J1930" s="78">
        <f>HYPERLINK("#Структура!E2731",Структура!E2731)</f>
        <v>0.13100000000000001</v>
      </c>
      <c r="K1930" s="114" t="str">
        <f>HYPERLINK("#Структура!G2731","")</f>
        <v/>
      </c>
      <c r="L1930" s="120">
        <f>HYPERLINK("#Покупные_изделия!D252",Покупные_изделия!D252)</f>
        <v>100</v>
      </c>
      <c r="M1930" s="76">
        <f t="shared" ref="M1930:M1939" si="74">J1930*L1930</f>
        <v>13.100000000000001</v>
      </c>
      <c r="N1930" s="77"/>
      <c r="O1930" s="77"/>
      <c r="P1930" s="76"/>
      <c r="Q1930" s="76"/>
    </row>
    <row r="1931" spans="6:17" hidden="1" outlineLevel="4" x14ac:dyDescent="0.25">
      <c r="F1931" s="74" t="s">
        <v>61</v>
      </c>
      <c r="G1931" s="74"/>
      <c r="H1931" s="75"/>
      <c r="I1931" s="76"/>
      <c r="J1931" s="78">
        <f>HYPERLINK("#Структура!E2720",Структура!E2720)</f>
        <v>2</v>
      </c>
      <c r="K1931" s="114">
        <f>HYPERLINK("#Структура!G2720",Структура!G2720)</f>
        <v>0.46400000000000002</v>
      </c>
      <c r="L1931" s="120">
        <f>HYPERLINK("#Покупные_изделия!D193",Покупные_изделия!D193)</f>
        <v>213.40799999999999</v>
      </c>
      <c r="M1931" s="76">
        <f t="shared" si="74"/>
        <v>426.81599999999997</v>
      </c>
      <c r="N1931" s="77"/>
      <c r="O1931" s="77"/>
      <c r="P1931" s="76"/>
      <c r="Q1931" s="76"/>
    </row>
    <row r="1932" spans="6:17" hidden="1" outlineLevel="4" x14ac:dyDescent="0.25">
      <c r="F1932" s="74" t="s">
        <v>145</v>
      </c>
      <c r="G1932" s="74"/>
      <c r="H1932" s="75"/>
      <c r="I1932" s="76"/>
      <c r="J1932" s="78">
        <f>HYPERLINK("#Структура!E2721",Структура!E2721)</f>
        <v>2</v>
      </c>
      <c r="K1932" s="114">
        <f>HYPERLINK("#Структура!G2721",Структура!G2721)</f>
        <v>0.04</v>
      </c>
      <c r="L1932" s="120">
        <f>HYPERLINK("#Покупные_изделия!D388",Покупные_изделия!D388)</f>
        <v>23.179200000000002</v>
      </c>
      <c r="M1932" s="76">
        <f t="shared" si="74"/>
        <v>46.358400000000003</v>
      </c>
      <c r="N1932" s="77"/>
      <c r="O1932" s="77"/>
      <c r="P1932" s="76"/>
      <c r="Q1932" s="76"/>
    </row>
    <row r="1933" spans="6:17" hidden="1" outlineLevel="4" x14ac:dyDescent="0.25">
      <c r="F1933" s="74" t="s">
        <v>170</v>
      </c>
      <c r="G1933" s="74"/>
      <c r="H1933" s="75"/>
      <c r="I1933" s="76"/>
      <c r="J1933" s="78">
        <f>HYPERLINK("#Структура!E2722",Структура!E2722)</f>
        <v>3</v>
      </c>
      <c r="K1933" s="114">
        <f>HYPERLINK("#Структура!G2722",Структура!G2722)</f>
        <v>0.13300000000000001</v>
      </c>
      <c r="L1933" s="120">
        <f>HYPERLINK("#Покупные_изделия!D479",Покупные_изделия!D479)</f>
        <v>38.319600000000001</v>
      </c>
      <c r="M1933" s="76">
        <f t="shared" si="74"/>
        <v>114.9588</v>
      </c>
      <c r="N1933" s="77"/>
      <c r="O1933" s="77"/>
      <c r="P1933" s="76"/>
      <c r="Q1933" s="76"/>
    </row>
    <row r="1934" spans="6:17" hidden="1" outlineLevel="4" x14ac:dyDescent="0.25">
      <c r="F1934" s="74" t="s">
        <v>193</v>
      </c>
      <c r="G1934" s="74"/>
      <c r="H1934" s="75"/>
      <c r="I1934" s="76"/>
      <c r="J1934" s="78">
        <f>HYPERLINK("#Структура!E2723",Структура!E2723)</f>
        <v>4</v>
      </c>
      <c r="K1934" s="114">
        <f>HYPERLINK("#Структура!G2723",Структура!G2723)</f>
        <v>9.4E-2</v>
      </c>
      <c r="L1934" s="120">
        <f>HYPERLINK("#Покупные_изделия!D506",Покупные_изделия!D506)</f>
        <v>43.98</v>
      </c>
      <c r="M1934" s="76">
        <f t="shared" si="74"/>
        <v>175.92</v>
      </c>
      <c r="N1934" s="77"/>
      <c r="O1934" s="77"/>
      <c r="P1934" s="76"/>
      <c r="Q1934" s="76"/>
    </row>
    <row r="1935" spans="6:17" hidden="1" outlineLevel="4" x14ac:dyDescent="0.25">
      <c r="F1935" s="74" t="s">
        <v>198</v>
      </c>
      <c r="G1935" s="74"/>
      <c r="H1935" s="75"/>
      <c r="I1935" s="76"/>
      <c r="J1935" s="78">
        <f>HYPERLINK("#Структура!E2724",Структура!E2724)</f>
        <v>1</v>
      </c>
      <c r="K1935" s="114">
        <f>HYPERLINK("#Структура!G2724",Структура!G2724)</f>
        <v>3.7999999999999999E-2</v>
      </c>
      <c r="L1935" s="120">
        <f>HYPERLINK("#Покупные_изделия!D516",Покупные_изделия!D516)</f>
        <v>102.35280000000002</v>
      </c>
      <c r="M1935" s="76">
        <f t="shared" si="74"/>
        <v>102.35280000000002</v>
      </c>
      <c r="N1935" s="77"/>
      <c r="O1935" s="77"/>
      <c r="P1935" s="76"/>
      <c r="Q1935" s="76"/>
    </row>
    <row r="1936" spans="6:17" hidden="1" outlineLevel="4" x14ac:dyDescent="0.25">
      <c r="F1936" s="74" t="s">
        <v>10</v>
      </c>
      <c r="G1936" s="74"/>
      <c r="H1936" s="75"/>
      <c r="I1936" s="76"/>
      <c r="J1936" s="78">
        <f>HYPERLINK("#Структура!E2725",Структура!E2725)</f>
        <v>1</v>
      </c>
      <c r="K1936" s="114">
        <f>HYPERLINK("#Структура!G2725",Структура!G2725)</f>
        <v>0.70323999999999998</v>
      </c>
      <c r="L1936" s="120">
        <f>HYPERLINK("#Покупные_изделия!D14",Покупные_изделия!D14)</f>
        <v>64040.008428000008</v>
      </c>
      <c r="M1936" s="76">
        <f t="shared" si="74"/>
        <v>64040.008428000008</v>
      </c>
      <c r="N1936" s="77"/>
      <c r="O1936" s="77"/>
      <c r="P1936" s="76"/>
      <c r="Q1936" s="76"/>
    </row>
    <row r="1937" spans="5:17" hidden="1" outlineLevel="4" x14ac:dyDescent="0.25">
      <c r="F1937" s="74" t="s">
        <v>33</v>
      </c>
      <c r="G1937" s="74"/>
      <c r="H1937" s="75"/>
      <c r="I1937" s="76"/>
      <c r="J1937" s="78">
        <f>HYPERLINK("#Структура!E2726",Структура!E2726)</f>
        <v>1</v>
      </c>
      <c r="K1937" s="114">
        <f>HYPERLINK("#Структура!G2726",Структура!G2726)</f>
        <v>0.72860999999999998</v>
      </c>
      <c r="L1937" s="120">
        <f>HYPERLINK("#Покупные_изделия!D44",Покупные_изделия!D44)</f>
        <v>25038.119568000006</v>
      </c>
      <c r="M1937" s="76">
        <f t="shared" si="74"/>
        <v>25038.119568000006</v>
      </c>
      <c r="N1937" s="77"/>
      <c r="O1937" s="77"/>
      <c r="P1937" s="76"/>
      <c r="Q1937" s="76"/>
    </row>
    <row r="1938" spans="5:17" hidden="1" outlineLevel="4" x14ac:dyDescent="0.25">
      <c r="F1938" s="74" t="s">
        <v>62</v>
      </c>
      <c r="G1938" s="74"/>
      <c r="H1938" s="75"/>
      <c r="I1938" s="76"/>
      <c r="J1938" s="78">
        <f>HYPERLINK("#Структура!E2727",Структура!E2727)</f>
        <v>0.7</v>
      </c>
      <c r="K1938" s="114" t="str">
        <f>HYPERLINK("#Структура!G2727","")</f>
        <v/>
      </c>
      <c r="L1938" s="120">
        <f>HYPERLINK("#Покупные_изделия!D194",Покупные_изделия!D194)</f>
        <v>333.22800000000001</v>
      </c>
      <c r="M1938" s="76">
        <f t="shared" si="74"/>
        <v>233.25959999999998</v>
      </c>
      <c r="N1938" s="77"/>
      <c r="O1938" s="77"/>
      <c r="P1938" s="76"/>
      <c r="Q1938" s="76"/>
    </row>
    <row r="1939" spans="5:17" hidden="1" outlineLevel="4" x14ac:dyDescent="0.25">
      <c r="F1939" s="74" t="s">
        <v>157</v>
      </c>
      <c r="G1939" s="74"/>
      <c r="H1939" s="75"/>
      <c r="I1939" s="76"/>
      <c r="J1939" s="78">
        <f>HYPERLINK("#Структура!E2728",Структура!E2728)</f>
        <v>0.23</v>
      </c>
      <c r="K1939" s="114" t="str">
        <f>HYPERLINK("#Структура!G2728","")</f>
        <v/>
      </c>
      <c r="L1939" s="120">
        <f>HYPERLINK("#Покупные_изделия!D428",Покупные_изделия!D428)</f>
        <v>138.756</v>
      </c>
      <c r="M1939" s="76">
        <f t="shared" si="74"/>
        <v>31.913880000000002</v>
      </c>
      <c r="N1939" s="77"/>
      <c r="O1939" s="77"/>
      <c r="P1939" s="76"/>
      <c r="Q1939" s="76"/>
    </row>
    <row r="1940" spans="5:17" hidden="1" outlineLevel="3" collapsed="1" x14ac:dyDescent="0.25">
      <c r="E1940" s="96" t="s">
        <v>1379</v>
      </c>
      <c r="F1940" s="91"/>
      <c r="G1940" s="91"/>
      <c r="H1940" s="92"/>
      <c r="I1940" s="93"/>
      <c r="J1940" s="95">
        <f>HYPERLINK("#Структура!E2674",Структура!E2674)</f>
        <v>1</v>
      </c>
      <c r="K1940" s="116">
        <f>HYPERLINK("#Структура!G2674",Структура!G2674)</f>
        <v>3.5384899999999999</v>
      </c>
      <c r="L1940" s="93">
        <f>M1940/J1940</f>
        <v>48081.334296000008</v>
      </c>
      <c r="M1940" s="93">
        <f>SUMIF(F1941:F1950,"*",M1941:M1950)*J1940</f>
        <v>48081.334296000008</v>
      </c>
      <c r="N1940" s="125">
        <f>HYPERLINK("#Трудозатраты!B687",Трудозатраты!B687+SUMIF(F1941:F1950,"*",O1941:O1950))</f>
        <v>103</v>
      </c>
      <c r="O1940" s="94">
        <f>N1940*J1940</f>
        <v>103</v>
      </c>
      <c r="P1940" s="93">
        <f>O1940/60*(1+запас_труд)*стоимость_трудочаса</f>
        <v>4034.1666666666665</v>
      </c>
      <c r="Q1940" s="130">
        <f>M1940*(1+наценка_покупное)+P1940</f>
        <v>61731.76782186667</v>
      </c>
    </row>
    <row r="1941" spans="5:17" hidden="1" outlineLevel="4" collapsed="1" x14ac:dyDescent="0.25">
      <c r="F1941" s="85" t="s">
        <v>1398</v>
      </c>
      <c r="G1941" s="86"/>
      <c r="H1941" s="87"/>
      <c r="I1941" s="88"/>
      <c r="J1941" s="90">
        <f>HYPERLINK("#Структура!E2738",Структура!E2738)</f>
        <v>1</v>
      </c>
      <c r="K1941" s="113">
        <f>HYPERLINK("#Структура!G2738",Структура!G2738)</f>
        <v>0.56699999999999995</v>
      </c>
      <c r="L1941" s="88">
        <f>M1941/J1941</f>
        <v>68.88</v>
      </c>
      <c r="M1941" s="88">
        <f>SUMIF(G1942,"*",M1942)*J1941</f>
        <v>68.88</v>
      </c>
      <c r="N1941" s="123">
        <f>HYPERLINK("#Трудозатраты!B688",Трудозатраты!B688+SUMIF(G1942,"*",O1942))</f>
        <v>14</v>
      </c>
      <c r="O1941" s="89">
        <f>N1941*J1941</f>
        <v>14</v>
      </c>
      <c r="P1941" s="88">
        <f>O1941/60*(1+запас_труд)*стоимость_трудочаса</f>
        <v>548.33333333333337</v>
      </c>
      <c r="Q1941" s="128">
        <f>M1941*(1+наценка_покупное)+P1941</f>
        <v>630.98933333333332</v>
      </c>
    </row>
    <row r="1942" spans="5:17" hidden="1" outlineLevel="5" x14ac:dyDescent="0.25">
      <c r="G1942" s="74" t="s">
        <v>179</v>
      </c>
      <c r="H1942" s="75"/>
      <c r="I1942" s="76"/>
      <c r="J1942" s="78">
        <f>HYPERLINK("#Структура!E2745",Структура!E2745)</f>
        <v>0.57399999999999995</v>
      </c>
      <c r="K1942" s="114" t="str">
        <f>HYPERLINK("#Структура!G2745","")</f>
        <v/>
      </c>
      <c r="L1942" s="120">
        <f>HYPERLINK("#Покупные_изделия!D490",Покупные_изделия!D490)</f>
        <v>120</v>
      </c>
      <c r="M1942" s="76">
        <f>J1942*L1942</f>
        <v>68.88</v>
      </c>
      <c r="N1942" s="77"/>
      <c r="O1942" s="77"/>
      <c r="P1942" s="76"/>
      <c r="Q1942" s="76"/>
    </row>
    <row r="1943" spans="5:17" hidden="1" outlineLevel="4" collapsed="1" x14ac:dyDescent="0.25">
      <c r="F1943" s="84" t="s">
        <v>1399</v>
      </c>
      <c r="G1943" s="79"/>
      <c r="H1943" s="80"/>
      <c r="I1943" s="81"/>
      <c r="J1943" s="83">
        <f>HYPERLINK("#Структура!E2739",Структура!E2739)</f>
        <v>1</v>
      </c>
      <c r="K1943" s="115">
        <f>HYPERLINK("#Структура!G2739",Структура!G2739)</f>
        <v>0.3024</v>
      </c>
      <c r="L1943" s="81">
        <f>M1943/J1943</f>
        <v>39.840000000000003</v>
      </c>
      <c r="M1943" s="81">
        <f>SUMIF(G1944,"*",M1944)*J1943</f>
        <v>39.840000000000003</v>
      </c>
      <c r="N1943" s="124">
        <f>HYPERLINK("#Трудозатраты!B689",Трудозатраты!B689+SUMIF(G1944,"*",O1944))</f>
        <v>14</v>
      </c>
      <c r="O1943" s="82">
        <f>N1943*J1943</f>
        <v>14</v>
      </c>
      <c r="P1943" s="81">
        <f>O1943/60*(1+запас_труд)*стоимость_трудочаса</f>
        <v>548.33333333333337</v>
      </c>
      <c r="Q1943" s="129">
        <f>M1943*(1+наценка_покупное)+P1943</f>
        <v>596.14133333333336</v>
      </c>
    </row>
    <row r="1944" spans="5:17" hidden="1" outlineLevel="5" x14ac:dyDescent="0.25">
      <c r="G1944" s="74" t="s">
        <v>179</v>
      </c>
      <c r="H1944" s="75"/>
      <c r="I1944" s="76"/>
      <c r="J1944" s="78">
        <f>HYPERLINK("#Структура!E2746",Структура!E2746)</f>
        <v>0.33200000000000002</v>
      </c>
      <c r="K1944" s="114" t="str">
        <f>HYPERLINK("#Структура!G2746","")</f>
        <v/>
      </c>
      <c r="L1944" s="120">
        <f>HYPERLINK("#Покупные_изделия!D490",Покупные_изделия!D490)</f>
        <v>120</v>
      </c>
      <c r="M1944" s="76">
        <f>J1944*L1944</f>
        <v>39.840000000000003</v>
      </c>
      <c r="N1944" s="77"/>
      <c r="O1944" s="77"/>
      <c r="P1944" s="76"/>
      <c r="Q1944" s="76"/>
    </row>
    <row r="1945" spans="5:17" hidden="1" outlineLevel="4" collapsed="1" x14ac:dyDescent="0.25">
      <c r="F1945" s="84" t="s">
        <v>1400</v>
      </c>
      <c r="G1945" s="79"/>
      <c r="H1945" s="80"/>
      <c r="I1945" s="81"/>
      <c r="J1945" s="83">
        <f>HYPERLINK("#Структура!E2740",Структура!E2740)</f>
        <v>1</v>
      </c>
      <c r="K1945" s="115">
        <f>HYPERLINK("#Структура!G2740",Структура!G2740)</f>
        <v>0.3024</v>
      </c>
      <c r="L1945" s="81">
        <f>M1945/J1945</f>
        <v>37.32</v>
      </c>
      <c r="M1945" s="81">
        <f>SUMIF(G1946,"*",M1946)*J1945</f>
        <v>37.32</v>
      </c>
      <c r="N1945" s="124">
        <f>HYPERLINK("#Трудозатраты!B690",Трудозатраты!B690+SUMIF(G1946,"*",O1946))</f>
        <v>14</v>
      </c>
      <c r="O1945" s="82">
        <f>N1945*J1945</f>
        <v>14</v>
      </c>
      <c r="P1945" s="81">
        <f>O1945/60*(1+запас_труд)*стоимость_трудочаса</f>
        <v>548.33333333333337</v>
      </c>
      <c r="Q1945" s="129">
        <f>M1945*(1+наценка_покупное)+P1945</f>
        <v>593.11733333333336</v>
      </c>
    </row>
    <row r="1946" spans="5:17" hidden="1" outlineLevel="5" x14ac:dyDescent="0.25">
      <c r="G1946" s="74" t="s">
        <v>179</v>
      </c>
      <c r="H1946" s="75"/>
      <c r="I1946" s="76"/>
      <c r="J1946" s="78">
        <f>HYPERLINK("#Структура!E2747",Структура!E2747)</f>
        <v>0.311</v>
      </c>
      <c r="K1946" s="114" t="str">
        <f>HYPERLINK("#Структура!G2747","")</f>
        <v/>
      </c>
      <c r="L1946" s="120">
        <f>HYPERLINK("#Покупные_изделия!D490",Покупные_изделия!D490)</f>
        <v>120</v>
      </c>
      <c r="M1946" s="76">
        <f>J1946*L1946</f>
        <v>37.32</v>
      </c>
      <c r="N1946" s="77"/>
      <c r="O1946" s="77"/>
      <c r="P1946" s="76"/>
      <c r="Q1946" s="76"/>
    </row>
    <row r="1947" spans="5:17" hidden="1" outlineLevel="4" x14ac:dyDescent="0.25">
      <c r="F1947" s="74" t="s">
        <v>32</v>
      </c>
      <c r="G1947" s="74"/>
      <c r="H1947" s="75"/>
      <c r="I1947" s="76"/>
      <c r="J1947" s="78">
        <f>HYPERLINK("#Структура!E2741",Структура!E2741)</f>
        <v>1</v>
      </c>
      <c r="K1947" s="114">
        <f>HYPERLINK("#Структура!G2741",Структура!G2741)</f>
        <v>1.8180000000000001</v>
      </c>
      <c r="L1947" s="120">
        <f>HYPERLINK("#Покупные_изделия!D43",Покупные_изделия!D43)</f>
        <v>44821.552776000004</v>
      </c>
      <c r="M1947" s="76">
        <f>J1947*L1947</f>
        <v>44821.552776000004</v>
      </c>
      <c r="N1947" s="77"/>
      <c r="O1947" s="77"/>
      <c r="P1947" s="76"/>
      <c r="Q1947" s="76"/>
    </row>
    <row r="1948" spans="5:17" hidden="1" outlineLevel="4" x14ac:dyDescent="0.25">
      <c r="F1948" s="74" t="s">
        <v>73</v>
      </c>
      <c r="G1948" s="74"/>
      <c r="H1948" s="75"/>
      <c r="I1948" s="76"/>
      <c r="J1948" s="78">
        <f>HYPERLINK("#Структура!E2742",Структура!E2742)</f>
        <v>1</v>
      </c>
      <c r="K1948" s="114">
        <f>HYPERLINK("#Структура!G2742",Структура!G2742)</f>
        <v>0.54867999999999995</v>
      </c>
      <c r="L1948" s="120">
        <f>HYPERLINK("#Покупные_изделия!D240",Покупные_изделия!D240)</f>
        <v>2944.3524000000007</v>
      </c>
      <c r="M1948" s="76">
        <f>J1948*L1948</f>
        <v>2944.3524000000007</v>
      </c>
      <c r="N1948" s="77"/>
      <c r="O1948" s="77"/>
      <c r="P1948" s="76"/>
      <c r="Q1948" s="76"/>
    </row>
    <row r="1949" spans="5:17" hidden="1" outlineLevel="4" x14ac:dyDescent="0.25">
      <c r="F1949" s="74" t="s">
        <v>62</v>
      </c>
      <c r="G1949" s="74"/>
      <c r="H1949" s="75"/>
      <c r="I1949" s="76"/>
      <c r="J1949" s="78">
        <f>HYPERLINK("#Структура!E2743",Структура!E2743)</f>
        <v>0.5</v>
      </c>
      <c r="K1949" s="114" t="str">
        <f>HYPERLINK("#Структура!G2743","")</f>
        <v/>
      </c>
      <c r="L1949" s="120">
        <f>HYPERLINK("#Покупные_изделия!D194",Покупные_изделия!D194)</f>
        <v>333.22800000000001</v>
      </c>
      <c r="M1949" s="76">
        <f>J1949*L1949</f>
        <v>166.614</v>
      </c>
      <c r="N1949" s="77"/>
      <c r="O1949" s="77"/>
      <c r="P1949" s="76"/>
      <c r="Q1949" s="76"/>
    </row>
    <row r="1950" spans="5:17" hidden="1" outlineLevel="4" x14ac:dyDescent="0.25">
      <c r="F1950" s="74" t="s">
        <v>157</v>
      </c>
      <c r="G1950" s="74"/>
      <c r="H1950" s="75"/>
      <c r="I1950" s="76"/>
      <c r="J1950" s="78">
        <f>HYPERLINK("#Структура!E2744",Структура!E2744)</f>
        <v>0.02</v>
      </c>
      <c r="K1950" s="114" t="str">
        <f>HYPERLINK("#Структура!G2744","")</f>
        <v/>
      </c>
      <c r="L1950" s="120">
        <f>HYPERLINK("#Покупные_изделия!D428",Покупные_изделия!D428)</f>
        <v>138.756</v>
      </c>
      <c r="M1950" s="76">
        <f>J1950*L1950</f>
        <v>2.7751200000000003</v>
      </c>
      <c r="N1950" s="77"/>
      <c r="O1950" s="77"/>
      <c r="P1950" s="76"/>
      <c r="Q1950" s="76"/>
    </row>
    <row r="1951" spans="5:17" hidden="1" outlineLevel="3" collapsed="1" x14ac:dyDescent="0.25">
      <c r="E1951" s="96" t="s">
        <v>1380</v>
      </c>
      <c r="F1951" s="91"/>
      <c r="G1951" s="91"/>
      <c r="H1951" s="92"/>
      <c r="I1951" s="93"/>
      <c r="J1951" s="95">
        <f>HYPERLINK("#Структура!E2675",Структура!E2675)</f>
        <v>1</v>
      </c>
      <c r="K1951" s="116">
        <f>HYPERLINK("#Структура!G2675",Структура!G2675)</f>
        <v>0.24001</v>
      </c>
      <c r="L1951" s="93">
        <f>M1951/J1951</f>
        <v>119.055296</v>
      </c>
      <c r="M1951" s="93">
        <f>SUMIF(F1952:F1964,"*",M1952:M1964)*J1951</f>
        <v>119.055296</v>
      </c>
      <c r="N1951" s="125">
        <f>HYPERLINK("#Трудозатраты!B691",Трудозатраты!B691+SUMIF(F1952:F1964,"*",O1952:O1964))</f>
        <v>41.9</v>
      </c>
      <c r="O1951" s="94">
        <f>N1951*J1951</f>
        <v>41.9</v>
      </c>
      <c r="P1951" s="93">
        <f>O1951/60*(1+запас_труд)*стоимость_трудочаса</f>
        <v>1641.0833333333335</v>
      </c>
      <c r="Q1951" s="130">
        <f>M1951*(1+наценка_покупное)+P1951</f>
        <v>1783.9496885333335</v>
      </c>
    </row>
    <row r="1952" spans="5:17" hidden="1" outlineLevel="4" collapsed="1" x14ac:dyDescent="0.25">
      <c r="F1952" s="85" t="s">
        <v>1402</v>
      </c>
      <c r="G1952" s="86"/>
      <c r="H1952" s="87"/>
      <c r="I1952" s="88"/>
      <c r="J1952" s="90">
        <f>HYPERLINK("#Структура!E2748",Структура!E2748)</f>
        <v>4</v>
      </c>
      <c r="K1952" s="113">
        <f>HYPERLINK("#Структура!G2748",Структура!G2748)</f>
        <v>1.013E-2</v>
      </c>
      <c r="L1952" s="88">
        <f>M1952/J1952</f>
        <v>2.2400000000000002</v>
      </c>
      <c r="M1952" s="88">
        <f>SUMIF(G1953,"*",M1953)*J1952</f>
        <v>8.9600000000000009</v>
      </c>
      <c r="N1952" s="123">
        <f>HYPERLINK("#Трудозатраты!B692",Трудозатраты!B692+SUMIF(G1953,"*",O1953))</f>
        <v>3.3</v>
      </c>
      <c r="O1952" s="89">
        <f>N1952*J1952</f>
        <v>13.2</v>
      </c>
      <c r="P1952" s="88">
        <f>O1952/60*(1+запас_труд)*стоимость_трудочаса</f>
        <v>517</v>
      </c>
      <c r="Q1952" s="128">
        <f>M1952*(1+наценка_покупное)+P1952</f>
        <v>527.75199999999995</v>
      </c>
    </row>
    <row r="1953" spans="5:17" hidden="1" outlineLevel="5" x14ac:dyDescent="0.25">
      <c r="G1953" s="74" t="s">
        <v>128</v>
      </c>
      <c r="H1953" s="75"/>
      <c r="I1953" s="76"/>
      <c r="J1953" s="78">
        <f>HYPERLINK("#Структура!E2758",Структура!E2758)</f>
        <v>1.4E-2</v>
      </c>
      <c r="K1953" s="114" t="str">
        <f>HYPERLINK("#Структура!G2758","")</f>
        <v/>
      </c>
      <c r="L1953" s="120">
        <f>HYPERLINK("#Покупные_изделия!D303",Покупные_изделия!D303)</f>
        <v>160</v>
      </c>
      <c r="M1953" s="76">
        <f>J1953*L1953</f>
        <v>2.2400000000000002</v>
      </c>
      <c r="N1953" s="77"/>
      <c r="O1953" s="77"/>
      <c r="P1953" s="76"/>
      <c r="Q1953" s="76"/>
    </row>
    <row r="1954" spans="5:17" hidden="1" outlineLevel="4" collapsed="1" x14ac:dyDescent="0.25">
      <c r="F1954" s="84" t="s">
        <v>1403</v>
      </c>
      <c r="G1954" s="79"/>
      <c r="H1954" s="80"/>
      <c r="I1954" s="81"/>
      <c r="J1954" s="83">
        <f>HYPERLINK("#Структура!E2749",Структура!E2749)</f>
        <v>2</v>
      </c>
      <c r="K1954" s="115">
        <f>HYPERLINK("#Структура!G2749",Структура!G2749)</f>
        <v>7.8899999999999994E-3</v>
      </c>
      <c r="L1954" s="81">
        <f>M1954/J1954</f>
        <v>6.3000000000000007</v>
      </c>
      <c r="M1954" s="81">
        <f>SUMIF(G1955,"*",M1955)*J1954</f>
        <v>12.600000000000001</v>
      </c>
      <c r="N1954" s="124">
        <f>HYPERLINK("#Трудозатраты!B693",Трудозатраты!B693+SUMIF(G1955,"*",O1955))</f>
        <v>6.6</v>
      </c>
      <c r="O1954" s="82">
        <f>N1954*J1954</f>
        <v>13.2</v>
      </c>
      <c r="P1954" s="81">
        <f>O1954/60*(1+запас_труд)*стоимость_трудочаса</f>
        <v>517</v>
      </c>
      <c r="Q1954" s="129">
        <f>M1954*(1+наценка_покупное)+P1954</f>
        <v>532.12</v>
      </c>
    </row>
    <row r="1955" spans="5:17" hidden="1" outlineLevel="5" x14ac:dyDescent="0.25">
      <c r="G1955" s="74" t="s">
        <v>81</v>
      </c>
      <c r="H1955" s="75"/>
      <c r="I1955" s="76"/>
      <c r="J1955" s="78">
        <f>HYPERLINK("#Структура!E2759",Структура!E2759)</f>
        <v>2.1000000000000001E-2</v>
      </c>
      <c r="K1955" s="114" t="str">
        <f>HYPERLINK("#Структура!G2759","")</f>
        <v/>
      </c>
      <c r="L1955" s="120">
        <f>HYPERLINK("#Покупные_изделия!D250",Покупные_изделия!D250)</f>
        <v>300</v>
      </c>
      <c r="M1955" s="76">
        <f>J1955*L1955</f>
        <v>6.3000000000000007</v>
      </c>
      <c r="N1955" s="77"/>
      <c r="O1955" s="77"/>
      <c r="P1955" s="76"/>
      <c r="Q1955" s="76"/>
    </row>
    <row r="1956" spans="5:17" hidden="1" outlineLevel="4" collapsed="1" x14ac:dyDescent="0.25">
      <c r="F1956" s="84" t="s">
        <v>1404</v>
      </c>
      <c r="G1956" s="79"/>
      <c r="H1956" s="80"/>
      <c r="I1956" s="81"/>
      <c r="J1956" s="83">
        <f>HYPERLINK("#Структура!E2750",Структура!E2750)</f>
        <v>1</v>
      </c>
      <c r="K1956" s="115">
        <f>HYPERLINK("#Структура!G2750",Структура!G2750)</f>
        <v>5.1569999999999998E-2</v>
      </c>
      <c r="L1956" s="81">
        <f>M1956/J1956</f>
        <v>37.230335999999994</v>
      </c>
      <c r="M1956" s="81">
        <f>SUMIF(G1957,"*",M1957)*J1956</f>
        <v>37.230335999999994</v>
      </c>
      <c r="N1956" s="124">
        <f>HYPERLINK("#Трудозатраты!B694",Трудозатраты!B694+SUMIF(G1957,"*",O1957))</f>
        <v>0.5</v>
      </c>
      <c r="O1956" s="82">
        <f>N1956*J1956</f>
        <v>0.5</v>
      </c>
      <c r="P1956" s="81">
        <f>O1956/60*(1+запас_труд)*стоимость_трудочаса</f>
        <v>19.583333333333332</v>
      </c>
      <c r="Q1956" s="129">
        <f>M1956*(1+наценка_покупное)+P1956</f>
        <v>64.259736533333324</v>
      </c>
    </row>
    <row r="1957" spans="5:17" hidden="1" outlineLevel="5" x14ac:dyDescent="0.25">
      <c r="G1957" s="74" t="s">
        <v>151</v>
      </c>
      <c r="H1957" s="75"/>
      <c r="I1957" s="76"/>
      <c r="J1957" s="78">
        <f>HYPERLINK("#Структура!E2760",Структура!E2760)</f>
        <v>5.1999999999999998E-2</v>
      </c>
      <c r="K1957" s="114" t="str">
        <f>HYPERLINK("#Структура!G2760","")</f>
        <v/>
      </c>
      <c r="L1957" s="120">
        <f>HYPERLINK("#Покупные_изделия!D419",Покупные_изделия!D419)</f>
        <v>715.96799999999996</v>
      </c>
      <c r="M1957" s="76">
        <f t="shared" ref="M1957:M1971" si="75">J1957*L1957</f>
        <v>37.230335999999994</v>
      </c>
      <c r="N1957" s="77"/>
      <c r="O1957" s="77"/>
      <c r="P1957" s="76"/>
      <c r="Q1957" s="76"/>
    </row>
    <row r="1958" spans="5:17" hidden="1" outlineLevel="4" x14ac:dyDescent="0.25">
      <c r="F1958" s="74" t="s">
        <v>1405</v>
      </c>
      <c r="G1958" s="74"/>
      <c r="H1958" s="75"/>
      <c r="I1958" s="76"/>
      <c r="J1958" s="78">
        <f>HYPERLINK("#Структура!E2751",Структура!E2751)</f>
        <v>4</v>
      </c>
      <c r="K1958" s="114">
        <f>HYPERLINK("#Структура!G2751",Структура!G2751)</f>
        <v>1.06E-3</v>
      </c>
      <c r="L1958" s="120">
        <f>HYPERLINK("#Покупные_изделия!D162",Покупные_изделия!D162)</f>
        <v>5.5</v>
      </c>
      <c r="M1958" s="76">
        <f t="shared" si="75"/>
        <v>22</v>
      </c>
      <c r="N1958" s="77"/>
      <c r="O1958" s="77"/>
      <c r="P1958" s="76"/>
      <c r="Q1958" s="76"/>
    </row>
    <row r="1959" spans="5:17" hidden="1" outlineLevel="4" x14ac:dyDescent="0.25">
      <c r="F1959" s="74" t="s">
        <v>1406</v>
      </c>
      <c r="G1959" s="74"/>
      <c r="H1959" s="75"/>
      <c r="I1959" s="76"/>
      <c r="J1959" s="78">
        <f>HYPERLINK("#Структура!E2752",Структура!E2752)</f>
        <v>2</v>
      </c>
      <c r="K1959" s="114">
        <f>HYPERLINK("#Структура!G2752",Структура!G2752)</f>
        <v>8.9800000000000001E-3</v>
      </c>
      <c r="L1959" s="120">
        <f>HYPERLINK("#Покупные_изделия!D101",Покупные_изделия!D101)</f>
        <v>2.9700000000000006</v>
      </c>
      <c r="M1959" s="76">
        <f t="shared" si="75"/>
        <v>5.9400000000000013</v>
      </c>
      <c r="N1959" s="77"/>
      <c r="O1959" s="77"/>
      <c r="P1959" s="76"/>
      <c r="Q1959" s="76"/>
    </row>
    <row r="1960" spans="5:17" hidden="1" outlineLevel="4" x14ac:dyDescent="0.25">
      <c r="F1960" s="74" t="s">
        <v>1407</v>
      </c>
      <c r="G1960" s="74"/>
      <c r="H1960" s="75"/>
      <c r="I1960" s="76"/>
      <c r="J1960" s="78">
        <f>HYPERLINK("#Структура!E2753",Структура!E2753)</f>
        <v>4</v>
      </c>
      <c r="K1960" s="114">
        <f>HYPERLINK("#Структура!G2753",Структура!G2753)</f>
        <v>2.0699999999999998E-3</v>
      </c>
      <c r="L1960" s="120">
        <f>HYPERLINK("#Покупные_изделия!D119",Покупные_изделия!D119)</f>
        <v>1.2804</v>
      </c>
      <c r="M1960" s="76">
        <f t="shared" si="75"/>
        <v>5.1215999999999999</v>
      </c>
      <c r="N1960" s="77"/>
      <c r="O1960" s="77"/>
      <c r="P1960" s="76"/>
      <c r="Q1960" s="76"/>
    </row>
    <row r="1961" spans="5:17" hidden="1" outlineLevel="4" x14ac:dyDescent="0.25">
      <c r="F1961" s="74" t="s">
        <v>1408</v>
      </c>
      <c r="G1961" s="74"/>
      <c r="H1961" s="75"/>
      <c r="I1961" s="76"/>
      <c r="J1961" s="78">
        <f>HYPERLINK("#Структура!E2754",Структура!E2754)</f>
        <v>2</v>
      </c>
      <c r="K1961" s="114">
        <f>HYPERLINK("#Структура!G2754",Структура!G2754)</f>
        <v>2.5699999999999998E-3</v>
      </c>
      <c r="L1961" s="120">
        <f>HYPERLINK("#Покупные_изделия!D189",Покупные_изделия!D189)</f>
        <v>1.2012000000000003</v>
      </c>
      <c r="M1961" s="76">
        <f t="shared" si="75"/>
        <v>2.4024000000000005</v>
      </c>
      <c r="N1961" s="77"/>
      <c r="O1961" s="77"/>
      <c r="P1961" s="76"/>
      <c r="Q1961" s="76"/>
    </row>
    <row r="1962" spans="5:17" hidden="1" outlineLevel="4" x14ac:dyDescent="0.25">
      <c r="F1962" s="74" t="s">
        <v>1409</v>
      </c>
      <c r="G1962" s="74"/>
      <c r="H1962" s="75"/>
      <c r="I1962" s="76"/>
      <c r="J1962" s="78">
        <f>HYPERLINK("#Структура!E2755",Структура!E2755)</f>
        <v>4</v>
      </c>
      <c r="K1962" s="114">
        <f>HYPERLINK("#Структура!G2755",Структура!G2755)</f>
        <v>4.0000000000000003E-5</v>
      </c>
      <c r="L1962" s="120">
        <f>HYPERLINK("#Покупные_изделия!D526",Покупные_изделия!D526)</f>
        <v>4.620000000000001</v>
      </c>
      <c r="M1962" s="76">
        <f t="shared" si="75"/>
        <v>18.480000000000004</v>
      </c>
      <c r="N1962" s="77"/>
      <c r="O1962" s="77"/>
      <c r="P1962" s="76"/>
      <c r="Q1962" s="76"/>
    </row>
    <row r="1963" spans="5:17" hidden="1" outlineLevel="4" x14ac:dyDescent="0.25">
      <c r="F1963" s="74" t="s">
        <v>1410</v>
      </c>
      <c r="G1963" s="74"/>
      <c r="H1963" s="75"/>
      <c r="I1963" s="76"/>
      <c r="J1963" s="78">
        <f>HYPERLINK("#Структура!E2756",Структура!E2756)</f>
        <v>2</v>
      </c>
      <c r="K1963" s="114">
        <f>HYPERLINK("#Структура!G2756",Структура!G2756)</f>
        <v>3.8000000000000002E-4</v>
      </c>
      <c r="L1963" s="120">
        <f>HYPERLINK("#Покупные_изделия!D529",Покупные_изделия!D529)</f>
        <v>0.96048000000000022</v>
      </c>
      <c r="M1963" s="76">
        <f t="shared" si="75"/>
        <v>1.9209600000000004</v>
      </c>
      <c r="N1963" s="77"/>
      <c r="O1963" s="77"/>
      <c r="P1963" s="76"/>
      <c r="Q1963" s="76"/>
    </row>
    <row r="1964" spans="5:17" hidden="1" outlineLevel="4" x14ac:dyDescent="0.25">
      <c r="F1964" s="74" t="s">
        <v>1411</v>
      </c>
      <c r="G1964" s="74"/>
      <c r="H1964" s="75"/>
      <c r="I1964" s="76"/>
      <c r="J1964" s="78">
        <f>HYPERLINK("#Структура!E2757",Структура!E2757)</f>
        <v>4</v>
      </c>
      <c r="K1964" s="114">
        <f>HYPERLINK("#Структура!G2757",Структура!G2757)</f>
        <v>9.8999999999999999E-4</v>
      </c>
      <c r="L1964" s="120">
        <f>HYPERLINK("#Покупные_изделия!D546",Покупные_изделия!D546)</f>
        <v>1.1000000000000001</v>
      </c>
      <c r="M1964" s="76">
        <f t="shared" si="75"/>
        <v>4.4000000000000004</v>
      </c>
      <c r="N1964" s="77"/>
      <c r="O1964" s="77"/>
      <c r="P1964" s="76"/>
      <c r="Q1964" s="76"/>
    </row>
    <row r="1965" spans="5:17" hidden="1" outlineLevel="3" x14ac:dyDescent="0.25">
      <c r="E1965" s="74" t="s">
        <v>1010</v>
      </c>
      <c r="F1965" s="74"/>
      <c r="G1965" s="74"/>
      <c r="H1965" s="75"/>
      <c r="I1965" s="76"/>
      <c r="J1965" s="78">
        <f>HYPERLINK("#Структура!E2676",Структура!E2676)</f>
        <v>1</v>
      </c>
      <c r="K1965" s="114">
        <f>HYPERLINK("#Структура!G2676",Структура!G2676)</f>
        <v>1.2199999999999999E-3</v>
      </c>
      <c r="L1965" s="120">
        <f>HYPERLINK("#Покупные_изделия!D117",Покупные_изделия!D117)</f>
        <v>4.5599999999999996</v>
      </c>
      <c r="M1965" s="76">
        <f t="shared" si="75"/>
        <v>4.5599999999999996</v>
      </c>
      <c r="N1965" s="77"/>
      <c r="O1965" s="77"/>
      <c r="P1965" s="76"/>
      <c r="Q1965" s="76"/>
    </row>
    <row r="1966" spans="5:17" hidden="1" outlineLevel="3" x14ac:dyDescent="0.25">
      <c r="E1966" s="74" t="s">
        <v>1381</v>
      </c>
      <c r="F1966" s="74"/>
      <c r="G1966" s="74"/>
      <c r="H1966" s="75"/>
      <c r="I1966" s="76"/>
      <c r="J1966" s="78">
        <f>HYPERLINK("#Структура!E2677",Структура!E2677)</f>
        <v>1</v>
      </c>
      <c r="K1966" s="114">
        <f>HYPERLINK("#Структура!G2677",Структура!G2677)</f>
        <v>8.8999999999999995E-4</v>
      </c>
      <c r="L1966" s="120">
        <f>HYPERLINK("#Покупные_изделия!D535",Покупные_изделия!D535)</f>
        <v>1.1000000000000001</v>
      </c>
      <c r="M1966" s="76">
        <f t="shared" si="75"/>
        <v>1.1000000000000001</v>
      </c>
      <c r="N1966" s="77"/>
      <c r="O1966" s="77"/>
      <c r="P1966" s="76"/>
      <c r="Q1966" s="76"/>
    </row>
    <row r="1967" spans="5:17" hidden="1" outlineLevel="3" x14ac:dyDescent="0.25">
      <c r="E1967" s="74" t="s">
        <v>62</v>
      </c>
      <c r="F1967" s="74"/>
      <c r="G1967" s="74"/>
      <c r="H1967" s="75"/>
      <c r="I1967" s="76"/>
      <c r="J1967" s="78">
        <f>HYPERLINK("#Структура!E2678",Структура!E2678)</f>
        <v>0.3</v>
      </c>
      <c r="K1967" s="114" t="str">
        <f>HYPERLINK("#Структура!G2678","")</f>
        <v/>
      </c>
      <c r="L1967" s="120">
        <f>HYPERLINK("#Покупные_изделия!D194",Покупные_изделия!D194)</f>
        <v>333.22800000000001</v>
      </c>
      <c r="M1967" s="76">
        <f t="shared" si="75"/>
        <v>99.968400000000003</v>
      </c>
      <c r="N1967" s="77"/>
      <c r="O1967" s="77"/>
      <c r="P1967" s="76"/>
      <c r="Q1967" s="76"/>
    </row>
    <row r="1968" spans="5:17" hidden="1" outlineLevel="3" x14ac:dyDescent="0.25">
      <c r="E1968" s="74" t="s">
        <v>65</v>
      </c>
      <c r="F1968" s="74"/>
      <c r="G1968" s="74"/>
      <c r="H1968" s="75"/>
      <c r="I1968" s="76"/>
      <c r="J1968" s="78">
        <f>HYPERLINK("#Структура!E2679",Структура!E2679)</f>
        <v>0.17100000000000001</v>
      </c>
      <c r="K1968" s="114" t="str">
        <f>HYPERLINK("#Структура!G2679","")</f>
        <v/>
      </c>
      <c r="L1968" s="120">
        <f>HYPERLINK("#Покупные_изделия!D197",Покупные_изделия!D197)</f>
        <v>264.50399999999996</v>
      </c>
      <c r="M1968" s="76">
        <f t="shared" si="75"/>
        <v>45.230183999999994</v>
      </c>
      <c r="N1968" s="77"/>
      <c r="O1968" s="77"/>
      <c r="P1968" s="76"/>
      <c r="Q1968" s="76"/>
    </row>
    <row r="1969" spans="4:17" hidden="1" outlineLevel="3" x14ac:dyDescent="0.25">
      <c r="E1969" s="74" t="s">
        <v>155</v>
      </c>
      <c r="F1969" s="74"/>
      <c r="G1969" s="74"/>
      <c r="H1969" s="75"/>
      <c r="I1969" s="76"/>
      <c r="J1969" s="78">
        <f>HYPERLINK("#Структура!E2680",Структура!E2680)</f>
        <v>5.0999999999999997E-2</v>
      </c>
      <c r="K1969" s="114" t="str">
        <f>HYPERLINK("#Структура!G2680","")</f>
        <v/>
      </c>
      <c r="L1969" s="120">
        <f>HYPERLINK("#Покупные_изделия!D423",Покупные_изделия!D423)</f>
        <v>218.28</v>
      </c>
      <c r="M1969" s="76">
        <f t="shared" si="75"/>
        <v>11.13228</v>
      </c>
      <c r="N1969" s="77"/>
      <c r="O1969" s="77"/>
      <c r="P1969" s="76"/>
      <c r="Q1969" s="76"/>
    </row>
    <row r="1970" spans="4:17" hidden="1" outlineLevel="3" x14ac:dyDescent="0.25">
      <c r="E1970" s="74" t="s">
        <v>156</v>
      </c>
      <c r="F1970" s="74"/>
      <c r="G1970" s="74"/>
      <c r="H1970" s="75"/>
      <c r="I1970" s="76"/>
      <c r="J1970" s="78">
        <f>HYPERLINK("#Структура!E2681",Структура!E2681)</f>
        <v>0.157</v>
      </c>
      <c r="K1970" s="114" t="str">
        <f>HYPERLINK("#Структура!G2681","")</f>
        <v/>
      </c>
      <c r="L1970" s="120">
        <f>HYPERLINK("#Покупные_изделия!D427",Покупные_изделия!D427)</f>
        <v>155.53200000000001</v>
      </c>
      <c r="M1970" s="76">
        <f t="shared" si="75"/>
        <v>24.418524000000001</v>
      </c>
      <c r="N1970" s="77"/>
      <c r="O1970" s="77"/>
      <c r="P1970" s="76"/>
      <c r="Q1970" s="76"/>
    </row>
    <row r="1971" spans="4:17" hidden="1" outlineLevel="3" x14ac:dyDescent="0.25">
      <c r="E1971" s="74" t="s">
        <v>215</v>
      </c>
      <c r="F1971" s="74"/>
      <c r="G1971" s="74"/>
      <c r="H1971" s="75"/>
      <c r="I1971" s="76"/>
      <c r="J1971" s="78">
        <f>HYPERLINK("#Структура!E2682",Структура!E2682)</f>
        <v>0.34799999999999998</v>
      </c>
      <c r="K1971" s="114" t="str">
        <f>HYPERLINK("#Структура!G2682","")</f>
        <v/>
      </c>
      <c r="L1971" s="120">
        <f>HYPERLINK("#Покупные_изделия!D567",Покупные_изделия!D567)</f>
        <v>405.74399999999997</v>
      </c>
      <c r="M1971" s="76">
        <f t="shared" si="75"/>
        <v>141.19891199999998</v>
      </c>
      <c r="N1971" s="77"/>
      <c r="O1971" s="77"/>
      <c r="P1971" s="76"/>
      <c r="Q1971" s="76"/>
    </row>
    <row r="1972" spans="4:17" hidden="1" outlineLevel="2" collapsed="1" x14ac:dyDescent="0.25">
      <c r="D1972" s="84" t="s">
        <v>1174</v>
      </c>
      <c r="E1972" s="79"/>
      <c r="F1972" s="79"/>
      <c r="G1972" s="79"/>
      <c r="H1972" s="80"/>
      <c r="I1972" s="81"/>
      <c r="J1972" s="83">
        <f>HYPERLINK("#Структура!E1830",Структура!E1830)</f>
        <v>2</v>
      </c>
      <c r="K1972" s="115">
        <f>HYPERLINK("#Структура!G1830",Структура!G1830)</f>
        <v>7.6410000000000006E-2</v>
      </c>
      <c r="L1972" s="81">
        <f>M1972/J1972</f>
        <v>186.70466400000001</v>
      </c>
      <c r="M1972" s="81">
        <f>SUMIF(E1973,"*",M1973)*J1972</f>
        <v>373.40932800000002</v>
      </c>
      <c r="N1972" s="124">
        <f>HYPERLINK("#Трудозатраты!B481",Трудозатраты!B481+SUMIF(E1973,"*",O1973))</f>
        <v>21.35</v>
      </c>
      <c r="O1972" s="82">
        <f>N1972*J1972</f>
        <v>42.7</v>
      </c>
      <c r="P1972" s="81">
        <f>O1972/60*(1+запас_труд)*стоимость_трудочаса</f>
        <v>1672.4166666666667</v>
      </c>
      <c r="Q1972" s="129">
        <f>M1972*(1+наценка_покупное)+P1972</f>
        <v>2120.5078602666667</v>
      </c>
    </row>
    <row r="1973" spans="4:17" hidden="1" outlineLevel="3" x14ac:dyDescent="0.25">
      <c r="E1973" s="74" t="s">
        <v>152</v>
      </c>
      <c r="F1973" s="74"/>
      <c r="G1973" s="74"/>
      <c r="H1973" s="75"/>
      <c r="I1973" s="76"/>
      <c r="J1973" s="78">
        <f>HYPERLINK("#Структура!E1766",Структура!E1766)</f>
        <v>0.16700000000000001</v>
      </c>
      <c r="K1973" s="114" t="str">
        <f>HYPERLINK("#Структура!G1766","")</f>
        <v/>
      </c>
      <c r="L1973" s="120">
        <f>HYPERLINK("#Покупные_изделия!D420",Покупные_изделия!D420)</f>
        <v>1117.992</v>
      </c>
      <c r="M1973" s="76">
        <f>J1973*L1973</f>
        <v>186.70466400000001</v>
      </c>
      <c r="N1973" s="77"/>
      <c r="O1973" s="77"/>
      <c r="P1973" s="76"/>
      <c r="Q1973" s="76"/>
    </row>
    <row r="1974" spans="4:17" hidden="1" outlineLevel="2" collapsed="1" x14ac:dyDescent="0.25">
      <c r="D1974" s="84" t="s">
        <v>615</v>
      </c>
      <c r="E1974" s="79"/>
      <c r="F1974" s="79"/>
      <c r="G1974" s="79"/>
      <c r="H1974" s="80"/>
      <c r="I1974" s="81"/>
      <c r="J1974" s="83">
        <f>HYPERLINK("#Структура!E1831",Структура!E1831)</f>
        <v>1</v>
      </c>
      <c r="K1974" s="115">
        <f>HYPERLINK("#Структура!G1831",Структура!G1831)</f>
        <v>0.32214999999999999</v>
      </c>
      <c r="L1974" s="81">
        <f>M1974/J1974</f>
        <v>63.720794400000003</v>
      </c>
      <c r="M1974" s="81">
        <f>SUMIF(E1975:E1979,"*",M1975:M1979)*J1974</f>
        <v>63.720794400000003</v>
      </c>
      <c r="N1974" s="124">
        <f>HYPERLINK("#Трудозатраты!B482",Трудозатраты!B482+SUMIF(E1975:E1979,"*",O1975:O1979))</f>
        <v>3</v>
      </c>
      <c r="O1974" s="82">
        <f>N1974*J1974</f>
        <v>3</v>
      </c>
      <c r="P1974" s="81">
        <f>O1974/60*(1+запас_труд)*стоимость_трудочаса</f>
        <v>117.5</v>
      </c>
      <c r="Q1974" s="129">
        <f>M1974*(1+наценка_покупное)+P1974</f>
        <v>193.96495328</v>
      </c>
    </row>
    <row r="1975" spans="4:17" hidden="1" outlineLevel="3" x14ac:dyDescent="0.25">
      <c r="E1975" s="74" t="s">
        <v>44</v>
      </c>
      <c r="F1975" s="74"/>
      <c r="G1975" s="74"/>
      <c r="H1975" s="75"/>
      <c r="I1975" s="76"/>
      <c r="J1975" s="78">
        <f>HYPERLINK("#Структура!E1767",Структура!E1767)</f>
        <v>8.0000000000000002E-3</v>
      </c>
      <c r="K1975" s="114" t="str">
        <f>HYPERLINK("#Структура!G1767","")</f>
        <v/>
      </c>
      <c r="L1975" s="120">
        <f>HYPERLINK("#Покупные_изделия!D63",Покупные_изделия!D63)</f>
        <v>396.00000000000006</v>
      </c>
      <c r="M1975" s="76">
        <f>J1975*L1975</f>
        <v>3.1680000000000006</v>
      </c>
      <c r="N1975" s="77"/>
      <c r="O1975" s="77"/>
      <c r="P1975" s="76"/>
      <c r="Q1975" s="76"/>
    </row>
    <row r="1976" spans="4:17" hidden="1" outlineLevel="3" x14ac:dyDescent="0.25">
      <c r="E1976" s="74" t="s">
        <v>118</v>
      </c>
      <c r="F1976" s="74"/>
      <c r="G1976" s="74"/>
      <c r="H1976" s="75"/>
      <c r="I1976" s="76"/>
      <c r="J1976" s="78">
        <f>HYPERLINK("#Структура!E1768",Структура!E1768)</f>
        <v>0.47599999999999998</v>
      </c>
      <c r="K1976" s="114" t="str">
        <f>HYPERLINK("#Структура!G1768","")</f>
        <v/>
      </c>
      <c r="L1976" s="120">
        <f>HYPERLINK("#Покупные_изделия!D293",Покупные_изделия!D293)</f>
        <v>120</v>
      </c>
      <c r="M1976" s="76">
        <f>J1976*L1976</f>
        <v>57.12</v>
      </c>
      <c r="N1976" s="77"/>
      <c r="O1976" s="77"/>
      <c r="P1976" s="76"/>
      <c r="Q1976" s="76"/>
    </row>
    <row r="1977" spans="4:17" hidden="1" outlineLevel="3" x14ac:dyDescent="0.25">
      <c r="E1977" s="74" t="s">
        <v>139</v>
      </c>
      <c r="F1977" s="74"/>
      <c r="G1977" s="74"/>
      <c r="H1977" s="75"/>
      <c r="I1977" s="76"/>
      <c r="J1977" s="78">
        <f>HYPERLINK("#Структура!E1769",Структура!E1769)</f>
        <v>2E-3</v>
      </c>
      <c r="K1977" s="114" t="str">
        <f>HYPERLINK("#Структура!G1769","")</f>
        <v/>
      </c>
      <c r="L1977" s="120">
        <f>HYPERLINK("#Покупные_изделия!D360",Покупные_изделия!D360)</f>
        <v>171.87720000000002</v>
      </c>
      <c r="M1977" s="76">
        <f>J1977*L1977</f>
        <v>0.34375440000000002</v>
      </c>
      <c r="N1977" s="77"/>
      <c r="O1977" s="77"/>
      <c r="P1977" s="76"/>
      <c r="Q1977" s="76"/>
    </row>
    <row r="1978" spans="4:17" hidden="1" outlineLevel="3" x14ac:dyDescent="0.25">
      <c r="E1978" s="74" t="s">
        <v>156</v>
      </c>
      <c r="F1978" s="74"/>
      <c r="G1978" s="74"/>
      <c r="H1978" s="75"/>
      <c r="I1978" s="76"/>
      <c r="J1978" s="78">
        <f>HYPERLINK("#Структура!E1770",Структура!E1770)</f>
        <v>2E-3</v>
      </c>
      <c r="K1978" s="114" t="str">
        <f>HYPERLINK("#Структура!G1770","")</f>
        <v/>
      </c>
      <c r="L1978" s="120">
        <f>HYPERLINK("#Покупные_изделия!D427",Покупные_изделия!D427)</f>
        <v>155.53200000000001</v>
      </c>
      <c r="M1978" s="76">
        <f>J1978*L1978</f>
        <v>0.31106400000000001</v>
      </c>
      <c r="N1978" s="77"/>
      <c r="O1978" s="77"/>
      <c r="P1978" s="76"/>
      <c r="Q1978" s="76"/>
    </row>
    <row r="1979" spans="4:17" hidden="1" outlineLevel="3" x14ac:dyDescent="0.25">
      <c r="E1979" s="74" t="s">
        <v>202</v>
      </c>
      <c r="F1979" s="74"/>
      <c r="G1979" s="74"/>
      <c r="H1979" s="75"/>
      <c r="I1979" s="76"/>
      <c r="J1979" s="78">
        <f>HYPERLINK("#Структура!E1771",Структура!E1771)</f>
        <v>6.0000000000000001E-3</v>
      </c>
      <c r="K1979" s="114" t="str">
        <f>HYPERLINK("#Структура!G1771","")</f>
        <v/>
      </c>
      <c r="L1979" s="120">
        <f>HYPERLINK("#Покупные_изделия!D521",Покупные_изделия!D521)</f>
        <v>462.99599999999998</v>
      </c>
      <c r="M1979" s="76">
        <f>J1979*L1979</f>
        <v>2.7779759999999998</v>
      </c>
      <c r="N1979" s="77"/>
      <c r="O1979" s="77"/>
      <c r="P1979" s="76"/>
      <c r="Q1979" s="76"/>
    </row>
    <row r="1980" spans="4:17" hidden="1" outlineLevel="2" collapsed="1" x14ac:dyDescent="0.25">
      <c r="D1980" s="84" t="s">
        <v>616</v>
      </c>
      <c r="E1980" s="79"/>
      <c r="F1980" s="79"/>
      <c r="G1980" s="79"/>
      <c r="H1980" s="80"/>
      <c r="I1980" s="81"/>
      <c r="J1980" s="83">
        <f>HYPERLINK("#Структура!E1832",Структура!E1832)</f>
        <v>1</v>
      </c>
      <c r="K1980" s="115">
        <f>HYPERLINK("#Структура!G1832",Структура!G1832)</f>
        <v>6.9110000000000005E-2</v>
      </c>
      <c r="L1980" s="81">
        <f>M1980/J1980</f>
        <v>9.9824052000000023</v>
      </c>
      <c r="M1980" s="81">
        <f>SUMIF(E1981:E1985,"*",M1981:M1985)*J1980</f>
        <v>9.9824052000000023</v>
      </c>
      <c r="N1980" s="124">
        <f>HYPERLINK("#Трудозатраты!B483",Трудозатраты!B483+SUMIF(E1981:E1985,"*",O1981:O1985))</f>
        <v>10.3</v>
      </c>
      <c r="O1980" s="82">
        <f>N1980*J1980</f>
        <v>10.3</v>
      </c>
      <c r="P1980" s="81">
        <f>O1980/60*(1+запас_труд)*стоимость_трудочаса</f>
        <v>403.41666666666674</v>
      </c>
      <c r="Q1980" s="129">
        <f>M1980*(1+наценка_покупное)+P1980</f>
        <v>415.39555290666675</v>
      </c>
    </row>
    <row r="1981" spans="4:17" hidden="1" outlineLevel="3" x14ac:dyDescent="0.25">
      <c r="E1981" s="74" t="s">
        <v>44</v>
      </c>
      <c r="F1981" s="74"/>
      <c r="G1981" s="74"/>
      <c r="H1981" s="75"/>
      <c r="I1981" s="76"/>
      <c r="J1981" s="78">
        <f>HYPERLINK("#Структура!E1772",Структура!E1772)</f>
        <v>2E-3</v>
      </c>
      <c r="K1981" s="114" t="str">
        <f>HYPERLINK("#Структура!G1772","")</f>
        <v/>
      </c>
      <c r="L1981" s="120">
        <f>HYPERLINK("#Покупные_изделия!D63",Покупные_изделия!D63)</f>
        <v>396.00000000000006</v>
      </c>
      <c r="M1981" s="76">
        <f t="shared" ref="M1981:M1986" si="76">J1981*L1981</f>
        <v>0.79200000000000015</v>
      </c>
      <c r="N1981" s="77"/>
      <c r="O1981" s="77"/>
      <c r="P1981" s="76"/>
      <c r="Q1981" s="76"/>
    </row>
    <row r="1982" spans="4:17" hidden="1" outlineLevel="3" x14ac:dyDescent="0.25">
      <c r="E1982" s="74" t="s">
        <v>1175</v>
      </c>
      <c r="F1982" s="74"/>
      <c r="G1982" s="74"/>
      <c r="H1982" s="75"/>
      <c r="I1982" s="76"/>
      <c r="J1982" s="78">
        <f>HYPERLINK("#Структура!E1773",Структура!E1773)</f>
        <v>8.4000000000000005E-2</v>
      </c>
      <c r="K1982" s="114" t="str">
        <f>HYPERLINK("#Структура!G1773","")</f>
        <v/>
      </c>
      <c r="L1982" s="120">
        <f>HYPERLINK("#Покупные_изделия!D275",Покупные_изделия!D275)</f>
        <v>100</v>
      </c>
      <c r="M1982" s="76">
        <f t="shared" si="76"/>
        <v>8.4</v>
      </c>
      <c r="N1982" s="77"/>
      <c r="O1982" s="77"/>
      <c r="P1982" s="76"/>
      <c r="Q1982" s="76"/>
    </row>
    <row r="1983" spans="4:17" hidden="1" outlineLevel="3" x14ac:dyDescent="0.25">
      <c r="E1983" s="74" t="s">
        <v>139</v>
      </c>
      <c r="F1983" s="74"/>
      <c r="G1983" s="74"/>
      <c r="H1983" s="75"/>
      <c r="I1983" s="76"/>
      <c r="J1983" s="78">
        <f>HYPERLINK("#Структура!E1774",Структура!E1774)</f>
        <v>1E-3</v>
      </c>
      <c r="K1983" s="114" t="str">
        <f>HYPERLINK("#Структура!G1774","")</f>
        <v/>
      </c>
      <c r="L1983" s="120">
        <f>HYPERLINK("#Покупные_изделия!D360",Покупные_изделия!D360)</f>
        <v>171.87720000000002</v>
      </c>
      <c r="M1983" s="76">
        <f t="shared" si="76"/>
        <v>0.17187720000000001</v>
      </c>
      <c r="N1983" s="77"/>
      <c r="O1983" s="77"/>
      <c r="P1983" s="76"/>
      <c r="Q1983" s="76"/>
    </row>
    <row r="1984" spans="4:17" hidden="1" outlineLevel="3" x14ac:dyDescent="0.25">
      <c r="E1984" s="74" t="s">
        <v>156</v>
      </c>
      <c r="F1984" s="74"/>
      <c r="G1984" s="74"/>
      <c r="H1984" s="75"/>
      <c r="I1984" s="76"/>
      <c r="J1984" s="78">
        <f>HYPERLINK("#Структура!E1775",Структура!E1775)</f>
        <v>1E-3</v>
      </c>
      <c r="K1984" s="114" t="str">
        <f>HYPERLINK("#Структура!G1775","")</f>
        <v/>
      </c>
      <c r="L1984" s="120">
        <f>HYPERLINK("#Покупные_изделия!D427",Покупные_изделия!D427)</f>
        <v>155.53200000000001</v>
      </c>
      <c r="M1984" s="76">
        <f t="shared" si="76"/>
        <v>0.155532</v>
      </c>
      <c r="N1984" s="77"/>
      <c r="O1984" s="77"/>
      <c r="P1984" s="76"/>
      <c r="Q1984" s="76"/>
    </row>
    <row r="1985" spans="3:17" hidden="1" outlineLevel="3" x14ac:dyDescent="0.25">
      <c r="E1985" s="74" t="s">
        <v>202</v>
      </c>
      <c r="F1985" s="74"/>
      <c r="G1985" s="74"/>
      <c r="H1985" s="75"/>
      <c r="I1985" s="76"/>
      <c r="J1985" s="78">
        <f>HYPERLINK("#Структура!E1776",Структура!E1776)</f>
        <v>1E-3</v>
      </c>
      <c r="K1985" s="114" t="str">
        <f>HYPERLINK("#Структура!G1776","")</f>
        <v/>
      </c>
      <c r="L1985" s="120">
        <f>HYPERLINK("#Покупные_изделия!D521",Покупные_изделия!D521)</f>
        <v>462.99599999999998</v>
      </c>
      <c r="M1985" s="76">
        <f t="shared" si="76"/>
        <v>0.46299599999999996</v>
      </c>
      <c r="N1985" s="77"/>
      <c r="O1985" s="77"/>
      <c r="P1985" s="76"/>
      <c r="Q1985" s="76"/>
    </row>
    <row r="1986" spans="3:17" hidden="1" outlineLevel="2" x14ac:dyDescent="0.25">
      <c r="D1986" s="74" t="s">
        <v>625</v>
      </c>
      <c r="E1986" s="74"/>
      <c r="F1986" s="74"/>
      <c r="G1986" s="74"/>
      <c r="H1986" s="75"/>
      <c r="I1986" s="76"/>
      <c r="J1986" s="78">
        <f>HYPERLINK("#Структура!E1833",Структура!E1833)</f>
        <v>2</v>
      </c>
      <c r="K1986" s="114">
        <f>HYPERLINK("#Структура!G1833",Структура!G1833)</f>
        <v>7.1399999999999996E-3</v>
      </c>
      <c r="L1986" s="120">
        <f>HYPERLINK("#Покупные_изделия!D168",Покупные_изделия!D168)</f>
        <v>1.9715672368421051</v>
      </c>
      <c r="M1986" s="76">
        <f t="shared" si="76"/>
        <v>3.9431344736842102</v>
      </c>
      <c r="N1986" s="77"/>
      <c r="O1986" s="77"/>
      <c r="P1986" s="76"/>
      <c r="Q1986" s="76"/>
    </row>
    <row r="1987" spans="3:17" hidden="1" outlineLevel="1" collapsed="1" x14ac:dyDescent="0.25">
      <c r="C1987" s="96" t="s">
        <v>1293</v>
      </c>
      <c r="D1987" s="91"/>
      <c r="E1987" s="91"/>
      <c r="F1987" s="91"/>
      <c r="G1987" s="91"/>
      <c r="H1987" s="92"/>
      <c r="I1987" s="93"/>
      <c r="J1987" s="95">
        <f>HYPERLINK("#Структура!E3254",Структура!E3254)</f>
        <v>1</v>
      </c>
      <c r="K1987" s="116">
        <f>HYPERLINK("#Структура!G3254",Структура!G3254)</f>
        <v>525.84067000000005</v>
      </c>
      <c r="L1987" s="93">
        <f>M1987/J1987</f>
        <v>452542.90158699843</v>
      </c>
      <c r="M1987" s="93">
        <f>SUMIF(D1988:D2646,"*",M1988:M2646)*J1987</f>
        <v>452542.90158699843</v>
      </c>
      <c r="N1987" s="125">
        <f>HYPERLINK("#Трудозатраты!B577",Трудозатраты!B577+SUMIF(D1988:D2646,"*",O1988:O2646))</f>
        <v>7290.68</v>
      </c>
      <c r="O1987" s="94">
        <f>N1987*J1987</f>
        <v>7290.68</v>
      </c>
      <c r="P1987" s="93">
        <f>O1987/60*(1+запас_труд)*стоимость_трудочаса</f>
        <v>285551.63333333336</v>
      </c>
      <c r="Q1987" s="130">
        <f>M1987*(1+наценка_покупное)+P1987</f>
        <v>828603.11523773149</v>
      </c>
    </row>
    <row r="1988" spans="3:17" hidden="1" outlineLevel="2" collapsed="1" x14ac:dyDescent="0.25">
      <c r="D1988" s="97" t="s">
        <v>1278</v>
      </c>
      <c r="E1988" s="98"/>
      <c r="F1988" s="98"/>
      <c r="G1988" s="98"/>
      <c r="H1988" s="99"/>
      <c r="I1988" s="100"/>
      <c r="J1988" s="102">
        <f>HYPERLINK("#Структура!E2205",Структура!E2205)</f>
        <v>1</v>
      </c>
      <c r="K1988" s="112">
        <f>HYPERLINK("#Структура!G2205",Структура!G2205)</f>
        <v>501.03426000000002</v>
      </c>
      <c r="L1988" s="100">
        <f>M1988/J1988</f>
        <v>131433.47138332474</v>
      </c>
      <c r="M1988" s="100">
        <f>SUMIF(E1989:E2542,"*",M1989:M2542)*J1988</f>
        <v>131433.47138332474</v>
      </c>
      <c r="N1988" s="122">
        <f>HYPERLINK("#Трудозатраты!B576",Трудозатраты!B576+SUMIF(E1989:E2542,"*",O1989:O2542))</f>
        <v>6033.8200000000006</v>
      </c>
      <c r="O1988" s="101">
        <f>N1988*J1988</f>
        <v>6033.8200000000006</v>
      </c>
      <c r="P1988" s="100">
        <f>O1988/60*(1+запас_труд)*стоимость_трудочаса</f>
        <v>236324.6166666667</v>
      </c>
      <c r="Q1988" s="127">
        <f>M1988*(1+наценка_покупное)+P1988</f>
        <v>394044.78232665639</v>
      </c>
    </row>
    <row r="1989" spans="3:17" hidden="1" outlineLevel="3" collapsed="1" x14ac:dyDescent="0.25">
      <c r="E1989" s="97" t="s">
        <v>1176</v>
      </c>
      <c r="F1989" s="98"/>
      <c r="G1989" s="98"/>
      <c r="H1989" s="99"/>
      <c r="I1989" s="100"/>
      <c r="J1989" s="102">
        <f>HYPERLINK("#Структура!E2158",Структура!E2158)</f>
        <v>1</v>
      </c>
      <c r="K1989" s="112">
        <f>HYPERLINK("#Структура!G2158",Структура!G2158)</f>
        <v>1.3748100000000001</v>
      </c>
      <c r="L1989" s="100">
        <f>M1989/J1989</f>
        <v>261.6112</v>
      </c>
      <c r="M1989" s="100">
        <f>SUMIF(F1990:F1999,"*",M1990:M1999)*J1989</f>
        <v>261.6112</v>
      </c>
      <c r="N1989" s="122">
        <f>HYPERLINK("#Трудозатраты!B499",Трудозатраты!B499+SUMIF(F1990:F1999,"*",O1990:O1999))</f>
        <v>21.3</v>
      </c>
      <c r="O1989" s="101">
        <f>N1989*J1989</f>
        <v>21.3</v>
      </c>
      <c r="P1989" s="100">
        <f>O1989/60*(1+запас_труд)*стоимость_трудочаса</f>
        <v>834.25000000000011</v>
      </c>
      <c r="Q1989" s="127">
        <f>M1989*(1+наценка_покупное)+P1989</f>
        <v>1148.18344</v>
      </c>
    </row>
    <row r="1990" spans="3:17" hidden="1" outlineLevel="4" collapsed="1" x14ac:dyDescent="0.25">
      <c r="F1990" s="85" t="s">
        <v>1205</v>
      </c>
      <c r="G1990" s="86"/>
      <c r="H1990" s="87"/>
      <c r="I1990" s="88"/>
      <c r="J1990" s="90">
        <f>HYPERLINK("#Структура!E1870",Структура!E1870)</f>
        <v>1</v>
      </c>
      <c r="K1990" s="113">
        <f>HYPERLINK("#Структура!G1870",Структура!G1870)</f>
        <v>1.3327199999999999</v>
      </c>
      <c r="L1990" s="88">
        <f>M1990/J1990</f>
        <v>250.03919999999999</v>
      </c>
      <c r="M1990" s="88">
        <f>SUMIF(G1991:G1995,"*",M1991:M1995)*J1990</f>
        <v>250.03919999999999</v>
      </c>
      <c r="N1990" s="123">
        <f>HYPERLINK("#Трудозатраты!B500",Трудозатраты!B500+SUMIF(G1991:G1995,"*",O1991:O1995))</f>
        <v>7.8</v>
      </c>
      <c r="O1990" s="89">
        <f>N1990*J1990</f>
        <v>7.8</v>
      </c>
      <c r="P1990" s="88">
        <f>O1990/60*(1+запас_труд)*стоимость_трудочаса</f>
        <v>305.5</v>
      </c>
      <c r="Q1990" s="128">
        <f>M1990*(1+наценка_покупное)+P1990</f>
        <v>605.54703999999992</v>
      </c>
    </row>
    <row r="1991" spans="3:17" hidden="1" outlineLevel="5" x14ac:dyDescent="0.25">
      <c r="G1991" s="74" t="s">
        <v>65</v>
      </c>
      <c r="H1991" s="75"/>
      <c r="I1991" s="76"/>
      <c r="J1991" s="78">
        <f>HYPERLINK("#Структура!E1874",Структура!E1874)</f>
        <v>0.02</v>
      </c>
      <c r="K1991" s="114" t="str">
        <f>HYPERLINK("#Структура!G1874","")</f>
        <v/>
      </c>
      <c r="L1991" s="120">
        <f>HYPERLINK("#Покупные_изделия!D197",Покупные_изделия!D197)</f>
        <v>264.50399999999996</v>
      </c>
      <c r="M1991" s="76">
        <f>J1991*L1991</f>
        <v>5.2900799999999997</v>
      </c>
      <c r="N1991" s="77"/>
      <c r="O1991" s="77"/>
      <c r="P1991" s="76"/>
      <c r="Q1991" s="76"/>
    </row>
    <row r="1992" spans="3:17" hidden="1" outlineLevel="5" x14ac:dyDescent="0.25">
      <c r="G1992" s="74" t="s">
        <v>113</v>
      </c>
      <c r="H1992" s="75"/>
      <c r="I1992" s="76"/>
      <c r="J1992" s="78">
        <f>HYPERLINK("#Структура!E1875",Структура!E1875)</f>
        <v>1.86</v>
      </c>
      <c r="K1992" s="114" t="str">
        <f>HYPERLINK("#Структура!G1875","")</f>
        <v/>
      </c>
      <c r="L1992" s="120">
        <f>HYPERLINK("#Покупные_изделия!D286",Покупные_изделия!D286)</f>
        <v>120</v>
      </c>
      <c r="M1992" s="76">
        <f>J1992*L1992</f>
        <v>223.20000000000002</v>
      </c>
      <c r="N1992" s="77"/>
      <c r="O1992" s="77"/>
      <c r="P1992" s="76"/>
      <c r="Q1992" s="76"/>
    </row>
    <row r="1993" spans="3:17" hidden="1" outlineLevel="5" x14ac:dyDescent="0.25">
      <c r="G1993" s="74" t="s">
        <v>155</v>
      </c>
      <c r="H1993" s="75"/>
      <c r="I1993" s="76"/>
      <c r="J1993" s="78">
        <f>HYPERLINK("#Структура!E1876",Структура!E1876)</f>
        <v>1.2E-2</v>
      </c>
      <c r="K1993" s="114" t="str">
        <f>HYPERLINK("#Структура!G1876","")</f>
        <v/>
      </c>
      <c r="L1993" s="120">
        <f>HYPERLINK("#Покупные_изделия!D423",Покупные_изделия!D423)</f>
        <v>218.28</v>
      </c>
      <c r="M1993" s="76">
        <f>J1993*L1993</f>
        <v>2.6193599999999999</v>
      </c>
      <c r="N1993" s="77"/>
      <c r="O1993" s="77"/>
      <c r="P1993" s="76"/>
      <c r="Q1993" s="76"/>
    </row>
    <row r="1994" spans="3:17" hidden="1" outlineLevel="5" x14ac:dyDescent="0.25">
      <c r="G1994" s="74" t="s">
        <v>200</v>
      </c>
      <c r="H1994" s="75"/>
      <c r="I1994" s="76"/>
      <c r="J1994" s="78">
        <f>HYPERLINK("#Структура!E1877",Структура!E1877)</f>
        <v>0.01</v>
      </c>
      <c r="K1994" s="114" t="str">
        <f>HYPERLINK("#Структура!G1877","")</f>
        <v/>
      </c>
      <c r="L1994" s="120">
        <f>HYPERLINK("#Покупные_изделия!D518",Покупные_изделия!D518)</f>
        <v>270</v>
      </c>
      <c r="M1994" s="76">
        <f>J1994*L1994</f>
        <v>2.7</v>
      </c>
      <c r="N1994" s="77"/>
      <c r="O1994" s="77"/>
      <c r="P1994" s="76"/>
      <c r="Q1994" s="76"/>
    </row>
    <row r="1995" spans="3:17" hidden="1" outlineLevel="5" x14ac:dyDescent="0.25">
      <c r="G1995" s="74" t="s">
        <v>215</v>
      </c>
      <c r="H1995" s="75"/>
      <c r="I1995" s="76"/>
      <c r="J1995" s="78">
        <f>HYPERLINK("#Структура!E1878",Структура!E1878)</f>
        <v>0.04</v>
      </c>
      <c r="K1995" s="114" t="str">
        <f>HYPERLINK("#Структура!G1878","")</f>
        <v/>
      </c>
      <c r="L1995" s="120">
        <f>HYPERLINK("#Покупные_изделия!D567",Покупные_изделия!D567)</f>
        <v>405.74399999999997</v>
      </c>
      <c r="M1995" s="76">
        <f>J1995*L1995</f>
        <v>16.229759999999999</v>
      </c>
      <c r="N1995" s="77"/>
      <c r="O1995" s="77"/>
      <c r="P1995" s="76"/>
      <c r="Q1995" s="76"/>
    </row>
    <row r="1996" spans="3:17" hidden="1" outlineLevel="4" collapsed="1" x14ac:dyDescent="0.25">
      <c r="F1996" s="84" t="s">
        <v>1206</v>
      </c>
      <c r="G1996" s="79"/>
      <c r="H1996" s="80"/>
      <c r="I1996" s="81"/>
      <c r="J1996" s="83">
        <f>HYPERLINK("#Структура!E1871",Структура!E1871)</f>
        <v>1</v>
      </c>
      <c r="K1996" s="115">
        <f>HYPERLINK("#Структура!G1871",Структура!G1871)</f>
        <v>2.3040000000000001E-2</v>
      </c>
      <c r="L1996" s="81">
        <f>M1996/J1996</f>
        <v>6.160000000000001</v>
      </c>
      <c r="M1996" s="81">
        <f>SUMIF(G1997,"*",M1997)*J1996</f>
        <v>6.160000000000001</v>
      </c>
      <c r="N1996" s="124">
        <f>HYPERLINK("#Трудозатраты!B501",Трудозатраты!B501+SUMIF(G1997,"*",O1997))</f>
        <v>3.5</v>
      </c>
      <c r="O1996" s="82">
        <f>N1996*J1996</f>
        <v>3.5</v>
      </c>
      <c r="P1996" s="81">
        <f>O1996/60*(1+запас_труд)*стоимость_трудочаса</f>
        <v>137.08333333333334</v>
      </c>
      <c r="Q1996" s="129">
        <f>M1996*(1+наценка_покупное)+P1996</f>
        <v>144.47533333333334</v>
      </c>
    </row>
    <row r="1997" spans="3:17" hidden="1" outlineLevel="5" x14ac:dyDescent="0.25">
      <c r="G1997" s="74" t="s">
        <v>142</v>
      </c>
      <c r="H1997" s="75"/>
      <c r="I1997" s="76"/>
      <c r="J1997" s="78">
        <f>HYPERLINK("#Структура!E1879",Структура!E1879)</f>
        <v>2.8000000000000001E-2</v>
      </c>
      <c r="K1997" s="114" t="str">
        <f>HYPERLINK("#Структура!G1879","")</f>
        <v/>
      </c>
      <c r="L1997" s="120">
        <f>HYPERLINK("#Покупные_изделия!D382",Покупные_изделия!D382)</f>
        <v>220.00000000000003</v>
      </c>
      <c r="M1997" s="76">
        <f>J1997*L1997</f>
        <v>6.160000000000001</v>
      </c>
      <c r="N1997" s="77"/>
      <c r="O1997" s="77"/>
      <c r="P1997" s="76"/>
      <c r="Q1997" s="76"/>
    </row>
    <row r="1998" spans="3:17" hidden="1" outlineLevel="4" x14ac:dyDescent="0.25">
      <c r="F1998" s="74" t="s">
        <v>1207</v>
      </c>
      <c r="G1998" s="74"/>
      <c r="H1998" s="75"/>
      <c r="I1998" s="76"/>
      <c r="J1998" s="78">
        <f>HYPERLINK("#Структура!E1872",Структура!E1872)</f>
        <v>2</v>
      </c>
      <c r="K1998" s="114">
        <f>HYPERLINK("#Структура!G1872",Структура!G1872)</f>
        <v>6.3E-3</v>
      </c>
      <c r="L1998" s="120">
        <f>HYPERLINK("#Покупные_изделия!D150",Покупные_изделия!D150)</f>
        <v>1.3860000000000001</v>
      </c>
      <c r="M1998" s="76">
        <f>J1998*L1998</f>
        <v>2.7720000000000002</v>
      </c>
      <c r="N1998" s="77"/>
      <c r="O1998" s="77"/>
      <c r="P1998" s="76"/>
      <c r="Q1998" s="76"/>
    </row>
    <row r="1999" spans="3:17" hidden="1" outlineLevel="4" x14ac:dyDescent="0.25">
      <c r="F1999" s="74" t="s">
        <v>169</v>
      </c>
      <c r="G1999" s="74"/>
      <c r="H1999" s="75"/>
      <c r="I1999" s="76"/>
      <c r="J1999" s="78">
        <f>HYPERLINK("#Структура!E1873",Структура!E1873)</f>
        <v>2</v>
      </c>
      <c r="K1999" s="114">
        <f>HYPERLINK("#Структура!G1873",Структура!G1873)</f>
        <v>8.8800000000000007E-3</v>
      </c>
      <c r="L1999" s="120">
        <f>HYPERLINK("#Покупные_изделия!D454",Покупные_изделия!D454)</f>
        <v>1.32</v>
      </c>
      <c r="M1999" s="76">
        <f>J1999*L1999</f>
        <v>2.64</v>
      </c>
      <c r="N1999" s="77"/>
      <c r="O1999" s="77"/>
      <c r="P1999" s="76"/>
      <c r="Q1999" s="76"/>
    </row>
    <row r="2000" spans="3:17" hidden="1" outlineLevel="3" collapsed="1" x14ac:dyDescent="0.25">
      <c r="E2000" s="96" t="s">
        <v>1183</v>
      </c>
      <c r="F2000" s="91"/>
      <c r="G2000" s="91"/>
      <c r="H2000" s="92"/>
      <c r="I2000" s="93"/>
      <c r="J2000" s="95">
        <f>HYPERLINK("#Структура!E2159",Структура!E2159)</f>
        <v>1</v>
      </c>
      <c r="K2000" s="116">
        <f>HYPERLINK("#Структура!G2159",Структура!G2159)</f>
        <v>2.0691999999999999</v>
      </c>
      <c r="L2000" s="93">
        <f>M2000/J2000</f>
        <v>352.28374039999994</v>
      </c>
      <c r="M2000" s="93">
        <f>SUMIF(F2001:F2080,"*",M2001:M2080)*J2000</f>
        <v>352.28374039999994</v>
      </c>
      <c r="N2000" s="125">
        <f>HYPERLINK("#Трудозатраты!B549",Трудозатраты!B549+SUMIF(F2001:F2080,"*",O2001:O2080))</f>
        <v>359.40000000000009</v>
      </c>
      <c r="O2000" s="94">
        <f>N2000*J2000</f>
        <v>359.40000000000009</v>
      </c>
      <c r="P2000" s="93">
        <f>O2000/60*(1+запас_труд)*стоимость_трудочаса</f>
        <v>14076.500000000002</v>
      </c>
      <c r="Q2000" s="130">
        <f>M2000*(1+наценка_покупное)+P2000</f>
        <v>14499.240488480002</v>
      </c>
    </row>
    <row r="2001" spans="6:17" hidden="1" outlineLevel="4" collapsed="1" x14ac:dyDescent="0.25">
      <c r="F2001" s="85" t="s">
        <v>1255</v>
      </c>
      <c r="G2001" s="86"/>
      <c r="H2001" s="87"/>
      <c r="I2001" s="88"/>
      <c r="J2001" s="90">
        <f>HYPERLINK("#Структура!E2046",Структура!E2046)</f>
        <v>1</v>
      </c>
      <c r="K2001" s="113">
        <f>HYPERLINK("#Структура!G2046",Структура!G2046)</f>
        <v>7.4910000000000004E-2</v>
      </c>
      <c r="L2001" s="88">
        <f>M2001/J2001</f>
        <v>13.8</v>
      </c>
      <c r="M2001" s="88">
        <f>SUMIF(G2002,"*",M2002)*J2001</f>
        <v>13.8</v>
      </c>
      <c r="N2001" s="123">
        <f>HYPERLINK("#Трудозатраты!B550",Трудозатраты!B550+SUMIF(G2002,"*",O2002))</f>
        <v>0.7</v>
      </c>
      <c r="O2001" s="89">
        <f>N2001*J2001</f>
        <v>0.7</v>
      </c>
      <c r="P2001" s="88">
        <f>O2001/60*(1+запас_труд)*стоимость_трудочаса</f>
        <v>27.416666666666664</v>
      </c>
      <c r="Q2001" s="128">
        <f>M2001*(1+наценка_покупное)+P2001</f>
        <v>43.976666666666659</v>
      </c>
    </row>
    <row r="2002" spans="6:17" hidden="1" outlineLevel="5" x14ac:dyDescent="0.25">
      <c r="G2002" s="74" t="s">
        <v>109</v>
      </c>
      <c r="H2002" s="75"/>
      <c r="I2002" s="76"/>
      <c r="J2002" s="78">
        <f>HYPERLINK("#Структура!E2069",Структура!E2069)</f>
        <v>0.115</v>
      </c>
      <c r="K2002" s="114" t="str">
        <f>HYPERLINK("#Структура!G2069","")</f>
        <v/>
      </c>
      <c r="L2002" s="120">
        <f>HYPERLINK("#Покупные_изделия!D281",Покупные_изделия!D281)</f>
        <v>120</v>
      </c>
      <c r="M2002" s="76">
        <f>J2002*L2002</f>
        <v>13.8</v>
      </c>
      <c r="N2002" s="77"/>
      <c r="O2002" s="77"/>
      <c r="P2002" s="76"/>
      <c r="Q2002" s="76"/>
    </row>
    <row r="2003" spans="6:17" hidden="1" outlineLevel="4" collapsed="1" x14ac:dyDescent="0.25">
      <c r="F2003" s="84" t="s">
        <v>1256</v>
      </c>
      <c r="G2003" s="79"/>
      <c r="H2003" s="80"/>
      <c r="I2003" s="81"/>
      <c r="J2003" s="83">
        <f>HYPERLINK("#Структура!E2047",Структура!E2047)</f>
        <v>3</v>
      </c>
      <c r="K2003" s="115">
        <f>HYPERLINK("#Структура!G2047",Структура!G2047)</f>
        <v>4.4080000000000001E-2</v>
      </c>
      <c r="L2003" s="81">
        <f>M2003/J2003</f>
        <v>5.155532</v>
      </c>
      <c r="M2003" s="81">
        <f>SUMIF(G2004:G2005,"*",M2004:M2005)*J2003</f>
        <v>15.466595999999999</v>
      </c>
      <c r="N2003" s="124">
        <f>HYPERLINK("#Трудозатраты!B551",Трудозатраты!B551+SUMIF(G2004:G2005,"*",O2004:O2005))</f>
        <v>9.8000000000000007</v>
      </c>
      <c r="O2003" s="82">
        <f>N2003*J2003</f>
        <v>29.400000000000002</v>
      </c>
      <c r="P2003" s="81">
        <f>O2003/60*(1+запас_труд)*стоимость_трудочаса</f>
        <v>1151.5</v>
      </c>
      <c r="Q2003" s="129">
        <f>M2003*(1+наценка_покупное)+P2003</f>
        <v>1170.0599152</v>
      </c>
    </row>
    <row r="2004" spans="6:17" hidden="1" outlineLevel="5" x14ac:dyDescent="0.25">
      <c r="G2004" s="74" t="s">
        <v>96</v>
      </c>
      <c r="H2004" s="75"/>
      <c r="I2004" s="76"/>
      <c r="J2004" s="78">
        <f>HYPERLINK("#Структура!E2070",Структура!E2070)</f>
        <v>0.05</v>
      </c>
      <c r="K2004" s="114" t="str">
        <f>HYPERLINK("#Структура!G2070","")</f>
        <v/>
      </c>
      <c r="L2004" s="120">
        <f>HYPERLINK("#Покупные_изделия!D265",Покупные_изделия!D265)</f>
        <v>100</v>
      </c>
      <c r="M2004" s="76">
        <f>J2004*L2004</f>
        <v>5</v>
      </c>
      <c r="N2004" s="77"/>
      <c r="O2004" s="77"/>
      <c r="P2004" s="76"/>
      <c r="Q2004" s="76"/>
    </row>
    <row r="2005" spans="6:17" hidden="1" outlineLevel="5" x14ac:dyDescent="0.25">
      <c r="G2005" s="74" t="s">
        <v>156</v>
      </c>
      <c r="H2005" s="75"/>
      <c r="I2005" s="76"/>
      <c r="J2005" s="78">
        <f>HYPERLINK("#Структура!E2071",Структура!E2071)</f>
        <v>1E-3</v>
      </c>
      <c r="K2005" s="114" t="str">
        <f>HYPERLINK("#Структура!G2071","")</f>
        <v/>
      </c>
      <c r="L2005" s="120">
        <f>HYPERLINK("#Покупные_изделия!D427",Покупные_изделия!D427)</f>
        <v>155.53200000000001</v>
      </c>
      <c r="M2005" s="76">
        <f>J2005*L2005</f>
        <v>0.155532</v>
      </c>
      <c r="N2005" s="77"/>
      <c r="O2005" s="77"/>
      <c r="P2005" s="76"/>
      <c r="Q2005" s="76"/>
    </row>
    <row r="2006" spans="6:17" hidden="1" outlineLevel="4" collapsed="1" x14ac:dyDescent="0.25">
      <c r="F2006" s="84" t="s">
        <v>1257</v>
      </c>
      <c r="G2006" s="79"/>
      <c r="H2006" s="80"/>
      <c r="I2006" s="81"/>
      <c r="J2006" s="83">
        <f>HYPERLINK("#Структура!E2048",Структура!E2048)</f>
        <v>2</v>
      </c>
      <c r="K2006" s="115">
        <f>HYPERLINK("#Структура!G2048",Структура!G2048)</f>
        <v>1.324E-2</v>
      </c>
      <c r="L2006" s="81">
        <f>M2006/J2006</f>
        <v>1.5555320000000001</v>
      </c>
      <c r="M2006" s="81">
        <f>SUMIF(G2007:G2008,"*",M2007:M2008)*J2006</f>
        <v>3.1110640000000003</v>
      </c>
      <c r="N2006" s="124">
        <f>HYPERLINK("#Трудозатраты!B552",Трудозатраты!B552+SUMIF(G2007:G2008,"*",O2007:O2008))</f>
        <v>8.8000000000000007</v>
      </c>
      <c r="O2006" s="82">
        <f>N2006*J2006</f>
        <v>17.600000000000001</v>
      </c>
      <c r="P2006" s="81">
        <f>O2006/60*(1+запас_труд)*стоимость_трудочаса</f>
        <v>689.33333333333337</v>
      </c>
      <c r="Q2006" s="129">
        <f>M2006*(1+наценка_покупное)+P2006</f>
        <v>693.06661013333337</v>
      </c>
    </row>
    <row r="2007" spans="6:17" hidden="1" outlineLevel="5" x14ac:dyDescent="0.25">
      <c r="G2007" s="74" t="s">
        <v>96</v>
      </c>
      <c r="H2007" s="75"/>
      <c r="I2007" s="76"/>
      <c r="J2007" s="78">
        <f>HYPERLINK("#Структура!E2072",Структура!E2072)</f>
        <v>1.4E-2</v>
      </c>
      <c r="K2007" s="114" t="str">
        <f>HYPERLINK("#Структура!G2072","")</f>
        <v/>
      </c>
      <c r="L2007" s="120">
        <f>HYPERLINK("#Покупные_изделия!D265",Покупные_изделия!D265)</f>
        <v>100</v>
      </c>
      <c r="M2007" s="76">
        <f>J2007*L2007</f>
        <v>1.4000000000000001</v>
      </c>
      <c r="N2007" s="77"/>
      <c r="O2007" s="77"/>
      <c r="P2007" s="76"/>
      <c r="Q2007" s="76"/>
    </row>
    <row r="2008" spans="6:17" hidden="1" outlineLevel="5" x14ac:dyDescent="0.25">
      <c r="G2008" s="74" t="s">
        <v>156</v>
      </c>
      <c r="H2008" s="75"/>
      <c r="I2008" s="76"/>
      <c r="J2008" s="78">
        <f>HYPERLINK("#Структура!E2073",Структура!E2073)</f>
        <v>1E-3</v>
      </c>
      <c r="K2008" s="114" t="str">
        <f>HYPERLINK("#Структура!G2073","")</f>
        <v/>
      </c>
      <c r="L2008" s="120">
        <f>HYPERLINK("#Покупные_изделия!D427",Покупные_изделия!D427)</f>
        <v>155.53200000000001</v>
      </c>
      <c r="M2008" s="76">
        <f>J2008*L2008</f>
        <v>0.155532</v>
      </c>
      <c r="N2008" s="77"/>
      <c r="O2008" s="77"/>
      <c r="P2008" s="76"/>
      <c r="Q2008" s="76"/>
    </row>
    <row r="2009" spans="6:17" hidden="1" outlineLevel="4" collapsed="1" x14ac:dyDescent="0.25">
      <c r="F2009" s="84" t="s">
        <v>1258</v>
      </c>
      <c r="G2009" s="79"/>
      <c r="H2009" s="80"/>
      <c r="I2009" s="81"/>
      <c r="J2009" s="83">
        <f>HYPERLINK("#Структура!E2049",Структура!E2049)</f>
        <v>1</v>
      </c>
      <c r="K2009" s="115">
        <f>HYPERLINK("#Структура!G2049",Структура!G2049)</f>
        <v>8.1750000000000003E-2</v>
      </c>
      <c r="L2009" s="81">
        <f>M2009/J2009</f>
        <v>9.1555320000000009</v>
      </c>
      <c r="M2009" s="81">
        <f>SUMIF(G2010:G2011,"*",M2010:M2011)*J2009</f>
        <v>9.1555320000000009</v>
      </c>
      <c r="N2009" s="124">
        <f>HYPERLINK("#Трудозатраты!B553",Трудозатраты!B553+SUMIF(G2010:G2011,"*",O2010:O2011))</f>
        <v>8.8000000000000007</v>
      </c>
      <c r="O2009" s="82">
        <f>N2009*J2009</f>
        <v>8.8000000000000007</v>
      </c>
      <c r="P2009" s="81">
        <f>O2009/60*(1+запас_труд)*стоимость_трудочаса</f>
        <v>344.66666666666669</v>
      </c>
      <c r="Q2009" s="129">
        <f>M2009*(1+наценка_покупное)+P2009</f>
        <v>355.65330506666669</v>
      </c>
    </row>
    <row r="2010" spans="6:17" hidden="1" outlineLevel="5" x14ac:dyDescent="0.25">
      <c r="G2010" s="74" t="s">
        <v>96</v>
      </c>
      <c r="H2010" s="75"/>
      <c r="I2010" s="76"/>
      <c r="J2010" s="78">
        <f>HYPERLINK("#Структура!E2074",Структура!E2074)</f>
        <v>0.09</v>
      </c>
      <c r="K2010" s="114" t="str">
        <f>HYPERLINK("#Структура!G2074","")</f>
        <v/>
      </c>
      <c r="L2010" s="120">
        <f>HYPERLINK("#Покупные_изделия!D265",Покупные_изделия!D265)</f>
        <v>100</v>
      </c>
      <c r="M2010" s="76">
        <f>J2010*L2010</f>
        <v>9</v>
      </c>
      <c r="N2010" s="77"/>
      <c r="O2010" s="77"/>
      <c r="P2010" s="76"/>
      <c r="Q2010" s="76"/>
    </row>
    <row r="2011" spans="6:17" hidden="1" outlineLevel="5" x14ac:dyDescent="0.25">
      <c r="G2011" s="74" t="s">
        <v>156</v>
      </c>
      <c r="H2011" s="75"/>
      <c r="I2011" s="76"/>
      <c r="J2011" s="78">
        <f>HYPERLINK("#Структура!E2075",Структура!E2075)</f>
        <v>1E-3</v>
      </c>
      <c r="K2011" s="114" t="str">
        <f>HYPERLINK("#Структура!G2075","")</f>
        <v/>
      </c>
      <c r="L2011" s="120">
        <f>HYPERLINK("#Покупные_изделия!D427",Покупные_изделия!D427)</f>
        <v>155.53200000000001</v>
      </c>
      <c r="M2011" s="76">
        <f>J2011*L2011</f>
        <v>0.155532</v>
      </c>
      <c r="N2011" s="77"/>
      <c r="O2011" s="77"/>
      <c r="P2011" s="76"/>
      <c r="Q2011" s="76"/>
    </row>
    <row r="2012" spans="6:17" hidden="1" outlineLevel="4" collapsed="1" x14ac:dyDescent="0.25">
      <c r="F2012" s="84" t="s">
        <v>1259</v>
      </c>
      <c r="G2012" s="79"/>
      <c r="H2012" s="80"/>
      <c r="I2012" s="81"/>
      <c r="J2012" s="83">
        <f>HYPERLINK("#Структура!E2050",Структура!E2050)</f>
        <v>5</v>
      </c>
      <c r="K2012" s="115">
        <f>HYPERLINK("#Структура!G2050",Структура!G2050)</f>
        <v>3.7220000000000003E-2</v>
      </c>
      <c r="L2012" s="81">
        <f>M2012/J2012</f>
        <v>2.155532</v>
      </c>
      <c r="M2012" s="81">
        <f>SUMIF(G2013:G2014,"*",M2013:M2014)*J2012</f>
        <v>10.777660000000001</v>
      </c>
      <c r="N2012" s="124">
        <f>HYPERLINK("#Трудозатраты!B554",Трудозатраты!B554+SUMIF(G2013:G2014,"*",O2013:O2014))</f>
        <v>8.8000000000000007</v>
      </c>
      <c r="O2012" s="82">
        <f>N2012*J2012</f>
        <v>44</v>
      </c>
      <c r="P2012" s="81">
        <f>O2012/60*(1+запас_труд)*стоимость_трудочаса</f>
        <v>1723.3333333333333</v>
      </c>
      <c r="Q2012" s="129">
        <f>M2012*(1+наценка_покупное)+P2012</f>
        <v>1736.2665253333332</v>
      </c>
    </row>
    <row r="2013" spans="6:17" hidden="1" outlineLevel="5" x14ac:dyDescent="0.25">
      <c r="G2013" s="74" t="s">
        <v>96</v>
      </c>
      <c r="H2013" s="75"/>
      <c r="I2013" s="76"/>
      <c r="J2013" s="78">
        <f>HYPERLINK("#Структура!E2076",Структура!E2076)</f>
        <v>0.02</v>
      </c>
      <c r="K2013" s="114" t="str">
        <f>HYPERLINK("#Структура!G2076","")</f>
        <v/>
      </c>
      <c r="L2013" s="120">
        <f>HYPERLINK("#Покупные_изделия!D265",Покупные_изделия!D265)</f>
        <v>100</v>
      </c>
      <c r="M2013" s="76">
        <f>J2013*L2013</f>
        <v>2</v>
      </c>
      <c r="N2013" s="77"/>
      <c r="O2013" s="77"/>
      <c r="P2013" s="76"/>
      <c r="Q2013" s="76"/>
    </row>
    <row r="2014" spans="6:17" hidden="1" outlineLevel="5" x14ac:dyDescent="0.25">
      <c r="G2014" s="74" t="s">
        <v>156</v>
      </c>
      <c r="H2014" s="75"/>
      <c r="I2014" s="76"/>
      <c r="J2014" s="78">
        <f>HYPERLINK("#Структура!E2077",Структура!E2077)</f>
        <v>1E-3</v>
      </c>
      <c r="K2014" s="114" t="str">
        <f>HYPERLINK("#Структура!G2077","")</f>
        <v/>
      </c>
      <c r="L2014" s="120">
        <f>HYPERLINK("#Покупные_изделия!D427",Покупные_изделия!D427)</f>
        <v>155.53200000000001</v>
      </c>
      <c r="M2014" s="76">
        <f>J2014*L2014</f>
        <v>0.155532</v>
      </c>
      <c r="N2014" s="77"/>
      <c r="O2014" s="77"/>
      <c r="P2014" s="76"/>
      <c r="Q2014" s="76"/>
    </row>
    <row r="2015" spans="6:17" hidden="1" outlineLevel="4" collapsed="1" x14ac:dyDescent="0.25">
      <c r="F2015" s="84" t="s">
        <v>1260</v>
      </c>
      <c r="G2015" s="79"/>
      <c r="H2015" s="80"/>
      <c r="I2015" s="81"/>
      <c r="J2015" s="83">
        <f>HYPERLINK("#Структура!E2051",Структура!E2051)</f>
        <v>1</v>
      </c>
      <c r="K2015" s="115">
        <f>HYPERLINK("#Структура!G2051",Структура!G2051)</f>
        <v>5.0630000000000001E-2</v>
      </c>
      <c r="L2015" s="81">
        <f>M2015/J2015</f>
        <v>7.0255532000000001</v>
      </c>
      <c r="M2015" s="81">
        <f>SUMIF(G2016:G2019,"*",M2016:M2019)*J2015</f>
        <v>7.0255532000000001</v>
      </c>
      <c r="N2015" s="124">
        <f>HYPERLINK("#Трудозатраты!B555",Трудозатраты!B555+SUMIF(G2016:G2019,"*",O2016:O2019))</f>
        <v>15.7</v>
      </c>
      <c r="O2015" s="82">
        <f>N2015*J2015</f>
        <v>15.7</v>
      </c>
      <c r="P2015" s="81">
        <f>O2015/60*(1+запас_труд)*стоимость_трудочаса</f>
        <v>614.91666666666663</v>
      </c>
      <c r="Q2015" s="129">
        <f>M2015*(1+наценка_покупное)+P2015</f>
        <v>623.34733050666659</v>
      </c>
    </row>
    <row r="2016" spans="6:17" hidden="1" outlineLevel="5" x14ac:dyDescent="0.25">
      <c r="G2016" s="74" t="s">
        <v>67</v>
      </c>
      <c r="H2016" s="75"/>
      <c r="I2016" s="76"/>
      <c r="J2016" s="78">
        <f>HYPERLINK("#Структура!E2078",Структура!E2078)</f>
        <v>1.7000000000000001E-2</v>
      </c>
      <c r="K2016" s="114" t="str">
        <f>HYPERLINK("#Структура!G2078","")</f>
        <v/>
      </c>
      <c r="L2016" s="120">
        <f>HYPERLINK("#Покупные_изделия!D203",Покупные_изделия!D203)</f>
        <v>30.003600000000002</v>
      </c>
      <c r="M2016" s="76">
        <f>J2016*L2016</f>
        <v>0.5100612000000001</v>
      </c>
      <c r="N2016" s="77"/>
      <c r="O2016" s="77"/>
      <c r="P2016" s="76"/>
      <c r="Q2016" s="76"/>
    </row>
    <row r="2017" spans="6:17" hidden="1" outlineLevel="5" x14ac:dyDescent="0.25">
      <c r="G2017" s="74" t="s">
        <v>96</v>
      </c>
      <c r="H2017" s="75"/>
      <c r="I2017" s="76"/>
      <c r="J2017" s="78">
        <f>HYPERLINK("#Структура!E2079",Структура!E2079)</f>
        <v>5.2999999999999999E-2</v>
      </c>
      <c r="K2017" s="114" t="str">
        <f>HYPERLINK("#Структура!G2079","")</f>
        <v/>
      </c>
      <c r="L2017" s="120">
        <f>HYPERLINK("#Покупные_изделия!D265",Покупные_изделия!D265)</f>
        <v>100</v>
      </c>
      <c r="M2017" s="76">
        <f>J2017*L2017</f>
        <v>5.3</v>
      </c>
      <c r="N2017" s="77"/>
      <c r="O2017" s="77"/>
      <c r="P2017" s="76"/>
      <c r="Q2017" s="76"/>
    </row>
    <row r="2018" spans="6:17" hidden="1" outlineLevel="5" x14ac:dyDescent="0.25">
      <c r="G2018" s="74" t="s">
        <v>146</v>
      </c>
      <c r="H2018" s="75"/>
      <c r="I2018" s="76"/>
      <c r="J2018" s="78">
        <f>HYPERLINK("#Структура!E2080",Структура!E2080)</f>
        <v>0.01</v>
      </c>
      <c r="K2018" s="114" t="str">
        <f>HYPERLINK("#Структура!G2080","")</f>
        <v/>
      </c>
      <c r="L2018" s="120">
        <f>HYPERLINK("#Покупные_изделия!D406",Покупные_изделия!D406)</f>
        <v>105.996</v>
      </c>
      <c r="M2018" s="76">
        <f>J2018*L2018</f>
        <v>1.05996</v>
      </c>
      <c r="N2018" s="77"/>
      <c r="O2018" s="77"/>
      <c r="P2018" s="76"/>
      <c r="Q2018" s="76"/>
    </row>
    <row r="2019" spans="6:17" hidden="1" outlineLevel="5" x14ac:dyDescent="0.25">
      <c r="G2019" s="74" t="s">
        <v>156</v>
      </c>
      <c r="H2019" s="75"/>
      <c r="I2019" s="76"/>
      <c r="J2019" s="78">
        <f>HYPERLINK("#Структура!E2081",Структура!E2081)</f>
        <v>1E-3</v>
      </c>
      <c r="K2019" s="114" t="str">
        <f>HYPERLINK("#Структура!G2081","")</f>
        <v/>
      </c>
      <c r="L2019" s="120">
        <f>HYPERLINK("#Покупные_изделия!D427",Покупные_изделия!D427)</f>
        <v>155.53200000000001</v>
      </c>
      <c r="M2019" s="76">
        <f>J2019*L2019</f>
        <v>0.155532</v>
      </c>
      <c r="N2019" s="77"/>
      <c r="O2019" s="77"/>
      <c r="P2019" s="76"/>
      <c r="Q2019" s="76"/>
    </row>
    <row r="2020" spans="6:17" hidden="1" outlineLevel="4" collapsed="1" x14ac:dyDescent="0.25">
      <c r="F2020" s="84" t="s">
        <v>1261</v>
      </c>
      <c r="G2020" s="79"/>
      <c r="H2020" s="80"/>
      <c r="I2020" s="81"/>
      <c r="J2020" s="83">
        <f>HYPERLINK("#Структура!E2052",Структура!E2052)</f>
        <v>1</v>
      </c>
      <c r="K2020" s="115">
        <f>HYPERLINK("#Структура!G2052",Структура!G2052)</f>
        <v>7.1069999999999994E-2</v>
      </c>
      <c r="L2020" s="81">
        <f>M2020/J2020</f>
        <v>9.2255532000000002</v>
      </c>
      <c r="M2020" s="81">
        <f>SUMIF(G2021:G2024,"*",M2021:M2024)*J2020</f>
        <v>9.2255532000000002</v>
      </c>
      <c r="N2020" s="124">
        <f>HYPERLINK("#Трудозатраты!B556",Трудозатраты!B556+SUMIF(G2021:G2024,"*",O2021:O2024))</f>
        <v>15.7</v>
      </c>
      <c r="O2020" s="82">
        <f>N2020*J2020</f>
        <v>15.7</v>
      </c>
      <c r="P2020" s="81">
        <f>O2020/60*(1+запас_труд)*стоимость_трудочаса</f>
        <v>614.91666666666663</v>
      </c>
      <c r="Q2020" s="129">
        <f>M2020*(1+наценка_покупное)+P2020</f>
        <v>625.98733050666658</v>
      </c>
    </row>
    <row r="2021" spans="6:17" hidden="1" outlineLevel="5" x14ac:dyDescent="0.25">
      <c r="G2021" s="74" t="s">
        <v>67</v>
      </c>
      <c r="H2021" s="75"/>
      <c r="I2021" s="76"/>
      <c r="J2021" s="78">
        <f>HYPERLINK("#Структура!E2082",Структура!E2082)</f>
        <v>1.7000000000000001E-2</v>
      </c>
      <c r="K2021" s="114" t="str">
        <f>HYPERLINK("#Структура!G2082","")</f>
        <v/>
      </c>
      <c r="L2021" s="120">
        <f>HYPERLINK("#Покупные_изделия!D203",Покупные_изделия!D203)</f>
        <v>30.003600000000002</v>
      </c>
      <c r="M2021" s="76">
        <f>J2021*L2021</f>
        <v>0.5100612000000001</v>
      </c>
      <c r="N2021" s="77"/>
      <c r="O2021" s="77"/>
      <c r="P2021" s="76"/>
      <c r="Q2021" s="76"/>
    </row>
    <row r="2022" spans="6:17" hidden="1" outlineLevel="5" x14ac:dyDescent="0.25">
      <c r="G2022" s="74" t="s">
        <v>96</v>
      </c>
      <c r="H2022" s="75"/>
      <c r="I2022" s="76"/>
      <c r="J2022" s="78">
        <f>HYPERLINK("#Структура!E2083",Структура!E2083)</f>
        <v>7.4999999999999997E-2</v>
      </c>
      <c r="K2022" s="114" t="str">
        <f>HYPERLINK("#Структура!G2083","")</f>
        <v/>
      </c>
      <c r="L2022" s="120">
        <f>HYPERLINK("#Покупные_изделия!D265",Покупные_изделия!D265)</f>
        <v>100</v>
      </c>
      <c r="M2022" s="76">
        <f>J2022*L2022</f>
        <v>7.5</v>
      </c>
      <c r="N2022" s="77"/>
      <c r="O2022" s="77"/>
      <c r="P2022" s="76"/>
      <c r="Q2022" s="76"/>
    </row>
    <row r="2023" spans="6:17" hidden="1" outlineLevel="5" x14ac:dyDescent="0.25">
      <c r="G2023" s="74" t="s">
        <v>146</v>
      </c>
      <c r="H2023" s="75"/>
      <c r="I2023" s="76"/>
      <c r="J2023" s="78">
        <f>HYPERLINK("#Структура!E2084",Структура!E2084)</f>
        <v>0.01</v>
      </c>
      <c r="K2023" s="114" t="str">
        <f>HYPERLINK("#Структура!G2084","")</f>
        <v/>
      </c>
      <c r="L2023" s="120">
        <f>HYPERLINK("#Покупные_изделия!D406",Покупные_изделия!D406)</f>
        <v>105.996</v>
      </c>
      <c r="M2023" s="76">
        <f>J2023*L2023</f>
        <v>1.05996</v>
      </c>
      <c r="N2023" s="77"/>
      <c r="O2023" s="77"/>
      <c r="P2023" s="76"/>
      <c r="Q2023" s="76"/>
    </row>
    <row r="2024" spans="6:17" hidden="1" outlineLevel="5" x14ac:dyDescent="0.25">
      <c r="G2024" s="74" t="s">
        <v>156</v>
      </c>
      <c r="H2024" s="75"/>
      <c r="I2024" s="76"/>
      <c r="J2024" s="78">
        <f>HYPERLINK("#Структура!E2085",Структура!E2085)</f>
        <v>1E-3</v>
      </c>
      <c r="K2024" s="114" t="str">
        <f>HYPERLINK("#Структура!G2085","")</f>
        <v/>
      </c>
      <c r="L2024" s="120">
        <f>HYPERLINK("#Покупные_изделия!D427",Покупные_изделия!D427)</f>
        <v>155.53200000000001</v>
      </c>
      <c r="M2024" s="76">
        <f>J2024*L2024</f>
        <v>0.155532</v>
      </c>
      <c r="N2024" s="77"/>
      <c r="O2024" s="77"/>
      <c r="P2024" s="76"/>
      <c r="Q2024" s="76"/>
    </row>
    <row r="2025" spans="6:17" hidden="1" outlineLevel="4" collapsed="1" x14ac:dyDescent="0.25">
      <c r="F2025" s="84" t="s">
        <v>1262</v>
      </c>
      <c r="G2025" s="79"/>
      <c r="H2025" s="80"/>
      <c r="I2025" s="81"/>
      <c r="J2025" s="83">
        <f>HYPERLINK("#Структура!E2053",Структура!E2053)</f>
        <v>1</v>
      </c>
      <c r="K2025" s="115">
        <f>HYPERLINK("#Структура!G2053",Структура!G2053)</f>
        <v>9.1200000000000003E-2</v>
      </c>
      <c r="L2025" s="81">
        <f>M2025/J2025</f>
        <v>11.7255532</v>
      </c>
      <c r="M2025" s="81">
        <f>SUMIF(G2026:G2029,"*",M2026:M2029)*J2025</f>
        <v>11.7255532</v>
      </c>
      <c r="N2025" s="124">
        <f>HYPERLINK("#Трудозатраты!B557",Трудозатраты!B557+SUMIF(G2026:G2029,"*",O2026:O2029))</f>
        <v>15.7</v>
      </c>
      <c r="O2025" s="82">
        <f>N2025*J2025</f>
        <v>15.7</v>
      </c>
      <c r="P2025" s="81">
        <f>O2025/60*(1+запас_труд)*стоимость_трудочаса</f>
        <v>614.91666666666663</v>
      </c>
      <c r="Q2025" s="129">
        <f>M2025*(1+наценка_покупное)+P2025</f>
        <v>628.98733050666658</v>
      </c>
    </row>
    <row r="2026" spans="6:17" hidden="1" outlineLevel="5" x14ac:dyDescent="0.25">
      <c r="G2026" s="74" t="s">
        <v>67</v>
      </c>
      <c r="H2026" s="75"/>
      <c r="I2026" s="76"/>
      <c r="J2026" s="78">
        <f>HYPERLINK("#Структура!E2086",Структура!E2086)</f>
        <v>1.7000000000000001E-2</v>
      </c>
      <c r="K2026" s="114" t="str">
        <f>HYPERLINK("#Структура!G2086","")</f>
        <v/>
      </c>
      <c r="L2026" s="120">
        <f>HYPERLINK("#Покупные_изделия!D203",Покупные_изделия!D203)</f>
        <v>30.003600000000002</v>
      </c>
      <c r="M2026" s="76">
        <f>J2026*L2026</f>
        <v>0.5100612000000001</v>
      </c>
      <c r="N2026" s="77"/>
      <c r="O2026" s="77"/>
      <c r="P2026" s="76"/>
      <c r="Q2026" s="76"/>
    </row>
    <row r="2027" spans="6:17" hidden="1" outlineLevel="5" x14ac:dyDescent="0.25">
      <c r="G2027" s="74" t="s">
        <v>96</v>
      </c>
      <c r="H2027" s="75"/>
      <c r="I2027" s="76"/>
      <c r="J2027" s="78">
        <f>HYPERLINK("#Структура!E2087",Структура!E2087)</f>
        <v>0.1</v>
      </c>
      <c r="K2027" s="114" t="str">
        <f>HYPERLINK("#Структура!G2087","")</f>
        <v/>
      </c>
      <c r="L2027" s="120">
        <f>HYPERLINK("#Покупные_изделия!D265",Покупные_изделия!D265)</f>
        <v>100</v>
      </c>
      <c r="M2027" s="76">
        <f>J2027*L2027</f>
        <v>10</v>
      </c>
      <c r="N2027" s="77"/>
      <c r="O2027" s="77"/>
      <c r="P2027" s="76"/>
      <c r="Q2027" s="76"/>
    </row>
    <row r="2028" spans="6:17" hidden="1" outlineLevel="5" x14ac:dyDescent="0.25">
      <c r="G2028" s="74" t="s">
        <v>146</v>
      </c>
      <c r="H2028" s="75"/>
      <c r="I2028" s="76"/>
      <c r="J2028" s="78">
        <f>HYPERLINK("#Структура!E2088",Структура!E2088)</f>
        <v>0.01</v>
      </c>
      <c r="K2028" s="114" t="str">
        <f>HYPERLINK("#Структура!G2088","")</f>
        <v/>
      </c>
      <c r="L2028" s="120">
        <f>HYPERLINK("#Покупные_изделия!D406",Покупные_изделия!D406)</f>
        <v>105.996</v>
      </c>
      <c r="M2028" s="76">
        <f>J2028*L2028</f>
        <v>1.05996</v>
      </c>
      <c r="N2028" s="77"/>
      <c r="O2028" s="77"/>
      <c r="P2028" s="76"/>
      <c r="Q2028" s="76"/>
    </row>
    <row r="2029" spans="6:17" hidden="1" outlineLevel="5" x14ac:dyDescent="0.25">
      <c r="G2029" s="74" t="s">
        <v>156</v>
      </c>
      <c r="H2029" s="75"/>
      <c r="I2029" s="76"/>
      <c r="J2029" s="78">
        <f>HYPERLINK("#Структура!E2089",Структура!E2089)</f>
        <v>1E-3</v>
      </c>
      <c r="K2029" s="114" t="str">
        <f>HYPERLINK("#Структура!G2089","")</f>
        <v/>
      </c>
      <c r="L2029" s="120">
        <f>HYPERLINK("#Покупные_изделия!D427",Покупные_изделия!D427)</f>
        <v>155.53200000000001</v>
      </c>
      <c r="M2029" s="76">
        <f>J2029*L2029</f>
        <v>0.155532</v>
      </c>
      <c r="N2029" s="77"/>
      <c r="O2029" s="77"/>
      <c r="P2029" s="76"/>
      <c r="Q2029" s="76"/>
    </row>
    <row r="2030" spans="6:17" hidden="1" outlineLevel="4" collapsed="1" x14ac:dyDescent="0.25">
      <c r="F2030" s="84" t="s">
        <v>1263</v>
      </c>
      <c r="G2030" s="79"/>
      <c r="H2030" s="80"/>
      <c r="I2030" s="81"/>
      <c r="J2030" s="83">
        <f>HYPERLINK("#Структура!E2054",Структура!E2054)</f>
        <v>1</v>
      </c>
      <c r="K2030" s="115">
        <f>HYPERLINK("#Структура!G2054",Структура!G2054)</f>
        <v>0.11194999999999999</v>
      </c>
      <c r="L2030" s="81">
        <f>M2030/J2030</f>
        <v>13.881085200000001</v>
      </c>
      <c r="M2030" s="81">
        <f>SUMIF(G2031:G2034,"*",M2031:M2034)*J2030</f>
        <v>13.881085200000001</v>
      </c>
      <c r="N2030" s="124">
        <f>HYPERLINK("#Трудозатраты!B558",Трудозатраты!B558+SUMIF(G2031:G2034,"*",O2031:O2034))</f>
        <v>16.399999999999999</v>
      </c>
      <c r="O2030" s="82">
        <f>N2030*J2030</f>
        <v>16.399999999999999</v>
      </c>
      <c r="P2030" s="81">
        <f>O2030/60*(1+запас_труд)*стоимость_трудочаса</f>
        <v>642.33333333333326</v>
      </c>
      <c r="Q2030" s="129">
        <f>M2030*(1+наценка_покупное)+P2030</f>
        <v>658.99063557333329</v>
      </c>
    </row>
    <row r="2031" spans="6:17" hidden="1" outlineLevel="5" x14ac:dyDescent="0.25">
      <c r="G2031" s="74" t="s">
        <v>67</v>
      </c>
      <c r="H2031" s="75"/>
      <c r="I2031" s="76"/>
      <c r="J2031" s="78">
        <f>HYPERLINK("#Структура!E2090",Структура!E2090)</f>
        <v>1.7000000000000001E-2</v>
      </c>
      <c r="K2031" s="114" t="str">
        <f>HYPERLINK("#Структура!G2090","")</f>
        <v/>
      </c>
      <c r="L2031" s="120">
        <f>HYPERLINK("#Покупные_изделия!D203",Покупные_изделия!D203)</f>
        <v>30.003600000000002</v>
      </c>
      <c r="M2031" s="76">
        <f>J2031*L2031</f>
        <v>0.5100612000000001</v>
      </c>
      <c r="N2031" s="77"/>
      <c r="O2031" s="77"/>
      <c r="P2031" s="76"/>
      <c r="Q2031" s="76"/>
    </row>
    <row r="2032" spans="6:17" hidden="1" outlineLevel="5" x14ac:dyDescent="0.25">
      <c r="G2032" s="74" t="s">
        <v>96</v>
      </c>
      <c r="H2032" s="75"/>
      <c r="I2032" s="76"/>
      <c r="J2032" s="78">
        <f>HYPERLINK("#Структура!E2091",Структура!E2091)</f>
        <v>0.12</v>
      </c>
      <c r="K2032" s="114" t="str">
        <f>HYPERLINK("#Структура!G2091","")</f>
        <v/>
      </c>
      <c r="L2032" s="120">
        <f>HYPERLINK("#Покупные_изделия!D265",Покупные_изделия!D265)</f>
        <v>100</v>
      </c>
      <c r="M2032" s="76">
        <f>J2032*L2032</f>
        <v>12</v>
      </c>
      <c r="N2032" s="77"/>
      <c r="O2032" s="77"/>
      <c r="P2032" s="76"/>
      <c r="Q2032" s="76"/>
    </row>
    <row r="2033" spans="6:17" hidden="1" outlineLevel="5" x14ac:dyDescent="0.25">
      <c r="G2033" s="74" t="s">
        <v>146</v>
      </c>
      <c r="H2033" s="75"/>
      <c r="I2033" s="76"/>
      <c r="J2033" s="78">
        <f>HYPERLINK("#Структура!E2092",Структура!E2092)</f>
        <v>0.01</v>
      </c>
      <c r="K2033" s="114" t="str">
        <f>HYPERLINK("#Структура!G2092","")</f>
        <v/>
      </c>
      <c r="L2033" s="120">
        <f>HYPERLINK("#Покупные_изделия!D406",Покупные_изделия!D406)</f>
        <v>105.996</v>
      </c>
      <c r="M2033" s="76">
        <f>J2033*L2033</f>
        <v>1.05996</v>
      </c>
      <c r="N2033" s="77"/>
      <c r="O2033" s="77"/>
      <c r="P2033" s="76"/>
      <c r="Q2033" s="76"/>
    </row>
    <row r="2034" spans="6:17" hidden="1" outlineLevel="5" x14ac:dyDescent="0.25">
      <c r="G2034" s="74" t="s">
        <v>156</v>
      </c>
      <c r="H2034" s="75"/>
      <c r="I2034" s="76"/>
      <c r="J2034" s="78">
        <f>HYPERLINK("#Структура!E2093",Структура!E2093)</f>
        <v>2E-3</v>
      </c>
      <c r="K2034" s="114" t="str">
        <f>HYPERLINK("#Структура!G2093","")</f>
        <v/>
      </c>
      <c r="L2034" s="120">
        <f>HYPERLINK("#Покупные_изделия!D427",Покупные_изделия!D427)</f>
        <v>155.53200000000001</v>
      </c>
      <c r="M2034" s="76">
        <f>J2034*L2034</f>
        <v>0.31106400000000001</v>
      </c>
      <c r="N2034" s="77"/>
      <c r="O2034" s="77"/>
      <c r="P2034" s="76"/>
      <c r="Q2034" s="76"/>
    </row>
    <row r="2035" spans="6:17" hidden="1" outlineLevel="4" collapsed="1" x14ac:dyDescent="0.25">
      <c r="F2035" s="84" t="s">
        <v>1264</v>
      </c>
      <c r="G2035" s="79"/>
      <c r="H2035" s="80"/>
      <c r="I2035" s="81"/>
      <c r="J2035" s="83">
        <f>HYPERLINK("#Структура!E2055",Структура!E2055)</f>
        <v>1</v>
      </c>
      <c r="K2035" s="115">
        <f>HYPERLINK("#Структура!G2055",Структура!G2055)</f>
        <v>0.13270000000000001</v>
      </c>
      <c r="L2035" s="81">
        <f>M2035/J2035</f>
        <v>15.881085200000003</v>
      </c>
      <c r="M2035" s="81">
        <f>SUMIF(G2036:G2039,"*",M2036:M2039)*J2035</f>
        <v>15.881085200000003</v>
      </c>
      <c r="N2035" s="124">
        <f>HYPERLINK("#Трудозатраты!B559",Трудозатраты!B559+SUMIF(G2036:G2039,"*",O2036:O2039))</f>
        <v>16.600000000000001</v>
      </c>
      <c r="O2035" s="82">
        <f>N2035*J2035</f>
        <v>16.600000000000001</v>
      </c>
      <c r="P2035" s="81">
        <f>O2035/60*(1+запас_труд)*стоимость_трудочаса</f>
        <v>650.16666666666663</v>
      </c>
      <c r="Q2035" s="129">
        <f>M2035*(1+наценка_покупное)+P2035</f>
        <v>669.22396890666664</v>
      </c>
    </row>
    <row r="2036" spans="6:17" hidden="1" outlineLevel="5" x14ac:dyDescent="0.25">
      <c r="G2036" s="74" t="s">
        <v>67</v>
      </c>
      <c r="H2036" s="75"/>
      <c r="I2036" s="76"/>
      <c r="J2036" s="78">
        <f>HYPERLINK("#Структура!E2094",Структура!E2094)</f>
        <v>1.7000000000000001E-2</v>
      </c>
      <c r="K2036" s="114" t="str">
        <f>HYPERLINK("#Структура!G2094","")</f>
        <v/>
      </c>
      <c r="L2036" s="120">
        <f>HYPERLINK("#Покупные_изделия!D203",Покупные_изделия!D203)</f>
        <v>30.003600000000002</v>
      </c>
      <c r="M2036" s="76">
        <f>J2036*L2036</f>
        <v>0.5100612000000001</v>
      </c>
      <c r="N2036" s="77"/>
      <c r="O2036" s="77"/>
      <c r="P2036" s="76"/>
      <c r="Q2036" s="76"/>
    </row>
    <row r="2037" spans="6:17" hidden="1" outlineLevel="5" x14ac:dyDescent="0.25">
      <c r="G2037" s="74" t="s">
        <v>96</v>
      </c>
      <c r="H2037" s="75"/>
      <c r="I2037" s="76"/>
      <c r="J2037" s="78">
        <f>HYPERLINK("#Структура!E2095",Структура!E2095)</f>
        <v>0.14000000000000001</v>
      </c>
      <c r="K2037" s="114" t="str">
        <f>HYPERLINK("#Структура!G2095","")</f>
        <v/>
      </c>
      <c r="L2037" s="120">
        <f>HYPERLINK("#Покупные_изделия!D265",Покупные_изделия!D265)</f>
        <v>100</v>
      </c>
      <c r="M2037" s="76">
        <f>J2037*L2037</f>
        <v>14.000000000000002</v>
      </c>
      <c r="N2037" s="77"/>
      <c r="O2037" s="77"/>
      <c r="P2037" s="76"/>
      <c r="Q2037" s="76"/>
    </row>
    <row r="2038" spans="6:17" hidden="1" outlineLevel="5" x14ac:dyDescent="0.25">
      <c r="G2038" s="74" t="s">
        <v>146</v>
      </c>
      <c r="H2038" s="75"/>
      <c r="I2038" s="76"/>
      <c r="J2038" s="78">
        <f>HYPERLINK("#Структура!E2096",Структура!E2096)</f>
        <v>0.01</v>
      </c>
      <c r="K2038" s="114" t="str">
        <f>HYPERLINK("#Структура!G2096","")</f>
        <v/>
      </c>
      <c r="L2038" s="120">
        <f>HYPERLINK("#Покупные_изделия!D406",Покупные_изделия!D406)</f>
        <v>105.996</v>
      </c>
      <c r="M2038" s="76">
        <f>J2038*L2038</f>
        <v>1.05996</v>
      </c>
      <c r="N2038" s="77"/>
      <c r="O2038" s="77"/>
      <c r="P2038" s="76"/>
      <c r="Q2038" s="76"/>
    </row>
    <row r="2039" spans="6:17" hidden="1" outlineLevel="5" x14ac:dyDescent="0.25">
      <c r="G2039" s="74" t="s">
        <v>156</v>
      </c>
      <c r="H2039" s="75"/>
      <c r="I2039" s="76"/>
      <c r="J2039" s="78">
        <f>HYPERLINK("#Структура!E2097",Структура!E2097)</f>
        <v>2E-3</v>
      </c>
      <c r="K2039" s="114" t="str">
        <f>HYPERLINK("#Структура!G2097","")</f>
        <v/>
      </c>
      <c r="L2039" s="120">
        <f>HYPERLINK("#Покупные_изделия!D427",Покупные_изделия!D427)</f>
        <v>155.53200000000001</v>
      </c>
      <c r="M2039" s="76">
        <f>J2039*L2039</f>
        <v>0.31106400000000001</v>
      </c>
      <c r="N2039" s="77"/>
      <c r="O2039" s="77"/>
      <c r="P2039" s="76"/>
      <c r="Q2039" s="76"/>
    </row>
    <row r="2040" spans="6:17" hidden="1" outlineLevel="4" collapsed="1" x14ac:dyDescent="0.25">
      <c r="F2040" s="84" t="s">
        <v>1265</v>
      </c>
      <c r="G2040" s="79"/>
      <c r="H2040" s="80"/>
      <c r="I2040" s="81"/>
      <c r="J2040" s="83">
        <f>HYPERLINK("#Структура!E2056",Структура!E2056)</f>
        <v>1</v>
      </c>
      <c r="K2040" s="115">
        <f>HYPERLINK("#Структура!G2056",Структура!G2056)</f>
        <v>0.15175</v>
      </c>
      <c r="L2040" s="81">
        <f>M2040/J2040</f>
        <v>17.881085200000001</v>
      </c>
      <c r="M2040" s="81">
        <f>SUMIF(G2041:G2044,"*",M2041:M2044)*J2040</f>
        <v>17.881085200000001</v>
      </c>
      <c r="N2040" s="124">
        <f>HYPERLINK("#Трудозатраты!B560",Трудозатраты!B560+SUMIF(G2041:G2044,"*",O2041:O2044))</f>
        <v>16.600000000000001</v>
      </c>
      <c r="O2040" s="82">
        <f>N2040*J2040</f>
        <v>16.600000000000001</v>
      </c>
      <c r="P2040" s="81">
        <f>O2040/60*(1+запас_труд)*стоимость_трудочаса</f>
        <v>650.16666666666663</v>
      </c>
      <c r="Q2040" s="129">
        <f>M2040*(1+наценка_покупное)+P2040</f>
        <v>671.62396890666662</v>
      </c>
    </row>
    <row r="2041" spans="6:17" hidden="1" outlineLevel="5" x14ac:dyDescent="0.25">
      <c r="G2041" s="74" t="s">
        <v>67</v>
      </c>
      <c r="H2041" s="75"/>
      <c r="I2041" s="76"/>
      <c r="J2041" s="78">
        <f>HYPERLINK("#Структура!E2098",Структура!E2098)</f>
        <v>1.7000000000000001E-2</v>
      </c>
      <c r="K2041" s="114" t="str">
        <f>HYPERLINK("#Структура!G2098","")</f>
        <v/>
      </c>
      <c r="L2041" s="120">
        <f>HYPERLINK("#Покупные_изделия!D203",Покупные_изделия!D203)</f>
        <v>30.003600000000002</v>
      </c>
      <c r="M2041" s="76">
        <f>J2041*L2041</f>
        <v>0.5100612000000001</v>
      </c>
      <c r="N2041" s="77"/>
      <c r="O2041" s="77"/>
      <c r="P2041" s="76"/>
      <c r="Q2041" s="76"/>
    </row>
    <row r="2042" spans="6:17" hidden="1" outlineLevel="5" x14ac:dyDescent="0.25">
      <c r="G2042" s="74" t="s">
        <v>96</v>
      </c>
      <c r="H2042" s="75"/>
      <c r="I2042" s="76"/>
      <c r="J2042" s="78">
        <f>HYPERLINK("#Структура!E2099",Структура!E2099)</f>
        <v>0.16</v>
      </c>
      <c r="K2042" s="114" t="str">
        <f>HYPERLINK("#Структура!G2099","")</f>
        <v/>
      </c>
      <c r="L2042" s="120">
        <f>HYPERLINK("#Покупные_изделия!D265",Покупные_изделия!D265)</f>
        <v>100</v>
      </c>
      <c r="M2042" s="76">
        <f>J2042*L2042</f>
        <v>16</v>
      </c>
      <c r="N2042" s="77"/>
      <c r="O2042" s="77"/>
      <c r="P2042" s="76"/>
      <c r="Q2042" s="76"/>
    </row>
    <row r="2043" spans="6:17" hidden="1" outlineLevel="5" x14ac:dyDescent="0.25">
      <c r="G2043" s="74" t="s">
        <v>146</v>
      </c>
      <c r="H2043" s="75"/>
      <c r="I2043" s="76"/>
      <c r="J2043" s="78">
        <f>HYPERLINK("#Структура!E2100",Структура!E2100)</f>
        <v>0.01</v>
      </c>
      <c r="K2043" s="114" t="str">
        <f>HYPERLINK("#Структура!G2100","")</f>
        <v/>
      </c>
      <c r="L2043" s="120">
        <f>HYPERLINK("#Покупные_изделия!D406",Покупные_изделия!D406)</f>
        <v>105.996</v>
      </c>
      <c r="M2043" s="76">
        <f>J2043*L2043</f>
        <v>1.05996</v>
      </c>
      <c r="N2043" s="77"/>
      <c r="O2043" s="77"/>
      <c r="P2043" s="76"/>
      <c r="Q2043" s="76"/>
    </row>
    <row r="2044" spans="6:17" hidden="1" outlineLevel="5" x14ac:dyDescent="0.25">
      <c r="G2044" s="74" t="s">
        <v>156</v>
      </c>
      <c r="H2044" s="75"/>
      <c r="I2044" s="76"/>
      <c r="J2044" s="78">
        <f>HYPERLINK("#Структура!E2101",Структура!E2101)</f>
        <v>2E-3</v>
      </c>
      <c r="K2044" s="114" t="str">
        <f>HYPERLINK("#Структура!G2101","")</f>
        <v/>
      </c>
      <c r="L2044" s="120">
        <f>HYPERLINK("#Покупные_изделия!D427",Покупные_изделия!D427)</f>
        <v>155.53200000000001</v>
      </c>
      <c r="M2044" s="76">
        <f>J2044*L2044</f>
        <v>0.31106400000000001</v>
      </c>
      <c r="N2044" s="77"/>
      <c r="O2044" s="77"/>
      <c r="P2044" s="76"/>
      <c r="Q2044" s="76"/>
    </row>
    <row r="2045" spans="6:17" hidden="1" outlineLevel="4" collapsed="1" x14ac:dyDescent="0.25">
      <c r="F2045" s="84" t="s">
        <v>1266</v>
      </c>
      <c r="G2045" s="79"/>
      <c r="H2045" s="80"/>
      <c r="I2045" s="81"/>
      <c r="J2045" s="83">
        <f>HYPERLINK("#Структура!E2057",Структура!E2057)</f>
        <v>1</v>
      </c>
      <c r="K2045" s="115">
        <f>HYPERLINK("#Структура!G2057",Структура!G2057)</f>
        <v>0.16536999999999999</v>
      </c>
      <c r="L2045" s="81">
        <f>M2045/J2045</f>
        <v>20.036617199999998</v>
      </c>
      <c r="M2045" s="81">
        <f>SUMIF(G2046:G2049,"*",M2046:M2049)*J2045</f>
        <v>20.036617199999998</v>
      </c>
      <c r="N2045" s="124">
        <f>HYPERLINK("#Трудозатраты!B561",Трудозатраты!B561+SUMIF(G2046:G2049,"*",O2046:O2049))</f>
        <v>16.8</v>
      </c>
      <c r="O2045" s="82">
        <f>N2045*J2045</f>
        <v>16.8</v>
      </c>
      <c r="P2045" s="81">
        <f>O2045/60*(1+запас_труд)*стоимость_трудочаса</f>
        <v>658.00000000000011</v>
      </c>
      <c r="Q2045" s="129">
        <f>M2045*(1+наценка_покупное)+P2045</f>
        <v>682.04394064000007</v>
      </c>
    </row>
    <row r="2046" spans="6:17" hidden="1" outlineLevel="5" x14ac:dyDescent="0.25">
      <c r="G2046" s="74" t="s">
        <v>67</v>
      </c>
      <c r="H2046" s="75"/>
      <c r="I2046" s="76"/>
      <c r="J2046" s="78">
        <f>HYPERLINK("#Структура!E2102",Структура!E2102)</f>
        <v>1.7000000000000001E-2</v>
      </c>
      <c r="K2046" s="114" t="str">
        <f>HYPERLINK("#Структура!G2102","")</f>
        <v/>
      </c>
      <c r="L2046" s="120">
        <f>HYPERLINK("#Покупные_изделия!D203",Покупные_изделия!D203)</f>
        <v>30.003600000000002</v>
      </c>
      <c r="M2046" s="76">
        <f>J2046*L2046</f>
        <v>0.5100612000000001</v>
      </c>
      <c r="N2046" s="77"/>
      <c r="O2046" s="77"/>
      <c r="P2046" s="76"/>
      <c r="Q2046" s="76"/>
    </row>
    <row r="2047" spans="6:17" hidden="1" outlineLevel="5" x14ac:dyDescent="0.25">
      <c r="G2047" s="74" t="s">
        <v>96</v>
      </c>
      <c r="H2047" s="75"/>
      <c r="I2047" s="76"/>
      <c r="J2047" s="78">
        <f>HYPERLINK("#Структура!E2103",Структура!E2103)</f>
        <v>0.18</v>
      </c>
      <c r="K2047" s="114" t="str">
        <f>HYPERLINK("#Структура!G2103","")</f>
        <v/>
      </c>
      <c r="L2047" s="120">
        <f>HYPERLINK("#Покупные_изделия!D265",Покупные_изделия!D265)</f>
        <v>100</v>
      </c>
      <c r="M2047" s="76">
        <f>J2047*L2047</f>
        <v>18</v>
      </c>
      <c r="N2047" s="77"/>
      <c r="O2047" s="77"/>
      <c r="P2047" s="76"/>
      <c r="Q2047" s="76"/>
    </row>
    <row r="2048" spans="6:17" hidden="1" outlineLevel="5" x14ac:dyDescent="0.25">
      <c r="G2048" s="74" t="s">
        <v>146</v>
      </c>
      <c r="H2048" s="75"/>
      <c r="I2048" s="76"/>
      <c r="J2048" s="78">
        <f>HYPERLINK("#Структура!E2104",Структура!E2104)</f>
        <v>0.01</v>
      </c>
      <c r="K2048" s="114" t="str">
        <f>HYPERLINK("#Структура!G2104","")</f>
        <v/>
      </c>
      <c r="L2048" s="120">
        <f>HYPERLINK("#Покупные_изделия!D406",Покупные_изделия!D406)</f>
        <v>105.996</v>
      </c>
      <c r="M2048" s="76">
        <f>J2048*L2048</f>
        <v>1.05996</v>
      </c>
      <c r="N2048" s="77"/>
      <c r="O2048" s="77"/>
      <c r="P2048" s="76"/>
      <c r="Q2048" s="76"/>
    </row>
    <row r="2049" spans="6:17" hidden="1" outlineLevel="5" x14ac:dyDescent="0.25">
      <c r="G2049" s="74" t="s">
        <v>156</v>
      </c>
      <c r="H2049" s="75"/>
      <c r="I2049" s="76"/>
      <c r="J2049" s="78">
        <f>HYPERLINK("#Структура!E2105",Структура!E2105)</f>
        <v>3.0000000000000001E-3</v>
      </c>
      <c r="K2049" s="114" t="str">
        <f>HYPERLINK("#Структура!G2105","")</f>
        <v/>
      </c>
      <c r="L2049" s="120">
        <f>HYPERLINK("#Покупные_изделия!D427",Покупные_изделия!D427)</f>
        <v>155.53200000000001</v>
      </c>
      <c r="M2049" s="76">
        <f>J2049*L2049</f>
        <v>0.46659600000000007</v>
      </c>
      <c r="N2049" s="77"/>
      <c r="O2049" s="77"/>
      <c r="P2049" s="76"/>
      <c r="Q2049" s="76"/>
    </row>
    <row r="2050" spans="6:17" hidden="1" outlineLevel="4" collapsed="1" x14ac:dyDescent="0.25">
      <c r="F2050" s="84" t="s">
        <v>1267</v>
      </c>
      <c r="G2050" s="79"/>
      <c r="H2050" s="80"/>
      <c r="I2050" s="81"/>
      <c r="J2050" s="83">
        <f>HYPERLINK("#Структура!E2058",Структура!E2058)</f>
        <v>1</v>
      </c>
      <c r="K2050" s="115">
        <f>HYPERLINK("#Структура!G2058",Структура!G2058)</f>
        <v>0.18024000000000001</v>
      </c>
      <c r="L2050" s="81">
        <f>M2050/J2050</f>
        <v>21.036617199999998</v>
      </c>
      <c r="M2050" s="81">
        <f>SUMIF(G2051:G2054,"*",M2051:M2054)*J2050</f>
        <v>21.036617199999998</v>
      </c>
      <c r="N2050" s="124">
        <f>HYPERLINK("#Трудозатраты!B562",Трудозатраты!B562+SUMIF(G2051:G2054,"*",O2051:O2054))</f>
        <v>16.8</v>
      </c>
      <c r="O2050" s="82">
        <f>N2050*J2050</f>
        <v>16.8</v>
      </c>
      <c r="P2050" s="81">
        <f>O2050/60*(1+запас_труд)*стоимость_трудочаса</f>
        <v>658.00000000000011</v>
      </c>
      <c r="Q2050" s="129">
        <f>M2050*(1+наценка_покупное)+P2050</f>
        <v>683.24394064000012</v>
      </c>
    </row>
    <row r="2051" spans="6:17" hidden="1" outlineLevel="5" x14ac:dyDescent="0.25">
      <c r="G2051" s="74" t="s">
        <v>67</v>
      </c>
      <c r="H2051" s="75"/>
      <c r="I2051" s="76"/>
      <c r="J2051" s="78">
        <f>HYPERLINK("#Структура!E2106",Структура!E2106)</f>
        <v>1.7000000000000001E-2</v>
      </c>
      <c r="K2051" s="114" t="str">
        <f>HYPERLINK("#Структура!G2106","")</f>
        <v/>
      </c>
      <c r="L2051" s="120">
        <f>HYPERLINK("#Покупные_изделия!D203",Покупные_изделия!D203)</f>
        <v>30.003600000000002</v>
      </c>
      <c r="M2051" s="76">
        <f>J2051*L2051</f>
        <v>0.5100612000000001</v>
      </c>
      <c r="N2051" s="77"/>
      <c r="O2051" s="77"/>
      <c r="P2051" s="76"/>
      <c r="Q2051" s="76"/>
    </row>
    <row r="2052" spans="6:17" hidden="1" outlineLevel="5" x14ac:dyDescent="0.25">
      <c r="G2052" s="74" t="s">
        <v>96</v>
      </c>
      <c r="H2052" s="75"/>
      <c r="I2052" s="76"/>
      <c r="J2052" s="78">
        <f>HYPERLINK("#Структура!E2107",Структура!E2107)</f>
        <v>0.19</v>
      </c>
      <c r="K2052" s="114" t="str">
        <f>HYPERLINK("#Структура!G2107","")</f>
        <v/>
      </c>
      <c r="L2052" s="120">
        <f>HYPERLINK("#Покупные_изделия!D265",Покупные_изделия!D265)</f>
        <v>100</v>
      </c>
      <c r="M2052" s="76">
        <f>J2052*L2052</f>
        <v>19</v>
      </c>
      <c r="N2052" s="77"/>
      <c r="O2052" s="77"/>
      <c r="P2052" s="76"/>
      <c r="Q2052" s="76"/>
    </row>
    <row r="2053" spans="6:17" hidden="1" outlineLevel="5" x14ac:dyDescent="0.25">
      <c r="G2053" s="74" t="s">
        <v>146</v>
      </c>
      <c r="H2053" s="75"/>
      <c r="I2053" s="76"/>
      <c r="J2053" s="78">
        <f>HYPERLINK("#Структура!E2108",Структура!E2108)</f>
        <v>0.01</v>
      </c>
      <c r="K2053" s="114" t="str">
        <f>HYPERLINK("#Структура!G2108","")</f>
        <v/>
      </c>
      <c r="L2053" s="120">
        <f>HYPERLINK("#Покупные_изделия!D406",Покупные_изделия!D406)</f>
        <v>105.996</v>
      </c>
      <c r="M2053" s="76">
        <f>J2053*L2053</f>
        <v>1.05996</v>
      </c>
      <c r="N2053" s="77"/>
      <c r="O2053" s="77"/>
      <c r="P2053" s="76"/>
      <c r="Q2053" s="76"/>
    </row>
    <row r="2054" spans="6:17" hidden="1" outlineLevel="5" x14ac:dyDescent="0.25">
      <c r="G2054" s="74" t="s">
        <v>156</v>
      </c>
      <c r="H2054" s="75"/>
      <c r="I2054" s="76"/>
      <c r="J2054" s="78">
        <f>HYPERLINK("#Структура!E2109",Структура!E2109)</f>
        <v>3.0000000000000001E-3</v>
      </c>
      <c r="K2054" s="114" t="str">
        <f>HYPERLINK("#Структура!G2109","")</f>
        <v/>
      </c>
      <c r="L2054" s="120">
        <f>HYPERLINK("#Покупные_изделия!D427",Покупные_изделия!D427)</f>
        <v>155.53200000000001</v>
      </c>
      <c r="M2054" s="76">
        <f>J2054*L2054</f>
        <v>0.46659600000000007</v>
      </c>
      <c r="N2054" s="77"/>
      <c r="O2054" s="77"/>
      <c r="P2054" s="76"/>
      <c r="Q2054" s="76"/>
    </row>
    <row r="2055" spans="6:17" hidden="1" outlineLevel="4" collapsed="1" x14ac:dyDescent="0.25">
      <c r="F2055" s="84" t="s">
        <v>1268</v>
      </c>
      <c r="G2055" s="79"/>
      <c r="H2055" s="80"/>
      <c r="I2055" s="81"/>
      <c r="J2055" s="83">
        <f>HYPERLINK("#Структура!E2059",Структура!E2059)</f>
        <v>1</v>
      </c>
      <c r="K2055" s="115">
        <f>HYPERLINK("#Структура!G2059",Структура!G2059)</f>
        <v>0.1951</v>
      </c>
      <c r="L2055" s="81">
        <f>M2055/J2055</f>
        <v>22.036617199999998</v>
      </c>
      <c r="M2055" s="81">
        <f>SUMIF(G2056:G2059,"*",M2056:M2059)*J2055</f>
        <v>22.036617199999998</v>
      </c>
      <c r="N2055" s="124">
        <f>HYPERLINK("#Трудозатраты!B563",Трудозатраты!B563+SUMIF(G2056:G2059,"*",O2056:O2059))</f>
        <v>16.8</v>
      </c>
      <c r="O2055" s="82">
        <f>N2055*J2055</f>
        <v>16.8</v>
      </c>
      <c r="P2055" s="81">
        <f>O2055/60*(1+запас_труд)*стоимость_трудочаса</f>
        <v>658.00000000000011</v>
      </c>
      <c r="Q2055" s="129">
        <f>M2055*(1+наценка_покупное)+P2055</f>
        <v>684.44394064000016</v>
      </c>
    </row>
    <row r="2056" spans="6:17" hidden="1" outlineLevel="5" x14ac:dyDescent="0.25">
      <c r="G2056" s="74" t="s">
        <v>67</v>
      </c>
      <c r="H2056" s="75"/>
      <c r="I2056" s="76"/>
      <c r="J2056" s="78">
        <f>HYPERLINK("#Структура!E2110",Структура!E2110)</f>
        <v>1.7000000000000001E-2</v>
      </c>
      <c r="K2056" s="114" t="str">
        <f>HYPERLINK("#Структура!G2110","")</f>
        <v/>
      </c>
      <c r="L2056" s="120">
        <f>HYPERLINK("#Покупные_изделия!D203",Покупные_изделия!D203)</f>
        <v>30.003600000000002</v>
      </c>
      <c r="M2056" s="76">
        <f>J2056*L2056</f>
        <v>0.5100612000000001</v>
      </c>
      <c r="N2056" s="77"/>
      <c r="O2056" s="77"/>
      <c r="P2056" s="76"/>
      <c r="Q2056" s="76"/>
    </row>
    <row r="2057" spans="6:17" hidden="1" outlineLevel="5" x14ac:dyDescent="0.25">
      <c r="G2057" s="74" t="s">
        <v>96</v>
      </c>
      <c r="H2057" s="75"/>
      <c r="I2057" s="76"/>
      <c r="J2057" s="78">
        <f>HYPERLINK("#Структура!E2111",Структура!E2111)</f>
        <v>0.2</v>
      </c>
      <c r="K2057" s="114" t="str">
        <f>HYPERLINK("#Структура!G2111","")</f>
        <v/>
      </c>
      <c r="L2057" s="120">
        <f>HYPERLINK("#Покупные_изделия!D265",Покупные_изделия!D265)</f>
        <v>100</v>
      </c>
      <c r="M2057" s="76">
        <f>J2057*L2057</f>
        <v>20</v>
      </c>
      <c r="N2057" s="77"/>
      <c r="O2057" s="77"/>
      <c r="P2057" s="76"/>
      <c r="Q2057" s="76"/>
    </row>
    <row r="2058" spans="6:17" hidden="1" outlineLevel="5" x14ac:dyDescent="0.25">
      <c r="G2058" s="74" t="s">
        <v>146</v>
      </c>
      <c r="H2058" s="75"/>
      <c r="I2058" s="76"/>
      <c r="J2058" s="78">
        <f>HYPERLINK("#Структура!E2112",Структура!E2112)</f>
        <v>0.01</v>
      </c>
      <c r="K2058" s="114" t="str">
        <f>HYPERLINK("#Структура!G2112","")</f>
        <v/>
      </c>
      <c r="L2058" s="120">
        <f>HYPERLINK("#Покупные_изделия!D406",Покупные_изделия!D406)</f>
        <v>105.996</v>
      </c>
      <c r="M2058" s="76">
        <f>J2058*L2058</f>
        <v>1.05996</v>
      </c>
      <c r="N2058" s="77"/>
      <c r="O2058" s="77"/>
      <c r="P2058" s="76"/>
      <c r="Q2058" s="76"/>
    </row>
    <row r="2059" spans="6:17" hidden="1" outlineLevel="5" x14ac:dyDescent="0.25">
      <c r="G2059" s="74" t="s">
        <v>156</v>
      </c>
      <c r="H2059" s="75"/>
      <c r="I2059" s="76"/>
      <c r="J2059" s="78">
        <f>HYPERLINK("#Структура!E2113",Структура!E2113)</f>
        <v>3.0000000000000001E-3</v>
      </c>
      <c r="K2059" s="114" t="str">
        <f>HYPERLINK("#Структура!G2113","")</f>
        <v/>
      </c>
      <c r="L2059" s="120">
        <f>HYPERLINK("#Покупные_изделия!D427",Покупные_изделия!D427)</f>
        <v>155.53200000000001</v>
      </c>
      <c r="M2059" s="76">
        <f>J2059*L2059</f>
        <v>0.46659600000000007</v>
      </c>
      <c r="N2059" s="77"/>
      <c r="O2059" s="77"/>
      <c r="P2059" s="76"/>
      <c r="Q2059" s="76"/>
    </row>
    <row r="2060" spans="6:17" hidden="1" outlineLevel="4" collapsed="1" x14ac:dyDescent="0.25">
      <c r="F2060" s="84" t="s">
        <v>1269</v>
      </c>
      <c r="G2060" s="79"/>
      <c r="H2060" s="80"/>
      <c r="I2060" s="81"/>
      <c r="J2060" s="83">
        <f>HYPERLINK("#Структура!E2060",Структура!E2060)</f>
        <v>1</v>
      </c>
      <c r="K2060" s="115">
        <f>HYPERLINK("#Структура!G2060",Структура!G2060)</f>
        <v>0.21027999999999999</v>
      </c>
      <c r="L2060" s="81">
        <f>M2060/J2060</f>
        <v>24.036617199999998</v>
      </c>
      <c r="M2060" s="81">
        <f>SUMIF(G2061:G2064,"*",M2061:M2064)*J2060</f>
        <v>24.036617199999998</v>
      </c>
      <c r="N2060" s="124">
        <f>HYPERLINK("#Трудозатраты!B564",Трудозатраты!B564+SUMIF(G2061:G2064,"*",O2061:O2064))</f>
        <v>17</v>
      </c>
      <c r="O2060" s="82">
        <f>N2060*J2060</f>
        <v>17</v>
      </c>
      <c r="P2060" s="81">
        <f>O2060/60*(1+запас_труд)*стоимость_трудочаса</f>
        <v>665.83333333333337</v>
      </c>
      <c r="Q2060" s="129">
        <f>M2060*(1+наценка_покупное)+P2060</f>
        <v>694.6772739733334</v>
      </c>
    </row>
    <row r="2061" spans="6:17" hidden="1" outlineLevel="5" x14ac:dyDescent="0.25">
      <c r="G2061" s="74" t="s">
        <v>67</v>
      </c>
      <c r="H2061" s="75"/>
      <c r="I2061" s="76"/>
      <c r="J2061" s="78">
        <f>HYPERLINK("#Структура!E2114",Структура!E2114)</f>
        <v>1.7000000000000001E-2</v>
      </c>
      <c r="K2061" s="114" t="str">
        <f>HYPERLINK("#Структура!G2114","")</f>
        <v/>
      </c>
      <c r="L2061" s="120">
        <f>HYPERLINK("#Покупные_изделия!D203",Покупные_изделия!D203)</f>
        <v>30.003600000000002</v>
      </c>
      <c r="M2061" s="76">
        <f>J2061*L2061</f>
        <v>0.5100612000000001</v>
      </c>
      <c r="N2061" s="77"/>
      <c r="O2061" s="77"/>
      <c r="P2061" s="76"/>
      <c r="Q2061" s="76"/>
    </row>
    <row r="2062" spans="6:17" hidden="1" outlineLevel="5" x14ac:dyDescent="0.25">
      <c r="G2062" s="74" t="s">
        <v>96</v>
      </c>
      <c r="H2062" s="75"/>
      <c r="I2062" s="76"/>
      <c r="J2062" s="78">
        <f>HYPERLINK("#Структура!E2115",Структура!E2115)</f>
        <v>0.22</v>
      </c>
      <c r="K2062" s="114" t="str">
        <f>HYPERLINK("#Структура!G2115","")</f>
        <v/>
      </c>
      <c r="L2062" s="120">
        <f>HYPERLINK("#Покупные_изделия!D265",Покупные_изделия!D265)</f>
        <v>100</v>
      </c>
      <c r="M2062" s="76">
        <f>J2062*L2062</f>
        <v>22</v>
      </c>
      <c r="N2062" s="77"/>
      <c r="O2062" s="77"/>
      <c r="P2062" s="76"/>
      <c r="Q2062" s="76"/>
    </row>
    <row r="2063" spans="6:17" hidden="1" outlineLevel="5" x14ac:dyDescent="0.25">
      <c r="G2063" s="74" t="s">
        <v>146</v>
      </c>
      <c r="H2063" s="75"/>
      <c r="I2063" s="76"/>
      <c r="J2063" s="78">
        <f>HYPERLINK("#Структура!E2116",Структура!E2116)</f>
        <v>0.01</v>
      </c>
      <c r="K2063" s="114" t="str">
        <f>HYPERLINK("#Структура!G2116","")</f>
        <v/>
      </c>
      <c r="L2063" s="120">
        <f>HYPERLINK("#Покупные_изделия!D406",Покупные_изделия!D406)</f>
        <v>105.996</v>
      </c>
      <c r="M2063" s="76">
        <f>J2063*L2063</f>
        <v>1.05996</v>
      </c>
      <c r="N2063" s="77"/>
      <c r="O2063" s="77"/>
      <c r="P2063" s="76"/>
      <c r="Q2063" s="76"/>
    </row>
    <row r="2064" spans="6:17" hidden="1" outlineLevel="5" x14ac:dyDescent="0.25">
      <c r="G2064" s="74" t="s">
        <v>156</v>
      </c>
      <c r="H2064" s="75"/>
      <c r="I2064" s="76"/>
      <c r="J2064" s="78">
        <f>HYPERLINK("#Структура!E2117",Структура!E2117)</f>
        <v>3.0000000000000001E-3</v>
      </c>
      <c r="K2064" s="114" t="str">
        <f>HYPERLINK("#Структура!G2117","")</f>
        <v/>
      </c>
      <c r="L2064" s="120">
        <f>HYPERLINK("#Покупные_изделия!D427",Покупные_изделия!D427)</f>
        <v>155.53200000000001</v>
      </c>
      <c r="M2064" s="76">
        <f>J2064*L2064</f>
        <v>0.46659600000000007</v>
      </c>
      <c r="N2064" s="77"/>
      <c r="O2064" s="77"/>
      <c r="P2064" s="76"/>
      <c r="Q2064" s="76"/>
    </row>
    <row r="2065" spans="6:17" hidden="1" outlineLevel="4" collapsed="1" x14ac:dyDescent="0.25">
      <c r="F2065" s="84" t="s">
        <v>1270</v>
      </c>
      <c r="G2065" s="79"/>
      <c r="H2065" s="80"/>
      <c r="I2065" s="81"/>
      <c r="J2065" s="83">
        <f>HYPERLINK("#Структура!E2061",Структура!E2061)</f>
        <v>1</v>
      </c>
      <c r="K2065" s="115">
        <f>HYPERLINK("#Структура!G2061",Структура!G2061)</f>
        <v>0.22453000000000001</v>
      </c>
      <c r="L2065" s="81">
        <f>M2065/J2065</f>
        <v>26.036617199999998</v>
      </c>
      <c r="M2065" s="81">
        <f>SUMIF(G2066:G2069,"*",M2066:M2069)*J2065</f>
        <v>26.036617199999998</v>
      </c>
      <c r="N2065" s="124">
        <f>HYPERLINK("#Трудозатраты!B565",Трудозатраты!B565+SUMIF(G2066:G2069,"*",O2066:O2069))</f>
        <v>17.600000000000001</v>
      </c>
      <c r="O2065" s="82">
        <f>N2065*J2065</f>
        <v>17.600000000000001</v>
      </c>
      <c r="P2065" s="81">
        <f>O2065/60*(1+запас_труд)*стоимость_трудочаса</f>
        <v>689.33333333333337</v>
      </c>
      <c r="Q2065" s="129">
        <f>M2065*(1+наценка_покупное)+P2065</f>
        <v>720.57727397333338</v>
      </c>
    </row>
    <row r="2066" spans="6:17" hidden="1" outlineLevel="5" x14ac:dyDescent="0.25">
      <c r="G2066" s="74" t="s">
        <v>67</v>
      </c>
      <c r="H2066" s="75"/>
      <c r="I2066" s="76"/>
      <c r="J2066" s="78">
        <f>HYPERLINK("#Структура!E2118",Структура!E2118)</f>
        <v>1.7000000000000001E-2</v>
      </c>
      <c r="K2066" s="114" t="str">
        <f>HYPERLINK("#Структура!G2118","")</f>
        <v/>
      </c>
      <c r="L2066" s="120">
        <f>HYPERLINK("#Покупные_изделия!D203",Покупные_изделия!D203)</f>
        <v>30.003600000000002</v>
      </c>
      <c r="M2066" s="76">
        <f>J2066*L2066</f>
        <v>0.5100612000000001</v>
      </c>
      <c r="N2066" s="77"/>
      <c r="O2066" s="77"/>
      <c r="P2066" s="76"/>
      <c r="Q2066" s="76"/>
    </row>
    <row r="2067" spans="6:17" hidden="1" outlineLevel="5" x14ac:dyDescent="0.25">
      <c r="G2067" s="74" t="s">
        <v>96</v>
      </c>
      <c r="H2067" s="75"/>
      <c r="I2067" s="76"/>
      <c r="J2067" s="78">
        <f>HYPERLINK("#Структура!E2119",Структура!E2119)</f>
        <v>0.24</v>
      </c>
      <c r="K2067" s="114" t="str">
        <f>HYPERLINK("#Структура!G2119","")</f>
        <v/>
      </c>
      <c r="L2067" s="120">
        <f>HYPERLINK("#Покупные_изделия!D265",Покупные_изделия!D265)</f>
        <v>100</v>
      </c>
      <c r="M2067" s="76">
        <f>J2067*L2067</f>
        <v>24</v>
      </c>
      <c r="N2067" s="77"/>
      <c r="O2067" s="77"/>
      <c r="P2067" s="76"/>
      <c r="Q2067" s="76"/>
    </row>
    <row r="2068" spans="6:17" hidden="1" outlineLevel="5" x14ac:dyDescent="0.25">
      <c r="G2068" s="74" t="s">
        <v>146</v>
      </c>
      <c r="H2068" s="75"/>
      <c r="I2068" s="76"/>
      <c r="J2068" s="78">
        <f>HYPERLINK("#Структура!E2120",Структура!E2120)</f>
        <v>0.01</v>
      </c>
      <c r="K2068" s="114" t="str">
        <f>HYPERLINK("#Структура!G2120","")</f>
        <v/>
      </c>
      <c r="L2068" s="120">
        <f>HYPERLINK("#Покупные_изделия!D406",Покупные_изделия!D406)</f>
        <v>105.996</v>
      </c>
      <c r="M2068" s="76">
        <f>J2068*L2068</f>
        <v>1.05996</v>
      </c>
      <c r="N2068" s="77"/>
      <c r="O2068" s="77"/>
      <c r="P2068" s="76"/>
      <c r="Q2068" s="76"/>
    </row>
    <row r="2069" spans="6:17" hidden="1" outlineLevel="5" x14ac:dyDescent="0.25">
      <c r="G2069" s="74" t="s">
        <v>156</v>
      </c>
      <c r="H2069" s="75"/>
      <c r="I2069" s="76"/>
      <c r="J2069" s="78">
        <f>HYPERLINK("#Структура!E2121",Структура!E2121)</f>
        <v>3.0000000000000001E-3</v>
      </c>
      <c r="K2069" s="114" t="str">
        <f>HYPERLINK("#Структура!G2121","")</f>
        <v/>
      </c>
      <c r="L2069" s="120">
        <f>HYPERLINK("#Покупные_изделия!D427",Покупные_изделия!D427)</f>
        <v>155.53200000000001</v>
      </c>
      <c r="M2069" s="76">
        <f>J2069*L2069</f>
        <v>0.46659600000000007</v>
      </c>
      <c r="N2069" s="77"/>
      <c r="O2069" s="77"/>
      <c r="P2069" s="76"/>
      <c r="Q2069" s="76"/>
    </row>
    <row r="2070" spans="6:17" hidden="1" outlineLevel="4" collapsed="1" x14ac:dyDescent="0.25">
      <c r="F2070" s="84" t="s">
        <v>1271</v>
      </c>
      <c r="G2070" s="79"/>
      <c r="H2070" s="80"/>
      <c r="I2070" s="81"/>
      <c r="J2070" s="83">
        <f>HYPERLINK("#Структура!E2062",Структура!E2062)</f>
        <v>2</v>
      </c>
      <c r="K2070" s="115">
        <f>HYPERLINK("#Структура!G2062",Структура!G2062)</f>
        <v>3.7699999999999997E-2</v>
      </c>
      <c r="L2070" s="81">
        <f>M2070/J2070</f>
        <v>4.2555320000000005</v>
      </c>
      <c r="M2070" s="81">
        <f>SUMIF(G2071:G2072,"*",M2071:M2072)*J2070</f>
        <v>8.5110640000000011</v>
      </c>
      <c r="N2070" s="124">
        <f>HYPERLINK("#Трудозатраты!B566",Трудозатраты!B566+SUMIF(G2071:G2072,"*",O2071:O2072))</f>
        <v>9.8000000000000007</v>
      </c>
      <c r="O2070" s="82">
        <f>N2070*J2070</f>
        <v>19.600000000000001</v>
      </c>
      <c r="P2070" s="81">
        <f>O2070/60*(1+запас_труд)*стоимость_трудочаса</f>
        <v>767.66666666666674</v>
      </c>
      <c r="Q2070" s="129">
        <f>M2070*(1+наценка_покупное)+P2070</f>
        <v>777.87994346666676</v>
      </c>
    </row>
    <row r="2071" spans="6:17" hidden="1" outlineLevel="5" x14ac:dyDescent="0.25">
      <c r="G2071" s="74" t="s">
        <v>96</v>
      </c>
      <c r="H2071" s="75"/>
      <c r="I2071" s="76"/>
      <c r="J2071" s="78">
        <f>HYPERLINK("#Структура!E2122",Структура!E2122)</f>
        <v>4.1000000000000002E-2</v>
      </c>
      <c r="K2071" s="114" t="str">
        <f>HYPERLINK("#Структура!G2122","")</f>
        <v/>
      </c>
      <c r="L2071" s="120">
        <f>HYPERLINK("#Покупные_изделия!D265",Покупные_изделия!D265)</f>
        <v>100</v>
      </c>
      <c r="M2071" s="76">
        <f>J2071*L2071</f>
        <v>4.1000000000000005</v>
      </c>
      <c r="N2071" s="77"/>
      <c r="O2071" s="77"/>
      <c r="P2071" s="76"/>
      <c r="Q2071" s="76"/>
    </row>
    <row r="2072" spans="6:17" hidden="1" outlineLevel="5" x14ac:dyDescent="0.25">
      <c r="G2072" s="74" t="s">
        <v>156</v>
      </c>
      <c r="H2072" s="75"/>
      <c r="I2072" s="76"/>
      <c r="J2072" s="78">
        <f>HYPERLINK("#Структура!E2123",Структура!E2123)</f>
        <v>1E-3</v>
      </c>
      <c r="K2072" s="114" t="str">
        <f>HYPERLINK("#Структура!G2123","")</f>
        <v/>
      </c>
      <c r="L2072" s="120">
        <f>HYPERLINK("#Покупные_изделия!D427",Покупные_изделия!D427)</f>
        <v>155.53200000000001</v>
      </c>
      <c r="M2072" s="76">
        <f>J2072*L2072</f>
        <v>0.155532</v>
      </c>
      <c r="N2072" s="77"/>
      <c r="O2072" s="77"/>
      <c r="P2072" s="76"/>
      <c r="Q2072" s="76"/>
    </row>
    <row r="2073" spans="6:17" hidden="1" outlineLevel="4" collapsed="1" x14ac:dyDescent="0.25">
      <c r="F2073" s="84" t="s">
        <v>1272</v>
      </c>
      <c r="G2073" s="79"/>
      <c r="H2073" s="80"/>
      <c r="I2073" s="81"/>
      <c r="J2073" s="83">
        <f>HYPERLINK("#Структура!E2063",Структура!E2063)</f>
        <v>2</v>
      </c>
      <c r="K2073" s="115">
        <f>HYPERLINK("#Структура!G2063",Структура!G2063)</f>
        <v>3.7769999999999998E-2</v>
      </c>
      <c r="L2073" s="81">
        <f>M2073/J2073</f>
        <v>4.2555320000000005</v>
      </c>
      <c r="M2073" s="81">
        <f>SUMIF(G2074:G2075,"*",M2074:M2075)*J2073</f>
        <v>8.5110640000000011</v>
      </c>
      <c r="N2073" s="124">
        <f>HYPERLINK("#Трудозатраты!B567",Трудозатраты!B567+SUMIF(G2074:G2075,"*",O2074:O2075))</f>
        <v>9.8000000000000007</v>
      </c>
      <c r="O2073" s="82">
        <f>N2073*J2073</f>
        <v>19.600000000000001</v>
      </c>
      <c r="P2073" s="81">
        <f>O2073/60*(1+запас_труд)*стоимость_трудочаса</f>
        <v>767.66666666666674</v>
      </c>
      <c r="Q2073" s="129">
        <f>M2073*(1+наценка_покупное)+P2073</f>
        <v>777.87994346666676</v>
      </c>
    </row>
    <row r="2074" spans="6:17" hidden="1" outlineLevel="5" x14ac:dyDescent="0.25">
      <c r="G2074" s="74" t="s">
        <v>96</v>
      </c>
      <c r="H2074" s="75"/>
      <c r="I2074" s="76"/>
      <c r="J2074" s="78">
        <f>HYPERLINK("#Структура!E2124",Структура!E2124)</f>
        <v>4.1000000000000002E-2</v>
      </c>
      <c r="K2074" s="114" t="str">
        <f>HYPERLINK("#Структура!G2124","")</f>
        <v/>
      </c>
      <c r="L2074" s="120">
        <f>HYPERLINK("#Покупные_изделия!D265",Покупные_изделия!D265)</f>
        <v>100</v>
      </c>
      <c r="M2074" s="76">
        <f t="shared" ref="M2074:M2080" si="77">J2074*L2074</f>
        <v>4.1000000000000005</v>
      </c>
      <c r="N2074" s="77"/>
      <c r="O2074" s="77"/>
      <c r="P2074" s="76"/>
      <c r="Q2074" s="76"/>
    </row>
    <row r="2075" spans="6:17" hidden="1" outlineLevel="5" x14ac:dyDescent="0.25">
      <c r="G2075" s="74" t="s">
        <v>156</v>
      </c>
      <c r="H2075" s="75"/>
      <c r="I2075" s="76"/>
      <c r="J2075" s="78">
        <f>HYPERLINK("#Структура!E2125",Структура!E2125)</f>
        <v>1E-3</v>
      </c>
      <c r="K2075" s="114" t="str">
        <f>HYPERLINK("#Структура!G2125","")</f>
        <v/>
      </c>
      <c r="L2075" s="120">
        <f>HYPERLINK("#Покупные_изделия!D427",Покупные_изделия!D427)</f>
        <v>155.53200000000001</v>
      </c>
      <c r="M2075" s="76">
        <f t="shared" si="77"/>
        <v>0.155532</v>
      </c>
      <c r="N2075" s="77"/>
      <c r="O2075" s="77"/>
      <c r="P2075" s="76"/>
      <c r="Q2075" s="76"/>
    </row>
    <row r="2076" spans="6:17" hidden="1" outlineLevel="4" x14ac:dyDescent="0.25">
      <c r="F2076" s="74" t="s">
        <v>64</v>
      </c>
      <c r="G2076" s="74"/>
      <c r="H2076" s="75"/>
      <c r="I2076" s="76"/>
      <c r="J2076" s="78">
        <f>HYPERLINK("#Структура!E2064",Структура!E2064)</f>
        <v>0.24</v>
      </c>
      <c r="K2076" s="114" t="str">
        <f>HYPERLINK("#Структура!G2064","")</f>
        <v/>
      </c>
      <c r="L2076" s="120">
        <f>HYPERLINK("#Покупные_изделия!D196",Покупные_изделия!D196)</f>
        <v>187.92840000000001</v>
      </c>
      <c r="M2076" s="76">
        <f t="shared" si="77"/>
        <v>45.102816000000004</v>
      </c>
      <c r="N2076" s="77"/>
      <c r="O2076" s="77"/>
      <c r="P2076" s="76"/>
      <c r="Q2076" s="76"/>
    </row>
    <row r="2077" spans="6:17" hidden="1" outlineLevel="4" x14ac:dyDescent="0.25">
      <c r="F2077" s="74" t="s">
        <v>67</v>
      </c>
      <c r="G2077" s="74"/>
      <c r="H2077" s="75"/>
      <c r="I2077" s="76"/>
      <c r="J2077" s="78">
        <f>HYPERLINK("#Структура!E2065",Структура!E2065)</f>
        <v>0.25600000000000001</v>
      </c>
      <c r="K2077" s="114" t="str">
        <f>HYPERLINK("#Структура!G2065","")</f>
        <v/>
      </c>
      <c r="L2077" s="120">
        <f>HYPERLINK("#Покупные_изделия!D203",Покупные_изделия!D203)</f>
        <v>30.003600000000002</v>
      </c>
      <c r="M2077" s="76">
        <f t="shared" si="77"/>
        <v>7.6809216000000005</v>
      </c>
      <c r="N2077" s="77"/>
      <c r="O2077" s="77"/>
      <c r="P2077" s="76"/>
      <c r="Q2077" s="76"/>
    </row>
    <row r="2078" spans="6:17" hidden="1" outlineLevel="4" x14ac:dyDescent="0.25">
      <c r="F2078" s="74" t="s">
        <v>139</v>
      </c>
      <c r="G2078" s="74"/>
      <c r="H2078" s="75"/>
      <c r="I2078" s="76"/>
      <c r="J2078" s="78">
        <f>HYPERLINK("#Структура!E2066",Структура!E2066)</f>
        <v>4.8000000000000001E-2</v>
      </c>
      <c r="K2078" s="114" t="str">
        <f>HYPERLINK("#Структура!G2066","")</f>
        <v/>
      </c>
      <c r="L2078" s="120">
        <f>HYPERLINK("#Покупные_изделия!D360",Покупные_изделия!D360)</f>
        <v>171.87720000000002</v>
      </c>
      <c r="M2078" s="76">
        <f t="shared" si="77"/>
        <v>8.2501056000000013</v>
      </c>
      <c r="N2078" s="77"/>
      <c r="O2078" s="77"/>
      <c r="P2078" s="76"/>
      <c r="Q2078" s="76"/>
    </row>
    <row r="2079" spans="6:17" hidden="1" outlineLevel="4" x14ac:dyDescent="0.25">
      <c r="F2079" s="74" t="s">
        <v>146</v>
      </c>
      <c r="G2079" s="74"/>
      <c r="H2079" s="75"/>
      <c r="I2079" s="76"/>
      <c r="J2079" s="78">
        <f>HYPERLINK("#Структура!E2067",Структура!E2067)</f>
        <v>0.151</v>
      </c>
      <c r="K2079" s="114" t="str">
        <f>HYPERLINK("#Структура!G2067","")</f>
        <v/>
      </c>
      <c r="L2079" s="120">
        <f>HYPERLINK("#Покупные_изделия!D406",Покупные_изделия!D406)</f>
        <v>105.996</v>
      </c>
      <c r="M2079" s="76">
        <f t="shared" si="77"/>
        <v>16.005395999999998</v>
      </c>
      <c r="N2079" s="77"/>
      <c r="O2079" s="77"/>
      <c r="P2079" s="76"/>
      <c r="Q2079" s="76"/>
    </row>
    <row r="2080" spans="6:17" hidden="1" outlineLevel="4" x14ac:dyDescent="0.25">
      <c r="F2080" s="74" t="s">
        <v>156</v>
      </c>
      <c r="G2080" s="74"/>
      <c r="H2080" s="75"/>
      <c r="I2080" s="76"/>
      <c r="J2080" s="78">
        <f>HYPERLINK("#Структура!E2068",Структура!E2068)</f>
        <v>0.11</v>
      </c>
      <c r="K2080" s="114" t="str">
        <f>HYPERLINK("#Структура!G2068","")</f>
        <v/>
      </c>
      <c r="L2080" s="120">
        <f>HYPERLINK("#Покупные_изделия!D427",Покупные_изделия!D427)</f>
        <v>155.53200000000001</v>
      </c>
      <c r="M2080" s="76">
        <f t="shared" si="77"/>
        <v>17.108520000000002</v>
      </c>
      <c r="N2080" s="77"/>
      <c r="O2080" s="77"/>
      <c r="P2080" s="76"/>
      <c r="Q2080" s="76"/>
    </row>
    <row r="2081" spans="5:17" hidden="1" outlineLevel="3" collapsed="1" x14ac:dyDescent="0.25">
      <c r="E2081" s="96" t="s">
        <v>1186</v>
      </c>
      <c r="F2081" s="91"/>
      <c r="G2081" s="91"/>
      <c r="H2081" s="92"/>
      <c r="I2081" s="93"/>
      <c r="J2081" s="95">
        <f>HYPERLINK("#Структура!E2160",Структура!E2160)</f>
        <v>2</v>
      </c>
      <c r="K2081" s="116">
        <f>HYPERLINK("#Структура!G2160",Структура!G2160)</f>
        <v>9.4101900000000001</v>
      </c>
      <c r="L2081" s="93">
        <f>M2081/J2081</f>
        <v>4044.5011427999993</v>
      </c>
      <c r="M2081" s="93">
        <f>SUMIF(F2082:F2095,"*",M2082:M2095)*J2081</f>
        <v>8089.0022855999987</v>
      </c>
      <c r="N2081" s="125">
        <f>HYPERLINK("#Трудозатраты!B572",Трудозатраты!B572+SUMIF(F2082:F2095,"*",O2082:O2095))</f>
        <v>202.82999999999998</v>
      </c>
      <c r="O2081" s="94">
        <f>N2081*J2081</f>
        <v>405.65999999999997</v>
      </c>
      <c r="P2081" s="93">
        <f>O2081/60*(1+запас_труд)*стоимость_трудочаса</f>
        <v>15888.349999999999</v>
      </c>
      <c r="Q2081" s="130">
        <f>M2081*(1+наценка_покупное)+P2081</f>
        <v>25595.152742719998</v>
      </c>
    </row>
    <row r="2082" spans="5:17" hidden="1" outlineLevel="4" collapsed="1" x14ac:dyDescent="0.25">
      <c r="F2082" s="85" t="s">
        <v>1275</v>
      </c>
      <c r="G2082" s="86"/>
      <c r="H2082" s="87"/>
      <c r="I2082" s="88"/>
      <c r="J2082" s="90">
        <f>HYPERLINK("#Структура!E2144",Структура!E2144)</f>
        <v>1</v>
      </c>
      <c r="K2082" s="113">
        <f>HYPERLINK("#Структура!G2144",Структура!G2144)</f>
        <v>2.7799200000000002</v>
      </c>
      <c r="L2082" s="88">
        <f>M2082/J2082</f>
        <v>1538.4</v>
      </c>
      <c r="M2082" s="88">
        <f>SUMIF(G2083,"*",M2083)*J2082</f>
        <v>1538.4</v>
      </c>
      <c r="N2082" s="123">
        <f>HYPERLINK("#Трудозатраты!B573",Трудозатраты!B573+SUMIF(G2083,"*",O2083))</f>
        <v>25.8</v>
      </c>
      <c r="O2082" s="89">
        <f>N2082*J2082</f>
        <v>25.8</v>
      </c>
      <c r="P2082" s="88">
        <f>O2082/60*(1+запас_труд)*стоимость_трудочаса</f>
        <v>1010.5</v>
      </c>
      <c r="Q2082" s="128">
        <f>M2082*(1+наценка_покупное)+P2082</f>
        <v>2856.58</v>
      </c>
    </row>
    <row r="2083" spans="5:17" hidden="1" outlineLevel="5" x14ac:dyDescent="0.25">
      <c r="G2083" s="74" t="s">
        <v>113</v>
      </c>
      <c r="H2083" s="75"/>
      <c r="I2083" s="76"/>
      <c r="J2083" s="78">
        <f>HYPERLINK("#Структура!E2153",Структура!E2153)</f>
        <v>12.82</v>
      </c>
      <c r="K2083" s="114" t="str">
        <f>HYPERLINK("#Структура!G2153","")</f>
        <v/>
      </c>
      <c r="L2083" s="120">
        <f>HYPERLINK("#Покупные_изделия!D286",Покупные_изделия!D286)</f>
        <v>120</v>
      </c>
      <c r="M2083" s="76">
        <f>J2083*L2083</f>
        <v>1538.4</v>
      </c>
      <c r="N2083" s="77"/>
      <c r="O2083" s="77"/>
      <c r="P2083" s="76"/>
      <c r="Q2083" s="76"/>
    </row>
    <row r="2084" spans="5:17" hidden="1" outlineLevel="4" collapsed="1" x14ac:dyDescent="0.25">
      <c r="F2084" s="84" t="s">
        <v>1276</v>
      </c>
      <c r="G2084" s="79"/>
      <c r="H2084" s="80"/>
      <c r="I2084" s="81"/>
      <c r="J2084" s="83">
        <f>HYPERLINK("#Структура!E2145",Структура!E2145)</f>
        <v>1</v>
      </c>
      <c r="K2084" s="115">
        <f>HYPERLINK("#Структура!G2145",Структура!G2145)</f>
        <v>5.9174699999999998</v>
      </c>
      <c r="L2084" s="81">
        <f>M2084/J2084</f>
        <v>2093.9100635999998</v>
      </c>
      <c r="M2084" s="81">
        <f>SUMIF(G2085:G2087,"*",M2085:M2087)*J2084</f>
        <v>2093.9100635999998</v>
      </c>
      <c r="N2084" s="124">
        <f>HYPERLINK("#Трудозатраты!B574",Трудозатраты!B574+SUMIF(G2085:G2087,"*",O2085:O2087))</f>
        <v>19.5</v>
      </c>
      <c r="O2084" s="82">
        <f>N2084*J2084</f>
        <v>19.5</v>
      </c>
      <c r="P2084" s="81">
        <f>O2084/60*(1+запас_труд)*стоимость_трудочаса</f>
        <v>763.75</v>
      </c>
      <c r="Q2084" s="129">
        <f>M2084*(1+наценка_покупное)+P2084</f>
        <v>3276.4420763199996</v>
      </c>
    </row>
    <row r="2085" spans="5:17" hidden="1" outlineLevel="5" x14ac:dyDescent="0.25">
      <c r="G2085" s="74" t="s">
        <v>67</v>
      </c>
      <c r="H2085" s="75"/>
      <c r="I2085" s="76"/>
      <c r="J2085" s="78">
        <f>HYPERLINK("#Структура!E2154",Структура!E2154)</f>
        <v>5.0999999999999997E-2</v>
      </c>
      <c r="K2085" s="114" t="str">
        <f>HYPERLINK("#Структура!G2154","")</f>
        <v/>
      </c>
      <c r="L2085" s="120">
        <f>HYPERLINK("#Покупные_изделия!D203",Покупные_изделия!D203)</f>
        <v>30.003600000000002</v>
      </c>
      <c r="M2085" s="76">
        <f>J2085*L2085</f>
        <v>1.5301836</v>
      </c>
      <c r="N2085" s="77"/>
      <c r="O2085" s="77"/>
      <c r="P2085" s="76"/>
      <c r="Q2085" s="76"/>
    </row>
    <row r="2086" spans="5:17" hidden="1" outlineLevel="5" x14ac:dyDescent="0.25">
      <c r="G2086" s="74" t="s">
        <v>113</v>
      </c>
      <c r="H2086" s="75"/>
      <c r="I2086" s="76"/>
      <c r="J2086" s="78">
        <f>HYPERLINK("#Структура!E2155",Структура!E2155)</f>
        <v>17.41</v>
      </c>
      <c r="K2086" s="114" t="str">
        <f>HYPERLINK("#Структура!G2155","")</f>
        <v/>
      </c>
      <c r="L2086" s="120">
        <f>HYPERLINK("#Покупные_изделия!D286",Покупные_изделия!D286)</f>
        <v>120</v>
      </c>
      <c r="M2086" s="76">
        <f>J2086*L2086</f>
        <v>2089.1999999999998</v>
      </c>
      <c r="N2086" s="77"/>
      <c r="O2086" s="77"/>
      <c r="P2086" s="76"/>
      <c r="Q2086" s="76"/>
    </row>
    <row r="2087" spans="5:17" hidden="1" outlineLevel="5" x14ac:dyDescent="0.25">
      <c r="G2087" s="74" t="s">
        <v>146</v>
      </c>
      <c r="H2087" s="75"/>
      <c r="I2087" s="76"/>
      <c r="J2087" s="78">
        <f>HYPERLINK("#Структура!E2156",Структура!E2156)</f>
        <v>0.03</v>
      </c>
      <c r="K2087" s="114" t="str">
        <f>HYPERLINK("#Структура!G2156","")</f>
        <v/>
      </c>
      <c r="L2087" s="120">
        <f>HYPERLINK("#Покупные_изделия!D406",Покупные_изделия!D406)</f>
        <v>105.996</v>
      </c>
      <c r="M2087" s="76">
        <f>J2087*L2087</f>
        <v>3.1798799999999998</v>
      </c>
      <c r="N2087" s="77"/>
      <c r="O2087" s="77"/>
      <c r="P2087" s="76"/>
      <c r="Q2087" s="76"/>
    </row>
    <row r="2088" spans="5:17" hidden="1" outlineLevel="4" collapsed="1" x14ac:dyDescent="0.25">
      <c r="F2088" s="84" t="s">
        <v>1277</v>
      </c>
      <c r="G2088" s="79"/>
      <c r="H2088" s="80"/>
      <c r="I2088" s="81"/>
      <c r="J2088" s="83">
        <f>HYPERLINK("#Структура!E2146",Структура!E2146)</f>
        <v>1</v>
      </c>
      <c r="K2088" s="115">
        <f>HYPERLINK("#Структура!G2146",Структура!G2146)</f>
        <v>0.71279999999999999</v>
      </c>
      <c r="L2088" s="81">
        <f>M2088/J2088</f>
        <v>102.24</v>
      </c>
      <c r="M2088" s="81">
        <f>SUMIF(G2089,"*",M2089)*J2088</f>
        <v>102.24</v>
      </c>
      <c r="N2088" s="124">
        <f>HYPERLINK("#Трудозатраты!B575",Трудозатраты!B575+SUMIF(G2089,"*",O2089))</f>
        <v>24.53</v>
      </c>
      <c r="O2088" s="82">
        <f>N2088*J2088</f>
        <v>24.53</v>
      </c>
      <c r="P2088" s="81">
        <f>O2088/60*(1+запас_труд)*стоимость_трудочаса</f>
        <v>960.75833333333333</v>
      </c>
      <c r="Q2088" s="129">
        <f>M2088*(1+наценка_покупное)+P2088</f>
        <v>1083.4463333333333</v>
      </c>
    </row>
    <row r="2089" spans="5:17" hidden="1" outlineLevel="5" x14ac:dyDescent="0.25">
      <c r="G2089" s="74" t="s">
        <v>113</v>
      </c>
      <c r="H2089" s="75"/>
      <c r="I2089" s="76"/>
      <c r="J2089" s="78">
        <f>HYPERLINK("#Структура!E2157",Структура!E2157)</f>
        <v>0.85199999999999998</v>
      </c>
      <c r="K2089" s="114" t="str">
        <f>HYPERLINK("#Структура!G2157","")</f>
        <v/>
      </c>
      <c r="L2089" s="120">
        <f>HYPERLINK("#Покупные_изделия!D286",Покупные_изделия!D286)</f>
        <v>120</v>
      </c>
      <c r="M2089" s="76">
        <f t="shared" ref="M2089:M2095" si="78">J2089*L2089</f>
        <v>102.24</v>
      </c>
      <c r="N2089" s="77"/>
      <c r="O2089" s="77"/>
      <c r="P2089" s="76"/>
      <c r="Q2089" s="76"/>
    </row>
    <row r="2090" spans="5:17" hidden="1" outlineLevel="4" x14ac:dyDescent="0.25">
      <c r="F2090" s="74" t="s">
        <v>65</v>
      </c>
      <c r="G2090" s="74"/>
      <c r="H2090" s="75"/>
      <c r="I2090" s="76"/>
      <c r="J2090" s="78">
        <f>HYPERLINK("#Структура!E2147",Структура!E2147)</f>
        <v>0.15</v>
      </c>
      <c r="K2090" s="114" t="str">
        <f>HYPERLINK("#Структура!G2147","")</f>
        <v/>
      </c>
      <c r="L2090" s="120">
        <f>HYPERLINK("#Покупные_изделия!D197",Покупные_изделия!D197)</f>
        <v>264.50399999999996</v>
      </c>
      <c r="M2090" s="76">
        <f t="shared" si="78"/>
        <v>39.675599999999996</v>
      </c>
      <c r="N2090" s="77"/>
      <c r="O2090" s="77"/>
      <c r="P2090" s="76"/>
      <c r="Q2090" s="76"/>
    </row>
    <row r="2091" spans="5:17" hidden="1" outlineLevel="4" x14ac:dyDescent="0.25">
      <c r="F2091" s="74" t="s">
        <v>67</v>
      </c>
      <c r="G2091" s="74"/>
      <c r="H2091" s="75"/>
      <c r="I2091" s="76"/>
      <c r="J2091" s="78">
        <f>HYPERLINK("#Структура!E2148",Структура!E2148)</f>
        <v>0.86199999999999999</v>
      </c>
      <c r="K2091" s="114" t="str">
        <f>HYPERLINK("#Структура!G2148","")</f>
        <v/>
      </c>
      <c r="L2091" s="120">
        <f>HYPERLINK("#Покупные_изделия!D203",Покупные_изделия!D203)</f>
        <v>30.003600000000002</v>
      </c>
      <c r="M2091" s="76">
        <f t="shared" si="78"/>
        <v>25.863103200000001</v>
      </c>
      <c r="N2091" s="77"/>
      <c r="O2091" s="77"/>
      <c r="P2091" s="76"/>
      <c r="Q2091" s="76"/>
    </row>
    <row r="2092" spans="5:17" hidden="1" outlineLevel="4" x14ac:dyDescent="0.25">
      <c r="F2092" s="74" t="s">
        <v>146</v>
      </c>
      <c r="G2092" s="74"/>
      <c r="H2092" s="75"/>
      <c r="I2092" s="76"/>
      <c r="J2092" s="78">
        <f>HYPERLINK("#Структура!E2149",Структура!E2149)</f>
        <v>0.50600000000000001</v>
      </c>
      <c r="K2092" s="114" t="str">
        <f>HYPERLINK("#Структура!G2149","")</f>
        <v/>
      </c>
      <c r="L2092" s="120">
        <f>HYPERLINK("#Покупные_изделия!D406",Покупные_изделия!D406)</f>
        <v>105.996</v>
      </c>
      <c r="M2092" s="76">
        <f t="shared" si="78"/>
        <v>53.633975999999997</v>
      </c>
      <c r="N2092" s="77"/>
      <c r="O2092" s="77"/>
      <c r="P2092" s="76"/>
      <c r="Q2092" s="76"/>
    </row>
    <row r="2093" spans="5:17" hidden="1" outlineLevel="4" x14ac:dyDescent="0.25">
      <c r="F2093" s="74" t="s">
        <v>155</v>
      </c>
      <c r="G2093" s="74"/>
      <c r="H2093" s="75"/>
      <c r="I2093" s="76"/>
      <c r="J2093" s="78">
        <f>HYPERLINK("#Структура!E2150",Структура!E2150)</f>
        <v>0.09</v>
      </c>
      <c r="K2093" s="114" t="str">
        <f>HYPERLINK("#Структура!G2150","")</f>
        <v/>
      </c>
      <c r="L2093" s="120">
        <f>HYPERLINK("#Покупные_изделия!D423",Покупные_изделия!D423)</f>
        <v>218.28</v>
      </c>
      <c r="M2093" s="76">
        <f t="shared" si="78"/>
        <v>19.645199999999999</v>
      </c>
      <c r="N2093" s="77"/>
      <c r="O2093" s="77"/>
      <c r="P2093" s="76"/>
      <c r="Q2093" s="76"/>
    </row>
    <row r="2094" spans="5:17" hidden="1" outlineLevel="4" x14ac:dyDescent="0.25">
      <c r="F2094" s="74" t="s">
        <v>200</v>
      </c>
      <c r="G2094" s="74"/>
      <c r="H2094" s="75"/>
      <c r="I2094" s="76"/>
      <c r="J2094" s="78">
        <f>HYPERLINK("#Структура!E2151",Структура!E2151)</f>
        <v>0.183</v>
      </c>
      <c r="K2094" s="114" t="str">
        <f>HYPERLINK("#Структура!G2151","")</f>
        <v/>
      </c>
      <c r="L2094" s="120">
        <f>HYPERLINK("#Покупные_изделия!D518",Покупные_изделия!D518)</f>
        <v>270</v>
      </c>
      <c r="M2094" s="76">
        <f t="shared" si="78"/>
        <v>49.41</v>
      </c>
      <c r="N2094" s="77"/>
      <c r="O2094" s="77"/>
      <c r="P2094" s="76"/>
      <c r="Q2094" s="76"/>
    </row>
    <row r="2095" spans="5:17" hidden="1" outlineLevel="4" x14ac:dyDescent="0.25">
      <c r="F2095" s="74" t="s">
        <v>215</v>
      </c>
      <c r="G2095" s="74"/>
      <c r="H2095" s="75"/>
      <c r="I2095" s="76"/>
      <c r="J2095" s="78">
        <f>HYPERLINK("#Структура!E2152",Структура!E2152)</f>
        <v>0.3</v>
      </c>
      <c r="K2095" s="114" t="str">
        <f>HYPERLINK("#Структура!G2152","")</f>
        <v/>
      </c>
      <c r="L2095" s="120">
        <f>HYPERLINK("#Покупные_изделия!D567",Покупные_изделия!D567)</f>
        <v>405.74399999999997</v>
      </c>
      <c r="M2095" s="76">
        <f t="shared" si="78"/>
        <v>121.72319999999999</v>
      </c>
      <c r="N2095" s="77"/>
      <c r="O2095" s="77"/>
      <c r="P2095" s="76"/>
      <c r="Q2095" s="76"/>
    </row>
    <row r="2096" spans="5:17" hidden="1" outlineLevel="3" collapsed="1" x14ac:dyDescent="0.25">
      <c r="E2096" s="96" t="s">
        <v>1279</v>
      </c>
      <c r="F2096" s="91"/>
      <c r="G2096" s="91"/>
      <c r="H2096" s="92"/>
      <c r="I2096" s="93"/>
      <c r="J2096" s="95">
        <f>HYPERLINK("#Структура!E2161",Структура!E2161)</f>
        <v>1</v>
      </c>
      <c r="K2096" s="116">
        <f>HYPERLINK("#Структура!G2161",Структура!G2161)</f>
        <v>97.594430000000003</v>
      </c>
      <c r="L2096" s="93">
        <f>M2096/J2096</f>
        <v>20998.244106000002</v>
      </c>
      <c r="M2096" s="93">
        <f>SUMIF(F2097:F2135,"*",M2097:M2135)*J2096</f>
        <v>20998.244106000002</v>
      </c>
      <c r="N2096" s="125">
        <f>HYPERLINK("#Трудозатраты!B581",Трудозатраты!B581+SUMIF(F2097:F2135,"*",O2097:O2135))</f>
        <v>636.20000000000005</v>
      </c>
      <c r="O2096" s="94">
        <f>N2096*J2096</f>
        <v>636.20000000000005</v>
      </c>
      <c r="P2096" s="93">
        <f>O2096/60*(1+запас_труд)*стоимость_трудочаса</f>
        <v>24917.833333333332</v>
      </c>
      <c r="Q2096" s="130">
        <f>M2096*(1+наценка_покупное)+P2096</f>
        <v>50115.726260533338</v>
      </c>
    </row>
    <row r="2097" spans="6:17" hidden="1" outlineLevel="4" collapsed="1" x14ac:dyDescent="0.25">
      <c r="F2097" s="97" t="s">
        <v>1208</v>
      </c>
      <c r="G2097" s="98"/>
      <c r="H2097" s="99"/>
      <c r="I2097" s="100"/>
      <c r="J2097" s="102">
        <f>HYPERLINK("#Структура!E2224",Структура!E2224)</f>
        <v>1</v>
      </c>
      <c r="K2097" s="112">
        <f>HYPERLINK("#Структура!G2224",Структура!G2224)</f>
        <v>7.9344000000000001</v>
      </c>
      <c r="L2097" s="100">
        <f>M2097/J2097</f>
        <v>1958.1646200000002</v>
      </c>
      <c r="M2097" s="100">
        <f>SUMIF(G2098:G2108,"*",M2098:M2108)*J2097</f>
        <v>1958.1646200000002</v>
      </c>
      <c r="N2097" s="122">
        <f>HYPERLINK("#Трудозатраты!B507",Трудозатраты!B507+SUMIF(G2098:G2108,"*",O2098:O2108))</f>
        <v>48</v>
      </c>
      <c r="O2097" s="101">
        <f>N2097*J2097</f>
        <v>48</v>
      </c>
      <c r="P2097" s="100">
        <f>O2097/60*(1+запас_труд)*стоимость_трудочаса</f>
        <v>1880</v>
      </c>
      <c r="Q2097" s="127">
        <f>M2097*(1+наценка_покупное)+P2097</f>
        <v>4229.797544</v>
      </c>
    </row>
    <row r="2098" spans="6:17" hidden="1" outlineLevel="5" collapsed="1" x14ac:dyDescent="0.25">
      <c r="G2098" s="85" t="s">
        <v>1215</v>
      </c>
      <c r="H2098" s="87"/>
      <c r="I2098" s="88"/>
      <c r="J2098" s="90">
        <f>HYPERLINK("#Структура!E1903",Структура!E1903)</f>
        <v>1</v>
      </c>
      <c r="K2098" s="113">
        <f>HYPERLINK("#Структура!G1903",Структура!G1903)</f>
        <v>7.4728300000000001</v>
      </c>
      <c r="L2098" s="88">
        <f>M2098/J2098</f>
        <v>1852.8</v>
      </c>
      <c r="M2098" s="88">
        <f>SUMIF(H2099,"*",M2099)*J2098</f>
        <v>1852.8</v>
      </c>
      <c r="N2098" s="123">
        <f>HYPERLINK("#Трудозатраты!B508",Трудозатраты!B508+SUMIF(H2099,"*",O2099))</f>
        <v>8.5</v>
      </c>
      <c r="O2098" s="89">
        <f>N2098*J2098</f>
        <v>8.5</v>
      </c>
      <c r="P2098" s="88">
        <f>O2098/60*(1+запас_труд)*стоимость_трудочаса</f>
        <v>332.91666666666669</v>
      </c>
      <c r="Q2098" s="128">
        <f>M2098*(1+наценка_покупное)+P2098</f>
        <v>2556.2766666666662</v>
      </c>
    </row>
    <row r="2099" spans="6:17" hidden="1" outlineLevel="6" x14ac:dyDescent="0.25">
      <c r="H2099" s="75" t="s">
        <v>113</v>
      </c>
      <c r="I2099" s="76"/>
      <c r="J2099" s="78">
        <f>HYPERLINK("#Структура!E1912",Структура!E1912)</f>
        <v>15.44</v>
      </c>
      <c r="K2099" s="114" t="str">
        <f>HYPERLINK("#Структура!G1912","")</f>
        <v/>
      </c>
      <c r="L2099" s="120">
        <f>HYPERLINK("#Покупные_изделия!D286",Покупные_изделия!D286)</f>
        <v>120</v>
      </c>
      <c r="M2099" s="76">
        <f>J2099*L2099</f>
        <v>1852.8</v>
      </c>
      <c r="N2099" s="77"/>
      <c r="O2099" s="77"/>
      <c r="P2099" s="76"/>
      <c r="Q2099" s="76"/>
    </row>
    <row r="2100" spans="6:17" hidden="1" outlineLevel="5" collapsed="1" x14ac:dyDescent="0.25">
      <c r="G2100" s="84" t="s">
        <v>1216</v>
      </c>
      <c r="H2100" s="80"/>
      <c r="I2100" s="81"/>
      <c r="J2100" s="83">
        <f>HYPERLINK("#Структура!E1904",Структура!E1904)</f>
        <v>1</v>
      </c>
      <c r="K2100" s="115">
        <f>HYPERLINK("#Структура!G1904",Структура!G1904)</f>
        <v>0.40887000000000001</v>
      </c>
      <c r="L2100" s="81">
        <f>M2100/J2100</f>
        <v>62.400000000000006</v>
      </c>
      <c r="M2100" s="81">
        <f>SUMIF(H2101,"*",M2101)*J2100</f>
        <v>62.400000000000006</v>
      </c>
      <c r="N2100" s="124">
        <f>HYPERLINK("#Трудозатраты!B509",Трудозатраты!B509+SUMIF(H2101,"*",O2101))</f>
        <v>2.2999999999999998</v>
      </c>
      <c r="O2100" s="82">
        <f>N2100*J2100</f>
        <v>2.2999999999999998</v>
      </c>
      <c r="P2100" s="81">
        <f>O2100/60*(1+запас_труд)*стоимость_трудочаса</f>
        <v>90.083333333333329</v>
      </c>
      <c r="Q2100" s="129">
        <f>M2100*(1+наценка_покупное)+P2100</f>
        <v>164.96333333333334</v>
      </c>
    </row>
    <row r="2101" spans="6:17" hidden="1" outlineLevel="6" x14ac:dyDescent="0.25">
      <c r="H2101" s="75" t="s">
        <v>113</v>
      </c>
      <c r="I2101" s="76"/>
      <c r="J2101" s="78">
        <f>HYPERLINK("#Структура!E1913",Структура!E1913)</f>
        <v>0.52</v>
      </c>
      <c r="K2101" s="114" t="str">
        <f>HYPERLINK("#Структура!G1913","")</f>
        <v/>
      </c>
      <c r="L2101" s="120">
        <f>HYPERLINK("#Покупные_изделия!D286",Покупные_изделия!D286)</f>
        <v>120</v>
      </c>
      <c r="M2101" s="76">
        <f t="shared" ref="M2101:M2108" si="79">J2101*L2101</f>
        <v>62.400000000000006</v>
      </c>
      <c r="N2101" s="77"/>
      <c r="O2101" s="77"/>
      <c r="P2101" s="76"/>
      <c r="Q2101" s="76"/>
    </row>
    <row r="2102" spans="6:17" hidden="1" outlineLevel="5" x14ac:dyDescent="0.25">
      <c r="G2102" s="74" t="s">
        <v>966</v>
      </c>
      <c r="H2102" s="75"/>
      <c r="I2102" s="76"/>
      <c r="J2102" s="78">
        <f>HYPERLINK("#Структура!E1905",Структура!E1905)</f>
        <v>10</v>
      </c>
      <c r="K2102" s="114">
        <f>HYPERLINK("#Структура!G1905",Структура!G1905)</f>
        <v>5.2700000000000004E-3</v>
      </c>
      <c r="L2102" s="120">
        <f>HYPERLINK("#Покупные_изделия!D170",Покупные_изделия!D170)</f>
        <v>1.3728</v>
      </c>
      <c r="M2102" s="76">
        <f t="shared" si="79"/>
        <v>13.728</v>
      </c>
      <c r="N2102" s="77"/>
      <c r="O2102" s="77"/>
      <c r="P2102" s="76"/>
      <c r="Q2102" s="76"/>
    </row>
    <row r="2103" spans="6:17" hidden="1" outlineLevel="5" x14ac:dyDescent="0.25">
      <c r="G2103" s="74" t="s">
        <v>65</v>
      </c>
      <c r="H2103" s="75"/>
      <c r="I2103" s="76"/>
      <c r="J2103" s="78">
        <f>HYPERLINK("#Структура!E1906",Структура!E1906)</f>
        <v>1.6E-2</v>
      </c>
      <c r="K2103" s="114" t="str">
        <f>HYPERLINK("#Структура!G1906","")</f>
        <v/>
      </c>
      <c r="L2103" s="120">
        <f>HYPERLINK("#Покупные_изделия!D197",Покупные_изделия!D197)</f>
        <v>264.50399999999996</v>
      </c>
      <c r="M2103" s="76">
        <f t="shared" si="79"/>
        <v>4.2320639999999994</v>
      </c>
      <c r="N2103" s="77"/>
      <c r="O2103" s="77"/>
      <c r="P2103" s="76"/>
      <c r="Q2103" s="76"/>
    </row>
    <row r="2104" spans="6:17" hidden="1" outlineLevel="5" x14ac:dyDescent="0.25">
      <c r="G2104" s="74" t="s">
        <v>67</v>
      </c>
      <c r="H2104" s="75"/>
      <c r="I2104" s="76"/>
      <c r="J2104" s="78">
        <f>HYPERLINK("#Структура!E1907",Структура!E1907)</f>
        <v>0.06</v>
      </c>
      <c r="K2104" s="114" t="str">
        <f>HYPERLINK("#Структура!G1907","")</f>
        <v/>
      </c>
      <c r="L2104" s="120">
        <f>HYPERLINK("#Покупные_изделия!D203",Покупные_изделия!D203)</f>
        <v>30.003600000000002</v>
      </c>
      <c r="M2104" s="76">
        <f t="shared" si="79"/>
        <v>1.800216</v>
      </c>
      <c r="N2104" s="77"/>
      <c r="O2104" s="77"/>
      <c r="P2104" s="76"/>
      <c r="Q2104" s="76"/>
    </row>
    <row r="2105" spans="6:17" hidden="1" outlineLevel="5" x14ac:dyDescent="0.25">
      <c r="G2105" s="74" t="s">
        <v>146</v>
      </c>
      <c r="H2105" s="75"/>
      <c r="I2105" s="76"/>
      <c r="J2105" s="78">
        <f>HYPERLINK("#Структура!E1908",Структура!E1908)</f>
        <v>3.5000000000000003E-2</v>
      </c>
      <c r="K2105" s="114" t="str">
        <f>HYPERLINK("#Структура!G1908","")</f>
        <v/>
      </c>
      <c r="L2105" s="120">
        <f>HYPERLINK("#Покупные_изделия!D406",Покупные_изделия!D406)</f>
        <v>105.996</v>
      </c>
      <c r="M2105" s="76">
        <f t="shared" si="79"/>
        <v>3.7098600000000004</v>
      </c>
      <c r="N2105" s="77"/>
      <c r="O2105" s="77"/>
      <c r="P2105" s="76"/>
      <c r="Q2105" s="76"/>
    </row>
    <row r="2106" spans="6:17" hidden="1" outlineLevel="5" x14ac:dyDescent="0.25">
      <c r="G2106" s="74" t="s">
        <v>155</v>
      </c>
      <c r="H2106" s="75"/>
      <c r="I2106" s="76"/>
      <c r="J2106" s="78">
        <f>HYPERLINK("#Структура!E1909",Структура!E1909)</f>
        <v>0.01</v>
      </c>
      <c r="K2106" s="114" t="str">
        <f>HYPERLINK("#Структура!G1909","")</f>
        <v/>
      </c>
      <c r="L2106" s="120">
        <f>HYPERLINK("#Покупные_изделия!D423",Покупные_изделия!D423)</f>
        <v>218.28</v>
      </c>
      <c r="M2106" s="76">
        <f t="shared" si="79"/>
        <v>2.1827999999999999</v>
      </c>
      <c r="N2106" s="77"/>
      <c r="O2106" s="77"/>
      <c r="P2106" s="76"/>
      <c r="Q2106" s="76"/>
    </row>
    <row r="2107" spans="6:17" hidden="1" outlineLevel="5" x14ac:dyDescent="0.25">
      <c r="G2107" s="74" t="s">
        <v>156</v>
      </c>
      <c r="H2107" s="75"/>
      <c r="I2107" s="76"/>
      <c r="J2107" s="78">
        <f>HYPERLINK("#Структура!E1910",Структура!E1910)</f>
        <v>0.02</v>
      </c>
      <c r="K2107" s="114" t="str">
        <f>HYPERLINK("#Структура!G1910","")</f>
        <v/>
      </c>
      <c r="L2107" s="120">
        <f>HYPERLINK("#Покупные_изделия!D427",Покупные_изделия!D427)</f>
        <v>155.53200000000001</v>
      </c>
      <c r="M2107" s="76">
        <f t="shared" si="79"/>
        <v>3.1106400000000001</v>
      </c>
      <c r="N2107" s="77"/>
      <c r="O2107" s="77"/>
      <c r="P2107" s="76"/>
      <c r="Q2107" s="76"/>
    </row>
    <row r="2108" spans="6:17" hidden="1" outlineLevel="5" x14ac:dyDescent="0.25">
      <c r="G2108" s="74" t="s">
        <v>215</v>
      </c>
      <c r="H2108" s="75"/>
      <c r="I2108" s="76"/>
      <c r="J2108" s="78">
        <f>HYPERLINK("#Структура!E1911",Структура!E1911)</f>
        <v>3.5000000000000003E-2</v>
      </c>
      <c r="K2108" s="114" t="str">
        <f>HYPERLINK("#Структура!G1911","")</f>
        <v/>
      </c>
      <c r="L2108" s="120">
        <f>HYPERLINK("#Покупные_изделия!D567",Покупные_изделия!D567)</f>
        <v>405.74399999999997</v>
      </c>
      <c r="M2108" s="76">
        <f t="shared" si="79"/>
        <v>14.201040000000001</v>
      </c>
      <c r="N2108" s="77"/>
      <c r="O2108" s="77"/>
      <c r="P2108" s="76"/>
      <c r="Q2108" s="76"/>
    </row>
    <row r="2109" spans="6:17" hidden="1" outlineLevel="4" collapsed="1" x14ac:dyDescent="0.25">
      <c r="F2109" s="96" t="s">
        <v>1209</v>
      </c>
      <c r="G2109" s="91"/>
      <c r="H2109" s="92"/>
      <c r="I2109" s="93"/>
      <c r="J2109" s="95">
        <f>HYPERLINK("#Структура!E2225",Структура!E2225)</f>
        <v>1</v>
      </c>
      <c r="K2109" s="116">
        <f>HYPERLINK("#Структура!G2225",Структура!G2225)</f>
        <v>1.51356</v>
      </c>
      <c r="L2109" s="93">
        <f>M2109/J2109</f>
        <v>162.61640960000003</v>
      </c>
      <c r="M2109" s="93">
        <f>SUMIF(G2110:G2114,"*",M2110:M2114)*J2109</f>
        <v>162.61640960000003</v>
      </c>
      <c r="N2109" s="125">
        <f>HYPERLINK("#Трудозатраты!B510",Трудозатраты!B510+SUMIF(G2110:G2114,"*",O2110:O2114))</f>
        <v>14.7</v>
      </c>
      <c r="O2109" s="94">
        <f>N2109*J2109</f>
        <v>14.7</v>
      </c>
      <c r="P2109" s="93">
        <f>O2109/60*(1+запас_труд)*стоимость_трудочаса</f>
        <v>575.75</v>
      </c>
      <c r="Q2109" s="130">
        <f>M2109*(1+наценка_покупное)+P2109</f>
        <v>770.88969152000004</v>
      </c>
    </row>
    <row r="2110" spans="6:17" hidden="1" outlineLevel="5" collapsed="1" x14ac:dyDescent="0.25">
      <c r="G2110" s="85" t="s">
        <v>1217</v>
      </c>
      <c r="H2110" s="87"/>
      <c r="I2110" s="88"/>
      <c r="J2110" s="90">
        <f>HYPERLINK("#Структура!E1914",Структура!E1914)</f>
        <v>1</v>
      </c>
      <c r="K2110" s="113">
        <f>HYPERLINK("#Структура!G1914",Структура!G1914)</f>
        <v>1.4977499999999999</v>
      </c>
      <c r="L2110" s="88">
        <f>M2110/J2110</f>
        <v>158</v>
      </c>
      <c r="M2110" s="88">
        <f>SUMIF(H2111,"*",M2111)*J2110</f>
        <v>158</v>
      </c>
      <c r="N2110" s="123">
        <f>HYPERLINK("#Трудозатраты!B511",Трудозатраты!B511+SUMIF(H2111,"*",O2111))</f>
        <v>8.6999999999999993</v>
      </c>
      <c r="O2110" s="89">
        <f>N2110*J2110</f>
        <v>8.6999999999999993</v>
      </c>
      <c r="P2110" s="88">
        <f>O2110/60*(1+запас_труд)*стоимость_трудочаса</f>
        <v>340.75</v>
      </c>
      <c r="Q2110" s="128">
        <f>M2110*(1+наценка_покупное)+P2110</f>
        <v>530.35</v>
      </c>
    </row>
    <row r="2111" spans="6:17" hidden="1" outlineLevel="6" x14ac:dyDescent="0.25">
      <c r="H2111" s="75" t="s">
        <v>186</v>
      </c>
      <c r="I2111" s="76"/>
      <c r="J2111" s="78">
        <f>HYPERLINK("#Структура!E1918",Структура!E1918)</f>
        <v>1.58</v>
      </c>
      <c r="K2111" s="114" t="str">
        <f>HYPERLINK("#Структура!G1918","")</f>
        <v/>
      </c>
      <c r="L2111" s="120">
        <f>HYPERLINK("#Покупные_изделия!D499",Покупные_изделия!D499)</f>
        <v>100</v>
      </c>
      <c r="M2111" s="76">
        <f>J2111*L2111</f>
        <v>158</v>
      </c>
      <c r="N2111" s="77"/>
      <c r="O2111" s="77"/>
      <c r="P2111" s="76"/>
      <c r="Q2111" s="76"/>
    </row>
    <row r="2112" spans="6:17" hidden="1" outlineLevel="5" x14ac:dyDescent="0.25">
      <c r="G2112" s="74" t="s">
        <v>966</v>
      </c>
      <c r="H2112" s="75"/>
      <c r="I2112" s="76"/>
      <c r="J2112" s="78">
        <f>HYPERLINK("#Структура!E1915",Структура!E1915)</f>
        <v>3</v>
      </c>
      <c r="K2112" s="114">
        <f>HYPERLINK("#Структура!G1915",Структура!G1915)</f>
        <v>5.2700000000000004E-3</v>
      </c>
      <c r="L2112" s="120">
        <f>HYPERLINK("#Покупные_изделия!D170",Покупные_изделия!D170)</f>
        <v>1.3728</v>
      </c>
      <c r="M2112" s="76">
        <f>J2112*L2112</f>
        <v>4.1184000000000003</v>
      </c>
      <c r="N2112" s="77"/>
      <c r="O2112" s="77"/>
      <c r="P2112" s="76"/>
      <c r="Q2112" s="76"/>
    </row>
    <row r="2113" spans="6:17" hidden="1" outlineLevel="5" x14ac:dyDescent="0.25">
      <c r="G2113" s="74" t="s">
        <v>67</v>
      </c>
      <c r="H2113" s="75"/>
      <c r="I2113" s="76"/>
      <c r="J2113" s="78">
        <f>HYPERLINK("#Структура!E1916",Структура!E1916)</f>
        <v>6.0000000000000001E-3</v>
      </c>
      <c r="K2113" s="114" t="str">
        <f>HYPERLINK("#Структура!G1916","")</f>
        <v/>
      </c>
      <c r="L2113" s="120">
        <f>HYPERLINK("#Покупные_изделия!D203",Покупные_изделия!D203)</f>
        <v>30.003600000000002</v>
      </c>
      <c r="M2113" s="76">
        <f>J2113*L2113</f>
        <v>0.1800216</v>
      </c>
      <c r="N2113" s="77"/>
      <c r="O2113" s="77"/>
      <c r="P2113" s="76"/>
      <c r="Q2113" s="76"/>
    </row>
    <row r="2114" spans="6:17" hidden="1" outlineLevel="5" x14ac:dyDescent="0.25">
      <c r="G2114" s="74" t="s">
        <v>146</v>
      </c>
      <c r="H2114" s="75"/>
      <c r="I2114" s="76"/>
      <c r="J2114" s="78">
        <f>HYPERLINK("#Структура!E1917",Структура!E1917)</f>
        <v>3.0000000000000001E-3</v>
      </c>
      <c r="K2114" s="114" t="str">
        <f>HYPERLINK("#Структура!G1917","")</f>
        <v/>
      </c>
      <c r="L2114" s="120">
        <f>HYPERLINK("#Покупные_изделия!D406",Покупные_изделия!D406)</f>
        <v>105.996</v>
      </c>
      <c r="M2114" s="76">
        <f>J2114*L2114</f>
        <v>0.31798799999999999</v>
      </c>
      <c r="N2114" s="77"/>
      <c r="O2114" s="77"/>
      <c r="P2114" s="76"/>
      <c r="Q2114" s="76"/>
    </row>
    <row r="2115" spans="6:17" hidden="1" outlineLevel="4" collapsed="1" x14ac:dyDescent="0.25">
      <c r="F2115" s="84" t="s">
        <v>1212</v>
      </c>
      <c r="G2115" s="79"/>
      <c r="H2115" s="80"/>
      <c r="I2115" s="81"/>
      <c r="J2115" s="83">
        <f>HYPERLINK("#Структура!E2226",Структура!E2226)</f>
        <v>1</v>
      </c>
      <c r="K2115" s="115">
        <f>HYPERLINK("#Структура!G2226",Структура!G2226)</f>
        <v>43.787379999999999</v>
      </c>
      <c r="L2115" s="81">
        <f>M2115/J2115</f>
        <v>6944.2821839999997</v>
      </c>
      <c r="M2115" s="81">
        <f>SUMIF(G2116:G2118,"*",M2116:M2118)*J2115</f>
        <v>6944.2821839999997</v>
      </c>
      <c r="N2115" s="124">
        <f>HYPERLINK("#Трудозатраты!B505",Трудозатраты!B505+SUMIF(G2116:G2118,"*",O2116:O2118))</f>
        <v>50.5</v>
      </c>
      <c r="O2115" s="82">
        <f>N2115*J2115</f>
        <v>50.5</v>
      </c>
      <c r="P2115" s="81">
        <f>O2115/60*(1+запас_труд)*стоимость_трудочаса</f>
        <v>1977.9166666666667</v>
      </c>
      <c r="Q2115" s="129">
        <f>M2115*(1+наценка_покупное)+P2115</f>
        <v>10311.055287466665</v>
      </c>
    </row>
    <row r="2116" spans="6:17" hidden="1" outlineLevel="5" x14ac:dyDescent="0.25">
      <c r="G2116" s="74" t="s">
        <v>46</v>
      </c>
      <c r="H2116" s="75"/>
      <c r="I2116" s="76"/>
      <c r="J2116" s="78">
        <f>HYPERLINK("#Структура!E1899",Структура!E1899)</f>
        <v>72.66</v>
      </c>
      <c r="K2116" s="114" t="str">
        <f>HYPERLINK("#Структура!G1899","")</f>
        <v/>
      </c>
      <c r="L2116" s="120">
        <f>HYPERLINK("#Покупные_изделия!D68",Покупные_изделия!D68)</f>
        <v>0.21</v>
      </c>
      <c r="M2116" s="76">
        <f>J2116*L2116</f>
        <v>15.258599999999999</v>
      </c>
      <c r="N2116" s="77"/>
      <c r="O2116" s="77"/>
      <c r="P2116" s="76"/>
      <c r="Q2116" s="76"/>
    </row>
    <row r="2117" spans="6:17" hidden="1" outlineLevel="5" x14ac:dyDescent="0.25">
      <c r="G2117" s="74" t="s">
        <v>113</v>
      </c>
      <c r="H2117" s="75"/>
      <c r="I2117" s="76"/>
      <c r="J2117" s="78">
        <f>HYPERLINK("#Структура!E1900",Структура!E1900)</f>
        <v>57.65</v>
      </c>
      <c r="K2117" s="114" t="str">
        <f>HYPERLINK("#Структура!G1900","")</f>
        <v/>
      </c>
      <c r="L2117" s="120">
        <f>HYPERLINK("#Покупные_изделия!D286",Покупные_изделия!D286)</f>
        <v>120</v>
      </c>
      <c r="M2117" s="76">
        <f>J2117*L2117</f>
        <v>6918</v>
      </c>
      <c r="N2117" s="77"/>
      <c r="O2117" s="77"/>
      <c r="P2117" s="76"/>
      <c r="Q2117" s="76"/>
    </row>
    <row r="2118" spans="6:17" hidden="1" outlineLevel="5" x14ac:dyDescent="0.25">
      <c r="G2118" s="74" t="s">
        <v>146</v>
      </c>
      <c r="H2118" s="75"/>
      <c r="I2118" s="76"/>
      <c r="J2118" s="78">
        <f>HYPERLINK("#Структура!E1901",Структура!E1901)</f>
        <v>0.104</v>
      </c>
      <c r="K2118" s="114" t="str">
        <f>HYPERLINK("#Структура!G1901","")</f>
        <v/>
      </c>
      <c r="L2118" s="120">
        <f>HYPERLINK("#Покупные_изделия!D406",Покупные_изделия!D406)</f>
        <v>105.996</v>
      </c>
      <c r="M2118" s="76">
        <f>J2118*L2118</f>
        <v>11.023584</v>
      </c>
      <c r="N2118" s="77"/>
      <c r="O2118" s="77"/>
      <c r="P2118" s="76"/>
      <c r="Q2118" s="76"/>
    </row>
    <row r="2119" spans="6:17" hidden="1" outlineLevel="4" collapsed="1" x14ac:dyDescent="0.25">
      <c r="F2119" s="84" t="s">
        <v>1213</v>
      </c>
      <c r="G2119" s="79"/>
      <c r="H2119" s="80"/>
      <c r="I2119" s="81"/>
      <c r="J2119" s="83">
        <f>HYPERLINK("#Структура!E2227",Структура!E2227)</f>
        <v>4</v>
      </c>
      <c r="K2119" s="115">
        <f>HYPERLINK("#Структура!G2227",Структура!G2227)</f>
        <v>2.6890000000000001E-2</v>
      </c>
      <c r="L2119" s="81">
        <f>M2119/J2119</f>
        <v>5.3999999999999995</v>
      </c>
      <c r="M2119" s="81">
        <f>SUMIF(G2120,"*",M2120)*J2119</f>
        <v>21.599999999999998</v>
      </c>
      <c r="N2119" s="124">
        <f>HYPERLINK("#Трудозатраты!B506",Трудозатраты!B506+SUMIF(G2120,"*",O2120))</f>
        <v>0.5</v>
      </c>
      <c r="O2119" s="82">
        <f>N2119*J2119</f>
        <v>2</v>
      </c>
      <c r="P2119" s="81">
        <f>O2119/60*(1+запас_труд)*стоимость_трудочаса</f>
        <v>78.333333333333329</v>
      </c>
      <c r="Q2119" s="129">
        <f>M2119*(1+наценка_покупное)+P2119</f>
        <v>104.25333333333333</v>
      </c>
    </row>
    <row r="2120" spans="6:17" hidden="1" outlineLevel="5" x14ac:dyDescent="0.25">
      <c r="G2120" s="74" t="s">
        <v>115</v>
      </c>
      <c r="H2120" s="75"/>
      <c r="I2120" s="76"/>
      <c r="J2120" s="78">
        <f>HYPERLINK("#Структура!E1902",Структура!E1902)</f>
        <v>4.4999999999999998E-2</v>
      </c>
      <c r="K2120" s="114" t="str">
        <f>HYPERLINK("#Структура!G1902","")</f>
        <v/>
      </c>
      <c r="L2120" s="120">
        <f>HYPERLINK("#Покупные_изделия!D289",Покупные_изделия!D289)</f>
        <v>120</v>
      </c>
      <c r="M2120" s="76">
        <f>J2120*L2120</f>
        <v>5.3999999999999995</v>
      </c>
      <c r="N2120" s="77"/>
      <c r="O2120" s="77"/>
      <c r="P2120" s="76"/>
      <c r="Q2120" s="76"/>
    </row>
    <row r="2121" spans="6:17" hidden="1" outlineLevel="4" collapsed="1" x14ac:dyDescent="0.25">
      <c r="F2121" s="84" t="s">
        <v>1295</v>
      </c>
      <c r="G2121" s="79"/>
      <c r="H2121" s="80"/>
      <c r="I2121" s="81"/>
      <c r="J2121" s="83">
        <f>HYPERLINK("#Структура!E2228",Структура!E2228)</f>
        <v>1</v>
      </c>
      <c r="K2121" s="115">
        <f>HYPERLINK("#Структура!G2228",Структура!G2228)</f>
        <v>21.544409999999999</v>
      </c>
      <c r="L2121" s="81">
        <f>M2121/J2121</f>
        <v>4729.2</v>
      </c>
      <c r="M2121" s="81">
        <f>SUMIF(G2122,"*",M2122)*J2121</f>
        <v>4729.2</v>
      </c>
      <c r="N2121" s="124">
        <f>HYPERLINK("#Трудозатраты!B582",Трудозатраты!B582+SUMIF(G2122,"*",O2122))</f>
        <v>26</v>
      </c>
      <c r="O2121" s="82">
        <f>N2121*J2121</f>
        <v>26</v>
      </c>
      <c r="P2121" s="81">
        <f>O2121/60*(1+запас_труд)*стоимость_трудочаса</f>
        <v>1018.3333333333334</v>
      </c>
      <c r="Q2121" s="129">
        <f>M2121*(1+наценка_покупное)+P2121</f>
        <v>6693.373333333333</v>
      </c>
    </row>
    <row r="2122" spans="6:17" hidden="1" outlineLevel="5" x14ac:dyDescent="0.25">
      <c r="G2122" s="74" t="s">
        <v>115</v>
      </c>
      <c r="H2122" s="75"/>
      <c r="I2122" s="76"/>
      <c r="J2122" s="78">
        <f>HYPERLINK("#Структура!E2241",Структура!E2241)</f>
        <v>39.409999999999997</v>
      </c>
      <c r="K2122" s="114" t="str">
        <f>HYPERLINK("#Структура!G2241","")</f>
        <v/>
      </c>
      <c r="L2122" s="120">
        <f>HYPERLINK("#Покупные_изделия!D289",Покупные_изделия!D289)</f>
        <v>120</v>
      </c>
      <c r="M2122" s="76">
        <f>J2122*L2122</f>
        <v>4729.2</v>
      </c>
      <c r="N2122" s="77"/>
      <c r="O2122" s="77"/>
      <c r="P2122" s="76"/>
      <c r="Q2122" s="76"/>
    </row>
    <row r="2123" spans="6:17" hidden="1" outlineLevel="4" collapsed="1" x14ac:dyDescent="0.25">
      <c r="F2123" s="84" t="s">
        <v>1296</v>
      </c>
      <c r="G2123" s="79"/>
      <c r="H2123" s="80"/>
      <c r="I2123" s="81"/>
      <c r="J2123" s="83">
        <f>HYPERLINK("#Структура!E2229",Структура!E2229)</f>
        <v>1</v>
      </c>
      <c r="K2123" s="115">
        <f>HYPERLINK("#Структура!G2229",Структура!G2229)</f>
        <v>21.544409999999999</v>
      </c>
      <c r="L2123" s="81">
        <f>M2123/J2123</f>
        <v>4729.2</v>
      </c>
      <c r="M2123" s="81">
        <f>SUMIF(G2124,"*",M2124)*J2123</f>
        <v>4729.2</v>
      </c>
      <c r="N2123" s="124">
        <f>HYPERLINK("#Трудозатраты!B583",Трудозатраты!B583+SUMIF(G2124,"*",O2124))</f>
        <v>26</v>
      </c>
      <c r="O2123" s="82">
        <f>N2123*J2123</f>
        <v>26</v>
      </c>
      <c r="P2123" s="81">
        <f>O2123/60*(1+запас_труд)*стоимость_трудочаса</f>
        <v>1018.3333333333334</v>
      </c>
      <c r="Q2123" s="129">
        <f>M2123*(1+наценка_покупное)+P2123</f>
        <v>6693.373333333333</v>
      </c>
    </row>
    <row r="2124" spans="6:17" hidden="1" outlineLevel="5" x14ac:dyDescent="0.25">
      <c r="G2124" s="74" t="s">
        <v>115</v>
      </c>
      <c r="H2124" s="75"/>
      <c r="I2124" s="76"/>
      <c r="J2124" s="78">
        <f>HYPERLINK("#Структура!E2242",Структура!E2242)</f>
        <v>39.409999999999997</v>
      </c>
      <c r="K2124" s="114" t="str">
        <f>HYPERLINK("#Структура!G2242","")</f>
        <v/>
      </c>
      <c r="L2124" s="120">
        <f>HYPERLINK("#Покупные_изделия!D289",Покупные_изделия!D289)</f>
        <v>120</v>
      </c>
      <c r="M2124" s="76">
        <f t="shared" ref="M2124:M2135" si="80">J2124*L2124</f>
        <v>4729.2</v>
      </c>
      <c r="N2124" s="77"/>
      <c r="O2124" s="77"/>
      <c r="P2124" s="76"/>
      <c r="Q2124" s="76"/>
    </row>
    <row r="2125" spans="6:17" hidden="1" outlineLevel="4" x14ac:dyDescent="0.25">
      <c r="F2125" s="74" t="s">
        <v>1214</v>
      </c>
      <c r="G2125" s="74"/>
      <c r="H2125" s="75"/>
      <c r="I2125" s="76"/>
      <c r="J2125" s="78">
        <f>HYPERLINK("#Структура!E2230",Структура!E2230)</f>
        <v>4</v>
      </c>
      <c r="K2125" s="114">
        <f>HYPERLINK("#Структура!G2230",Структура!G2230)</f>
        <v>9.5999999999999992E-3</v>
      </c>
      <c r="L2125" s="120">
        <f>HYPERLINK("#Покупные_изделия!D169",Покупные_изделия!D169)</f>
        <v>10.92</v>
      </c>
      <c r="M2125" s="76">
        <f t="shared" si="80"/>
        <v>43.68</v>
      </c>
      <c r="N2125" s="77"/>
      <c r="O2125" s="77"/>
      <c r="P2125" s="76"/>
      <c r="Q2125" s="76"/>
    </row>
    <row r="2126" spans="6:17" hidden="1" outlineLevel="4" x14ac:dyDescent="0.25">
      <c r="F2126" s="74" t="s">
        <v>966</v>
      </c>
      <c r="G2126" s="74"/>
      <c r="H2126" s="75"/>
      <c r="I2126" s="76"/>
      <c r="J2126" s="78">
        <f>HYPERLINK("#Структура!E2231",Структура!E2231)</f>
        <v>46</v>
      </c>
      <c r="K2126" s="114">
        <f>HYPERLINK("#Структура!G2231",Структура!G2231)</f>
        <v>5.2700000000000004E-3</v>
      </c>
      <c r="L2126" s="120">
        <f>HYPERLINK("#Покупные_изделия!D170",Покупные_изделия!D170)</f>
        <v>1.3728</v>
      </c>
      <c r="M2126" s="76">
        <f t="shared" si="80"/>
        <v>63.148800000000001</v>
      </c>
      <c r="N2126" s="77"/>
      <c r="O2126" s="77"/>
      <c r="P2126" s="76"/>
      <c r="Q2126" s="76"/>
    </row>
    <row r="2127" spans="6:17" hidden="1" outlineLevel="4" x14ac:dyDescent="0.25">
      <c r="F2127" s="74" t="s">
        <v>106</v>
      </c>
      <c r="G2127" s="74"/>
      <c r="H2127" s="75"/>
      <c r="I2127" s="76"/>
      <c r="J2127" s="78">
        <f>HYPERLINK("#Структура!E2232",Структура!E2232)</f>
        <v>3.5</v>
      </c>
      <c r="K2127" s="114" t="str">
        <f>HYPERLINK("#Структура!G2232","")</f>
        <v/>
      </c>
      <c r="L2127" s="120">
        <f>HYPERLINK("#Покупные_изделия!D278",Покупные_изделия!D278)</f>
        <v>6.1644000000000005</v>
      </c>
      <c r="M2127" s="76">
        <f t="shared" si="80"/>
        <v>21.575400000000002</v>
      </c>
      <c r="N2127" s="77"/>
      <c r="O2127" s="77"/>
      <c r="P2127" s="76"/>
      <c r="Q2127" s="76"/>
    </row>
    <row r="2128" spans="6:17" hidden="1" outlineLevel="4" x14ac:dyDescent="0.25">
      <c r="F2128" s="74" t="s">
        <v>137</v>
      </c>
      <c r="G2128" s="74"/>
      <c r="H2128" s="75"/>
      <c r="I2128" s="76"/>
      <c r="J2128" s="78">
        <f>HYPERLINK("#Структура!E2233",Структура!E2233)</f>
        <v>1</v>
      </c>
      <c r="K2128" s="114" t="str">
        <f>HYPERLINK("#Структура!G2233","")</f>
        <v/>
      </c>
      <c r="L2128" s="120">
        <f>HYPERLINK("#Покупные_изделия!D332",Покупные_изделия!D332)</f>
        <v>110.00000000000001</v>
      </c>
      <c r="M2128" s="76">
        <f t="shared" si="80"/>
        <v>110.00000000000001</v>
      </c>
      <c r="N2128" s="77"/>
      <c r="O2128" s="77"/>
      <c r="P2128" s="76"/>
      <c r="Q2128" s="76"/>
    </row>
    <row r="2129" spans="5:17" hidden="1" outlineLevel="4" x14ac:dyDescent="0.25">
      <c r="F2129" s="74" t="s">
        <v>138</v>
      </c>
      <c r="G2129" s="74"/>
      <c r="H2129" s="75"/>
      <c r="I2129" s="76"/>
      <c r="J2129" s="78">
        <f>HYPERLINK("#Структура!E2234",Структура!E2234)</f>
        <v>1</v>
      </c>
      <c r="K2129" s="114" t="str">
        <f>HYPERLINK("#Структура!G2234","")</f>
        <v/>
      </c>
      <c r="L2129" s="120">
        <f>HYPERLINK("#Покупные_изделия!D333",Покупные_изделия!D333)</f>
        <v>110.00000000000001</v>
      </c>
      <c r="M2129" s="76">
        <f t="shared" si="80"/>
        <v>110.00000000000001</v>
      </c>
      <c r="N2129" s="77"/>
      <c r="O2129" s="77"/>
      <c r="P2129" s="76"/>
      <c r="Q2129" s="76"/>
    </row>
    <row r="2130" spans="5:17" hidden="1" outlineLevel="4" x14ac:dyDescent="0.25">
      <c r="F2130" s="74" t="s">
        <v>65</v>
      </c>
      <c r="G2130" s="74"/>
      <c r="H2130" s="75"/>
      <c r="I2130" s="76"/>
      <c r="J2130" s="78">
        <f>HYPERLINK("#Структура!E2235",Структура!E2235)</f>
        <v>1.28</v>
      </c>
      <c r="K2130" s="114" t="str">
        <f>HYPERLINK("#Структура!G2235","")</f>
        <v/>
      </c>
      <c r="L2130" s="120">
        <f>HYPERLINK("#Покупные_изделия!D197",Покупные_изделия!D197)</f>
        <v>264.50399999999996</v>
      </c>
      <c r="M2130" s="76">
        <f t="shared" si="80"/>
        <v>338.56511999999998</v>
      </c>
      <c r="N2130" s="77"/>
      <c r="O2130" s="77"/>
      <c r="P2130" s="76"/>
      <c r="Q2130" s="76"/>
    </row>
    <row r="2131" spans="5:17" hidden="1" outlineLevel="4" x14ac:dyDescent="0.25">
      <c r="F2131" s="74" t="s">
        <v>67</v>
      </c>
      <c r="G2131" s="74"/>
      <c r="H2131" s="75"/>
      <c r="I2131" s="76"/>
      <c r="J2131" s="78">
        <f>HYPERLINK("#Структура!E2236",Структура!E2236)</f>
        <v>2.3290000000000002</v>
      </c>
      <c r="K2131" s="114" t="str">
        <f>HYPERLINK("#Структура!G2236","")</f>
        <v/>
      </c>
      <c r="L2131" s="120">
        <f>HYPERLINK("#Покупные_изделия!D203",Покупные_изделия!D203)</f>
        <v>30.003600000000002</v>
      </c>
      <c r="M2131" s="76">
        <f t="shared" si="80"/>
        <v>69.878384400000016</v>
      </c>
      <c r="N2131" s="77"/>
      <c r="O2131" s="77"/>
      <c r="P2131" s="76"/>
      <c r="Q2131" s="76"/>
    </row>
    <row r="2132" spans="5:17" hidden="1" outlineLevel="4" x14ac:dyDescent="0.25">
      <c r="F2132" s="74" t="s">
        <v>146</v>
      </c>
      <c r="G2132" s="74"/>
      <c r="H2132" s="75"/>
      <c r="I2132" s="76"/>
      <c r="J2132" s="78">
        <f>HYPERLINK("#Структура!E2237",Структура!E2237)</f>
        <v>1.371</v>
      </c>
      <c r="K2132" s="114" t="str">
        <f>HYPERLINK("#Структура!G2237","")</f>
        <v/>
      </c>
      <c r="L2132" s="120">
        <f>HYPERLINK("#Покупные_изделия!D406",Покупные_изделия!D406)</f>
        <v>105.996</v>
      </c>
      <c r="M2132" s="76">
        <f t="shared" si="80"/>
        <v>145.320516</v>
      </c>
      <c r="N2132" s="77"/>
      <c r="O2132" s="77"/>
      <c r="P2132" s="76"/>
      <c r="Q2132" s="76"/>
    </row>
    <row r="2133" spans="5:17" hidden="1" outlineLevel="4" x14ac:dyDescent="0.25">
      <c r="F2133" s="74" t="s">
        <v>155</v>
      </c>
      <c r="G2133" s="74"/>
      <c r="H2133" s="75"/>
      <c r="I2133" s="76"/>
      <c r="J2133" s="78">
        <f>HYPERLINK("#Структура!E2238",Структура!E2238)</f>
        <v>0.38400000000000001</v>
      </c>
      <c r="K2133" s="114" t="str">
        <f>HYPERLINK("#Структура!G2238","")</f>
        <v/>
      </c>
      <c r="L2133" s="120">
        <f>HYPERLINK("#Покупные_изделия!D423",Покупные_изделия!D423)</f>
        <v>218.28</v>
      </c>
      <c r="M2133" s="76">
        <f t="shared" si="80"/>
        <v>83.819519999999997</v>
      </c>
      <c r="N2133" s="77"/>
      <c r="O2133" s="77"/>
      <c r="P2133" s="76"/>
      <c r="Q2133" s="76"/>
    </row>
    <row r="2134" spans="5:17" hidden="1" outlineLevel="4" x14ac:dyDescent="0.25">
      <c r="F2134" s="74" t="s">
        <v>200</v>
      </c>
      <c r="G2134" s="74"/>
      <c r="H2134" s="75"/>
      <c r="I2134" s="76"/>
      <c r="J2134" s="78">
        <f>HYPERLINK("#Структура!E2239",Структура!E2239)</f>
        <v>1.59</v>
      </c>
      <c r="K2134" s="114" t="str">
        <f>HYPERLINK("#Структура!G2239","")</f>
        <v/>
      </c>
      <c r="L2134" s="120">
        <f>HYPERLINK("#Покупные_изделия!D518",Покупные_изделия!D518)</f>
        <v>270</v>
      </c>
      <c r="M2134" s="76">
        <f t="shared" si="80"/>
        <v>429.3</v>
      </c>
      <c r="N2134" s="77"/>
      <c r="O2134" s="77"/>
      <c r="P2134" s="76"/>
      <c r="Q2134" s="76"/>
    </row>
    <row r="2135" spans="5:17" hidden="1" outlineLevel="4" x14ac:dyDescent="0.25">
      <c r="F2135" s="74" t="s">
        <v>215</v>
      </c>
      <c r="G2135" s="74"/>
      <c r="H2135" s="75"/>
      <c r="I2135" s="76"/>
      <c r="J2135" s="78">
        <f>HYPERLINK("#Структура!E2240",Структура!E2240)</f>
        <v>2.5579999999999998</v>
      </c>
      <c r="K2135" s="114" t="str">
        <f>HYPERLINK("#Структура!G2240","")</f>
        <v/>
      </c>
      <c r="L2135" s="120">
        <f>HYPERLINK("#Покупные_изделия!D567",Покупные_изделия!D567)</f>
        <v>405.74399999999997</v>
      </c>
      <c r="M2135" s="76">
        <f t="shared" si="80"/>
        <v>1037.8931519999999</v>
      </c>
      <c r="N2135" s="77"/>
      <c r="O2135" s="77"/>
      <c r="P2135" s="76"/>
      <c r="Q2135" s="76"/>
    </row>
    <row r="2136" spans="5:17" hidden="1" outlineLevel="3" collapsed="1" x14ac:dyDescent="0.25">
      <c r="E2136" s="96" t="s">
        <v>1280</v>
      </c>
      <c r="F2136" s="91"/>
      <c r="G2136" s="91"/>
      <c r="H2136" s="92"/>
      <c r="I2136" s="93"/>
      <c r="J2136" s="95">
        <f>HYPERLINK("#Структура!E2162",Структура!E2162)</f>
        <v>1</v>
      </c>
      <c r="K2136" s="116">
        <f>HYPERLINK("#Структура!G2162",Структура!G2162)</f>
        <v>21.91086</v>
      </c>
      <c r="L2136" s="93">
        <f>M2136/J2136</f>
        <v>3887.8279715999997</v>
      </c>
      <c r="M2136" s="93">
        <f>SUMIF(F2137:F2170,"*",M2137:M2170)*J2136</f>
        <v>3887.8279715999997</v>
      </c>
      <c r="N2136" s="125">
        <f>HYPERLINK("#Трудозатраты!B584",Трудозатраты!B584+SUMIF(F2137:F2170,"*",O2137:O2170))</f>
        <v>103.10000000000001</v>
      </c>
      <c r="O2136" s="94">
        <f>N2136*J2136</f>
        <v>103.10000000000001</v>
      </c>
      <c r="P2136" s="93">
        <f>O2136/60*(1+запас_труд)*стоимость_трудочаса</f>
        <v>4038.0833333333335</v>
      </c>
      <c r="Q2136" s="130">
        <f>M2136*(1+наценка_покупное)+P2136</f>
        <v>8703.4768992533336</v>
      </c>
    </row>
    <row r="2137" spans="5:17" hidden="1" outlineLevel="4" collapsed="1" x14ac:dyDescent="0.25">
      <c r="F2137" s="97" t="s">
        <v>1218</v>
      </c>
      <c r="G2137" s="98"/>
      <c r="H2137" s="99"/>
      <c r="I2137" s="100"/>
      <c r="J2137" s="102">
        <f>HYPERLINK("#Структура!E2243",Структура!E2243)</f>
        <v>1</v>
      </c>
      <c r="K2137" s="112">
        <f>HYPERLINK("#Структура!G2243",Структура!G2243)</f>
        <v>17.11318</v>
      </c>
      <c r="L2137" s="100">
        <f>M2137/J2137</f>
        <v>2603.6978808000003</v>
      </c>
      <c r="M2137" s="100">
        <f>SUMIF(G2138:G2149,"*",M2138:M2149)*J2137</f>
        <v>2603.6978808000003</v>
      </c>
      <c r="N2137" s="122">
        <f>HYPERLINK("#Трудозатраты!B514",Трудозатраты!B514+SUMIF(G2138:G2149,"*",O2138:O2149))</f>
        <v>63.5</v>
      </c>
      <c r="O2137" s="101">
        <f>N2137*J2137</f>
        <v>63.5</v>
      </c>
      <c r="P2137" s="100">
        <f>O2137/60*(1+запас_труд)*стоимость_трудочаса</f>
        <v>2487.0833333333335</v>
      </c>
      <c r="Q2137" s="127">
        <f>M2137*(1+наценка_покупное)+P2137</f>
        <v>5611.5207902933344</v>
      </c>
    </row>
    <row r="2138" spans="5:17" hidden="1" outlineLevel="5" collapsed="1" x14ac:dyDescent="0.25">
      <c r="G2138" s="85" t="s">
        <v>1222</v>
      </c>
      <c r="H2138" s="87"/>
      <c r="I2138" s="88"/>
      <c r="J2138" s="90">
        <f>HYPERLINK("#Структура!E1929",Структура!E1929)</f>
        <v>2</v>
      </c>
      <c r="K2138" s="113">
        <f>HYPERLINK("#Структура!G1929",Структура!G1929)</f>
        <v>7.1966000000000001</v>
      </c>
      <c r="L2138" s="88">
        <f>M2138/J2138</f>
        <v>1044</v>
      </c>
      <c r="M2138" s="88">
        <f>SUMIF(H2139,"*",M2139)*J2138</f>
        <v>2088</v>
      </c>
      <c r="N2138" s="123">
        <f>HYPERLINK("#Трудозатраты!B515",Трудозатраты!B515+SUMIF(H2139,"*",O2139))</f>
        <v>9.9</v>
      </c>
      <c r="O2138" s="89">
        <f>N2138*J2138</f>
        <v>19.8</v>
      </c>
      <c r="P2138" s="88">
        <f>O2138/60*(1+запас_труд)*стоимость_трудочаса</f>
        <v>775.5</v>
      </c>
      <c r="Q2138" s="128">
        <f>M2138*(1+наценка_покупное)+P2138</f>
        <v>3281.1</v>
      </c>
    </row>
    <row r="2139" spans="5:17" hidden="1" outlineLevel="6" x14ac:dyDescent="0.25">
      <c r="H2139" s="75" t="s">
        <v>111</v>
      </c>
      <c r="I2139" s="76"/>
      <c r="J2139" s="78">
        <f>HYPERLINK("#Структура!E1938",Структура!E1938)</f>
        <v>8.6999999999999993</v>
      </c>
      <c r="K2139" s="114" t="str">
        <f>HYPERLINK("#Структура!G1938","")</f>
        <v/>
      </c>
      <c r="L2139" s="120">
        <f>HYPERLINK("#Покупные_изделия!D283",Покупные_изделия!D283)</f>
        <v>120</v>
      </c>
      <c r="M2139" s="76">
        <f>J2139*L2139</f>
        <v>1044</v>
      </c>
      <c r="N2139" s="77"/>
      <c r="O2139" s="77"/>
      <c r="P2139" s="76"/>
      <c r="Q2139" s="76"/>
    </row>
    <row r="2140" spans="5:17" hidden="1" outlineLevel="5" collapsed="1" x14ac:dyDescent="0.25">
      <c r="G2140" s="84" t="s">
        <v>1223</v>
      </c>
      <c r="H2140" s="80"/>
      <c r="I2140" s="81"/>
      <c r="J2140" s="83">
        <f>HYPERLINK("#Структура!E1930",Структура!E1930)</f>
        <v>2</v>
      </c>
      <c r="K2140" s="115">
        <f>HYPERLINK("#Структура!G1930",Структура!G1930)</f>
        <v>1.0219</v>
      </c>
      <c r="L2140" s="81">
        <f>M2140/J2140</f>
        <v>150</v>
      </c>
      <c r="M2140" s="81">
        <f>SUMIF(H2141,"*",M2141)*J2140</f>
        <v>300</v>
      </c>
      <c r="N2140" s="124">
        <f>HYPERLINK("#Трудозатраты!B516",Трудозатраты!B516+SUMIF(H2141,"*",O2141))</f>
        <v>2</v>
      </c>
      <c r="O2140" s="82">
        <f>N2140*J2140</f>
        <v>4</v>
      </c>
      <c r="P2140" s="81">
        <f>O2140/60*(1+запас_труд)*стоимость_трудочаса</f>
        <v>156.66666666666666</v>
      </c>
      <c r="Q2140" s="129">
        <f>M2140*(1+наценка_покупное)+P2140</f>
        <v>516.66666666666663</v>
      </c>
    </row>
    <row r="2141" spans="5:17" hidden="1" outlineLevel="6" x14ac:dyDescent="0.25">
      <c r="H2141" s="75" t="s">
        <v>117</v>
      </c>
      <c r="I2141" s="76"/>
      <c r="J2141" s="78">
        <f>HYPERLINK("#Структура!E1939",Структура!E1939)</f>
        <v>1.25</v>
      </c>
      <c r="K2141" s="114" t="str">
        <f>HYPERLINK("#Структура!G1939","")</f>
        <v/>
      </c>
      <c r="L2141" s="120">
        <f>HYPERLINK("#Покупные_изделия!D292",Покупные_изделия!D292)</f>
        <v>120</v>
      </c>
      <c r="M2141" s="76">
        <f>J2141*L2141</f>
        <v>150</v>
      </c>
      <c r="N2141" s="77"/>
      <c r="O2141" s="77"/>
      <c r="P2141" s="76"/>
      <c r="Q2141" s="76"/>
    </row>
    <row r="2142" spans="5:17" hidden="1" outlineLevel="5" collapsed="1" x14ac:dyDescent="0.25">
      <c r="G2142" s="84" t="s">
        <v>1224</v>
      </c>
      <c r="H2142" s="80"/>
      <c r="I2142" s="81"/>
      <c r="J2142" s="83">
        <f>HYPERLINK("#Структура!E1931",Структура!E1931)</f>
        <v>4</v>
      </c>
      <c r="K2142" s="115">
        <f>HYPERLINK("#Структура!G1931",Структура!G1931)</f>
        <v>0.16904</v>
      </c>
      <c r="L2142" s="81">
        <f>M2142/J2142</f>
        <v>25.2</v>
      </c>
      <c r="M2142" s="81">
        <f>SUMIF(H2143,"*",M2143)*J2142</f>
        <v>100.8</v>
      </c>
      <c r="N2142" s="124">
        <f>HYPERLINK("#Трудозатраты!B517",Трудозатраты!B517+SUMIF(H2143,"*",O2143))</f>
        <v>0.8</v>
      </c>
      <c r="O2142" s="82">
        <f>N2142*J2142</f>
        <v>3.2</v>
      </c>
      <c r="P2142" s="81">
        <f>O2142/60*(1+запас_труд)*стоимость_трудочаса</f>
        <v>125.33333333333334</v>
      </c>
      <c r="Q2142" s="129">
        <f>M2142*(1+наценка_покупное)+P2142</f>
        <v>246.29333333333335</v>
      </c>
    </row>
    <row r="2143" spans="5:17" hidden="1" outlineLevel="6" x14ac:dyDescent="0.25">
      <c r="H2143" s="75" t="s">
        <v>117</v>
      </c>
      <c r="I2143" s="76"/>
      <c r="J2143" s="78">
        <f>HYPERLINK("#Структура!E1940",Структура!E1940)</f>
        <v>0.21</v>
      </c>
      <c r="K2143" s="114" t="str">
        <f>HYPERLINK("#Структура!G1940","")</f>
        <v/>
      </c>
      <c r="L2143" s="120">
        <f>HYPERLINK("#Покупные_изделия!D292",Покупные_изделия!D292)</f>
        <v>120</v>
      </c>
      <c r="M2143" s="76">
        <f t="shared" ref="M2143:M2149" si="81">J2143*L2143</f>
        <v>25.2</v>
      </c>
      <c r="N2143" s="77"/>
      <c r="O2143" s="77"/>
      <c r="P2143" s="76"/>
      <c r="Q2143" s="76"/>
    </row>
    <row r="2144" spans="5:17" hidden="1" outlineLevel="5" x14ac:dyDescent="0.25">
      <c r="G2144" s="74" t="s">
        <v>65</v>
      </c>
      <c r="H2144" s="75"/>
      <c r="I2144" s="76"/>
      <c r="J2144" s="78">
        <f>HYPERLINK("#Структура!E1932",Структура!E1932)</f>
        <v>0.06</v>
      </c>
      <c r="K2144" s="114" t="str">
        <f>HYPERLINK("#Структура!G1932","")</f>
        <v/>
      </c>
      <c r="L2144" s="120">
        <f>HYPERLINK("#Покупные_изделия!D197",Покупные_изделия!D197)</f>
        <v>264.50399999999996</v>
      </c>
      <c r="M2144" s="76">
        <f t="shared" si="81"/>
        <v>15.870239999999997</v>
      </c>
      <c r="N2144" s="77"/>
      <c r="O2144" s="77"/>
      <c r="P2144" s="76"/>
      <c r="Q2144" s="76"/>
    </row>
    <row r="2145" spans="6:17" hidden="1" outlineLevel="5" x14ac:dyDescent="0.25">
      <c r="G2145" s="74" t="s">
        <v>67</v>
      </c>
      <c r="H2145" s="75"/>
      <c r="I2145" s="76"/>
      <c r="J2145" s="78">
        <f>HYPERLINK("#Структура!E1933",Структура!E1933)</f>
        <v>0.22800000000000001</v>
      </c>
      <c r="K2145" s="114" t="str">
        <f>HYPERLINK("#Структура!G1933","")</f>
        <v/>
      </c>
      <c r="L2145" s="120">
        <f>HYPERLINK("#Покупные_изделия!D203",Покупные_изделия!D203)</f>
        <v>30.003600000000002</v>
      </c>
      <c r="M2145" s="76">
        <f t="shared" si="81"/>
        <v>6.8408208000000004</v>
      </c>
      <c r="N2145" s="77"/>
      <c r="O2145" s="77"/>
      <c r="P2145" s="76"/>
      <c r="Q2145" s="76"/>
    </row>
    <row r="2146" spans="6:17" hidden="1" outlineLevel="5" x14ac:dyDescent="0.25">
      <c r="G2146" s="74" t="s">
        <v>146</v>
      </c>
      <c r="H2146" s="75"/>
      <c r="I2146" s="76"/>
      <c r="J2146" s="78">
        <f>HYPERLINK("#Структура!E1934",Структура!E1934)</f>
        <v>0.13500000000000001</v>
      </c>
      <c r="K2146" s="114" t="str">
        <f>HYPERLINK("#Структура!G1934","")</f>
        <v/>
      </c>
      <c r="L2146" s="120">
        <f>HYPERLINK("#Покупные_изделия!D406",Покупные_изделия!D406)</f>
        <v>105.996</v>
      </c>
      <c r="M2146" s="76">
        <f t="shared" si="81"/>
        <v>14.30946</v>
      </c>
      <c r="N2146" s="77"/>
      <c r="O2146" s="77"/>
      <c r="P2146" s="76"/>
      <c r="Q2146" s="76"/>
    </row>
    <row r="2147" spans="6:17" hidden="1" outlineLevel="5" x14ac:dyDescent="0.25">
      <c r="G2147" s="74" t="s">
        <v>155</v>
      </c>
      <c r="H2147" s="75"/>
      <c r="I2147" s="76"/>
      <c r="J2147" s="78">
        <f>HYPERLINK("#Структура!E1935",Структура!E1935)</f>
        <v>3.5999999999999997E-2</v>
      </c>
      <c r="K2147" s="114" t="str">
        <f>HYPERLINK("#Структура!G1935","")</f>
        <v/>
      </c>
      <c r="L2147" s="120">
        <f>HYPERLINK("#Покупные_изделия!D423",Покупные_изделия!D423)</f>
        <v>218.28</v>
      </c>
      <c r="M2147" s="76">
        <f t="shared" si="81"/>
        <v>7.8580799999999993</v>
      </c>
      <c r="N2147" s="77"/>
      <c r="O2147" s="77"/>
      <c r="P2147" s="76"/>
      <c r="Q2147" s="76"/>
    </row>
    <row r="2148" spans="6:17" hidden="1" outlineLevel="5" x14ac:dyDescent="0.25">
      <c r="G2148" s="74" t="s">
        <v>200</v>
      </c>
      <c r="H2148" s="75"/>
      <c r="I2148" s="76"/>
      <c r="J2148" s="78">
        <f>HYPERLINK("#Структура!E1936",Структура!E1936)</f>
        <v>7.9000000000000001E-2</v>
      </c>
      <c r="K2148" s="114" t="str">
        <f>HYPERLINK("#Структура!G1936","")</f>
        <v/>
      </c>
      <c r="L2148" s="120">
        <f>HYPERLINK("#Покупные_изделия!D518",Покупные_изделия!D518)</f>
        <v>270</v>
      </c>
      <c r="M2148" s="76">
        <f t="shared" si="81"/>
        <v>21.330000000000002</v>
      </c>
      <c r="N2148" s="77"/>
      <c r="O2148" s="77"/>
      <c r="P2148" s="76"/>
      <c r="Q2148" s="76"/>
    </row>
    <row r="2149" spans="6:17" hidden="1" outlineLevel="5" x14ac:dyDescent="0.25">
      <c r="G2149" s="74" t="s">
        <v>215</v>
      </c>
      <c r="H2149" s="75"/>
      <c r="I2149" s="76"/>
      <c r="J2149" s="78">
        <f>HYPERLINK("#Структура!E1937",Структура!E1937)</f>
        <v>0.12</v>
      </c>
      <c r="K2149" s="114" t="str">
        <f>HYPERLINK("#Структура!G1937","")</f>
        <v/>
      </c>
      <c r="L2149" s="120">
        <f>HYPERLINK("#Покупные_изделия!D567",Покупные_изделия!D567)</f>
        <v>405.74399999999997</v>
      </c>
      <c r="M2149" s="76">
        <f t="shared" si="81"/>
        <v>48.689279999999997</v>
      </c>
      <c r="N2149" s="77"/>
      <c r="O2149" s="77"/>
      <c r="P2149" s="76"/>
      <c r="Q2149" s="76"/>
    </row>
    <row r="2150" spans="6:17" hidden="1" outlineLevel="4" collapsed="1" x14ac:dyDescent="0.25">
      <c r="F2150" s="96" t="s">
        <v>1219</v>
      </c>
      <c r="G2150" s="91"/>
      <c r="H2150" s="92"/>
      <c r="I2150" s="93"/>
      <c r="J2150" s="95">
        <f>HYPERLINK("#Структура!E2244",Структура!E2244)</f>
        <v>1</v>
      </c>
      <c r="K2150" s="116">
        <f>HYPERLINK("#Структура!G2244",Структура!G2244)</f>
        <v>3.5596100000000002</v>
      </c>
      <c r="L2150" s="93">
        <f>M2150/J2150</f>
        <v>689.3275547999998</v>
      </c>
      <c r="M2150" s="93">
        <f>SUMIF(G2151:G2162,"*",M2151:M2162)*J2150</f>
        <v>689.3275547999998</v>
      </c>
      <c r="N2150" s="125">
        <f>HYPERLINK("#Трудозатраты!B518",Трудозатраты!B518+SUMIF(G2151:G2162,"*",O2151:O2162))</f>
        <v>22.200000000000003</v>
      </c>
      <c r="O2150" s="94">
        <f>N2150*J2150</f>
        <v>22.200000000000003</v>
      </c>
      <c r="P2150" s="93">
        <f>O2150/60*(1+запас_труд)*стоимость_трудочаса</f>
        <v>869.50000000000011</v>
      </c>
      <c r="Q2150" s="130">
        <f>M2150*(1+наценка_покупное)+P2150</f>
        <v>1696.6930657599999</v>
      </c>
    </row>
    <row r="2151" spans="6:17" hidden="1" outlineLevel="5" collapsed="1" x14ac:dyDescent="0.25">
      <c r="G2151" s="85" t="s">
        <v>1225</v>
      </c>
      <c r="H2151" s="87"/>
      <c r="I2151" s="88"/>
      <c r="J2151" s="90">
        <f>HYPERLINK("#Структура!E1941",Структура!E1941)</f>
        <v>1</v>
      </c>
      <c r="K2151" s="113">
        <f>HYPERLINK("#Структура!G1941",Структура!G1941)</f>
        <v>2.1058500000000002</v>
      </c>
      <c r="L2151" s="88">
        <f>M2151/J2151</f>
        <v>315.59999999999997</v>
      </c>
      <c r="M2151" s="88">
        <f>SUMIF(H2152,"*",M2152)*J2151</f>
        <v>315.59999999999997</v>
      </c>
      <c r="N2151" s="123">
        <f>HYPERLINK("#Трудозатраты!B519",Трудозатраты!B519+SUMIF(H2152,"*",O2152))</f>
        <v>3.8</v>
      </c>
      <c r="O2151" s="89">
        <f>N2151*J2151</f>
        <v>3.8</v>
      </c>
      <c r="P2151" s="88">
        <f>O2151/60*(1+запас_труд)*стоимость_трудочаса</f>
        <v>148.83333333333331</v>
      </c>
      <c r="Q2151" s="128">
        <f>M2151*(1+наценка_покупное)+P2151</f>
        <v>527.55333333333328</v>
      </c>
    </row>
    <row r="2152" spans="6:17" hidden="1" outlineLevel="6" x14ac:dyDescent="0.25">
      <c r="H2152" s="75" t="s">
        <v>111</v>
      </c>
      <c r="I2152" s="76"/>
      <c r="J2152" s="78">
        <f>HYPERLINK("#Структура!E1950",Структура!E1950)</f>
        <v>2.63</v>
      </c>
      <c r="K2152" s="114" t="str">
        <f>HYPERLINK("#Структура!G1950","")</f>
        <v/>
      </c>
      <c r="L2152" s="120">
        <f>HYPERLINK("#Покупные_изделия!D283",Покупные_изделия!D283)</f>
        <v>120</v>
      </c>
      <c r="M2152" s="76">
        <f>J2152*L2152</f>
        <v>315.59999999999997</v>
      </c>
      <c r="N2152" s="77"/>
      <c r="O2152" s="77"/>
      <c r="P2152" s="76"/>
      <c r="Q2152" s="76"/>
    </row>
    <row r="2153" spans="6:17" hidden="1" outlineLevel="5" collapsed="1" x14ac:dyDescent="0.25">
      <c r="G2153" s="84" t="s">
        <v>1226</v>
      </c>
      <c r="H2153" s="80"/>
      <c r="I2153" s="81"/>
      <c r="J2153" s="83">
        <f>HYPERLINK("#Структура!E1942",Структура!E1942)</f>
        <v>1</v>
      </c>
      <c r="K2153" s="115">
        <f>HYPERLINK("#Структура!G1942",Структура!G1942)</f>
        <v>0.73148999999999997</v>
      </c>
      <c r="L2153" s="81">
        <f>M2153/J2153</f>
        <v>108</v>
      </c>
      <c r="M2153" s="81">
        <f>SUMIF(H2154,"*",M2154)*J2153</f>
        <v>108</v>
      </c>
      <c r="N2153" s="124">
        <f>HYPERLINK("#Трудозатраты!B520",Трудозатраты!B520+SUMIF(H2154,"*",O2154))</f>
        <v>1.1000000000000001</v>
      </c>
      <c r="O2153" s="82">
        <f>N2153*J2153</f>
        <v>1.1000000000000001</v>
      </c>
      <c r="P2153" s="81">
        <f>O2153/60*(1+запас_труд)*стоимость_трудочаса</f>
        <v>43.083333333333336</v>
      </c>
      <c r="Q2153" s="129">
        <f>M2153*(1+наценка_покупное)+P2153</f>
        <v>172.68333333333334</v>
      </c>
    </row>
    <row r="2154" spans="6:17" hidden="1" outlineLevel="6" x14ac:dyDescent="0.25">
      <c r="H2154" s="75" t="s">
        <v>121</v>
      </c>
      <c r="I2154" s="76"/>
      <c r="J2154" s="78">
        <f>HYPERLINK("#Структура!E1951",Структура!E1951)</f>
        <v>0.9</v>
      </c>
      <c r="K2154" s="114" t="str">
        <f>HYPERLINK("#Структура!G1951","")</f>
        <v/>
      </c>
      <c r="L2154" s="120">
        <f>HYPERLINK("#Покупные_изделия!D296",Покупные_изделия!D296)</f>
        <v>120</v>
      </c>
      <c r="M2154" s="76">
        <f>J2154*L2154</f>
        <v>108</v>
      </c>
      <c r="N2154" s="77"/>
      <c r="O2154" s="77"/>
      <c r="P2154" s="76"/>
      <c r="Q2154" s="76"/>
    </row>
    <row r="2155" spans="6:17" hidden="1" outlineLevel="5" collapsed="1" x14ac:dyDescent="0.25">
      <c r="G2155" s="84" t="s">
        <v>1227</v>
      </c>
      <c r="H2155" s="80"/>
      <c r="I2155" s="81"/>
      <c r="J2155" s="83">
        <f>HYPERLINK("#Структура!E1943",Структура!E1943)</f>
        <v>2</v>
      </c>
      <c r="K2155" s="115">
        <f>HYPERLINK("#Структура!G1943",Структура!G1943)</f>
        <v>0.36113000000000001</v>
      </c>
      <c r="L2155" s="81">
        <f>M2155/J2155</f>
        <v>54</v>
      </c>
      <c r="M2155" s="81">
        <f>SUMIF(H2156,"*",M2156)*J2155</f>
        <v>108</v>
      </c>
      <c r="N2155" s="124">
        <f>HYPERLINK("#Трудозатраты!B521",Трудозатраты!B521+SUMIF(H2156,"*",O2156))</f>
        <v>0.6</v>
      </c>
      <c r="O2155" s="82">
        <f>N2155*J2155</f>
        <v>1.2</v>
      </c>
      <c r="P2155" s="81">
        <f>O2155/60*(1+запас_труд)*стоимость_трудочаса</f>
        <v>47</v>
      </c>
      <c r="Q2155" s="129">
        <f>M2155*(1+наценка_покупное)+P2155</f>
        <v>176.6</v>
      </c>
    </row>
    <row r="2156" spans="6:17" hidden="1" outlineLevel="6" x14ac:dyDescent="0.25">
      <c r="H2156" s="75" t="s">
        <v>121</v>
      </c>
      <c r="I2156" s="76"/>
      <c r="J2156" s="78">
        <f>HYPERLINK("#Структура!E1952",Структура!E1952)</f>
        <v>0.45</v>
      </c>
      <c r="K2156" s="114" t="str">
        <f>HYPERLINK("#Структура!G1952","")</f>
        <v/>
      </c>
      <c r="L2156" s="120">
        <f>HYPERLINK("#Покупные_изделия!D296",Покупные_изделия!D296)</f>
        <v>120</v>
      </c>
      <c r="M2156" s="76">
        <f t="shared" ref="M2156:M2162" si="82">J2156*L2156</f>
        <v>54</v>
      </c>
      <c r="N2156" s="77"/>
      <c r="O2156" s="77"/>
      <c r="P2156" s="76"/>
      <c r="Q2156" s="76"/>
    </row>
    <row r="2157" spans="6:17" hidden="1" outlineLevel="5" x14ac:dyDescent="0.25">
      <c r="G2157" s="74" t="s">
        <v>65</v>
      </c>
      <c r="H2157" s="75"/>
      <c r="I2157" s="76"/>
      <c r="J2157" s="78">
        <f>HYPERLINK("#Структура!E1944",Структура!E1944)</f>
        <v>1.2E-2</v>
      </c>
      <c r="K2157" s="114" t="str">
        <f>HYPERLINK("#Структура!G1944","")</f>
        <v/>
      </c>
      <c r="L2157" s="120">
        <f>HYPERLINK("#Покупные_изделия!D197",Покупные_изделия!D197)</f>
        <v>264.50399999999996</v>
      </c>
      <c r="M2157" s="76">
        <f t="shared" si="82"/>
        <v>3.1740479999999995</v>
      </c>
      <c r="N2157" s="77"/>
      <c r="O2157" s="77"/>
      <c r="P2157" s="76"/>
      <c r="Q2157" s="76"/>
    </row>
    <row r="2158" spans="6:17" hidden="1" outlineLevel="5" x14ac:dyDescent="0.25">
      <c r="G2158" s="74" t="s">
        <v>67</v>
      </c>
      <c r="H2158" s="75"/>
      <c r="I2158" s="76"/>
      <c r="J2158" s="78">
        <f>HYPERLINK("#Структура!E1945",Структура!E1945)</f>
        <v>1.073</v>
      </c>
      <c r="K2158" s="114" t="str">
        <f>HYPERLINK("#Структура!G1945","")</f>
        <v/>
      </c>
      <c r="L2158" s="120">
        <f>HYPERLINK("#Покупные_изделия!D203",Покупные_изделия!D203)</f>
        <v>30.003600000000002</v>
      </c>
      <c r="M2158" s="76">
        <f t="shared" si="82"/>
        <v>32.193862799999998</v>
      </c>
      <c r="N2158" s="77"/>
      <c r="O2158" s="77"/>
      <c r="P2158" s="76"/>
      <c r="Q2158" s="76"/>
    </row>
    <row r="2159" spans="6:17" hidden="1" outlineLevel="5" x14ac:dyDescent="0.25">
      <c r="G2159" s="74" t="s">
        <v>146</v>
      </c>
      <c r="H2159" s="75"/>
      <c r="I2159" s="76"/>
      <c r="J2159" s="78">
        <f>HYPERLINK("#Структура!E1946",Структура!E1946)</f>
        <v>1.0429999999999999</v>
      </c>
      <c r="K2159" s="114" t="str">
        <f>HYPERLINK("#Структура!G1946","")</f>
        <v/>
      </c>
      <c r="L2159" s="120">
        <f>HYPERLINK("#Покупные_изделия!D406",Покупные_изделия!D406)</f>
        <v>105.996</v>
      </c>
      <c r="M2159" s="76">
        <f t="shared" si="82"/>
        <v>110.55382799999998</v>
      </c>
      <c r="N2159" s="77"/>
      <c r="O2159" s="77"/>
      <c r="P2159" s="76"/>
      <c r="Q2159" s="76"/>
    </row>
    <row r="2160" spans="6:17" hidden="1" outlineLevel="5" x14ac:dyDescent="0.25">
      <c r="G2160" s="74" t="s">
        <v>155</v>
      </c>
      <c r="H2160" s="75"/>
      <c r="I2160" s="76"/>
      <c r="J2160" s="78">
        <f>HYPERLINK("#Структура!E1947",Структура!E1947)</f>
        <v>7.0000000000000001E-3</v>
      </c>
      <c r="K2160" s="114" t="str">
        <f>HYPERLINK("#Структура!G1947","")</f>
        <v/>
      </c>
      <c r="L2160" s="120">
        <f>HYPERLINK("#Покупные_изделия!D423",Покупные_изделия!D423)</f>
        <v>218.28</v>
      </c>
      <c r="M2160" s="76">
        <f t="shared" si="82"/>
        <v>1.52796</v>
      </c>
      <c r="N2160" s="77"/>
      <c r="O2160" s="77"/>
      <c r="P2160" s="76"/>
      <c r="Q2160" s="76"/>
    </row>
    <row r="2161" spans="5:17" hidden="1" outlineLevel="5" x14ac:dyDescent="0.25">
      <c r="G2161" s="74" t="s">
        <v>200</v>
      </c>
      <c r="H2161" s="75"/>
      <c r="I2161" s="76"/>
      <c r="J2161" s="78">
        <f>HYPERLINK("#Структура!E1948",Структура!E1948)</f>
        <v>2E-3</v>
      </c>
      <c r="K2161" s="114" t="str">
        <f>HYPERLINK("#Структура!G1948","")</f>
        <v/>
      </c>
      <c r="L2161" s="120">
        <f>HYPERLINK("#Покупные_изделия!D518",Покупные_изделия!D518)</f>
        <v>270</v>
      </c>
      <c r="M2161" s="76">
        <f t="shared" si="82"/>
        <v>0.54</v>
      </c>
      <c r="N2161" s="77"/>
      <c r="O2161" s="77"/>
      <c r="P2161" s="76"/>
      <c r="Q2161" s="76"/>
    </row>
    <row r="2162" spans="5:17" hidden="1" outlineLevel="5" x14ac:dyDescent="0.25">
      <c r="G2162" s="74" t="s">
        <v>215</v>
      </c>
      <c r="H2162" s="75"/>
      <c r="I2162" s="76"/>
      <c r="J2162" s="78">
        <f>HYPERLINK("#Структура!E1949",Структура!E1949)</f>
        <v>2.4E-2</v>
      </c>
      <c r="K2162" s="114" t="str">
        <f>HYPERLINK("#Структура!G1949","")</f>
        <v/>
      </c>
      <c r="L2162" s="120">
        <f>HYPERLINK("#Покупные_изделия!D567",Покупные_изделия!D567)</f>
        <v>405.74399999999997</v>
      </c>
      <c r="M2162" s="76">
        <f t="shared" si="82"/>
        <v>9.737855999999999</v>
      </c>
      <c r="N2162" s="77"/>
      <c r="O2162" s="77"/>
      <c r="P2162" s="76"/>
      <c r="Q2162" s="76"/>
    </row>
    <row r="2163" spans="5:17" hidden="1" outlineLevel="4" collapsed="1" x14ac:dyDescent="0.25">
      <c r="F2163" s="84" t="s">
        <v>1220</v>
      </c>
      <c r="G2163" s="79"/>
      <c r="H2163" s="80"/>
      <c r="I2163" s="81"/>
      <c r="J2163" s="83">
        <f>HYPERLINK("#Структура!E2245",Структура!E2245)</f>
        <v>1</v>
      </c>
      <c r="K2163" s="115">
        <f>HYPERLINK("#Структура!G2245",Структура!G2245)</f>
        <v>1.11426</v>
      </c>
      <c r="L2163" s="81">
        <f>M2163/J2163</f>
        <v>206.40506400000001</v>
      </c>
      <c r="M2163" s="81">
        <f>SUMIF(G2164:G2167,"*",M2164:M2167)*J2163</f>
        <v>206.40506400000001</v>
      </c>
      <c r="N2163" s="124">
        <f>HYPERLINK("#Трудозатраты!B513",Трудозатраты!B513+SUMIF(G2164:G2167,"*",O2164:O2167))</f>
        <v>7.4</v>
      </c>
      <c r="O2163" s="82">
        <f>N2163*J2163</f>
        <v>7.4</v>
      </c>
      <c r="P2163" s="81">
        <f>O2163/60*(1+запас_труд)*стоимость_трудочаса</f>
        <v>289.83333333333331</v>
      </c>
      <c r="Q2163" s="129">
        <f>M2163*(1+наценка_покупное)+P2163</f>
        <v>537.51941013333328</v>
      </c>
    </row>
    <row r="2164" spans="5:17" hidden="1" outlineLevel="5" x14ac:dyDescent="0.25">
      <c r="G2164" s="74" t="s">
        <v>65</v>
      </c>
      <c r="H2164" s="75"/>
      <c r="I2164" s="76"/>
      <c r="J2164" s="78">
        <f>HYPERLINK("#Структура!E1925",Структура!E1925)</f>
        <v>7.0000000000000001E-3</v>
      </c>
      <c r="K2164" s="114" t="str">
        <f>HYPERLINK("#Структура!G1925","")</f>
        <v/>
      </c>
      <c r="L2164" s="120">
        <f>HYPERLINK("#Покупные_изделия!D197",Покупные_изделия!D197)</f>
        <v>264.50399999999996</v>
      </c>
      <c r="M2164" s="76">
        <f t="shared" ref="M2164:M2170" si="83">J2164*L2164</f>
        <v>1.8515279999999998</v>
      </c>
      <c r="N2164" s="77"/>
      <c r="O2164" s="77"/>
      <c r="P2164" s="76"/>
      <c r="Q2164" s="76"/>
    </row>
    <row r="2165" spans="5:17" hidden="1" outlineLevel="5" x14ac:dyDescent="0.25">
      <c r="G2165" s="74" t="s">
        <v>119</v>
      </c>
      <c r="H2165" s="75"/>
      <c r="I2165" s="76"/>
      <c r="J2165" s="78">
        <f>HYPERLINK("#Структура!E1926",Структура!E1926)</f>
        <v>1.65</v>
      </c>
      <c r="K2165" s="114" t="str">
        <f>HYPERLINK("#Структура!G1926","")</f>
        <v/>
      </c>
      <c r="L2165" s="120">
        <f>HYPERLINK("#Покупные_изделия!D294",Покупные_изделия!D294)</f>
        <v>120</v>
      </c>
      <c r="M2165" s="76">
        <f t="shared" si="83"/>
        <v>198</v>
      </c>
      <c r="N2165" s="77"/>
      <c r="O2165" s="77"/>
      <c r="P2165" s="76"/>
      <c r="Q2165" s="76"/>
    </row>
    <row r="2166" spans="5:17" hidden="1" outlineLevel="5" x14ac:dyDescent="0.25">
      <c r="G2166" s="74" t="s">
        <v>155</v>
      </c>
      <c r="H2166" s="75"/>
      <c r="I2166" s="76"/>
      <c r="J2166" s="78">
        <f>HYPERLINK("#Структура!E1927",Структура!E1927)</f>
        <v>4.0000000000000001E-3</v>
      </c>
      <c r="K2166" s="114" t="str">
        <f>HYPERLINK("#Структура!G1927","")</f>
        <v/>
      </c>
      <c r="L2166" s="120">
        <f>HYPERLINK("#Покупные_изделия!D423",Покупные_изделия!D423)</f>
        <v>218.28</v>
      </c>
      <c r="M2166" s="76">
        <f t="shared" si="83"/>
        <v>0.87312000000000001</v>
      </c>
      <c r="N2166" s="77"/>
      <c r="O2166" s="77"/>
      <c r="P2166" s="76"/>
      <c r="Q2166" s="76"/>
    </row>
    <row r="2167" spans="5:17" hidden="1" outlineLevel="5" x14ac:dyDescent="0.25">
      <c r="G2167" s="74" t="s">
        <v>215</v>
      </c>
      <c r="H2167" s="75"/>
      <c r="I2167" s="76"/>
      <c r="J2167" s="78">
        <f>HYPERLINK("#Структура!E1928",Структура!E1928)</f>
        <v>1.4E-2</v>
      </c>
      <c r="K2167" s="114" t="str">
        <f>HYPERLINK("#Структура!G1928","")</f>
        <v/>
      </c>
      <c r="L2167" s="120">
        <f>HYPERLINK("#Покупные_изделия!D567",Покупные_изделия!D567)</f>
        <v>405.74399999999997</v>
      </c>
      <c r="M2167" s="76">
        <f t="shared" si="83"/>
        <v>5.6804160000000001</v>
      </c>
      <c r="N2167" s="77"/>
      <c r="O2167" s="77"/>
      <c r="P2167" s="76"/>
      <c r="Q2167" s="76"/>
    </row>
    <row r="2168" spans="5:17" hidden="1" outlineLevel="4" x14ac:dyDescent="0.25">
      <c r="F2168" s="74" t="s">
        <v>1221</v>
      </c>
      <c r="G2168" s="74"/>
      <c r="H2168" s="75"/>
      <c r="I2168" s="76"/>
      <c r="J2168" s="78">
        <f>HYPERLINK("#Структура!E2246",Структура!E2246)</f>
        <v>4</v>
      </c>
      <c r="K2168" s="114">
        <f>HYPERLINK("#Структура!G2246",Структура!G2246)</f>
        <v>6.9500000000000006E-2</v>
      </c>
      <c r="L2168" s="120">
        <f>HYPERLINK("#Покупные_изделия!D78",Покупные_изделия!D78)</f>
        <v>92.13600000000001</v>
      </c>
      <c r="M2168" s="76">
        <f t="shared" si="83"/>
        <v>368.54400000000004</v>
      </c>
      <c r="N2168" s="77"/>
      <c r="O2168" s="77"/>
      <c r="P2168" s="76"/>
      <c r="Q2168" s="76"/>
    </row>
    <row r="2169" spans="5:17" hidden="1" outlineLevel="4" x14ac:dyDescent="0.25">
      <c r="F2169" s="74" t="s">
        <v>864</v>
      </c>
      <c r="G2169" s="74"/>
      <c r="H2169" s="75"/>
      <c r="I2169" s="76"/>
      <c r="J2169" s="78">
        <f>HYPERLINK("#Структура!E2247",Структура!E2247)</f>
        <v>4</v>
      </c>
      <c r="K2169" s="114">
        <f>HYPERLINK("#Структура!G2247",Структура!G2247)</f>
        <v>1.567E-2</v>
      </c>
      <c r="L2169" s="120">
        <f>HYPERLINK("#Покупные_изделия!D175",Покупные_изделия!D175)</f>
        <v>3.3659999999999997</v>
      </c>
      <c r="M2169" s="76">
        <f t="shared" si="83"/>
        <v>13.463999999999999</v>
      </c>
      <c r="N2169" s="77"/>
      <c r="O2169" s="77"/>
      <c r="P2169" s="76"/>
      <c r="Q2169" s="76"/>
    </row>
    <row r="2170" spans="5:17" hidden="1" outlineLevel="4" x14ac:dyDescent="0.25">
      <c r="F2170" s="74" t="s">
        <v>865</v>
      </c>
      <c r="G2170" s="74"/>
      <c r="H2170" s="75"/>
      <c r="I2170" s="76"/>
      <c r="J2170" s="78">
        <f>HYPERLINK("#Структура!E2248",Структура!E2248)</f>
        <v>4</v>
      </c>
      <c r="K2170" s="114">
        <f>HYPERLINK("#Структура!G2248",Структура!G2248)</f>
        <v>3.4499999999999999E-3</v>
      </c>
      <c r="L2170" s="120">
        <f>HYPERLINK("#Покупные_изделия!D523",Покупные_изделия!D523)</f>
        <v>1.5973680000000001</v>
      </c>
      <c r="M2170" s="76">
        <f t="shared" si="83"/>
        <v>6.3894720000000005</v>
      </c>
      <c r="N2170" s="77"/>
      <c r="O2170" s="77"/>
      <c r="P2170" s="76"/>
      <c r="Q2170" s="76"/>
    </row>
    <row r="2171" spans="5:17" hidden="1" outlineLevel="3" collapsed="1" x14ac:dyDescent="0.25">
      <c r="E2171" s="96" t="s">
        <v>1281</v>
      </c>
      <c r="F2171" s="91"/>
      <c r="G2171" s="91"/>
      <c r="H2171" s="92"/>
      <c r="I2171" s="93"/>
      <c r="J2171" s="95">
        <f>HYPERLINK("#Структура!E2163",Структура!E2163)</f>
        <v>1</v>
      </c>
      <c r="K2171" s="116">
        <f>HYPERLINK("#Структура!G2163",Структура!G2163)</f>
        <v>35.681980000000003</v>
      </c>
      <c r="L2171" s="93">
        <f>M2171/J2171</f>
        <v>5888.997980000001</v>
      </c>
      <c r="M2171" s="93">
        <f>SUMIF(F2172:F2211,"*",M2172:M2211)*J2171</f>
        <v>5888.997980000001</v>
      </c>
      <c r="N2171" s="125">
        <f>HYPERLINK("#Трудозатраты!B585",Трудозатраты!B585+SUMIF(F2172:F2211,"*",O2172:O2211))</f>
        <v>226</v>
      </c>
      <c r="O2171" s="94">
        <f>N2171*J2171</f>
        <v>226</v>
      </c>
      <c r="P2171" s="93">
        <f>O2171/60*(1+запас_труд)*стоимость_трудочаса</f>
        <v>8851.6666666666661</v>
      </c>
      <c r="Q2171" s="130">
        <f>M2171*(1+наценка_покупное)+P2171</f>
        <v>15918.464242666667</v>
      </c>
    </row>
    <row r="2172" spans="5:17" hidden="1" outlineLevel="4" collapsed="1" x14ac:dyDescent="0.25">
      <c r="F2172" s="97" t="s">
        <v>1228</v>
      </c>
      <c r="G2172" s="98"/>
      <c r="H2172" s="99"/>
      <c r="I2172" s="100"/>
      <c r="J2172" s="102">
        <f>HYPERLINK("#Структура!E2249",Структура!E2249)</f>
        <v>1</v>
      </c>
      <c r="K2172" s="112">
        <f>HYPERLINK("#Структура!G2249",Структура!G2249)</f>
        <v>4.0158199999999997</v>
      </c>
      <c r="L2172" s="100">
        <f>M2172/J2172</f>
        <v>675.75006119999989</v>
      </c>
      <c r="M2172" s="100">
        <f>SUMIF(G2173:G2184,"*",M2173:M2184)*J2172</f>
        <v>675.75006119999989</v>
      </c>
      <c r="N2172" s="122">
        <f>HYPERLINK("#Трудозатраты!B524",Трудозатраты!B524+SUMIF(G2173:G2184,"*",O2173:O2184))</f>
        <v>30.299999999999997</v>
      </c>
      <c r="O2172" s="101">
        <f>N2172*J2172</f>
        <v>30.299999999999997</v>
      </c>
      <c r="P2172" s="100">
        <f>O2172/60*(1+запас_труд)*стоимость_трудочаса</f>
        <v>1186.75</v>
      </c>
      <c r="Q2172" s="127">
        <f>M2172*(1+наценка_покупное)+P2172</f>
        <v>1997.6500734399997</v>
      </c>
    </row>
    <row r="2173" spans="5:17" hidden="1" outlineLevel="5" collapsed="1" x14ac:dyDescent="0.25">
      <c r="G2173" s="85" t="s">
        <v>1225</v>
      </c>
      <c r="H2173" s="87"/>
      <c r="I2173" s="88"/>
      <c r="J2173" s="90">
        <f>HYPERLINK("#Структура!E1963",Структура!E1963)</f>
        <v>1</v>
      </c>
      <c r="K2173" s="113">
        <f>HYPERLINK("#Структура!G1963",Структура!G1963)</f>
        <v>2.1058500000000002</v>
      </c>
      <c r="L2173" s="88">
        <f>M2173/J2173</f>
        <v>315.59999999999997</v>
      </c>
      <c r="M2173" s="88">
        <f>SUMIF(H2174,"*",M2174)*J2173</f>
        <v>315.59999999999997</v>
      </c>
      <c r="N2173" s="123">
        <f>HYPERLINK("#Трудозатраты!B519",Трудозатраты!B519+SUMIF(H2174,"*",O2174))</f>
        <v>3.8</v>
      </c>
      <c r="O2173" s="89">
        <f>N2173*J2173</f>
        <v>3.8</v>
      </c>
      <c r="P2173" s="88">
        <f>O2173/60*(1+запас_труд)*стоимость_трудочаса</f>
        <v>148.83333333333331</v>
      </c>
      <c r="Q2173" s="128">
        <f>M2173*(1+наценка_покупное)+P2173</f>
        <v>527.55333333333328</v>
      </c>
    </row>
    <row r="2174" spans="5:17" hidden="1" outlineLevel="6" x14ac:dyDescent="0.25">
      <c r="H2174" s="75" t="s">
        <v>111</v>
      </c>
      <c r="I2174" s="76"/>
      <c r="J2174" s="78">
        <f>HYPERLINK("#Структура!E1950",Структура!E1950)</f>
        <v>2.63</v>
      </c>
      <c r="K2174" s="114" t="str">
        <f>HYPERLINK("#Структура!G1950","")</f>
        <v/>
      </c>
      <c r="L2174" s="120">
        <f>HYPERLINK("#Покупные_изделия!D283",Покупные_изделия!D283)</f>
        <v>120</v>
      </c>
      <c r="M2174" s="76">
        <f>J2174*L2174</f>
        <v>315.59999999999997</v>
      </c>
      <c r="N2174" s="77"/>
      <c r="O2174" s="77"/>
      <c r="P2174" s="76"/>
      <c r="Q2174" s="76"/>
    </row>
    <row r="2175" spans="5:17" hidden="1" outlineLevel="5" collapsed="1" x14ac:dyDescent="0.25">
      <c r="G2175" s="84" t="s">
        <v>1232</v>
      </c>
      <c r="H2175" s="80"/>
      <c r="I2175" s="81"/>
      <c r="J2175" s="83">
        <f>HYPERLINK("#Структура!E1964",Структура!E1964)</f>
        <v>1</v>
      </c>
      <c r="K2175" s="115">
        <f>HYPERLINK("#Структура!G1964",Структура!G1964)</f>
        <v>0.73148999999999997</v>
      </c>
      <c r="L2175" s="81">
        <f>M2175/J2175</f>
        <v>105.6</v>
      </c>
      <c r="M2175" s="81">
        <f>SUMIF(H2176,"*",M2176)*J2175</f>
        <v>105.6</v>
      </c>
      <c r="N2175" s="124">
        <f>HYPERLINK("#Трудозатраты!B525",Трудозатраты!B525+SUMIF(H2176,"*",O2176))</f>
        <v>1.9</v>
      </c>
      <c r="O2175" s="82">
        <f>N2175*J2175</f>
        <v>1.9</v>
      </c>
      <c r="P2175" s="81">
        <f>O2175/60*(1+запас_труд)*стоимость_трудочаса</f>
        <v>74.416666666666657</v>
      </c>
      <c r="Q2175" s="129">
        <f>M2175*(1+наценка_покупное)+P2175</f>
        <v>201.13666666666666</v>
      </c>
    </row>
    <row r="2176" spans="5:17" hidden="1" outlineLevel="6" x14ac:dyDescent="0.25">
      <c r="H2176" s="75" t="s">
        <v>121</v>
      </c>
      <c r="I2176" s="76"/>
      <c r="J2176" s="78">
        <f>HYPERLINK("#Структура!E1972",Структура!E1972)</f>
        <v>0.88</v>
      </c>
      <c r="K2176" s="114" t="str">
        <f>HYPERLINK("#Структура!G1972","")</f>
        <v/>
      </c>
      <c r="L2176" s="120">
        <f>HYPERLINK("#Покупные_изделия!D296",Покупные_изделия!D296)</f>
        <v>120</v>
      </c>
      <c r="M2176" s="76">
        <f>J2176*L2176</f>
        <v>105.6</v>
      </c>
      <c r="N2176" s="77"/>
      <c r="O2176" s="77"/>
      <c r="P2176" s="76"/>
      <c r="Q2176" s="76"/>
    </row>
    <row r="2177" spans="6:17" hidden="1" outlineLevel="5" collapsed="1" x14ac:dyDescent="0.25">
      <c r="G2177" s="84" t="s">
        <v>1233</v>
      </c>
      <c r="H2177" s="80"/>
      <c r="I2177" s="81"/>
      <c r="J2177" s="83">
        <f>HYPERLINK("#Структура!E1965",Структура!E1965)</f>
        <v>2</v>
      </c>
      <c r="K2177" s="115">
        <f>HYPERLINK("#Структура!G1965",Структура!G1965)</f>
        <v>0.58923999999999999</v>
      </c>
      <c r="L2177" s="81">
        <f>M2177/J2177</f>
        <v>115.19999999999999</v>
      </c>
      <c r="M2177" s="81">
        <f>SUMIF(H2178,"*",M2178)*J2177</f>
        <v>230.39999999999998</v>
      </c>
      <c r="N2177" s="124">
        <f>HYPERLINK("#Трудозатраты!B526",Трудозатраты!B526+SUMIF(H2178,"*",O2178))</f>
        <v>1.3</v>
      </c>
      <c r="O2177" s="82">
        <f>N2177*J2177</f>
        <v>2.6</v>
      </c>
      <c r="P2177" s="81">
        <f>O2177/60*(1+запас_труд)*стоимость_трудочаса</f>
        <v>101.83333333333334</v>
      </c>
      <c r="Q2177" s="129">
        <f>M2177*(1+наценка_покупное)+P2177</f>
        <v>378.31333333333328</v>
      </c>
    </row>
    <row r="2178" spans="6:17" hidden="1" outlineLevel="6" x14ac:dyDescent="0.25">
      <c r="H2178" s="75" t="s">
        <v>121</v>
      </c>
      <c r="I2178" s="76"/>
      <c r="J2178" s="78">
        <f>HYPERLINK("#Структура!E1973",Структура!E1973)</f>
        <v>0.96</v>
      </c>
      <c r="K2178" s="114" t="str">
        <f>HYPERLINK("#Структура!G1973","")</f>
        <v/>
      </c>
      <c r="L2178" s="120">
        <f>HYPERLINK("#Покупные_изделия!D296",Покупные_изделия!D296)</f>
        <v>120</v>
      </c>
      <c r="M2178" s="76">
        <f t="shared" ref="M2178:M2184" si="84">J2178*L2178</f>
        <v>115.19999999999999</v>
      </c>
      <c r="N2178" s="77"/>
      <c r="O2178" s="77"/>
      <c r="P2178" s="76"/>
      <c r="Q2178" s="76"/>
    </row>
    <row r="2179" spans="6:17" hidden="1" outlineLevel="5" x14ac:dyDescent="0.25">
      <c r="G2179" s="74" t="s">
        <v>65</v>
      </c>
      <c r="H2179" s="75"/>
      <c r="I2179" s="76"/>
      <c r="J2179" s="78">
        <f>HYPERLINK("#Структура!E1966",Структура!E1966)</f>
        <v>1.2999999999999999E-2</v>
      </c>
      <c r="K2179" s="114" t="str">
        <f>HYPERLINK("#Структура!G1966","")</f>
        <v/>
      </c>
      <c r="L2179" s="120">
        <f>HYPERLINK("#Покупные_изделия!D197",Покупные_изделия!D197)</f>
        <v>264.50399999999996</v>
      </c>
      <c r="M2179" s="76">
        <f t="shared" si="84"/>
        <v>3.4385519999999992</v>
      </c>
      <c r="N2179" s="77"/>
      <c r="O2179" s="77"/>
      <c r="P2179" s="76"/>
      <c r="Q2179" s="76"/>
    </row>
    <row r="2180" spans="6:17" hidden="1" outlineLevel="5" x14ac:dyDescent="0.25">
      <c r="G2180" s="74" t="s">
        <v>67</v>
      </c>
      <c r="H2180" s="75"/>
      <c r="I2180" s="76"/>
      <c r="J2180" s="78">
        <f>HYPERLINK("#Структура!E1967",Структура!E1967)</f>
        <v>4.7E-2</v>
      </c>
      <c r="K2180" s="114" t="str">
        <f>HYPERLINK("#Структура!G1967","")</f>
        <v/>
      </c>
      <c r="L2180" s="120">
        <f>HYPERLINK("#Покупные_изделия!D203",Покупные_изделия!D203)</f>
        <v>30.003600000000002</v>
      </c>
      <c r="M2180" s="76">
        <f t="shared" si="84"/>
        <v>1.4101692000000001</v>
      </c>
      <c r="N2180" s="77"/>
      <c r="O2180" s="77"/>
      <c r="P2180" s="76"/>
      <c r="Q2180" s="76"/>
    </row>
    <row r="2181" spans="6:17" hidden="1" outlineLevel="5" x14ac:dyDescent="0.25">
      <c r="G2181" s="74" t="s">
        <v>146</v>
      </c>
      <c r="H2181" s="75"/>
      <c r="I2181" s="76"/>
      <c r="J2181" s="78">
        <f>HYPERLINK("#Структура!E1968",Структура!E1968)</f>
        <v>6.0999999999999999E-2</v>
      </c>
      <c r="K2181" s="114" t="str">
        <f>HYPERLINK("#Структура!G1968","")</f>
        <v/>
      </c>
      <c r="L2181" s="120">
        <f>HYPERLINK("#Покупные_изделия!D406",Покупные_изделия!D406)</f>
        <v>105.996</v>
      </c>
      <c r="M2181" s="76">
        <f t="shared" si="84"/>
        <v>6.4657559999999998</v>
      </c>
      <c r="N2181" s="77"/>
      <c r="O2181" s="77"/>
      <c r="P2181" s="76"/>
      <c r="Q2181" s="76"/>
    </row>
    <row r="2182" spans="6:17" hidden="1" outlineLevel="5" x14ac:dyDescent="0.25">
      <c r="G2182" s="74" t="s">
        <v>155</v>
      </c>
      <c r="H2182" s="75"/>
      <c r="I2182" s="76"/>
      <c r="J2182" s="78">
        <f>HYPERLINK("#Структура!E1969",Структура!E1969)</f>
        <v>8.0000000000000002E-3</v>
      </c>
      <c r="K2182" s="114" t="str">
        <f>HYPERLINK("#Структура!G1969","")</f>
        <v/>
      </c>
      <c r="L2182" s="120">
        <f>HYPERLINK("#Покупные_изделия!D423",Покупные_изделия!D423)</f>
        <v>218.28</v>
      </c>
      <c r="M2182" s="76">
        <f t="shared" si="84"/>
        <v>1.74624</v>
      </c>
      <c r="N2182" s="77"/>
      <c r="O2182" s="77"/>
      <c r="P2182" s="76"/>
      <c r="Q2182" s="76"/>
    </row>
    <row r="2183" spans="6:17" hidden="1" outlineLevel="5" x14ac:dyDescent="0.25">
      <c r="G2183" s="74" t="s">
        <v>200</v>
      </c>
      <c r="H2183" s="75"/>
      <c r="I2183" s="76"/>
      <c r="J2183" s="78">
        <f>HYPERLINK("#Структура!E1970",Структура!E1970)</f>
        <v>2E-3</v>
      </c>
      <c r="K2183" s="114" t="str">
        <f>HYPERLINK("#Структура!G1970","")</f>
        <v/>
      </c>
      <c r="L2183" s="120">
        <f>HYPERLINK("#Покупные_изделия!D518",Покупные_изделия!D518)</f>
        <v>270</v>
      </c>
      <c r="M2183" s="76">
        <f t="shared" si="84"/>
        <v>0.54</v>
      </c>
      <c r="N2183" s="77"/>
      <c r="O2183" s="77"/>
      <c r="P2183" s="76"/>
      <c r="Q2183" s="76"/>
    </row>
    <row r="2184" spans="6:17" hidden="1" outlineLevel="5" x14ac:dyDescent="0.25">
      <c r="G2184" s="74" t="s">
        <v>215</v>
      </c>
      <c r="H2184" s="75"/>
      <c r="I2184" s="76"/>
      <c r="J2184" s="78">
        <f>HYPERLINK("#Структура!E1971",Структура!E1971)</f>
        <v>2.5999999999999999E-2</v>
      </c>
      <c r="K2184" s="114" t="str">
        <f>HYPERLINK("#Структура!G1971","")</f>
        <v/>
      </c>
      <c r="L2184" s="120">
        <f>HYPERLINK("#Покупные_изделия!D567",Покупные_изделия!D567)</f>
        <v>405.74399999999997</v>
      </c>
      <c r="M2184" s="76">
        <f t="shared" si="84"/>
        <v>10.549344</v>
      </c>
      <c r="N2184" s="77"/>
      <c r="O2184" s="77"/>
      <c r="P2184" s="76"/>
      <c r="Q2184" s="76"/>
    </row>
    <row r="2185" spans="6:17" hidden="1" outlineLevel="4" collapsed="1" x14ac:dyDescent="0.25">
      <c r="F2185" s="96" t="s">
        <v>1297</v>
      </c>
      <c r="G2185" s="91"/>
      <c r="H2185" s="92"/>
      <c r="I2185" s="93"/>
      <c r="J2185" s="95">
        <f>HYPERLINK("#Структура!E2250",Структура!E2250)</f>
        <v>1</v>
      </c>
      <c r="K2185" s="116">
        <f>HYPERLINK("#Структура!G2250",Структура!G2250)</f>
        <v>31.542339999999999</v>
      </c>
      <c r="L2185" s="93">
        <f>M2185/J2185</f>
        <v>4824.850446800001</v>
      </c>
      <c r="M2185" s="93">
        <f>SUMIF(G2186:G2208,"*",M2186:M2208)*J2185</f>
        <v>4824.850446800001</v>
      </c>
      <c r="N2185" s="125">
        <f>HYPERLINK("#Трудозатраты!B586",Трудозатраты!B586+SUMIF(G2186:G2208,"*",O2186:O2208))</f>
        <v>185.7</v>
      </c>
      <c r="O2185" s="94">
        <f>N2185*J2185</f>
        <v>185.7</v>
      </c>
      <c r="P2185" s="93">
        <f>O2185/60*(1+запас_труд)*стоимость_трудочаса</f>
        <v>7273.2499999999991</v>
      </c>
      <c r="Q2185" s="130">
        <f>M2185*(1+наценка_покупное)+P2185</f>
        <v>13063.070536160001</v>
      </c>
    </row>
    <row r="2186" spans="6:17" hidden="1" outlineLevel="5" collapsed="1" x14ac:dyDescent="0.25">
      <c r="G2186" s="97" t="s">
        <v>1231</v>
      </c>
      <c r="H2186" s="99"/>
      <c r="I2186" s="100"/>
      <c r="J2186" s="102">
        <f>HYPERLINK("#Структура!E2254",Структура!E2254)</f>
        <v>1</v>
      </c>
      <c r="K2186" s="112">
        <f>HYPERLINK("#Структура!G2254",Структура!G2254)</f>
        <v>17.11318</v>
      </c>
      <c r="L2186" s="100">
        <f>M2186/J2186</f>
        <v>2504.1982092000003</v>
      </c>
      <c r="M2186" s="100">
        <f>SUMIF(H2187:H2194,"*",M2187:M2194)*J2186</f>
        <v>2504.1982092000003</v>
      </c>
      <c r="N2186" s="122">
        <f>HYPERLINK("#Трудозатраты!B523",Трудозатраты!B523+SUMIF(H2187:H2194,"*",O2187:O2194))</f>
        <v>54</v>
      </c>
      <c r="O2186" s="101">
        <f>N2186*J2186</f>
        <v>54</v>
      </c>
      <c r="P2186" s="100">
        <f>O2186/60*(1+запас_труд)*стоимость_трудочаса</f>
        <v>2115</v>
      </c>
      <c r="Q2186" s="127">
        <f>M2186*(1+наценка_покупное)+P2186</f>
        <v>5120.0378510400005</v>
      </c>
    </row>
    <row r="2187" spans="6:17" hidden="1" outlineLevel="6" collapsed="1" x14ac:dyDescent="0.25">
      <c r="H2187" s="104" t="s">
        <v>1222</v>
      </c>
      <c r="I2187" s="88"/>
      <c r="J2187" s="90">
        <f>HYPERLINK("#Структура!E1958",Структура!E1958)</f>
        <v>2</v>
      </c>
      <c r="K2187" s="113">
        <f>HYPERLINK("#Структура!G1958",Структура!G1958)</f>
        <v>7.1966000000000001</v>
      </c>
      <c r="L2187" s="88">
        <f>M2187/J2187</f>
        <v>1044</v>
      </c>
      <c r="M2187" s="88">
        <f>SUMIF(I2188,"*",M2188)*J2187</f>
        <v>2088</v>
      </c>
      <c r="N2187" s="123">
        <f>HYPERLINK("#Трудозатраты!B515",Трудозатраты!B515+SUMIF(I2188,"*",O2188))</f>
        <v>9.9</v>
      </c>
      <c r="O2187" s="89">
        <f>N2187*J2187</f>
        <v>19.8</v>
      </c>
      <c r="P2187" s="88">
        <f>O2187/60*(1+запас_труд)*стоимость_трудочаса</f>
        <v>775.5</v>
      </c>
      <c r="Q2187" s="128">
        <f>M2187*(1+наценка_покупное)+P2187</f>
        <v>3281.1</v>
      </c>
    </row>
    <row r="2188" spans="6:17" hidden="1" outlineLevel="7" x14ac:dyDescent="0.25">
      <c r="I2188" s="76" t="s">
        <v>111</v>
      </c>
      <c r="J2188" s="78">
        <f>HYPERLINK("#Структура!E1938",Структура!E1938)</f>
        <v>8.6999999999999993</v>
      </c>
      <c r="K2188" s="114" t="str">
        <f>HYPERLINK("#Структура!G1938","")</f>
        <v/>
      </c>
      <c r="L2188" s="120">
        <f>HYPERLINK("#Покупные_изделия!D283",Покупные_изделия!D283)</f>
        <v>120</v>
      </c>
      <c r="M2188" s="76">
        <f>J2188*L2188</f>
        <v>1044</v>
      </c>
      <c r="N2188" s="77"/>
      <c r="O2188" s="77"/>
      <c r="P2188" s="76"/>
      <c r="Q2188" s="76"/>
    </row>
    <row r="2189" spans="6:17" hidden="1" outlineLevel="6" collapsed="1" x14ac:dyDescent="0.25">
      <c r="H2189" s="103" t="s">
        <v>1223</v>
      </c>
      <c r="I2189" s="81"/>
      <c r="J2189" s="83">
        <f>HYPERLINK("#Структура!E1959",Структура!E1959)</f>
        <v>2</v>
      </c>
      <c r="K2189" s="115">
        <f>HYPERLINK("#Структура!G1959",Структура!G1959)</f>
        <v>1.0219</v>
      </c>
      <c r="L2189" s="81">
        <f>M2189/J2189</f>
        <v>150</v>
      </c>
      <c r="M2189" s="81">
        <f>SUMIF(I2190,"*",M2190)*J2189</f>
        <v>300</v>
      </c>
      <c r="N2189" s="124">
        <f>HYPERLINK("#Трудозатраты!B516",Трудозатраты!B516+SUMIF(I2190,"*",O2190))</f>
        <v>2</v>
      </c>
      <c r="O2189" s="82">
        <f>N2189*J2189</f>
        <v>4</v>
      </c>
      <c r="P2189" s="81">
        <f>O2189/60*(1+запас_труд)*стоимость_трудочаса</f>
        <v>156.66666666666666</v>
      </c>
      <c r="Q2189" s="129">
        <f>M2189*(1+наценка_покупное)+P2189</f>
        <v>516.66666666666663</v>
      </c>
    </row>
    <row r="2190" spans="6:17" hidden="1" outlineLevel="7" x14ac:dyDescent="0.25">
      <c r="I2190" s="76" t="s">
        <v>117</v>
      </c>
      <c r="J2190" s="78">
        <f>HYPERLINK("#Структура!E1939",Структура!E1939)</f>
        <v>1.25</v>
      </c>
      <c r="K2190" s="114" t="str">
        <f>HYPERLINK("#Структура!G1939","")</f>
        <v/>
      </c>
      <c r="L2190" s="120">
        <f>HYPERLINK("#Покупные_изделия!D292",Покупные_изделия!D292)</f>
        <v>120</v>
      </c>
      <c r="M2190" s="76">
        <f>J2190*L2190</f>
        <v>150</v>
      </c>
      <c r="N2190" s="77"/>
      <c r="O2190" s="77"/>
      <c r="P2190" s="76"/>
      <c r="Q2190" s="76"/>
    </row>
    <row r="2191" spans="6:17" hidden="1" outlineLevel="6" collapsed="1" x14ac:dyDescent="0.25">
      <c r="H2191" s="103" t="s">
        <v>1224</v>
      </c>
      <c r="I2191" s="81"/>
      <c r="J2191" s="83">
        <f>HYPERLINK("#Структура!E1960",Структура!E1960)</f>
        <v>4</v>
      </c>
      <c r="K2191" s="115">
        <f>HYPERLINK("#Структура!G1960",Структура!G1960)</f>
        <v>0.16904</v>
      </c>
      <c r="L2191" s="81">
        <f>M2191/J2191</f>
        <v>25.2</v>
      </c>
      <c r="M2191" s="81">
        <f>SUMIF(I2192,"*",M2192)*J2191</f>
        <v>100.8</v>
      </c>
      <c r="N2191" s="124">
        <f>HYPERLINK("#Трудозатраты!B517",Трудозатраты!B517+SUMIF(I2192,"*",O2192))</f>
        <v>0.8</v>
      </c>
      <c r="O2191" s="82">
        <f>N2191*J2191</f>
        <v>3.2</v>
      </c>
      <c r="P2191" s="81">
        <f>O2191/60*(1+запас_труд)*стоимость_трудочаса</f>
        <v>125.33333333333334</v>
      </c>
      <c r="Q2191" s="129">
        <f>M2191*(1+наценка_покупное)+P2191</f>
        <v>246.29333333333335</v>
      </c>
    </row>
    <row r="2192" spans="6:17" hidden="1" outlineLevel="7" x14ac:dyDescent="0.25">
      <c r="I2192" s="76" t="s">
        <v>117</v>
      </c>
      <c r="J2192" s="78">
        <f>HYPERLINK("#Структура!E1940",Структура!E1940)</f>
        <v>0.21</v>
      </c>
      <c r="K2192" s="114" t="str">
        <f>HYPERLINK("#Структура!G1940","")</f>
        <v/>
      </c>
      <c r="L2192" s="120">
        <f>HYPERLINK("#Покупные_изделия!D292",Покупные_изделия!D292)</f>
        <v>120</v>
      </c>
      <c r="M2192" s="76">
        <f>J2192*L2192</f>
        <v>25.2</v>
      </c>
      <c r="N2192" s="77"/>
      <c r="O2192" s="77"/>
      <c r="P2192" s="76"/>
      <c r="Q2192" s="76"/>
    </row>
    <row r="2193" spans="7:17" hidden="1" outlineLevel="6" x14ac:dyDescent="0.25">
      <c r="H2193" s="75" t="s">
        <v>67</v>
      </c>
      <c r="I2193" s="76"/>
      <c r="J2193" s="78">
        <f>HYPERLINK("#Структура!E1961",Структура!E1961)</f>
        <v>0.16700000000000001</v>
      </c>
      <c r="K2193" s="114" t="str">
        <f>HYPERLINK("#Структура!G1961","")</f>
        <v/>
      </c>
      <c r="L2193" s="120">
        <f>HYPERLINK("#Покупные_изделия!D203",Покупные_изделия!D203)</f>
        <v>30.003600000000002</v>
      </c>
      <c r="M2193" s="76">
        <f>J2193*L2193</f>
        <v>5.0106012000000009</v>
      </c>
      <c r="N2193" s="77"/>
      <c r="O2193" s="77"/>
      <c r="P2193" s="76"/>
      <c r="Q2193" s="76"/>
    </row>
    <row r="2194" spans="7:17" hidden="1" outlineLevel="6" x14ac:dyDescent="0.25">
      <c r="H2194" s="75" t="s">
        <v>146</v>
      </c>
      <c r="I2194" s="76"/>
      <c r="J2194" s="78">
        <f>HYPERLINK("#Структура!E1962",Структура!E1962)</f>
        <v>9.8000000000000004E-2</v>
      </c>
      <c r="K2194" s="114" t="str">
        <f>HYPERLINK("#Структура!G1962","")</f>
        <v/>
      </c>
      <c r="L2194" s="120">
        <f>HYPERLINK("#Покупные_изделия!D406",Покупные_изделия!D406)</f>
        <v>105.996</v>
      </c>
      <c r="M2194" s="76">
        <f>J2194*L2194</f>
        <v>10.387608</v>
      </c>
      <c r="N2194" s="77"/>
      <c r="O2194" s="77"/>
      <c r="P2194" s="76"/>
      <c r="Q2194" s="76"/>
    </row>
    <row r="2195" spans="7:17" hidden="1" outlineLevel="5" collapsed="1" x14ac:dyDescent="0.25">
      <c r="G2195" s="84" t="s">
        <v>1235</v>
      </c>
      <c r="H2195" s="80"/>
      <c r="I2195" s="81"/>
      <c r="J2195" s="83">
        <f>HYPERLINK("#Структура!E2255",Структура!E2255)</f>
        <v>2</v>
      </c>
      <c r="K2195" s="115">
        <f>HYPERLINK("#Структура!G2255",Структура!G2255)</f>
        <v>1.7407699999999999</v>
      </c>
      <c r="L2195" s="81">
        <f>M2195/J2195</f>
        <v>169.2</v>
      </c>
      <c r="M2195" s="81">
        <f>SUMIF(H2196,"*",M2196)*J2195</f>
        <v>338.4</v>
      </c>
      <c r="N2195" s="124">
        <f>HYPERLINK("#Трудозатраты!B529",Трудозатраты!B529+SUMIF(H2196,"*",O2196))</f>
        <v>22</v>
      </c>
      <c r="O2195" s="82">
        <f>N2195*J2195</f>
        <v>44</v>
      </c>
      <c r="P2195" s="81">
        <f>O2195/60*(1+запас_труд)*стоимость_трудочаса</f>
        <v>1723.3333333333333</v>
      </c>
      <c r="Q2195" s="129">
        <f>M2195*(1+наценка_покупное)+P2195</f>
        <v>2129.4133333333334</v>
      </c>
    </row>
    <row r="2196" spans="7:17" hidden="1" outlineLevel="6" x14ac:dyDescent="0.25">
      <c r="H2196" s="75" t="s">
        <v>178</v>
      </c>
      <c r="I2196" s="76"/>
      <c r="J2196" s="78">
        <f>HYPERLINK("#Структура!E1988",Структура!E1988)</f>
        <v>1.41</v>
      </c>
      <c r="K2196" s="114" t="str">
        <f>HYPERLINK("#Структура!G1988","")</f>
        <v/>
      </c>
      <c r="L2196" s="120">
        <f>HYPERLINK("#Покупные_изделия!D489",Покупные_изделия!D489)</f>
        <v>120</v>
      </c>
      <c r="M2196" s="76">
        <f>J2196*L2196</f>
        <v>169.2</v>
      </c>
      <c r="N2196" s="77"/>
      <c r="O2196" s="77"/>
      <c r="P2196" s="76"/>
      <c r="Q2196" s="76"/>
    </row>
    <row r="2197" spans="7:17" hidden="1" outlineLevel="5" collapsed="1" x14ac:dyDescent="0.25">
      <c r="G2197" s="84" t="s">
        <v>1236</v>
      </c>
      <c r="H2197" s="80"/>
      <c r="I2197" s="81"/>
      <c r="J2197" s="83">
        <f>HYPERLINK("#Структура!E2256",Структура!E2256)</f>
        <v>1</v>
      </c>
      <c r="K2197" s="115">
        <f>HYPERLINK("#Структура!G2256",Структура!G2256)</f>
        <v>1.03599</v>
      </c>
      <c r="L2197" s="81">
        <f>M2197/J2197</f>
        <v>110.00000000000001</v>
      </c>
      <c r="M2197" s="81">
        <f>SUMIF(H2198,"*",M2198)*J2197</f>
        <v>110.00000000000001</v>
      </c>
      <c r="N2197" s="124">
        <f>HYPERLINK("#Трудозатраты!B530",Трудозатраты!B530+SUMIF(H2198,"*",O2198))</f>
        <v>4</v>
      </c>
      <c r="O2197" s="82">
        <f>N2197*J2197</f>
        <v>4</v>
      </c>
      <c r="P2197" s="81">
        <f>O2197/60*(1+запас_труд)*стоимость_трудочаса</f>
        <v>156.66666666666666</v>
      </c>
      <c r="Q2197" s="129">
        <f>M2197*(1+наценка_покупное)+P2197</f>
        <v>288.66666666666663</v>
      </c>
    </row>
    <row r="2198" spans="7:17" hidden="1" outlineLevel="6" x14ac:dyDescent="0.25">
      <c r="H2198" s="75" t="s">
        <v>190</v>
      </c>
      <c r="I2198" s="76"/>
      <c r="J2198" s="78">
        <f>HYPERLINK("#Структура!E1989",Структура!E1989)</f>
        <v>1.1000000000000001</v>
      </c>
      <c r="K2198" s="114" t="str">
        <f>HYPERLINK("#Структура!G1989","")</f>
        <v/>
      </c>
      <c r="L2198" s="120">
        <f>HYPERLINK("#Покупные_изделия!D503",Покупные_изделия!D503)</f>
        <v>100</v>
      </c>
      <c r="M2198" s="76">
        <f>J2198*L2198</f>
        <v>110.00000000000001</v>
      </c>
      <c r="N2198" s="77"/>
      <c r="O2198" s="77"/>
      <c r="P2198" s="76"/>
      <c r="Q2198" s="76"/>
    </row>
    <row r="2199" spans="7:17" hidden="1" outlineLevel="5" collapsed="1" x14ac:dyDescent="0.25">
      <c r="G2199" s="84" t="s">
        <v>1238</v>
      </c>
      <c r="H2199" s="80"/>
      <c r="I2199" s="81"/>
      <c r="J2199" s="83">
        <f>HYPERLINK("#Структура!E2257",Структура!E2257)</f>
        <v>1</v>
      </c>
      <c r="K2199" s="115">
        <f>HYPERLINK("#Структура!G2257",Структура!G2257)</f>
        <v>0.48792000000000002</v>
      </c>
      <c r="L2199" s="81">
        <f>M2199/J2199</f>
        <v>72</v>
      </c>
      <c r="M2199" s="81">
        <f>SUMIF(H2200,"*",M2200)*J2199</f>
        <v>72</v>
      </c>
      <c r="N2199" s="124">
        <f>HYPERLINK("#Трудозатраты!B532",Трудозатраты!B532+SUMIF(H2200,"*",O2200))</f>
        <v>1.4</v>
      </c>
      <c r="O2199" s="82">
        <f>N2199*J2199</f>
        <v>1.4</v>
      </c>
      <c r="P2199" s="81">
        <f>O2199/60*(1+запас_труд)*стоимость_трудочаса</f>
        <v>54.833333333333329</v>
      </c>
      <c r="Q2199" s="129">
        <f>M2199*(1+наценка_покупное)+P2199</f>
        <v>141.23333333333332</v>
      </c>
    </row>
    <row r="2200" spans="7:17" hidden="1" outlineLevel="6" x14ac:dyDescent="0.25">
      <c r="H2200" s="75" t="s">
        <v>117</v>
      </c>
      <c r="I2200" s="76"/>
      <c r="J2200" s="78">
        <f>HYPERLINK("#Структура!E1991",Структура!E1991)</f>
        <v>0.6</v>
      </c>
      <c r="K2200" s="114" t="str">
        <f>HYPERLINK("#Структура!G1991","")</f>
        <v/>
      </c>
      <c r="L2200" s="120">
        <f>HYPERLINK("#Покупные_изделия!D292",Покупные_изделия!D292)</f>
        <v>120</v>
      </c>
      <c r="M2200" s="76">
        <f>J2200*L2200</f>
        <v>72</v>
      </c>
      <c r="N2200" s="77"/>
      <c r="O2200" s="77"/>
      <c r="P2200" s="76"/>
      <c r="Q2200" s="76"/>
    </row>
    <row r="2201" spans="7:17" hidden="1" outlineLevel="5" collapsed="1" x14ac:dyDescent="0.25">
      <c r="G2201" s="84" t="s">
        <v>1298</v>
      </c>
      <c r="H2201" s="80"/>
      <c r="I2201" s="81"/>
      <c r="J2201" s="83">
        <f>HYPERLINK("#Структура!E2258",Структура!E2258)</f>
        <v>1</v>
      </c>
      <c r="K2201" s="115">
        <f>HYPERLINK("#Структура!G2258",Структура!G2258)</f>
        <v>9.4184400000000004</v>
      </c>
      <c r="L2201" s="81">
        <f>M2201/J2201</f>
        <v>1632</v>
      </c>
      <c r="M2201" s="81">
        <f>SUMIF(H2202,"*",M2202)*J2201</f>
        <v>1632</v>
      </c>
      <c r="N2201" s="124">
        <f>HYPERLINK("#Трудозатраты!B587",Трудозатраты!B587+SUMIF(H2202,"*",O2202))</f>
        <v>12.3</v>
      </c>
      <c r="O2201" s="82">
        <f>N2201*J2201</f>
        <v>12.3</v>
      </c>
      <c r="P2201" s="81">
        <f>O2201/60*(1+запас_труд)*стоимость_трудочаса</f>
        <v>481.75000000000006</v>
      </c>
      <c r="Q2201" s="129">
        <f>M2201*(1+наценка_покупное)+P2201</f>
        <v>2440.15</v>
      </c>
    </row>
    <row r="2202" spans="7:17" hidden="1" outlineLevel="6" x14ac:dyDescent="0.25">
      <c r="H2202" s="75" t="s">
        <v>120</v>
      </c>
      <c r="I2202" s="76"/>
      <c r="J2202" s="78">
        <f>HYPERLINK("#Структура!E2265",Структура!E2265)</f>
        <v>13.6</v>
      </c>
      <c r="K2202" s="114" t="str">
        <f>HYPERLINK("#Структура!G2265","")</f>
        <v/>
      </c>
      <c r="L2202" s="120">
        <f>HYPERLINK("#Покупные_изделия!D295",Покупные_изделия!D295)</f>
        <v>120</v>
      </c>
      <c r="M2202" s="76">
        <f t="shared" ref="M2202:M2211" si="85">J2202*L2202</f>
        <v>1632</v>
      </c>
      <c r="N2202" s="77"/>
      <c r="O2202" s="77"/>
      <c r="P2202" s="76"/>
      <c r="Q2202" s="76"/>
    </row>
    <row r="2203" spans="7:17" hidden="1" outlineLevel="5" x14ac:dyDescent="0.25">
      <c r="G2203" s="74" t="s">
        <v>966</v>
      </c>
      <c r="H2203" s="75"/>
      <c r="I2203" s="76"/>
      <c r="J2203" s="78">
        <f>HYPERLINK("#Структура!E2259",Структура!E2259)</f>
        <v>1</v>
      </c>
      <c r="K2203" s="114">
        <f>HYPERLINK("#Структура!G2259",Структура!G2259)</f>
        <v>5.2700000000000004E-3</v>
      </c>
      <c r="L2203" s="120">
        <f>HYPERLINK("#Покупные_изделия!D170",Покупные_изделия!D170)</f>
        <v>1.3728</v>
      </c>
      <c r="M2203" s="76">
        <f t="shared" si="85"/>
        <v>1.3728</v>
      </c>
      <c r="N2203" s="77"/>
      <c r="O2203" s="77"/>
      <c r="P2203" s="76"/>
      <c r="Q2203" s="76"/>
    </row>
    <row r="2204" spans="7:17" hidden="1" outlineLevel="5" x14ac:dyDescent="0.25">
      <c r="G2204" s="74" t="s">
        <v>65</v>
      </c>
      <c r="H2204" s="75"/>
      <c r="I2204" s="76"/>
      <c r="J2204" s="78">
        <f>HYPERLINK("#Структура!E2260",Структура!E2260)</f>
        <v>0.12</v>
      </c>
      <c r="K2204" s="114" t="str">
        <f>HYPERLINK("#Структура!G2260","")</f>
        <v/>
      </c>
      <c r="L2204" s="120">
        <f>HYPERLINK("#Покупные_изделия!D197",Покупные_изделия!D197)</f>
        <v>264.50399999999996</v>
      </c>
      <c r="M2204" s="76">
        <f t="shared" si="85"/>
        <v>31.740479999999994</v>
      </c>
      <c r="N2204" s="77"/>
      <c r="O2204" s="77"/>
      <c r="P2204" s="76"/>
      <c r="Q2204" s="76"/>
    </row>
    <row r="2205" spans="7:17" hidden="1" outlineLevel="5" x14ac:dyDescent="0.25">
      <c r="G2205" s="74" t="s">
        <v>67</v>
      </c>
      <c r="H2205" s="75"/>
      <c r="I2205" s="76"/>
      <c r="J2205" s="78">
        <f>HYPERLINK("#Структура!E2261",Структура!E2261)</f>
        <v>0.22600000000000001</v>
      </c>
      <c r="K2205" s="114" t="str">
        <f>HYPERLINK("#Структура!G2261","")</f>
        <v/>
      </c>
      <c r="L2205" s="120">
        <f>HYPERLINK("#Покупные_изделия!D203",Покупные_изделия!D203)</f>
        <v>30.003600000000002</v>
      </c>
      <c r="M2205" s="76">
        <f t="shared" si="85"/>
        <v>6.780813600000001</v>
      </c>
      <c r="N2205" s="77"/>
      <c r="O2205" s="77"/>
      <c r="P2205" s="76"/>
      <c r="Q2205" s="76"/>
    </row>
    <row r="2206" spans="7:17" hidden="1" outlineLevel="5" x14ac:dyDescent="0.25">
      <c r="G2206" s="74" t="s">
        <v>146</v>
      </c>
      <c r="H2206" s="75"/>
      <c r="I2206" s="76"/>
      <c r="J2206" s="78">
        <f>HYPERLINK("#Структура!E2262",Структура!E2262)</f>
        <v>0.14399999999999999</v>
      </c>
      <c r="K2206" s="114" t="str">
        <f>HYPERLINK("#Структура!G2262","")</f>
        <v/>
      </c>
      <c r="L2206" s="120">
        <f>HYPERLINK("#Покупные_изделия!D406",Покупные_изделия!D406)</f>
        <v>105.996</v>
      </c>
      <c r="M2206" s="76">
        <f t="shared" si="85"/>
        <v>15.263423999999999</v>
      </c>
      <c r="N2206" s="77"/>
      <c r="O2206" s="77"/>
      <c r="P2206" s="76"/>
      <c r="Q2206" s="76"/>
    </row>
    <row r="2207" spans="7:17" hidden="1" outlineLevel="5" x14ac:dyDescent="0.25">
      <c r="G2207" s="74" t="s">
        <v>155</v>
      </c>
      <c r="H2207" s="75"/>
      <c r="I2207" s="76"/>
      <c r="J2207" s="78">
        <f>HYPERLINK("#Структура!E2263",Структура!E2263)</f>
        <v>7.1999999999999995E-2</v>
      </c>
      <c r="K2207" s="114" t="str">
        <f>HYPERLINK("#Структура!G2263","")</f>
        <v/>
      </c>
      <c r="L2207" s="120">
        <f>HYPERLINK("#Покупные_изделия!D423",Покупные_изделия!D423)</f>
        <v>218.28</v>
      </c>
      <c r="M2207" s="76">
        <f t="shared" si="85"/>
        <v>15.716159999999999</v>
      </c>
      <c r="N2207" s="77"/>
      <c r="O2207" s="77"/>
      <c r="P2207" s="76"/>
      <c r="Q2207" s="76"/>
    </row>
    <row r="2208" spans="7:17" hidden="1" outlineLevel="5" x14ac:dyDescent="0.25">
      <c r="G2208" s="74" t="s">
        <v>215</v>
      </c>
      <c r="H2208" s="75"/>
      <c r="I2208" s="76"/>
      <c r="J2208" s="78">
        <f>HYPERLINK("#Структура!E2264",Структура!E2264)</f>
        <v>0.24</v>
      </c>
      <c r="K2208" s="114" t="str">
        <f>HYPERLINK("#Структура!G2264","")</f>
        <v/>
      </c>
      <c r="L2208" s="120">
        <f>HYPERLINK("#Покупные_изделия!D567",Покупные_изделия!D567)</f>
        <v>405.74399999999997</v>
      </c>
      <c r="M2208" s="76">
        <f t="shared" si="85"/>
        <v>97.378559999999993</v>
      </c>
      <c r="N2208" s="77"/>
      <c r="O2208" s="77"/>
      <c r="P2208" s="76"/>
      <c r="Q2208" s="76"/>
    </row>
    <row r="2209" spans="5:17" hidden="1" outlineLevel="4" x14ac:dyDescent="0.25">
      <c r="F2209" s="74" t="s">
        <v>1221</v>
      </c>
      <c r="G2209" s="74"/>
      <c r="H2209" s="75"/>
      <c r="I2209" s="76"/>
      <c r="J2209" s="78">
        <f>HYPERLINK("#Структура!E2251",Структура!E2251)</f>
        <v>4</v>
      </c>
      <c r="K2209" s="114">
        <f>HYPERLINK("#Структура!G2251",Структура!G2251)</f>
        <v>6.9500000000000006E-2</v>
      </c>
      <c r="L2209" s="120">
        <f>HYPERLINK("#Покупные_изделия!D78",Покупные_изделия!D78)</f>
        <v>92.13600000000001</v>
      </c>
      <c r="M2209" s="76">
        <f t="shared" si="85"/>
        <v>368.54400000000004</v>
      </c>
      <c r="N2209" s="77"/>
      <c r="O2209" s="77"/>
      <c r="P2209" s="76"/>
      <c r="Q2209" s="76"/>
    </row>
    <row r="2210" spans="5:17" hidden="1" outlineLevel="4" x14ac:dyDescent="0.25">
      <c r="F2210" s="74" t="s">
        <v>864</v>
      </c>
      <c r="G2210" s="74"/>
      <c r="H2210" s="75"/>
      <c r="I2210" s="76"/>
      <c r="J2210" s="78">
        <f>HYPERLINK("#Структура!E2252",Структура!E2252)</f>
        <v>4</v>
      </c>
      <c r="K2210" s="114">
        <f>HYPERLINK("#Структура!G2252",Структура!G2252)</f>
        <v>1.567E-2</v>
      </c>
      <c r="L2210" s="120">
        <f>HYPERLINK("#Покупные_изделия!D175",Покупные_изделия!D175)</f>
        <v>3.3659999999999997</v>
      </c>
      <c r="M2210" s="76">
        <f t="shared" si="85"/>
        <v>13.463999999999999</v>
      </c>
      <c r="N2210" s="77"/>
      <c r="O2210" s="77"/>
      <c r="P2210" s="76"/>
      <c r="Q2210" s="76"/>
    </row>
    <row r="2211" spans="5:17" hidden="1" outlineLevel="4" x14ac:dyDescent="0.25">
      <c r="F2211" s="74" t="s">
        <v>865</v>
      </c>
      <c r="G2211" s="74"/>
      <c r="H2211" s="75"/>
      <c r="I2211" s="76"/>
      <c r="J2211" s="78">
        <f>HYPERLINK("#Структура!E2253",Структура!E2253)</f>
        <v>4</v>
      </c>
      <c r="K2211" s="114">
        <f>HYPERLINK("#Структура!G2253",Структура!G2253)</f>
        <v>3.4499999999999999E-3</v>
      </c>
      <c r="L2211" s="120">
        <f>HYPERLINK("#Покупные_изделия!D523",Покупные_изделия!D523)</f>
        <v>1.5973680000000001</v>
      </c>
      <c r="M2211" s="76">
        <f t="shared" si="85"/>
        <v>6.3894720000000005</v>
      </c>
      <c r="N2211" s="77"/>
      <c r="O2211" s="77"/>
      <c r="P2211" s="76"/>
      <c r="Q2211" s="76"/>
    </row>
    <row r="2212" spans="5:17" hidden="1" outlineLevel="3" collapsed="1" x14ac:dyDescent="0.25">
      <c r="E2212" s="96" t="s">
        <v>1282</v>
      </c>
      <c r="F2212" s="91"/>
      <c r="G2212" s="91"/>
      <c r="H2212" s="92"/>
      <c r="I2212" s="93"/>
      <c r="J2212" s="95">
        <f>HYPERLINK("#Структура!E2164",Структура!E2164)</f>
        <v>1</v>
      </c>
      <c r="K2212" s="116">
        <f>HYPERLINK("#Структура!G2164",Структура!G2164)</f>
        <v>101.55204999999999</v>
      </c>
      <c r="L2212" s="93">
        <f>M2212/J2212</f>
        <v>30063.045709199996</v>
      </c>
      <c r="M2212" s="93">
        <f>SUMIF(F2213:F2266,"*",M2213:M2266)*J2212</f>
        <v>30063.045709199996</v>
      </c>
      <c r="N2212" s="125">
        <f>HYPERLINK("#Трудозатраты!B588",Трудозатраты!B588+SUMIF(F2213:F2266,"*",O2213:O2266))</f>
        <v>2034.59</v>
      </c>
      <c r="O2212" s="94">
        <f>N2212*J2212</f>
        <v>2034.59</v>
      </c>
      <c r="P2212" s="93">
        <f>O2212/60*(1+запас_труд)*стоимость_трудочаса</f>
        <v>79688.108333333323</v>
      </c>
      <c r="Q2212" s="130">
        <f>M2212*(1+наценка_покупное)+P2212</f>
        <v>115763.76318437333</v>
      </c>
    </row>
    <row r="2213" spans="5:17" hidden="1" outlineLevel="4" collapsed="1" x14ac:dyDescent="0.25">
      <c r="F2213" s="97" t="s">
        <v>1299</v>
      </c>
      <c r="G2213" s="98"/>
      <c r="H2213" s="99"/>
      <c r="I2213" s="100"/>
      <c r="J2213" s="102">
        <f>HYPERLINK("#Структура!E2266",Структура!E2266)</f>
        <v>1</v>
      </c>
      <c r="K2213" s="112">
        <f>HYPERLINK("#Структура!G2266",Структура!G2266)</f>
        <v>94.076300000000003</v>
      </c>
      <c r="L2213" s="100">
        <f>M2213/J2213</f>
        <v>19331.428889999999</v>
      </c>
      <c r="M2213" s="100">
        <f>SUMIF(G2214:G2257,"*",M2214:M2257)*J2213</f>
        <v>19331.428889999999</v>
      </c>
      <c r="N2213" s="122">
        <f>HYPERLINK("#Трудозатраты!B593",Трудозатраты!B593+SUMIF(G2214:G2257,"*",O2214:O2257))</f>
        <v>1742.9199999999998</v>
      </c>
      <c r="O2213" s="101">
        <f>N2213*J2213</f>
        <v>1742.9199999999998</v>
      </c>
      <c r="P2213" s="100">
        <f>O2213/60*(1+запас_труд)*стоимость_трудочаса</f>
        <v>68264.366666666669</v>
      </c>
      <c r="Q2213" s="127">
        <f>M2213*(1+наценка_покупное)+P2213</f>
        <v>91462.081334666669</v>
      </c>
    </row>
    <row r="2214" spans="5:17" hidden="1" outlineLevel="5" collapsed="1" x14ac:dyDescent="0.25">
      <c r="G2214" s="97" t="s">
        <v>1248</v>
      </c>
      <c r="H2214" s="99"/>
      <c r="I2214" s="100"/>
      <c r="J2214" s="102">
        <f>HYPERLINK("#Структура!E2291",Структура!E2291)</f>
        <v>2</v>
      </c>
      <c r="K2214" s="112">
        <f>HYPERLINK("#Структура!G2291",Структура!G2291)</f>
        <v>6.5386100000000003</v>
      </c>
      <c r="L2214" s="100">
        <f>M2214/J2214</f>
        <v>1559.8201272000001</v>
      </c>
      <c r="M2214" s="100">
        <f>SUMIF(H2215:H2220,"*",M2215:M2220)*J2214</f>
        <v>3119.6402544000002</v>
      </c>
      <c r="N2214" s="122">
        <f>HYPERLINK("#Трудозатраты!B540",Трудозатраты!B540+SUMIF(H2215:H2220,"*",O2215:O2220))</f>
        <v>115.85</v>
      </c>
      <c r="O2214" s="101">
        <f>N2214*J2214</f>
        <v>231.7</v>
      </c>
      <c r="P2214" s="100">
        <f>O2214/60*(1+запас_труд)*стоимость_трудочаса</f>
        <v>9074.9166666666661</v>
      </c>
      <c r="Q2214" s="127">
        <f>M2214*(1+наценка_покупное)+P2214</f>
        <v>12818.484971946666</v>
      </c>
    </row>
    <row r="2215" spans="5:17" hidden="1" outlineLevel="6" collapsed="1" x14ac:dyDescent="0.25">
      <c r="H2215" s="104" t="s">
        <v>1247</v>
      </c>
      <c r="I2215" s="88"/>
      <c r="J2215" s="90">
        <f>HYPERLINK("#Структура!E2017",Структура!E2017)</f>
        <v>1</v>
      </c>
      <c r="K2215" s="113">
        <f>HYPERLINK("#Структура!G2017",Структура!G2017)</f>
        <v>1.5668500000000001</v>
      </c>
      <c r="L2215" s="88">
        <f>M2215/J2215</f>
        <v>420</v>
      </c>
      <c r="M2215" s="88">
        <f>SUMIF(I2216,"*",M2216)*J2215</f>
        <v>420</v>
      </c>
      <c r="N2215" s="123">
        <f>HYPERLINK("#Трудозатраты!B541",Трудозатраты!B541+SUMIF(I2216,"*",O2216))</f>
        <v>79</v>
      </c>
      <c r="O2215" s="89">
        <f>N2215*J2215</f>
        <v>79</v>
      </c>
      <c r="P2215" s="88">
        <f>O2215/60*(1+запас_труд)*стоимость_трудочаса</f>
        <v>3094.1666666666665</v>
      </c>
      <c r="Q2215" s="128">
        <f>M2215*(1+наценка_покупное)+P2215</f>
        <v>3598.1666666666665</v>
      </c>
    </row>
    <row r="2216" spans="5:17" hidden="1" outlineLevel="7" x14ac:dyDescent="0.25">
      <c r="I2216" s="76" t="s">
        <v>79</v>
      </c>
      <c r="J2216" s="78">
        <f>HYPERLINK("#Структура!E2021",Структура!E2021)</f>
        <v>4.2</v>
      </c>
      <c r="K2216" s="114" t="str">
        <f>HYPERLINK("#Структура!G2021","")</f>
        <v/>
      </c>
      <c r="L2216" s="120">
        <f>HYPERLINK("#Покупные_изделия!D248",Покупные_изделия!D248)</f>
        <v>100</v>
      </c>
      <c r="M2216" s="76">
        <f>J2216*L2216</f>
        <v>420</v>
      </c>
      <c r="N2216" s="77"/>
      <c r="O2216" s="77"/>
      <c r="P2216" s="76"/>
      <c r="Q2216" s="76"/>
    </row>
    <row r="2217" spans="5:17" hidden="1" outlineLevel="6" collapsed="1" x14ac:dyDescent="0.25">
      <c r="H2217" s="103" t="s">
        <v>1249</v>
      </c>
      <c r="I2217" s="81"/>
      <c r="J2217" s="83">
        <f>HYPERLINK("#Структура!E2018",Структура!E2018)</f>
        <v>1</v>
      </c>
      <c r="K2217" s="115">
        <f>HYPERLINK("#Структура!G2018",Структура!G2018)</f>
        <v>4.9717599999999997</v>
      </c>
      <c r="L2217" s="81">
        <f>M2217/J2217</f>
        <v>1130.4000000000001</v>
      </c>
      <c r="M2217" s="81">
        <f>SUMIF(I2218,"*",M2218)*J2217</f>
        <v>1130.4000000000001</v>
      </c>
      <c r="N2217" s="124">
        <f>HYPERLINK("#Трудозатраты!B542",Трудозатраты!B542+SUMIF(I2218,"*",O2218))</f>
        <v>26.85</v>
      </c>
      <c r="O2217" s="82">
        <f>N2217*J2217</f>
        <v>26.85</v>
      </c>
      <c r="P2217" s="81">
        <f>O2217/60*(1+запас_труд)*стоимость_трудочаса</f>
        <v>1051.625</v>
      </c>
      <c r="Q2217" s="129">
        <f>M2217*(1+наценка_покупное)+P2217</f>
        <v>2408.105</v>
      </c>
    </row>
    <row r="2218" spans="5:17" hidden="1" outlineLevel="7" x14ac:dyDescent="0.25">
      <c r="I2218" s="76" t="s">
        <v>811</v>
      </c>
      <c r="J2218" s="78">
        <f>HYPERLINK("#Структура!E2022",Структура!E2022)</f>
        <v>9.42</v>
      </c>
      <c r="K2218" s="114" t="str">
        <f>HYPERLINK("#Структура!G2022","")</f>
        <v/>
      </c>
      <c r="L2218" s="120">
        <f>HYPERLINK("#Покупные_изделия!D284",Покупные_изделия!D284)</f>
        <v>120</v>
      </c>
      <c r="M2218" s="76">
        <f>J2218*L2218</f>
        <v>1130.4000000000001</v>
      </c>
      <c r="N2218" s="77"/>
      <c r="O2218" s="77"/>
      <c r="P2218" s="76"/>
      <c r="Q2218" s="76"/>
    </row>
    <row r="2219" spans="5:17" hidden="1" outlineLevel="6" x14ac:dyDescent="0.25">
      <c r="H2219" s="75" t="s">
        <v>67</v>
      </c>
      <c r="I2219" s="76"/>
      <c r="J2219" s="78">
        <f>HYPERLINK("#Структура!E2019",Структура!E2019)</f>
        <v>0.10199999999999999</v>
      </c>
      <c r="K2219" s="114" t="str">
        <f>HYPERLINK("#Структура!G2019","")</f>
        <v/>
      </c>
      <c r="L2219" s="120">
        <f>HYPERLINK("#Покупные_изделия!D203",Покупные_изделия!D203)</f>
        <v>30.003600000000002</v>
      </c>
      <c r="M2219" s="76">
        <f>J2219*L2219</f>
        <v>3.0603672</v>
      </c>
      <c r="N2219" s="77"/>
      <c r="O2219" s="77"/>
      <c r="P2219" s="76"/>
      <c r="Q2219" s="76"/>
    </row>
    <row r="2220" spans="5:17" hidden="1" outlineLevel="6" x14ac:dyDescent="0.25">
      <c r="H2220" s="75" t="s">
        <v>146</v>
      </c>
      <c r="I2220" s="76"/>
      <c r="J2220" s="78">
        <f>HYPERLINK("#Структура!E2020",Структура!E2020)</f>
        <v>0.06</v>
      </c>
      <c r="K2220" s="114" t="str">
        <f>HYPERLINK("#Структура!G2020","")</f>
        <v/>
      </c>
      <c r="L2220" s="120">
        <f>HYPERLINK("#Покупные_изделия!D406",Покупные_изделия!D406)</f>
        <v>105.996</v>
      </c>
      <c r="M2220" s="76">
        <f>J2220*L2220</f>
        <v>6.3597599999999996</v>
      </c>
      <c r="N2220" s="77"/>
      <c r="O2220" s="77"/>
      <c r="P2220" s="76"/>
      <c r="Q2220" s="76"/>
    </row>
    <row r="2221" spans="5:17" hidden="1" outlineLevel="5" collapsed="1" x14ac:dyDescent="0.25">
      <c r="G2221" s="96" t="s">
        <v>1300</v>
      </c>
      <c r="H2221" s="92"/>
      <c r="I2221" s="93"/>
      <c r="J2221" s="95">
        <f>HYPERLINK("#Структура!E2292",Структура!E2292)</f>
        <v>1</v>
      </c>
      <c r="K2221" s="116">
        <f>HYPERLINK("#Структура!G2292",Структура!G2292)</f>
        <v>27.458069999999999</v>
      </c>
      <c r="L2221" s="93">
        <f>M2221/J2221</f>
        <v>5837.2340927999994</v>
      </c>
      <c r="M2221" s="93">
        <f>SUMIF(H2222:H2233,"*",M2222:M2233)*J2221</f>
        <v>5837.2340927999994</v>
      </c>
      <c r="N2221" s="125">
        <f>HYPERLINK("#Трудозатраты!B589",Трудозатраты!B589+SUMIF(H2222:H2233,"*",O2222:O2233))</f>
        <v>522.6099999999999</v>
      </c>
      <c r="O2221" s="94">
        <f>N2221*J2221</f>
        <v>522.6099999999999</v>
      </c>
      <c r="P2221" s="93">
        <f>O2221/60*(1+запас_труд)*стоимость_трудочаса</f>
        <v>20468.891666666659</v>
      </c>
      <c r="Q2221" s="130">
        <f>M2221*(1+наценка_покупное)+P2221</f>
        <v>27473.572578026658</v>
      </c>
    </row>
    <row r="2222" spans="5:17" hidden="1" outlineLevel="6" collapsed="1" x14ac:dyDescent="0.25">
      <c r="H2222" s="104" t="s">
        <v>1241</v>
      </c>
      <c r="I2222" s="88"/>
      <c r="J2222" s="90">
        <f>HYPERLINK("#Структура!E2275",Структура!E2275)</f>
        <v>1</v>
      </c>
      <c r="K2222" s="113">
        <f>HYPERLINK("#Структура!G2275",Структура!G2275)</f>
        <v>16.82422</v>
      </c>
      <c r="L2222" s="88">
        <f>M2222/J2222</f>
        <v>3182.4</v>
      </c>
      <c r="M2222" s="88">
        <f>SUMIF(I2223,"*",M2223)*J2222</f>
        <v>3182.4</v>
      </c>
      <c r="N2222" s="123">
        <f>HYPERLINK("#Трудозатраты!B536",Трудозатраты!B536+SUMIF(I2223,"*",O2223))</f>
        <v>41.7</v>
      </c>
      <c r="O2222" s="89">
        <f>N2222*J2222</f>
        <v>41.7</v>
      </c>
      <c r="P2222" s="88">
        <f>O2222/60*(1+запас_труд)*стоимость_трудочаса</f>
        <v>1633.2500000000002</v>
      </c>
      <c r="Q2222" s="128">
        <f>M2222*(1+наценка_покупное)+P2222</f>
        <v>5452.13</v>
      </c>
    </row>
    <row r="2223" spans="5:17" hidden="1" outlineLevel="7" x14ac:dyDescent="0.25">
      <c r="I2223" s="76" t="s">
        <v>119</v>
      </c>
      <c r="J2223" s="78">
        <f>HYPERLINK("#Структура!E2013",Структура!E2013)</f>
        <v>26.52</v>
      </c>
      <c r="K2223" s="114" t="str">
        <f>HYPERLINK("#Структура!G2013","")</f>
        <v/>
      </c>
      <c r="L2223" s="120">
        <f>HYPERLINK("#Покупные_изделия!D294",Покупные_изделия!D294)</f>
        <v>120</v>
      </c>
      <c r="M2223" s="76">
        <f>J2223*L2223</f>
        <v>3182.4</v>
      </c>
      <c r="N2223" s="77"/>
      <c r="O2223" s="77"/>
      <c r="P2223" s="76"/>
      <c r="Q2223" s="76"/>
    </row>
    <row r="2224" spans="5:17" hidden="1" outlineLevel="6" collapsed="1" x14ac:dyDescent="0.25">
      <c r="H2224" s="103" t="s">
        <v>1243</v>
      </c>
      <c r="I2224" s="81"/>
      <c r="J2224" s="83">
        <f>HYPERLINK("#Структура!E2276",Структура!E2276)</f>
        <v>1</v>
      </c>
      <c r="K2224" s="115">
        <f>HYPERLINK("#Структура!G2276",Структура!G2276)</f>
        <v>3.9093</v>
      </c>
      <c r="L2224" s="81">
        <f>M2224/J2224</f>
        <v>1591.2</v>
      </c>
      <c r="M2224" s="81">
        <f>SUMIF(I2225,"*",M2225)*J2224</f>
        <v>1591.2</v>
      </c>
      <c r="N2224" s="124">
        <f>HYPERLINK("#Трудозатраты!B537",Трудозатраты!B537+SUMIF(I2225,"*",O2225))</f>
        <v>19.7</v>
      </c>
      <c r="O2224" s="82">
        <f>N2224*J2224</f>
        <v>19.7</v>
      </c>
      <c r="P2224" s="81">
        <f>O2224/60*(1+запас_труд)*стоимость_трудочаса</f>
        <v>771.58333333333326</v>
      </c>
      <c r="Q2224" s="129">
        <f>M2224*(1+наценка_покупное)+P2224</f>
        <v>2681.0233333333335</v>
      </c>
    </row>
    <row r="2225" spans="7:17" hidden="1" outlineLevel="7" x14ac:dyDescent="0.25">
      <c r="I2225" s="76" t="s">
        <v>115</v>
      </c>
      <c r="J2225" s="78">
        <f>HYPERLINK("#Структура!E2014",Структура!E2014)</f>
        <v>13.26</v>
      </c>
      <c r="K2225" s="114" t="str">
        <f>HYPERLINK("#Структура!G2014","")</f>
        <v/>
      </c>
      <c r="L2225" s="120">
        <f>HYPERLINK("#Покупные_изделия!D289",Покупные_изделия!D289)</f>
        <v>120</v>
      </c>
      <c r="M2225" s="76">
        <f>J2225*L2225</f>
        <v>1591.2</v>
      </c>
      <c r="N2225" s="77"/>
      <c r="O2225" s="77"/>
      <c r="P2225" s="76"/>
      <c r="Q2225" s="76"/>
    </row>
    <row r="2226" spans="7:17" hidden="1" outlineLevel="6" collapsed="1" x14ac:dyDescent="0.25">
      <c r="H2226" s="103" t="s">
        <v>1245</v>
      </c>
      <c r="I2226" s="81"/>
      <c r="J2226" s="83">
        <f>HYPERLINK("#Структура!E2277",Структура!E2277)</f>
        <v>1</v>
      </c>
      <c r="K2226" s="115">
        <f>HYPERLINK("#Структура!G2277",Структура!G2277)</f>
        <v>0.50365000000000004</v>
      </c>
      <c r="L2226" s="81">
        <f>M2226/J2226</f>
        <v>72.526799999999994</v>
      </c>
      <c r="M2226" s="81">
        <f>SUMIF(I2227,"*",M2227)*J2226</f>
        <v>72.526799999999994</v>
      </c>
      <c r="N2226" s="124">
        <f>HYPERLINK("#Трудозатраты!B539",Трудозатраты!B539+SUMIF(I2227,"*",O2227))</f>
        <v>12.8</v>
      </c>
      <c r="O2226" s="82">
        <f>N2226*J2226</f>
        <v>12.8</v>
      </c>
      <c r="P2226" s="81">
        <f>O2226/60*(1+запас_труд)*стоимость_трудочаса</f>
        <v>501.33333333333337</v>
      </c>
      <c r="Q2226" s="129">
        <f>M2226*(1+наценка_покупное)+P2226</f>
        <v>588.36549333333335</v>
      </c>
    </row>
    <row r="2227" spans="7:17" hidden="1" outlineLevel="7" x14ac:dyDescent="0.25">
      <c r="I2227" s="76" t="s">
        <v>113</v>
      </c>
      <c r="J2227" s="78">
        <f>HYPERLINK("#Структура!E2016",Структура!E2016)</f>
        <v>0.60438999999999998</v>
      </c>
      <c r="K2227" s="114" t="str">
        <f>HYPERLINK("#Структура!G2016","")</f>
        <v/>
      </c>
      <c r="L2227" s="120">
        <f>HYPERLINK("#Покупные_изделия!D286",Покупные_изделия!D286)</f>
        <v>120</v>
      </c>
      <c r="M2227" s="76">
        <f>J2227*L2227</f>
        <v>72.526799999999994</v>
      </c>
      <c r="N2227" s="77"/>
      <c r="O2227" s="77"/>
      <c r="P2227" s="76"/>
      <c r="Q2227" s="76"/>
    </row>
    <row r="2228" spans="7:17" hidden="1" outlineLevel="6" collapsed="1" x14ac:dyDescent="0.25">
      <c r="H2228" s="103" t="s">
        <v>1301</v>
      </c>
      <c r="I2228" s="81"/>
      <c r="J2228" s="83">
        <f>HYPERLINK("#Структура!E2278",Структура!E2278)</f>
        <v>12</v>
      </c>
      <c r="K2228" s="115">
        <f>HYPERLINK("#Структура!G2278",Структура!G2278)</f>
        <v>0.46777999999999997</v>
      </c>
      <c r="L2228" s="81">
        <f>M2228/J2228</f>
        <v>69.599999999999994</v>
      </c>
      <c r="M2228" s="81">
        <f>SUMIF(I2229,"*",M2229)*J2228</f>
        <v>835.19999999999993</v>
      </c>
      <c r="N2228" s="124">
        <f>HYPERLINK("#Трудозатраты!B591",Трудозатраты!B591+SUMIF(I2229,"*",O2229))</f>
        <v>28.7</v>
      </c>
      <c r="O2228" s="82">
        <f>N2228*J2228</f>
        <v>344.4</v>
      </c>
      <c r="P2228" s="81">
        <f>O2228/60*(1+запас_труд)*стоимость_трудочаса</f>
        <v>13488.999999999998</v>
      </c>
      <c r="Q2228" s="129">
        <f>M2228*(1+наценка_покупное)+P2228</f>
        <v>14491.239999999998</v>
      </c>
    </row>
    <row r="2229" spans="7:17" hidden="1" outlineLevel="7" x14ac:dyDescent="0.25">
      <c r="I2229" s="76" t="s">
        <v>115</v>
      </c>
      <c r="J2229" s="78">
        <f>HYPERLINK("#Структура!E2289",Структура!E2289)</f>
        <v>0.57999999999999996</v>
      </c>
      <c r="K2229" s="114" t="str">
        <f>HYPERLINK("#Структура!G2289","")</f>
        <v/>
      </c>
      <c r="L2229" s="120">
        <f>HYPERLINK("#Покупные_изделия!D289",Покупные_изделия!D289)</f>
        <v>120</v>
      </c>
      <c r="M2229" s="76">
        <f>J2229*L2229</f>
        <v>69.599999999999994</v>
      </c>
      <c r="N2229" s="77"/>
      <c r="O2229" s="77"/>
      <c r="P2229" s="76"/>
      <c r="Q2229" s="76"/>
    </row>
    <row r="2230" spans="7:17" hidden="1" outlineLevel="6" collapsed="1" x14ac:dyDescent="0.25">
      <c r="H2230" s="103" t="s">
        <v>1302</v>
      </c>
      <c r="I2230" s="81"/>
      <c r="J2230" s="83">
        <f>HYPERLINK("#Структура!E2279",Структура!E2279)</f>
        <v>3</v>
      </c>
      <c r="K2230" s="115">
        <f>HYPERLINK("#Структура!G2279",Структура!G2279)</f>
        <v>0.20252000000000001</v>
      </c>
      <c r="L2230" s="81">
        <f>M2230/J2230</f>
        <v>20</v>
      </c>
      <c r="M2230" s="81">
        <f>SUMIF(I2231,"*",M2231)*J2230</f>
        <v>60</v>
      </c>
      <c r="N2230" s="124">
        <f>HYPERLINK("#Трудозатраты!B592",Трудозатраты!B592+SUMIF(I2231,"*",O2231))</f>
        <v>4.67</v>
      </c>
      <c r="O2230" s="82">
        <f>N2230*J2230</f>
        <v>14.01</v>
      </c>
      <c r="P2230" s="81">
        <f>O2230/60*(1+запас_труд)*стоимость_трудочаса</f>
        <v>548.72499999999991</v>
      </c>
      <c r="Q2230" s="129">
        <f>M2230*(1+наценка_покупное)+P2230</f>
        <v>620.72499999999991</v>
      </c>
    </row>
    <row r="2231" spans="7:17" hidden="1" outlineLevel="7" x14ac:dyDescent="0.25">
      <c r="I2231" s="76" t="s">
        <v>78</v>
      </c>
      <c r="J2231" s="78">
        <f>HYPERLINK("#Структура!E2290",Структура!E2290)</f>
        <v>0.2</v>
      </c>
      <c r="K2231" s="114" t="str">
        <f>HYPERLINK("#Структура!G2290","")</f>
        <v/>
      </c>
      <c r="L2231" s="120">
        <f>HYPERLINK("#Покупные_изделия!D247",Покупные_изделия!D247)</f>
        <v>100</v>
      </c>
      <c r="M2231" s="76">
        <f>J2231*L2231</f>
        <v>20</v>
      </c>
      <c r="N2231" s="77"/>
      <c r="O2231" s="77"/>
      <c r="P2231" s="76"/>
      <c r="Q2231" s="76"/>
    </row>
    <row r="2232" spans="7:17" hidden="1" outlineLevel="6" x14ac:dyDescent="0.25">
      <c r="H2232" s="75" t="s">
        <v>67</v>
      </c>
      <c r="I2232" s="76"/>
      <c r="J2232" s="78">
        <f>HYPERLINK("#Структура!E2280",Структура!E2280)</f>
        <v>1.038</v>
      </c>
      <c r="K2232" s="114" t="str">
        <f>HYPERLINK("#Структура!G2280","")</f>
        <v/>
      </c>
      <c r="L2232" s="120">
        <f>HYPERLINK("#Покупные_изделия!D203",Покупные_изделия!D203)</f>
        <v>30.003600000000002</v>
      </c>
      <c r="M2232" s="76">
        <f>J2232*L2232</f>
        <v>31.143736800000003</v>
      </c>
      <c r="N2232" s="77"/>
      <c r="O2232" s="77"/>
      <c r="P2232" s="76"/>
      <c r="Q2232" s="76"/>
    </row>
    <row r="2233" spans="7:17" hidden="1" outlineLevel="6" x14ac:dyDescent="0.25">
      <c r="H2233" s="75" t="s">
        <v>146</v>
      </c>
      <c r="I2233" s="76"/>
      <c r="J2233" s="78">
        <f>HYPERLINK("#Структура!E2281",Структура!E2281)</f>
        <v>0.61099999999999999</v>
      </c>
      <c r="K2233" s="114" t="str">
        <f>HYPERLINK("#Структура!G2281","")</f>
        <v/>
      </c>
      <c r="L2233" s="120">
        <f>HYPERLINK("#Покупные_изделия!D406",Покупные_изделия!D406)</f>
        <v>105.996</v>
      </c>
      <c r="M2233" s="76">
        <f>J2233*L2233</f>
        <v>64.763555999999994</v>
      </c>
      <c r="N2233" s="77"/>
      <c r="O2233" s="77"/>
      <c r="P2233" s="76"/>
      <c r="Q2233" s="76"/>
    </row>
    <row r="2234" spans="7:17" hidden="1" outlineLevel="5" collapsed="1" x14ac:dyDescent="0.25">
      <c r="G2234" s="96" t="s">
        <v>1303</v>
      </c>
      <c r="H2234" s="92"/>
      <c r="I2234" s="93"/>
      <c r="J2234" s="95">
        <f>HYPERLINK("#Структура!E2293",Структура!E2293)</f>
        <v>1</v>
      </c>
      <c r="K2234" s="116">
        <f>HYPERLINK("#Структура!G2293",Структура!G2293)</f>
        <v>27.458069999999999</v>
      </c>
      <c r="L2234" s="93">
        <f>M2234/J2234</f>
        <v>5825.4739356</v>
      </c>
      <c r="M2234" s="93">
        <f>SUMIF(H2235:H2246,"*",M2235:M2246)*J2234</f>
        <v>5825.4739356</v>
      </c>
      <c r="N2234" s="125">
        <f>HYPERLINK("#Трудозатраты!B590",Трудозатраты!B590+SUMIF(H2235:H2246,"*",O2235:O2246))</f>
        <v>537.6099999999999</v>
      </c>
      <c r="O2234" s="94">
        <f>N2234*J2234</f>
        <v>537.6099999999999</v>
      </c>
      <c r="P2234" s="93">
        <f>O2234/60*(1+запас_труд)*стоимость_трудочаса</f>
        <v>21056.391666666659</v>
      </c>
      <c r="Q2234" s="130">
        <f>M2234*(1+наценка_покупное)+P2234</f>
        <v>28046.960389386659</v>
      </c>
    </row>
    <row r="2235" spans="7:17" hidden="1" outlineLevel="6" collapsed="1" x14ac:dyDescent="0.25">
      <c r="H2235" s="104" t="s">
        <v>1241</v>
      </c>
      <c r="I2235" s="88"/>
      <c r="J2235" s="90">
        <f>HYPERLINK("#Структура!E2282",Структура!E2282)</f>
        <v>1</v>
      </c>
      <c r="K2235" s="113">
        <f>HYPERLINK("#Структура!G2282",Структура!G2282)</f>
        <v>16.82422</v>
      </c>
      <c r="L2235" s="88">
        <f>M2235/J2235</f>
        <v>3182.4</v>
      </c>
      <c r="M2235" s="88">
        <f>SUMIF(I2236,"*",M2236)*J2235</f>
        <v>3182.4</v>
      </c>
      <c r="N2235" s="123">
        <f>HYPERLINK("#Трудозатраты!B536",Трудозатраты!B536+SUMIF(I2236,"*",O2236))</f>
        <v>41.7</v>
      </c>
      <c r="O2235" s="89">
        <f>N2235*J2235</f>
        <v>41.7</v>
      </c>
      <c r="P2235" s="88">
        <f>O2235/60*(1+запас_труд)*стоимость_трудочаса</f>
        <v>1633.2500000000002</v>
      </c>
      <c r="Q2235" s="128">
        <f>M2235*(1+наценка_покупное)+P2235</f>
        <v>5452.13</v>
      </c>
    </row>
    <row r="2236" spans="7:17" hidden="1" outlineLevel="7" x14ac:dyDescent="0.25">
      <c r="I2236" s="76" t="s">
        <v>119</v>
      </c>
      <c r="J2236" s="78">
        <f>HYPERLINK("#Структура!E2013",Структура!E2013)</f>
        <v>26.52</v>
      </c>
      <c r="K2236" s="114" t="str">
        <f>HYPERLINK("#Структура!G2013","")</f>
        <v/>
      </c>
      <c r="L2236" s="120">
        <f>HYPERLINK("#Покупные_изделия!D294",Покупные_изделия!D294)</f>
        <v>120</v>
      </c>
      <c r="M2236" s="76">
        <f>J2236*L2236</f>
        <v>3182.4</v>
      </c>
      <c r="N2236" s="77"/>
      <c r="O2236" s="77"/>
      <c r="P2236" s="76"/>
      <c r="Q2236" s="76"/>
    </row>
    <row r="2237" spans="7:17" hidden="1" outlineLevel="6" collapsed="1" x14ac:dyDescent="0.25">
      <c r="H2237" s="103" t="s">
        <v>1243</v>
      </c>
      <c r="I2237" s="81"/>
      <c r="J2237" s="83">
        <f>HYPERLINK("#Структура!E2283",Структура!E2283)</f>
        <v>1</v>
      </c>
      <c r="K2237" s="115">
        <f>HYPERLINK("#Структура!G2283",Структура!G2283)</f>
        <v>3.9093</v>
      </c>
      <c r="L2237" s="81">
        <f>M2237/J2237</f>
        <v>1591.2</v>
      </c>
      <c r="M2237" s="81">
        <f>SUMIF(I2238,"*",M2238)*J2237</f>
        <v>1591.2</v>
      </c>
      <c r="N2237" s="124">
        <f>HYPERLINK("#Трудозатраты!B537",Трудозатраты!B537+SUMIF(I2238,"*",O2238))</f>
        <v>19.7</v>
      </c>
      <c r="O2237" s="82">
        <f>N2237*J2237</f>
        <v>19.7</v>
      </c>
      <c r="P2237" s="81">
        <f>O2237/60*(1+запас_труд)*стоимость_трудочаса</f>
        <v>771.58333333333326</v>
      </c>
      <c r="Q2237" s="129">
        <f>M2237*(1+наценка_покупное)+P2237</f>
        <v>2681.0233333333335</v>
      </c>
    </row>
    <row r="2238" spans="7:17" hidden="1" outlineLevel="7" x14ac:dyDescent="0.25">
      <c r="I2238" s="76" t="s">
        <v>115</v>
      </c>
      <c r="J2238" s="78">
        <f>HYPERLINK("#Структура!E2014",Структура!E2014)</f>
        <v>13.26</v>
      </c>
      <c r="K2238" s="114" t="str">
        <f>HYPERLINK("#Структура!G2014","")</f>
        <v/>
      </c>
      <c r="L2238" s="120">
        <f>HYPERLINK("#Покупные_изделия!D289",Покупные_изделия!D289)</f>
        <v>120</v>
      </c>
      <c r="M2238" s="76">
        <f>J2238*L2238</f>
        <v>1591.2</v>
      </c>
      <c r="N2238" s="77"/>
      <c r="O2238" s="77"/>
      <c r="P2238" s="76"/>
      <c r="Q2238" s="76"/>
    </row>
    <row r="2239" spans="7:17" hidden="1" outlineLevel="6" collapsed="1" x14ac:dyDescent="0.25">
      <c r="H2239" s="103" t="s">
        <v>1245</v>
      </c>
      <c r="I2239" s="81"/>
      <c r="J2239" s="83">
        <f>HYPERLINK("#Структура!E2284",Структура!E2284)</f>
        <v>1</v>
      </c>
      <c r="K2239" s="115">
        <f>HYPERLINK("#Структура!G2284",Структура!G2284)</f>
        <v>0.50365000000000004</v>
      </c>
      <c r="L2239" s="81">
        <f>M2239/J2239</f>
        <v>72.526799999999994</v>
      </c>
      <c r="M2239" s="81">
        <f>SUMIF(I2240,"*",M2240)*J2239</f>
        <v>72.526799999999994</v>
      </c>
      <c r="N2239" s="124">
        <f>HYPERLINK("#Трудозатраты!B539",Трудозатраты!B539+SUMIF(I2240,"*",O2240))</f>
        <v>12.8</v>
      </c>
      <c r="O2239" s="82">
        <f>N2239*J2239</f>
        <v>12.8</v>
      </c>
      <c r="P2239" s="81">
        <f>O2239/60*(1+запас_труд)*стоимость_трудочаса</f>
        <v>501.33333333333337</v>
      </c>
      <c r="Q2239" s="129">
        <f>M2239*(1+наценка_покупное)+P2239</f>
        <v>588.36549333333335</v>
      </c>
    </row>
    <row r="2240" spans="7:17" hidden="1" outlineLevel="7" x14ac:dyDescent="0.25">
      <c r="I2240" s="76" t="s">
        <v>113</v>
      </c>
      <c r="J2240" s="78">
        <f>HYPERLINK("#Структура!E2016",Структура!E2016)</f>
        <v>0.60438999999999998</v>
      </c>
      <c r="K2240" s="114" t="str">
        <f>HYPERLINK("#Структура!G2016","")</f>
        <v/>
      </c>
      <c r="L2240" s="120">
        <f>HYPERLINK("#Покупные_изделия!D286",Покупные_изделия!D286)</f>
        <v>120</v>
      </c>
      <c r="M2240" s="76">
        <f>J2240*L2240</f>
        <v>72.526799999999994</v>
      </c>
      <c r="N2240" s="77"/>
      <c r="O2240" s="77"/>
      <c r="P2240" s="76"/>
      <c r="Q2240" s="76"/>
    </row>
    <row r="2241" spans="7:17" hidden="1" outlineLevel="6" collapsed="1" x14ac:dyDescent="0.25">
      <c r="H2241" s="103" t="s">
        <v>1301</v>
      </c>
      <c r="I2241" s="81"/>
      <c r="J2241" s="83">
        <f>HYPERLINK("#Структура!E2285",Структура!E2285)</f>
        <v>12</v>
      </c>
      <c r="K2241" s="115">
        <f>HYPERLINK("#Структура!G2285",Структура!G2285)</f>
        <v>0.46777999999999997</v>
      </c>
      <c r="L2241" s="81">
        <f>M2241/J2241</f>
        <v>69.599999999999994</v>
      </c>
      <c r="M2241" s="81">
        <f>SUMIF(I2242,"*",M2242)*J2241</f>
        <v>835.19999999999993</v>
      </c>
      <c r="N2241" s="124">
        <f>HYPERLINK("#Трудозатраты!B591",Трудозатраты!B591+SUMIF(I2242,"*",O2242))</f>
        <v>28.7</v>
      </c>
      <c r="O2241" s="82">
        <f>N2241*J2241</f>
        <v>344.4</v>
      </c>
      <c r="P2241" s="81">
        <f>O2241/60*(1+запас_труд)*стоимость_трудочаса</f>
        <v>13488.999999999998</v>
      </c>
      <c r="Q2241" s="129">
        <f>M2241*(1+наценка_покупное)+P2241</f>
        <v>14491.239999999998</v>
      </c>
    </row>
    <row r="2242" spans="7:17" hidden="1" outlineLevel="7" x14ac:dyDescent="0.25">
      <c r="I2242" s="76" t="s">
        <v>115</v>
      </c>
      <c r="J2242" s="78">
        <f>HYPERLINK("#Структура!E2289",Структура!E2289)</f>
        <v>0.57999999999999996</v>
      </c>
      <c r="K2242" s="114" t="str">
        <f>HYPERLINK("#Структура!G2289","")</f>
        <v/>
      </c>
      <c r="L2242" s="120">
        <f>HYPERLINK("#Покупные_изделия!D289",Покупные_изделия!D289)</f>
        <v>120</v>
      </c>
      <c r="M2242" s="76">
        <f>J2242*L2242</f>
        <v>69.599999999999994</v>
      </c>
      <c r="N2242" s="77"/>
      <c r="O2242" s="77"/>
      <c r="P2242" s="76"/>
      <c r="Q2242" s="76"/>
    </row>
    <row r="2243" spans="7:17" hidden="1" outlineLevel="6" collapsed="1" x14ac:dyDescent="0.25">
      <c r="H2243" s="103" t="s">
        <v>1302</v>
      </c>
      <c r="I2243" s="81"/>
      <c r="J2243" s="83">
        <f>HYPERLINK("#Структура!E2286",Структура!E2286)</f>
        <v>3</v>
      </c>
      <c r="K2243" s="115">
        <f>HYPERLINK("#Структура!G2286",Структура!G2286)</f>
        <v>0.20252000000000001</v>
      </c>
      <c r="L2243" s="81">
        <f>M2243/J2243</f>
        <v>20</v>
      </c>
      <c r="M2243" s="81">
        <f>SUMIF(I2244,"*",M2244)*J2243</f>
        <v>60</v>
      </c>
      <c r="N2243" s="124">
        <f>HYPERLINK("#Трудозатраты!B592",Трудозатраты!B592+SUMIF(I2244,"*",O2244))</f>
        <v>4.67</v>
      </c>
      <c r="O2243" s="82">
        <f>N2243*J2243</f>
        <v>14.01</v>
      </c>
      <c r="P2243" s="81">
        <f>O2243/60*(1+запас_труд)*стоимость_трудочаса</f>
        <v>548.72499999999991</v>
      </c>
      <c r="Q2243" s="129">
        <f>M2243*(1+наценка_покупное)+P2243</f>
        <v>620.72499999999991</v>
      </c>
    </row>
    <row r="2244" spans="7:17" hidden="1" outlineLevel="7" x14ac:dyDescent="0.25">
      <c r="I2244" s="76" t="s">
        <v>78</v>
      </c>
      <c r="J2244" s="78">
        <f>HYPERLINK("#Структура!E2290",Структура!E2290)</f>
        <v>0.2</v>
      </c>
      <c r="K2244" s="114" t="str">
        <f>HYPERLINK("#Структура!G2290","")</f>
        <v/>
      </c>
      <c r="L2244" s="120">
        <f>HYPERLINK("#Покупные_изделия!D247",Покупные_изделия!D247)</f>
        <v>100</v>
      </c>
      <c r="M2244" s="76">
        <f>J2244*L2244</f>
        <v>20</v>
      </c>
      <c r="N2244" s="77"/>
      <c r="O2244" s="77"/>
      <c r="P2244" s="76"/>
      <c r="Q2244" s="76"/>
    </row>
    <row r="2245" spans="7:17" hidden="1" outlineLevel="6" x14ac:dyDescent="0.25">
      <c r="H2245" s="75" t="s">
        <v>67</v>
      </c>
      <c r="I2245" s="76"/>
      <c r="J2245" s="78">
        <f>HYPERLINK("#Структура!E2287",Структура!E2287)</f>
        <v>0.91100000000000003</v>
      </c>
      <c r="K2245" s="114" t="str">
        <f>HYPERLINK("#Структура!G2287","")</f>
        <v/>
      </c>
      <c r="L2245" s="120">
        <f>HYPERLINK("#Покупные_изделия!D203",Покупные_изделия!D203)</f>
        <v>30.003600000000002</v>
      </c>
      <c r="M2245" s="76">
        <f>J2245*L2245</f>
        <v>27.333279600000004</v>
      </c>
      <c r="N2245" s="77"/>
      <c r="O2245" s="77"/>
      <c r="P2245" s="76"/>
      <c r="Q2245" s="76"/>
    </row>
    <row r="2246" spans="7:17" hidden="1" outlineLevel="6" x14ac:dyDescent="0.25">
      <c r="H2246" s="75" t="s">
        <v>146</v>
      </c>
      <c r="I2246" s="76"/>
      <c r="J2246" s="78">
        <f>HYPERLINK("#Структура!E2288",Структура!E2288)</f>
        <v>0.53600000000000003</v>
      </c>
      <c r="K2246" s="114" t="str">
        <f>HYPERLINK("#Структура!G2288","")</f>
        <v/>
      </c>
      <c r="L2246" s="120">
        <f>HYPERLINK("#Покупные_изделия!D406",Покупные_изделия!D406)</f>
        <v>105.996</v>
      </c>
      <c r="M2246" s="76">
        <f>J2246*L2246</f>
        <v>56.813856000000001</v>
      </c>
      <c r="N2246" s="77"/>
      <c r="O2246" s="77"/>
      <c r="P2246" s="76"/>
      <c r="Q2246" s="76"/>
    </row>
    <row r="2247" spans="7:17" hidden="1" outlineLevel="5" collapsed="1" x14ac:dyDescent="0.25">
      <c r="G2247" s="84" t="s">
        <v>1251</v>
      </c>
      <c r="H2247" s="80"/>
      <c r="I2247" s="81"/>
      <c r="J2247" s="83">
        <f>HYPERLINK("#Структура!E2294",Структура!E2294)</f>
        <v>2</v>
      </c>
      <c r="K2247" s="115">
        <f>HYPERLINK("#Структура!G2294",Структура!G2294)</f>
        <v>1.5804</v>
      </c>
      <c r="L2247" s="81">
        <f>M2247/J2247</f>
        <v>653</v>
      </c>
      <c r="M2247" s="81">
        <f>SUMIF(H2248,"*",M2248)*J2247</f>
        <v>1306</v>
      </c>
      <c r="N2247" s="124">
        <f>HYPERLINK("#Трудозатраты!B545",Трудозатраты!B545+SUMIF(H2248,"*",O2248))</f>
        <v>110</v>
      </c>
      <c r="O2247" s="82">
        <f>N2247*J2247</f>
        <v>220</v>
      </c>
      <c r="P2247" s="81">
        <f>O2247/60*(1+запас_труд)*стоимость_трудочаса</f>
        <v>8616.6666666666661</v>
      </c>
      <c r="Q2247" s="129">
        <f>M2247*(1+наценка_покупное)+P2247</f>
        <v>10183.866666666667</v>
      </c>
    </row>
    <row r="2248" spans="7:17" hidden="1" outlineLevel="6" x14ac:dyDescent="0.25">
      <c r="H2248" s="75" t="s">
        <v>80</v>
      </c>
      <c r="I2248" s="76"/>
      <c r="J2248" s="78">
        <f>HYPERLINK("#Структура!E2035",Структура!E2035)</f>
        <v>6.53</v>
      </c>
      <c r="K2248" s="114" t="str">
        <f>HYPERLINK("#Структура!G2035","")</f>
        <v/>
      </c>
      <c r="L2248" s="120">
        <f>HYPERLINK("#Покупные_изделия!D249",Покупные_изделия!D249)</f>
        <v>100</v>
      </c>
      <c r="M2248" s="76">
        <f>J2248*L2248</f>
        <v>653</v>
      </c>
      <c r="N2248" s="77"/>
      <c r="O2248" s="77"/>
      <c r="P2248" s="76"/>
      <c r="Q2248" s="76"/>
    </row>
    <row r="2249" spans="7:17" hidden="1" outlineLevel="5" collapsed="1" x14ac:dyDescent="0.25">
      <c r="G2249" s="84" t="s">
        <v>1304</v>
      </c>
      <c r="H2249" s="80"/>
      <c r="I2249" s="81"/>
      <c r="J2249" s="83">
        <f>HYPERLINK("#Структура!E2295",Структура!E2295)</f>
        <v>1</v>
      </c>
      <c r="K2249" s="115">
        <f>HYPERLINK("#Структура!G2295",Структура!G2295)</f>
        <v>22.470680000000002</v>
      </c>
      <c r="L2249" s="81">
        <f>M2249/J2249</f>
        <v>2900</v>
      </c>
      <c r="M2249" s="81">
        <f>SUMIF(H2250,"*",M2250)*J2249</f>
        <v>2900</v>
      </c>
      <c r="N2249" s="124">
        <f>HYPERLINK("#Трудозатраты!B594",Трудозатраты!B594+SUMIF(H2250,"*",O2250))</f>
        <v>78</v>
      </c>
      <c r="O2249" s="82">
        <f>N2249*J2249</f>
        <v>78</v>
      </c>
      <c r="P2249" s="81">
        <f>O2249/60*(1+запас_труд)*стоимость_трудочаса</f>
        <v>3055</v>
      </c>
      <c r="Q2249" s="129">
        <f>M2249*(1+наценка_покупное)+P2249</f>
        <v>6535</v>
      </c>
    </row>
    <row r="2250" spans="7:17" hidden="1" outlineLevel="6" x14ac:dyDescent="0.25">
      <c r="H2250" s="75" t="s">
        <v>100</v>
      </c>
      <c r="I2250" s="76"/>
      <c r="J2250" s="78">
        <f>HYPERLINK("#Структура!E2302",Структура!E2302)</f>
        <v>29</v>
      </c>
      <c r="K2250" s="114" t="str">
        <f>HYPERLINK("#Структура!G2302","")</f>
        <v/>
      </c>
      <c r="L2250" s="120">
        <f>HYPERLINK("#Покупные_изделия!D269",Покупные_изделия!D269)</f>
        <v>100</v>
      </c>
      <c r="M2250" s="76">
        <f>J2250*L2250</f>
        <v>2900</v>
      </c>
      <c r="N2250" s="77"/>
      <c r="O2250" s="77"/>
      <c r="P2250" s="76"/>
      <c r="Q2250" s="76"/>
    </row>
    <row r="2251" spans="7:17" hidden="1" outlineLevel="5" collapsed="1" x14ac:dyDescent="0.25">
      <c r="G2251" s="84" t="s">
        <v>705</v>
      </c>
      <c r="H2251" s="80"/>
      <c r="I2251" s="81"/>
      <c r="J2251" s="83">
        <f>HYPERLINK("#Структура!E2296",Структура!E2296)</f>
        <v>2</v>
      </c>
      <c r="K2251" s="115">
        <f>HYPERLINK("#Структура!G2296",Структура!G2296)</f>
        <v>7.4569999999999997E-2</v>
      </c>
      <c r="L2251" s="81">
        <f>M2251/J2251</f>
        <v>97.332206400000018</v>
      </c>
      <c r="M2251" s="81">
        <f>SUMIF(H2252,"*",M2252)*J2251</f>
        <v>194.66441280000004</v>
      </c>
      <c r="N2251" s="124">
        <f>HYPERLINK("#Трудозатраты!B883",Трудозатраты!B883+SUMIF(H2252,"*",O2252))</f>
        <v>5.5</v>
      </c>
      <c r="O2251" s="82">
        <f>N2251*J2251</f>
        <v>11</v>
      </c>
      <c r="P2251" s="81">
        <f>O2251/60*(1+запас_труд)*стоимость_трудочаса</f>
        <v>430.83333333333331</v>
      </c>
      <c r="Q2251" s="129">
        <f>M2251*(1+наценка_покупное)+P2251</f>
        <v>664.43062869333335</v>
      </c>
    </row>
    <row r="2252" spans="7:17" hidden="1" outlineLevel="6" x14ac:dyDescent="0.25">
      <c r="H2252" s="75" t="s">
        <v>166</v>
      </c>
      <c r="I2252" s="76"/>
      <c r="J2252" s="78">
        <f>HYPERLINK("#Структура!E3754",Структура!E3754)</f>
        <v>6.6000000000000003E-2</v>
      </c>
      <c r="K2252" s="114" t="str">
        <f>HYPERLINK("#Структура!G3754","")</f>
        <v/>
      </c>
      <c r="L2252" s="120">
        <f>HYPERLINK("#Покупные_изделия!D451",Покупные_изделия!D451)</f>
        <v>1474.7304000000001</v>
      </c>
      <c r="M2252" s="76">
        <f t="shared" ref="M2252:M2257" si="86">J2252*L2252</f>
        <v>97.332206400000018</v>
      </c>
      <c r="N2252" s="77"/>
      <c r="O2252" s="77"/>
      <c r="P2252" s="76"/>
      <c r="Q2252" s="76"/>
    </row>
    <row r="2253" spans="7:17" hidden="1" outlineLevel="5" x14ac:dyDescent="0.25">
      <c r="G2253" s="74" t="s">
        <v>761</v>
      </c>
      <c r="H2253" s="75"/>
      <c r="I2253" s="76"/>
      <c r="J2253" s="78">
        <f>HYPERLINK("#Структура!E2297",Структура!E2297)</f>
        <v>8</v>
      </c>
      <c r="K2253" s="114">
        <f>HYPERLINK("#Структура!G2297",Структура!G2297)</f>
        <v>3.696E-2</v>
      </c>
      <c r="L2253" s="120">
        <f>HYPERLINK("#Покупные_изделия!D91",Покупные_изделия!D91)</f>
        <v>13.452</v>
      </c>
      <c r="M2253" s="76">
        <f t="shared" si="86"/>
        <v>107.616</v>
      </c>
      <c r="N2253" s="77"/>
      <c r="O2253" s="77"/>
      <c r="P2253" s="76"/>
      <c r="Q2253" s="76"/>
    </row>
    <row r="2254" spans="7:17" hidden="1" outlineLevel="5" x14ac:dyDescent="0.25">
      <c r="G2254" s="74" t="s">
        <v>767</v>
      </c>
      <c r="H2254" s="75"/>
      <c r="I2254" s="76"/>
      <c r="J2254" s="78">
        <f>HYPERLINK("#Структура!E2298",Структура!E2298)</f>
        <v>8</v>
      </c>
      <c r="K2254" s="114">
        <f>HYPERLINK("#Структура!G2298",Структура!G2298)</f>
        <v>2.0100000000000001E-3</v>
      </c>
      <c r="L2254" s="120">
        <f>HYPERLINK("#Покупные_изделия!D522",Покупные_изделия!D522)</f>
        <v>1.6500000000000001</v>
      </c>
      <c r="M2254" s="76">
        <f t="shared" si="86"/>
        <v>13.200000000000001</v>
      </c>
      <c r="N2254" s="77"/>
      <c r="O2254" s="77"/>
      <c r="P2254" s="76"/>
      <c r="Q2254" s="76"/>
    </row>
    <row r="2255" spans="7:17" hidden="1" outlineLevel="5" x14ac:dyDescent="0.25">
      <c r="G2255" s="74" t="s">
        <v>768</v>
      </c>
      <c r="H2255" s="75"/>
      <c r="I2255" s="76"/>
      <c r="J2255" s="78">
        <f>HYPERLINK("#Структура!E2299",Структура!E2299)</f>
        <v>8</v>
      </c>
      <c r="K2255" s="114">
        <f>HYPERLINK("#Структура!G2299",Структура!G2299)</f>
        <v>3.4399999999999999E-3</v>
      </c>
      <c r="L2255" s="120">
        <f>HYPERLINK("#Покупные_изделия!D538",Покупные_изделия!D538)</f>
        <v>1.68</v>
      </c>
      <c r="M2255" s="76">
        <f t="shared" si="86"/>
        <v>13.44</v>
      </c>
      <c r="N2255" s="77"/>
      <c r="O2255" s="77"/>
      <c r="P2255" s="76"/>
      <c r="Q2255" s="76"/>
    </row>
    <row r="2256" spans="7:17" hidden="1" outlineLevel="5" x14ac:dyDescent="0.25">
      <c r="G2256" s="74" t="s">
        <v>67</v>
      </c>
      <c r="H2256" s="75"/>
      <c r="I2256" s="76"/>
      <c r="J2256" s="78">
        <f>HYPERLINK("#Структура!E2300",Структура!E2300)</f>
        <v>0.154</v>
      </c>
      <c r="K2256" s="114" t="str">
        <f>HYPERLINK("#Структура!G2300","")</f>
        <v/>
      </c>
      <c r="L2256" s="120">
        <f>HYPERLINK("#Покупные_изделия!D203",Покупные_изделия!D203)</f>
        <v>30.003600000000002</v>
      </c>
      <c r="M2256" s="76">
        <f t="shared" si="86"/>
        <v>4.6205544000000005</v>
      </c>
      <c r="N2256" s="77"/>
      <c r="O2256" s="77"/>
      <c r="P2256" s="76"/>
      <c r="Q2256" s="76"/>
    </row>
    <row r="2257" spans="5:17" hidden="1" outlineLevel="5" x14ac:dyDescent="0.25">
      <c r="G2257" s="74" t="s">
        <v>146</v>
      </c>
      <c r="H2257" s="75"/>
      <c r="I2257" s="76"/>
      <c r="J2257" s="78">
        <f>HYPERLINK("#Структура!E2301",Структура!E2301)</f>
        <v>0.09</v>
      </c>
      <c r="K2257" s="114" t="str">
        <f>HYPERLINK("#Структура!G2301","")</f>
        <v/>
      </c>
      <c r="L2257" s="120">
        <f>HYPERLINK("#Покупные_изделия!D406",Покупные_изделия!D406)</f>
        <v>105.996</v>
      </c>
      <c r="M2257" s="76">
        <f t="shared" si="86"/>
        <v>9.5396399999999986</v>
      </c>
      <c r="N2257" s="77"/>
      <c r="O2257" s="77"/>
      <c r="P2257" s="76"/>
      <c r="Q2257" s="76"/>
    </row>
    <row r="2258" spans="5:17" hidden="1" outlineLevel="4" collapsed="1" x14ac:dyDescent="0.25">
      <c r="F2258" s="84" t="s">
        <v>1240</v>
      </c>
      <c r="G2258" s="79"/>
      <c r="H2258" s="80"/>
      <c r="I2258" s="81"/>
      <c r="J2258" s="83">
        <f>HYPERLINK("#Структура!E2267",Структура!E2267)</f>
        <v>1</v>
      </c>
      <c r="K2258" s="115">
        <f>HYPERLINK("#Структура!G2267",Структура!G2267)</f>
        <v>5.2200000000000003E-2</v>
      </c>
      <c r="L2258" s="81">
        <f>M2258/J2258</f>
        <v>70.787059200000002</v>
      </c>
      <c r="M2258" s="81">
        <f>SUMIF(G2259,"*",M2259)*J2258</f>
        <v>70.787059200000002</v>
      </c>
      <c r="N2258" s="124">
        <f>HYPERLINK("#Трудозатраты!B882",Трудозатраты!B882+SUMIF(G2259,"*",O2259))</f>
        <v>5.67</v>
      </c>
      <c r="O2258" s="82">
        <f>N2258*J2258</f>
        <v>5.67</v>
      </c>
      <c r="P2258" s="81">
        <f>O2258/60*(1+запас_труд)*стоимость_трудочаса</f>
        <v>222.07499999999999</v>
      </c>
      <c r="Q2258" s="129">
        <f>M2258*(1+наценка_покупное)+P2258</f>
        <v>307.01947103999998</v>
      </c>
    </row>
    <row r="2259" spans="5:17" hidden="1" outlineLevel="5" x14ac:dyDescent="0.25">
      <c r="G2259" s="74" t="s">
        <v>166</v>
      </c>
      <c r="H2259" s="75"/>
      <c r="I2259" s="76"/>
      <c r="J2259" s="78">
        <f>HYPERLINK("#Структура!E3753",Структура!E3753)</f>
        <v>4.8000000000000001E-2</v>
      </c>
      <c r="K2259" s="114" t="str">
        <f>HYPERLINK("#Структура!G3753","")</f>
        <v/>
      </c>
      <c r="L2259" s="120">
        <f>HYPERLINK("#Покупные_изделия!D451",Покупные_изделия!D451)</f>
        <v>1474.7304000000001</v>
      </c>
      <c r="M2259" s="76">
        <f t="shared" ref="M2259:M2266" si="87">J2259*L2259</f>
        <v>70.787059200000002</v>
      </c>
      <c r="N2259" s="77"/>
      <c r="O2259" s="77"/>
      <c r="P2259" s="76"/>
      <c r="Q2259" s="76"/>
    </row>
    <row r="2260" spans="5:17" hidden="1" outlineLevel="4" x14ac:dyDescent="0.25">
      <c r="F2260" s="74" t="s">
        <v>24</v>
      </c>
      <c r="G2260" s="74"/>
      <c r="H2260" s="75"/>
      <c r="I2260" s="76"/>
      <c r="J2260" s="78">
        <f>HYPERLINK("#Структура!E2268",Структура!E2268)</f>
        <v>1</v>
      </c>
      <c r="K2260" s="114">
        <f>HYPERLINK("#Структура!G2268",Структура!G2268)</f>
        <v>0.96411999999999998</v>
      </c>
      <c r="L2260" s="120">
        <f>HYPERLINK("#Покупные_изделия!D33",Покупные_изделия!D33)</f>
        <v>730.76400000000001</v>
      </c>
      <c r="M2260" s="76">
        <f t="shared" si="87"/>
        <v>730.76400000000001</v>
      </c>
      <c r="N2260" s="77"/>
      <c r="O2260" s="77"/>
      <c r="P2260" s="76"/>
      <c r="Q2260" s="76"/>
    </row>
    <row r="2261" spans="5:17" hidden="1" outlineLevel="4" x14ac:dyDescent="0.25">
      <c r="F2261" s="74" t="s">
        <v>28</v>
      </c>
      <c r="G2261" s="74"/>
      <c r="H2261" s="75"/>
      <c r="I2261" s="76"/>
      <c r="J2261" s="78">
        <f>HYPERLINK("#Структура!E2269",Структура!E2269)</f>
        <v>1</v>
      </c>
      <c r="K2261" s="114">
        <f>HYPERLINK("#Структура!G2269",Структура!G2269)</f>
        <v>6.4595399999999996</v>
      </c>
      <c r="L2261" s="120">
        <f>HYPERLINK("#Покупные_изделия!D37",Покупные_изделия!D37)</f>
        <v>3226.1724000000004</v>
      </c>
      <c r="M2261" s="76">
        <f t="shared" si="87"/>
        <v>3226.1724000000004</v>
      </c>
      <c r="N2261" s="77"/>
      <c r="O2261" s="77"/>
      <c r="P2261" s="76"/>
      <c r="Q2261" s="76"/>
    </row>
    <row r="2262" spans="5:17" hidden="1" outlineLevel="4" x14ac:dyDescent="0.25">
      <c r="F2262" s="74" t="s">
        <v>40</v>
      </c>
      <c r="G2262" s="74"/>
      <c r="H2262" s="75"/>
      <c r="I2262" s="76"/>
      <c r="J2262" s="78">
        <f>HYPERLINK("#Структура!E2270",Структура!E2270)</f>
        <v>2</v>
      </c>
      <c r="K2262" s="114">
        <f>HYPERLINK("#Структура!G2270",Структура!G2270)</f>
        <v>3.7</v>
      </c>
      <c r="L2262" s="120">
        <f>HYPERLINK("#Покупные_изделия!D51",Покупные_изделия!D51)</f>
        <v>3122.1564000000003</v>
      </c>
      <c r="M2262" s="76">
        <f t="shared" si="87"/>
        <v>6244.3128000000006</v>
      </c>
      <c r="N2262" s="77"/>
      <c r="O2262" s="77"/>
      <c r="P2262" s="76"/>
      <c r="Q2262" s="76"/>
    </row>
    <row r="2263" spans="5:17" hidden="1" outlineLevel="4" x14ac:dyDescent="0.25">
      <c r="F2263" s="74" t="s">
        <v>65</v>
      </c>
      <c r="G2263" s="74"/>
      <c r="H2263" s="75"/>
      <c r="I2263" s="76"/>
      <c r="J2263" s="78">
        <f>HYPERLINK("#Структура!E2271",Структура!E2271)</f>
        <v>0.04</v>
      </c>
      <c r="K2263" s="114" t="str">
        <f>HYPERLINK("#Структура!G2271","")</f>
        <v/>
      </c>
      <c r="L2263" s="120">
        <f>HYPERLINK("#Покупные_изделия!D197",Покупные_изделия!D197)</f>
        <v>264.50399999999996</v>
      </c>
      <c r="M2263" s="76">
        <f t="shared" si="87"/>
        <v>10.580159999999999</v>
      </c>
      <c r="N2263" s="77"/>
      <c r="O2263" s="77"/>
      <c r="P2263" s="76"/>
      <c r="Q2263" s="76"/>
    </row>
    <row r="2264" spans="5:17" hidden="1" outlineLevel="4" x14ac:dyDescent="0.25">
      <c r="F2264" s="74" t="s">
        <v>155</v>
      </c>
      <c r="G2264" s="74"/>
      <c r="H2264" s="75"/>
      <c r="I2264" s="76"/>
      <c r="J2264" s="78">
        <f>HYPERLINK("#Структура!E2272",Структура!E2272)</f>
        <v>0.09</v>
      </c>
      <c r="K2264" s="114" t="str">
        <f>HYPERLINK("#Структура!G2272","")</f>
        <v/>
      </c>
      <c r="L2264" s="120">
        <f>HYPERLINK("#Покупные_изделия!D423",Покупные_изделия!D423)</f>
        <v>218.28</v>
      </c>
      <c r="M2264" s="76">
        <f t="shared" si="87"/>
        <v>19.645199999999999</v>
      </c>
      <c r="N2264" s="77"/>
      <c r="O2264" s="77"/>
      <c r="P2264" s="76"/>
      <c r="Q2264" s="76"/>
    </row>
    <row r="2265" spans="5:17" hidden="1" outlineLevel="4" x14ac:dyDescent="0.25">
      <c r="F2265" s="74" t="s">
        <v>200</v>
      </c>
      <c r="G2265" s="74"/>
      <c r="H2265" s="75"/>
      <c r="I2265" s="76"/>
      <c r="J2265" s="78">
        <f>HYPERLINK("#Структура!E2273",Структура!E2273)</f>
        <v>0.38800000000000001</v>
      </c>
      <c r="K2265" s="114" t="str">
        <f>HYPERLINK("#Структура!G2273","")</f>
        <v/>
      </c>
      <c r="L2265" s="120">
        <f>HYPERLINK("#Покупные_изделия!D518",Покупные_изделия!D518)</f>
        <v>270</v>
      </c>
      <c r="M2265" s="76">
        <f t="shared" si="87"/>
        <v>104.76</v>
      </c>
      <c r="N2265" s="77"/>
      <c r="O2265" s="77"/>
      <c r="P2265" s="76"/>
      <c r="Q2265" s="76"/>
    </row>
    <row r="2266" spans="5:17" hidden="1" outlineLevel="4" x14ac:dyDescent="0.25">
      <c r="F2266" s="74" t="s">
        <v>215</v>
      </c>
      <c r="G2266" s="74"/>
      <c r="H2266" s="75"/>
      <c r="I2266" s="76"/>
      <c r="J2266" s="78">
        <f>HYPERLINK("#Структура!E2274",Структура!E2274)</f>
        <v>0.8</v>
      </c>
      <c r="K2266" s="114" t="str">
        <f>HYPERLINK("#Структура!G2274","")</f>
        <v/>
      </c>
      <c r="L2266" s="120">
        <f>HYPERLINK("#Покупные_изделия!D567",Покупные_изделия!D567)</f>
        <v>405.74399999999997</v>
      </c>
      <c r="M2266" s="76">
        <f t="shared" si="87"/>
        <v>324.59519999999998</v>
      </c>
      <c r="N2266" s="77"/>
      <c r="O2266" s="77"/>
      <c r="P2266" s="76"/>
      <c r="Q2266" s="76"/>
    </row>
    <row r="2267" spans="5:17" hidden="1" outlineLevel="3" collapsed="1" x14ac:dyDescent="0.25">
      <c r="E2267" s="96" t="s">
        <v>1283</v>
      </c>
      <c r="F2267" s="91"/>
      <c r="G2267" s="91"/>
      <c r="H2267" s="92"/>
      <c r="I2267" s="93"/>
      <c r="J2267" s="95">
        <f>HYPERLINK("#Структура!E2165",Структура!E2165)</f>
        <v>1</v>
      </c>
      <c r="K2267" s="116">
        <f>HYPERLINK("#Структура!G2165",Структура!G2165)</f>
        <v>8.4403199999999998</v>
      </c>
      <c r="L2267" s="93">
        <f>M2267/J2267</f>
        <v>1276.1284512000002</v>
      </c>
      <c r="M2267" s="93">
        <f>SUMIF(F2268:F2276,"*",M2268:M2276)*J2267</f>
        <v>1276.1284512000002</v>
      </c>
      <c r="N2267" s="125">
        <f>HYPERLINK("#Трудозатраты!B595",Трудозатраты!B595+SUMIF(F2268:F2276,"*",O2268:O2276))</f>
        <v>108.48</v>
      </c>
      <c r="O2267" s="94">
        <f>N2267*J2267</f>
        <v>108.48</v>
      </c>
      <c r="P2267" s="93">
        <f>O2267/60*(1+запас_труд)*стоимость_трудочаса</f>
        <v>4248.8</v>
      </c>
      <c r="Q2267" s="130">
        <f>M2267*(1+наценка_покупное)+P2267</f>
        <v>5780.1541414399999</v>
      </c>
    </row>
    <row r="2268" spans="5:17" hidden="1" outlineLevel="4" collapsed="1" x14ac:dyDescent="0.25">
      <c r="F2268" s="85" t="s">
        <v>1305</v>
      </c>
      <c r="G2268" s="86"/>
      <c r="H2268" s="87"/>
      <c r="I2268" s="88"/>
      <c r="J2268" s="90">
        <f>HYPERLINK("#Структура!E2303",Структура!E2303)</f>
        <v>1</v>
      </c>
      <c r="K2268" s="113">
        <f>HYPERLINK("#Структура!G2303",Структура!G2303)</f>
        <v>7.29392</v>
      </c>
      <c r="L2268" s="88">
        <f>M2268/J2268</f>
        <v>1080</v>
      </c>
      <c r="M2268" s="88">
        <f>SUMIF(G2269,"*",M2269)*J2268</f>
        <v>1080</v>
      </c>
      <c r="N2268" s="123">
        <f>HYPERLINK("#Трудозатраты!B596",Трудозатраты!B596+SUMIF(G2269,"*",O2269))</f>
        <v>9.8000000000000007</v>
      </c>
      <c r="O2268" s="89">
        <f>N2268*J2268</f>
        <v>9.8000000000000007</v>
      </c>
      <c r="P2268" s="88">
        <f>O2268/60*(1+запас_труд)*стоимость_трудочаса</f>
        <v>383.83333333333337</v>
      </c>
      <c r="Q2268" s="128">
        <f>M2268*(1+наценка_покупное)+P2268</f>
        <v>1679.8333333333335</v>
      </c>
    </row>
    <row r="2269" spans="5:17" hidden="1" outlineLevel="5" x14ac:dyDescent="0.25">
      <c r="G2269" s="74" t="s">
        <v>122</v>
      </c>
      <c r="H2269" s="75"/>
      <c r="I2269" s="76"/>
      <c r="J2269" s="78">
        <f>HYPERLINK("#Структура!E2310",Структура!E2310)</f>
        <v>9</v>
      </c>
      <c r="K2269" s="114" t="str">
        <f>HYPERLINK("#Структура!G2310","")</f>
        <v/>
      </c>
      <c r="L2269" s="120">
        <f>HYPERLINK("#Покупные_изделия!D297",Покупные_изделия!D297)</f>
        <v>120</v>
      </c>
      <c r="M2269" s="76">
        <f>J2269*L2269</f>
        <v>1080</v>
      </c>
      <c r="N2269" s="77"/>
      <c r="O2269" s="77"/>
      <c r="P2269" s="76"/>
      <c r="Q2269" s="76"/>
    </row>
    <row r="2270" spans="5:17" hidden="1" outlineLevel="4" collapsed="1" x14ac:dyDescent="0.25">
      <c r="F2270" s="84" t="s">
        <v>1306</v>
      </c>
      <c r="G2270" s="79"/>
      <c r="H2270" s="80"/>
      <c r="I2270" s="81"/>
      <c r="J2270" s="83">
        <f>HYPERLINK("#Структура!E2304",Структура!E2304)</f>
        <v>4</v>
      </c>
      <c r="K2270" s="115">
        <f>HYPERLINK("#Структура!G2304",Структура!G2304)</f>
        <v>0.28660000000000002</v>
      </c>
      <c r="L2270" s="81">
        <f>M2270/J2270</f>
        <v>35.984999999999999</v>
      </c>
      <c r="M2270" s="81">
        <f>SUMIF(G2271,"*",M2271)*J2270</f>
        <v>143.94</v>
      </c>
      <c r="N2270" s="124">
        <f>HYPERLINK("#Трудозатраты!B597",Трудозатраты!B597+SUMIF(G2271,"*",O2271))</f>
        <v>22.67</v>
      </c>
      <c r="O2270" s="82">
        <f>N2270*J2270</f>
        <v>90.68</v>
      </c>
      <c r="P2270" s="81">
        <f>O2270/60*(1+запас_труд)*стоимость_трудочаса</f>
        <v>3551.6333333333337</v>
      </c>
      <c r="Q2270" s="129">
        <f>M2270*(1+наценка_покупное)+P2270</f>
        <v>3724.3613333333337</v>
      </c>
    </row>
    <row r="2271" spans="5:17" hidden="1" outlineLevel="5" x14ac:dyDescent="0.25">
      <c r="G2271" s="74" t="s">
        <v>1254</v>
      </c>
      <c r="H2271" s="75"/>
      <c r="I2271" s="76"/>
      <c r="J2271" s="78">
        <f>HYPERLINK("#Структура!E2311",Структура!E2311)</f>
        <v>0.125</v>
      </c>
      <c r="K2271" s="114" t="str">
        <f>HYPERLINK("#Структура!G2311","")</f>
        <v/>
      </c>
      <c r="L2271" s="120">
        <f>HYPERLINK("#Покупные_изделия!D560",Покупные_изделия!D560)</f>
        <v>287.88</v>
      </c>
      <c r="M2271" s="76">
        <f t="shared" ref="M2271:M2276" si="88">J2271*L2271</f>
        <v>35.984999999999999</v>
      </c>
      <c r="N2271" s="77"/>
      <c r="O2271" s="77"/>
      <c r="P2271" s="76"/>
      <c r="Q2271" s="76"/>
    </row>
    <row r="2272" spans="5:17" hidden="1" outlineLevel="4" x14ac:dyDescent="0.25">
      <c r="F2272" s="74" t="s">
        <v>65</v>
      </c>
      <c r="G2272" s="74"/>
      <c r="H2272" s="75"/>
      <c r="I2272" s="76"/>
      <c r="J2272" s="78">
        <f>HYPERLINK("#Структура!E2305",Структура!E2305)</f>
        <v>0.04</v>
      </c>
      <c r="K2272" s="114" t="str">
        <f>HYPERLINK("#Структура!G2305","")</f>
        <v/>
      </c>
      <c r="L2272" s="120">
        <f>HYPERLINK("#Покупные_изделия!D197",Покупные_изделия!D197)</f>
        <v>264.50399999999996</v>
      </c>
      <c r="M2272" s="76">
        <f t="shared" si="88"/>
        <v>10.580159999999999</v>
      </c>
      <c r="N2272" s="77"/>
      <c r="O2272" s="77"/>
      <c r="P2272" s="76"/>
      <c r="Q2272" s="76"/>
    </row>
    <row r="2273" spans="5:17" hidden="1" outlineLevel="4" x14ac:dyDescent="0.25">
      <c r="F2273" s="74" t="s">
        <v>67</v>
      </c>
      <c r="G2273" s="74"/>
      <c r="H2273" s="75"/>
      <c r="I2273" s="76"/>
      <c r="J2273" s="78">
        <f>HYPERLINK("#Структура!E2306",Структура!E2306)</f>
        <v>4.2000000000000003E-2</v>
      </c>
      <c r="K2273" s="114" t="str">
        <f>HYPERLINK("#Структура!G2306","")</f>
        <v/>
      </c>
      <c r="L2273" s="120">
        <f>HYPERLINK("#Покупные_изделия!D203",Покупные_изделия!D203)</f>
        <v>30.003600000000002</v>
      </c>
      <c r="M2273" s="76">
        <f t="shared" si="88"/>
        <v>1.2601512000000001</v>
      </c>
      <c r="N2273" s="77"/>
      <c r="O2273" s="77"/>
      <c r="P2273" s="76"/>
      <c r="Q2273" s="76"/>
    </row>
    <row r="2274" spans="5:17" hidden="1" outlineLevel="4" x14ac:dyDescent="0.25">
      <c r="F2274" s="74" t="s">
        <v>146</v>
      </c>
      <c r="G2274" s="74"/>
      <c r="H2274" s="75"/>
      <c r="I2274" s="76"/>
      <c r="J2274" s="78">
        <f>HYPERLINK("#Структура!E2307",Структура!E2307)</f>
        <v>2.5000000000000001E-2</v>
      </c>
      <c r="K2274" s="114" t="str">
        <f>HYPERLINK("#Структура!G2307","")</f>
        <v/>
      </c>
      <c r="L2274" s="120">
        <f>HYPERLINK("#Покупные_изделия!D406",Покупные_изделия!D406)</f>
        <v>105.996</v>
      </c>
      <c r="M2274" s="76">
        <f t="shared" si="88"/>
        <v>2.6499000000000001</v>
      </c>
      <c r="N2274" s="77"/>
      <c r="O2274" s="77"/>
      <c r="P2274" s="76"/>
      <c r="Q2274" s="76"/>
    </row>
    <row r="2275" spans="5:17" hidden="1" outlineLevel="4" x14ac:dyDescent="0.25">
      <c r="F2275" s="74" t="s">
        <v>155</v>
      </c>
      <c r="G2275" s="74"/>
      <c r="H2275" s="75"/>
      <c r="I2275" s="76"/>
      <c r="J2275" s="78">
        <f>HYPERLINK("#Структура!E2308",Структура!E2308)</f>
        <v>2.4E-2</v>
      </c>
      <c r="K2275" s="114" t="str">
        <f>HYPERLINK("#Структура!G2308","")</f>
        <v/>
      </c>
      <c r="L2275" s="120">
        <f>HYPERLINK("#Покупные_изделия!D423",Покупные_изделия!D423)</f>
        <v>218.28</v>
      </c>
      <c r="M2275" s="76">
        <f t="shared" si="88"/>
        <v>5.2387199999999998</v>
      </c>
      <c r="N2275" s="77"/>
      <c r="O2275" s="77"/>
      <c r="P2275" s="76"/>
      <c r="Q2275" s="76"/>
    </row>
    <row r="2276" spans="5:17" hidden="1" outlineLevel="4" x14ac:dyDescent="0.25">
      <c r="F2276" s="74" t="s">
        <v>215</v>
      </c>
      <c r="G2276" s="74"/>
      <c r="H2276" s="75"/>
      <c r="I2276" s="76"/>
      <c r="J2276" s="78">
        <f>HYPERLINK("#Структура!E2309",Структура!E2309)</f>
        <v>0.08</v>
      </c>
      <c r="K2276" s="114" t="str">
        <f>HYPERLINK("#Структура!G2309","")</f>
        <v/>
      </c>
      <c r="L2276" s="120">
        <f>HYPERLINK("#Покупные_изделия!D567",Покупные_изделия!D567)</f>
        <v>405.74399999999997</v>
      </c>
      <c r="M2276" s="76">
        <f t="shared" si="88"/>
        <v>32.459519999999998</v>
      </c>
      <c r="N2276" s="77"/>
      <c r="O2276" s="77"/>
      <c r="P2276" s="76"/>
      <c r="Q2276" s="76"/>
    </row>
    <row r="2277" spans="5:17" hidden="1" outlineLevel="3" collapsed="1" x14ac:dyDescent="0.25">
      <c r="E2277" s="96" t="s">
        <v>1284</v>
      </c>
      <c r="F2277" s="91"/>
      <c r="G2277" s="91"/>
      <c r="H2277" s="92"/>
      <c r="I2277" s="93"/>
      <c r="J2277" s="95">
        <f>HYPERLINK("#Структура!E2166",Структура!E2166)</f>
        <v>1</v>
      </c>
      <c r="K2277" s="116">
        <f>HYPERLINK("#Структура!G2166",Структура!G2166)</f>
        <v>21.585080000000001</v>
      </c>
      <c r="L2277" s="93">
        <f>M2277/J2277</f>
        <v>3788.4872123999999</v>
      </c>
      <c r="M2277" s="93">
        <f>SUMIF(F2278:F2286,"*",M2278:M2286)*J2277</f>
        <v>3788.4872123999999</v>
      </c>
      <c r="N2277" s="125">
        <f>HYPERLINK("#Трудозатраты!B598",Трудозатраты!B598+SUMIF(F2278:F2286,"*",O2278:O2286))</f>
        <v>76.2</v>
      </c>
      <c r="O2277" s="94">
        <f>N2277*J2277</f>
        <v>76.2</v>
      </c>
      <c r="P2277" s="93">
        <f>O2277/60*(1+запас_труд)*стоимость_трудочаса</f>
        <v>2984.5</v>
      </c>
      <c r="Q2277" s="130">
        <f>M2277*(1+наценка_покупное)+P2277</f>
        <v>7530.6846548799995</v>
      </c>
    </row>
    <row r="2278" spans="5:17" hidden="1" outlineLevel="4" collapsed="1" x14ac:dyDescent="0.25">
      <c r="F2278" s="85" t="s">
        <v>1307</v>
      </c>
      <c r="G2278" s="86"/>
      <c r="H2278" s="87"/>
      <c r="I2278" s="88"/>
      <c r="J2278" s="90">
        <f>HYPERLINK("#Структура!E2312",Структура!E2312)</f>
        <v>1</v>
      </c>
      <c r="K2278" s="113">
        <f>HYPERLINK("#Структура!G2312",Структура!G2312)</f>
        <v>21.537649999999999</v>
      </c>
      <c r="L2278" s="88">
        <f>M2278/J2278</f>
        <v>3216</v>
      </c>
      <c r="M2278" s="88">
        <f>SUMIF(G2279,"*",M2279)*J2278</f>
        <v>3216</v>
      </c>
      <c r="N2278" s="123">
        <f>HYPERLINK("#Трудозатраты!B599",Трудозатраты!B599+SUMIF(G2279,"*",O2279))</f>
        <v>7.2</v>
      </c>
      <c r="O2278" s="89">
        <f>N2278*J2278</f>
        <v>7.2</v>
      </c>
      <c r="P2278" s="88">
        <f>O2278/60*(1+запас_труд)*стоимость_трудочаса</f>
        <v>282</v>
      </c>
      <c r="Q2278" s="128">
        <f>M2278*(1+наценка_покупное)+P2278</f>
        <v>4141.2</v>
      </c>
    </row>
    <row r="2279" spans="5:17" hidden="1" outlineLevel="5" x14ac:dyDescent="0.25">
      <c r="G2279" s="74" t="s">
        <v>109</v>
      </c>
      <c r="H2279" s="75"/>
      <c r="I2279" s="76"/>
      <c r="J2279" s="78">
        <f>HYPERLINK("#Структура!E2320",Структура!E2320)</f>
        <v>26.8</v>
      </c>
      <c r="K2279" s="114" t="str">
        <f>HYPERLINK("#Структура!G2320","")</f>
        <v/>
      </c>
      <c r="L2279" s="120">
        <f>HYPERLINK("#Покупные_изделия!D281",Покупные_изделия!D281)</f>
        <v>120</v>
      </c>
      <c r="M2279" s="76">
        <f t="shared" ref="M2279:M2286" si="89">J2279*L2279</f>
        <v>3216</v>
      </c>
      <c r="N2279" s="77"/>
      <c r="O2279" s="77"/>
      <c r="P2279" s="76"/>
      <c r="Q2279" s="76"/>
    </row>
    <row r="2280" spans="5:17" hidden="1" outlineLevel="4" x14ac:dyDescent="0.25">
      <c r="F2280" s="74" t="s">
        <v>966</v>
      </c>
      <c r="G2280" s="74"/>
      <c r="H2280" s="75"/>
      <c r="I2280" s="76"/>
      <c r="J2280" s="78">
        <f>HYPERLINK("#Структура!E2313",Структура!E2313)</f>
        <v>9</v>
      </c>
      <c r="K2280" s="114">
        <f>HYPERLINK("#Структура!G2313",Структура!G2313)</f>
        <v>5.2700000000000004E-3</v>
      </c>
      <c r="L2280" s="120">
        <f>HYPERLINK("#Покупные_изделия!D170",Покупные_изделия!D170)</f>
        <v>1.3728</v>
      </c>
      <c r="M2280" s="76">
        <f t="shared" si="89"/>
        <v>12.3552</v>
      </c>
      <c r="N2280" s="77"/>
      <c r="O2280" s="77"/>
      <c r="P2280" s="76"/>
      <c r="Q2280" s="76"/>
    </row>
    <row r="2281" spans="5:17" hidden="1" outlineLevel="4" x14ac:dyDescent="0.25">
      <c r="F2281" s="74" t="s">
        <v>65</v>
      </c>
      <c r="G2281" s="74"/>
      <c r="H2281" s="75"/>
      <c r="I2281" s="76"/>
      <c r="J2281" s="78">
        <f>HYPERLINK("#Структура!E2314",Структура!E2314)</f>
        <v>0.45</v>
      </c>
      <c r="K2281" s="114" t="str">
        <f>HYPERLINK("#Структура!G2314","")</f>
        <v/>
      </c>
      <c r="L2281" s="120">
        <f>HYPERLINK("#Покупные_изделия!D197",Покупные_изделия!D197)</f>
        <v>264.50399999999996</v>
      </c>
      <c r="M2281" s="76">
        <f t="shared" si="89"/>
        <v>119.02679999999998</v>
      </c>
      <c r="N2281" s="77"/>
      <c r="O2281" s="77"/>
      <c r="P2281" s="76"/>
      <c r="Q2281" s="76"/>
    </row>
    <row r="2282" spans="5:17" hidden="1" outlineLevel="4" x14ac:dyDescent="0.25">
      <c r="F2282" s="74" t="s">
        <v>67</v>
      </c>
      <c r="G2282" s="74"/>
      <c r="H2282" s="75"/>
      <c r="I2282" s="76"/>
      <c r="J2282" s="78">
        <f>HYPERLINK("#Структура!E2315",Структура!E2315)</f>
        <v>8.9999999999999993E-3</v>
      </c>
      <c r="K2282" s="114" t="str">
        <f>HYPERLINK("#Структура!G2315","")</f>
        <v/>
      </c>
      <c r="L2282" s="120">
        <f>HYPERLINK("#Покупные_изделия!D203",Покупные_изделия!D203)</f>
        <v>30.003600000000002</v>
      </c>
      <c r="M2282" s="76">
        <f t="shared" si="89"/>
        <v>0.27003240000000001</v>
      </c>
      <c r="N2282" s="77"/>
      <c r="O2282" s="77"/>
      <c r="P2282" s="76"/>
      <c r="Q2282" s="76"/>
    </row>
    <row r="2283" spans="5:17" hidden="1" outlineLevel="4" x14ac:dyDescent="0.25">
      <c r="F2283" s="74" t="s">
        <v>146</v>
      </c>
      <c r="G2283" s="74"/>
      <c r="H2283" s="75"/>
      <c r="I2283" s="76"/>
      <c r="J2283" s="78">
        <f>HYPERLINK("#Структура!E2316",Структура!E2316)</f>
        <v>5.0000000000000001E-3</v>
      </c>
      <c r="K2283" s="114" t="str">
        <f>HYPERLINK("#Структура!G2316","")</f>
        <v/>
      </c>
      <c r="L2283" s="120">
        <f>HYPERLINK("#Покупные_изделия!D406",Покупные_изделия!D406)</f>
        <v>105.996</v>
      </c>
      <c r="M2283" s="76">
        <f t="shared" si="89"/>
        <v>0.52998000000000001</v>
      </c>
      <c r="N2283" s="77"/>
      <c r="O2283" s="77"/>
      <c r="P2283" s="76"/>
      <c r="Q2283" s="76"/>
    </row>
    <row r="2284" spans="5:17" hidden="1" outlineLevel="4" x14ac:dyDescent="0.25">
      <c r="F2284" s="74" t="s">
        <v>155</v>
      </c>
      <c r="G2284" s="74"/>
      <c r="H2284" s="75"/>
      <c r="I2284" s="76"/>
      <c r="J2284" s="78">
        <f>HYPERLINK("#Структура!E2317",Структура!E2317)</f>
        <v>0.27</v>
      </c>
      <c r="K2284" s="114" t="str">
        <f>HYPERLINK("#Структура!G2317","")</f>
        <v/>
      </c>
      <c r="L2284" s="120">
        <f>HYPERLINK("#Покупные_изделия!D423",Покупные_изделия!D423)</f>
        <v>218.28</v>
      </c>
      <c r="M2284" s="76">
        <f t="shared" si="89"/>
        <v>58.935600000000001</v>
      </c>
      <c r="N2284" s="77"/>
      <c r="O2284" s="77"/>
      <c r="P2284" s="76"/>
      <c r="Q2284" s="76"/>
    </row>
    <row r="2285" spans="5:17" hidden="1" outlineLevel="4" x14ac:dyDescent="0.25">
      <c r="F2285" s="74" t="s">
        <v>200</v>
      </c>
      <c r="G2285" s="74"/>
      <c r="H2285" s="75"/>
      <c r="I2285" s="76"/>
      <c r="J2285" s="78">
        <f>HYPERLINK("#Структура!E2318",Структура!E2318)</f>
        <v>0.06</v>
      </c>
      <c r="K2285" s="114" t="str">
        <f>HYPERLINK("#Структура!G2318","")</f>
        <v/>
      </c>
      <c r="L2285" s="120">
        <f>HYPERLINK("#Покупные_изделия!D518",Покупные_изделия!D518)</f>
        <v>270</v>
      </c>
      <c r="M2285" s="76">
        <f t="shared" si="89"/>
        <v>16.2</v>
      </c>
      <c r="N2285" s="77"/>
      <c r="O2285" s="77"/>
      <c r="P2285" s="76"/>
      <c r="Q2285" s="76"/>
    </row>
    <row r="2286" spans="5:17" hidden="1" outlineLevel="4" x14ac:dyDescent="0.25">
      <c r="F2286" s="74" t="s">
        <v>215</v>
      </c>
      <c r="G2286" s="74"/>
      <c r="H2286" s="75"/>
      <c r="I2286" s="76"/>
      <c r="J2286" s="78">
        <f>HYPERLINK("#Структура!E2319",Структура!E2319)</f>
        <v>0.9</v>
      </c>
      <c r="K2286" s="114" t="str">
        <f>HYPERLINK("#Структура!G2319","")</f>
        <v/>
      </c>
      <c r="L2286" s="120">
        <f>HYPERLINK("#Покупные_изделия!D567",Покупные_изделия!D567)</f>
        <v>405.74399999999997</v>
      </c>
      <c r="M2286" s="76">
        <f t="shared" si="89"/>
        <v>365.1696</v>
      </c>
      <c r="N2286" s="77"/>
      <c r="O2286" s="77"/>
      <c r="P2286" s="76"/>
      <c r="Q2286" s="76"/>
    </row>
    <row r="2287" spans="5:17" hidden="1" outlineLevel="3" collapsed="1" x14ac:dyDescent="0.25">
      <c r="E2287" s="96" t="s">
        <v>1285</v>
      </c>
      <c r="F2287" s="91"/>
      <c r="G2287" s="91"/>
      <c r="H2287" s="92"/>
      <c r="I2287" s="93"/>
      <c r="J2287" s="95">
        <f>HYPERLINK("#Структура!E2167",Структура!E2167)</f>
        <v>1</v>
      </c>
      <c r="K2287" s="116">
        <f>HYPERLINK("#Структура!G2167",Структура!G2167)</f>
        <v>0.70574000000000003</v>
      </c>
      <c r="L2287" s="93">
        <f>M2287/J2287</f>
        <v>117.59908199999998</v>
      </c>
      <c r="M2287" s="93">
        <f>SUMIF(F2288:F2296,"*",M2288:M2296)*J2287</f>
        <v>117.59908199999998</v>
      </c>
      <c r="N2287" s="125">
        <f>HYPERLINK("#Трудозатраты!B600",Трудозатраты!B600+SUMIF(F2288:F2296,"*",O2288:O2296))</f>
        <v>6.3999999999999995</v>
      </c>
      <c r="O2287" s="94">
        <f>N2287*J2287</f>
        <v>6.3999999999999995</v>
      </c>
      <c r="P2287" s="93">
        <f>O2287/60*(1+запас_труд)*стоимость_трудочаса</f>
        <v>250.66666666666666</v>
      </c>
      <c r="Q2287" s="130">
        <f>M2287*(1+наценка_покупное)+P2287</f>
        <v>391.78556506666666</v>
      </c>
    </row>
    <row r="2288" spans="5:17" hidden="1" outlineLevel="4" collapsed="1" x14ac:dyDescent="0.25">
      <c r="F2288" s="85" t="s">
        <v>1308</v>
      </c>
      <c r="G2288" s="86"/>
      <c r="H2288" s="87"/>
      <c r="I2288" s="88"/>
      <c r="J2288" s="90">
        <f>HYPERLINK("#Структура!E2321",Структура!E2321)</f>
        <v>1</v>
      </c>
      <c r="K2288" s="113">
        <f>HYPERLINK("#Структура!G2321",Структура!G2321)</f>
        <v>0.68354999999999999</v>
      </c>
      <c r="L2288" s="88">
        <f>M2288/J2288</f>
        <v>99.6</v>
      </c>
      <c r="M2288" s="88">
        <f>SUMIF(G2289,"*",M2289)*J2288</f>
        <v>99.6</v>
      </c>
      <c r="N2288" s="123">
        <f>HYPERLINK("#Трудозатраты!B601",Трудозатраты!B601+SUMIF(G2289,"*",O2289))</f>
        <v>2.2999999999999998</v>
      </c>
      <c r="O2288" s="89">
        <f>N2288*J2288</f>
        <v>2.2999999999999998</v>
      </c>
      <c r="P2288" s="88">
        <f>O2288/60*(1+запас_труд)*стоимость_трудочаса</f>
        <v>90.083333333333329</v>
      </c>
      <c r="Q2288" s="128">
        <f>M2288*(1+наценка_покупное)+P2288</f>
        <v>209.6033333333333</v>
      </c>
    </row>
    <row r="2289" spans="5:17" hidden="1" outlineLevel="5" x14ac:dyDescent="0.25">
      <c r="G2289" s="74" t="s">
        <v>115</v>
      </c>
      <c r="H2289" s="75"/>
      <c r="I2289" s="76"/>
      <c r="J2289" s="78">
        <f>HYPERLINK("#Структура!E2329",Структура!E2329)</f>
        <v>0.83</v>
      </c>
      <c r="K2289" s="114" t="str">
        <f>HYPERLINK("#Структура!G2329","")</f>
        <v/>
      </c>
      <c r="L2289" s="120">
        <f>HYPERLINK("#Покупные_изделия!D289",Покупные_изделия!D289)</f>
        <v>120</v>
      </c>
      <c r="M2289" s="76">
        <f t="shared" ref="M2289:M2296" si="90">J2289*L2289</f>
        <v>99.6</v>
      </c>
      <c r="N2289" s="77"/>
      <c r="O2289" s="77"/>
      <c r="P2289" s="76"/>
      <c r="Q2289" s="76"/>
    </row>
    <row r="2290" spans="5:17" hidden="1" outlineLevel="4" x14ac:dyDescent="0.25">
      <c r="F2290" s="74" t="s">
        <v>746</v>
      </c>
      <c r="G2290" s="74"/>
      <c r="H2290" s="75"/>
      <c r="I2290" s="76"/>
      <c r="J2290" s="78">
        <f>HYPERLINK("#Структура!E2322",Структура!E2322)</f>
        <v>4</v>
      </c>
      <c r="K2290" s="114">
        <f>HYPERLINK("#Структура!G2322",Структура!G2322)</f>
        <v>5.5500000000000002E-3</v>
      </c>
      <c r="L2290" s="120">
        <f>HYPERLINK("#Покупные_изделия!D192",Покупные_изделия!D192)</f>
        <v>1.9799999999999998</v>
      </c>
      <c r="M2290" s="76">
        <f t="shared" si="90"/>
        <v>7.919999999999999</v>
      </c>
      <c r="N2290" s="77"/>
      <c r="O2290" s="77"/>
      <c r="P2290" s="76"/>
      <c r="Q2290" s="76"/>
    </row>
    <row r="2291" spans="5:17" hidden="1" outlineLevel="4" x14ac:dyDescent="0.25">
      <c r="F2291" s="74" t="s">
        <v>65</v>
      </c>
      <c r="G2291" s="74"/>
      <c r="H2291" s="75"/>
      <c r="I2291" s="76"/>
      <c r="J2291" s="78">
        <f>HYPERLINK("#Структура!E2323",Структура!E2323)</f>
        <v>7.0000000000000001E-3</v>
      </c>
      <c r="K2291" s="114" t="str">
        <f>HYPERLINK("#Структура!G2323","")</f>
        <v/>
      </c>
      <c r="L2291" s="120">
        <f>HYPERLINK("#Покупные_изделия!D197",Покупные_изделия!D197)</f>
        <v>264.50399999999996</v>
      </c>
      <c r="M2291" s="76">
        <f t="shared" si="90"/>
        <v>1.8515279999999998</v>
      </c>
      <c r="N2291" s="77"/>
      <c r="O2291" s="77"/>
      <c r="P2291" s="76"/>
      <c r="Q2291" s="76"/>
    </row>
    <row r="2292" spans="5:17" hidden="1" outlineLevel="4" x14ac:dyDescent="0.25">
      <c r="F2292" s="74" t="s">
        <v>67</v>
      </c>
      <c r="G2292" s="74"/>
      <c r="H2292" s="75"/>
      <c r="I2292" s="76"/>
      <c r="J2292" s="78">
        <f>HYPERLINK("#Структура!E2324",Структура!E2324)</f>
        <v>1.4999999999999999E-2</v>
      </c>
      <c r="K2292" s="114" t="str">
        <f>HYPERLINK("#Структура!G2324","")</f>
        <v/>
      </c>
      <c r="L2292" s="120">
        <f>HYPERLINK("#Покупные_изделия!D203",Покупные_изделия!D203)</f>
        <v>30.003600000000002</v>
      </c>
      <c r="M2292" s="76">
        <f t="shared" si="90"/>
        <v>0.45005400000000001</v>
      </c>
      <c r="N2292" s="77"/>
      <c r="O2292" s="77"/>
      <c r="P2292" s="76"/>
      <c r="Q2292" s="76"/>
    </row>
    <row r="2293" spans="5:17" hidden="1" outlineLevel="4" x14ac:dyDescent="0.25">
      <c r="F2293" s="74" t="s">
        <v>146</v>
      </c>
      <c r="G2293" s="74"/>
      <c r="H2293" s="75"/>
      <c r="I2293" s="76"/>
      <c r="J2293" s="78">
        <f>HYPERLINK("#Структура!E2325",Структура!E2325)</f>
        <v>8.9999999999999993E-3</v>
      </c>
      <c r="K2293" s="114" t="str">
        <f>HYPERLINK("#Структура!G2325","")</f>
        <v/>
      </c>
      <c r="L2293" s="120">
        <f>HYPERLINK("#Покупные_изделия!D406",Покупные_изделия!D406)</f>
        <v>105.996</v>
      </c>
      <c r="M2293" s="76">
        <f t="shared" si="90"/>
        <v>0.95396399999999992</v>
      </c>
      <c r="N2293" s="77"/>
      <c r="O2293" s="77"/>
      <c r="P2293" s="76"/>
      <c r="Q2293" s="76"/>
    </row>
    <row r="2294" spans="5:17" hidden="1" outlineLevel="4" x14ac:dyDescent="0.25">
      <c r="F2294" s="74" t="s">
        <v>155</v>
      </c>
      <c r="G2294" s="74"/>
      <c r="H2294" s="75"/>
      <c r="I2294" s="76"/>
      <c r="J2294" s="78">
        <f>HYPERLINK("#Структура!E2326",Структура!E2326)</f>
        <v>4.0000000000000001E-3</v>
      </c>
      <c r="K2294" s="114" t="str">
        <f>HYPERLINK("#Структура!G2326","")</f>
        <v/>
      </c>
      <c r="L2294" s="120">
        <f>HYPERLINK("#Покупные_изделия!D423",Покупные_изделия!D423)</f>
        <v>218.28</v>
      </c>
      <c r="M2294" s="76">
        <f t="shared" si="90"/>
        <v>0.87312000000000001</v>
      </c>
      <c r="N2294" s="77"/>
      <c r="O2294" s="77"/>
      <c r="P2294" s="76"/>
      <c r="Q2294" s="76"/>
    </row>
    <row r="2295" spans="5:17" hidden="1" outlineLevel="4" x14ac:dyDescent="0.25">
      <c r="F2295" s="74" t="s">
        <v>200</v>
      </c>
      <c r="G2295" s="74"/>
      <c r="H2295" s="75"/>
      <c r="I2295" s="76"/>
      <c r="J2295" s="78">
        <f>HYPERLINK("#Структура!E2327",Структура!E2327)</f>
        <v>1E-3</v>
      </c>
      <c r="K2295" s="114" t="str">
        <f>HYPERLINK("#Структура!G2327","")</f>
        <v/>
      </c>
      <c r="L2295" s="120">
        <f>HYPERLINK("#Покупные_изделия!D518",Покупные_изделия!D518)</f>
        <v>270</v>
      </c>
      <c r="M2295" s="76">
        <f t="shared" si="90"/>
        <v>0.27</v>
      </c>
      <c r="N2295" s="77"/>
      <c r="O2295" s="77"/>
      <c r="P2295" s="76"/>
      <c r="Q2295" s="76"/>
    </row>
    <row r="2296" spans="5:17" hidden="1" outlineLevel="4" x14ac:dyDescent="0.25">
      <c r="F2296" s="74" t="s">
        <v>215</v>
      </c>
      <c r="G2296" s="74"/>
      <c r="H2296" s="75"/>
      <c r="I2296" s="76"/>
      <c r="J2296" s="78">
        <f>HYPERLINK("#Структура!E2328",Структура!E2328)</f>
        <v>1.4E-2</v>
      </c>
      <c r="K2296" s="114" t="str">
        <f>HYPERLINK("#Структура!G2328","")</f>
        <v/>
      </c>
      <c r="L2296" s="120">
        <f>HYPERLINK("#Покупные_изделия!D567",Покупные_изделия!D567)</f>
        <v>405.74399999999997</v>
      </c>
      <c r="M2296" s="76">
        <f t="shared" si="90"/>
        <v>5.6804160000000001</v>
      </c>
      <c r="N2296" s="77"/>
      <c r="O2296" s="77"/>
      <c r="P2296" s="76"/>
      <c r="Q2296" s="76"/>
    </row>
    <row r="2297" spans="5:17" hidden="1" outlineLevel="3" collapsed="1" x14ac:dyDescent="0.25">
      <c r="E2297" s="96" t="s">
        <v>1286</v>
      </c>
      <c r="F2297" s="91"/>
      <c r="G2297" s="91"/>
      <c r="H2297" s="92"/>
      <c r="I2297" s="93"/>
      <c r="J2297" s="95">
        <f>HYPERLINK("#Структура!E2168",Структура!E2168)</f>
        <v>1</v>
      </c>
      <c r="K2297" s="116">
        <f>HYPERLINK("#Структура!G2168",Структура!G2168)</f>
        <v>25.774789999999999</v>
      </c>
      <c r="L2297" s="93">
        <f>M2297/J2297</f>
        <v>15463.216381168422</v>
      </c>
      <c r="M2297" s="93">
        <f>SUMIF(F2298:F2464,"*",M2298:M2464)*J2297</f>
        <v>15463.216381168422</v>
      </c>
      <c r="N2297" s="125">
        <f>HYPERLINK("#Трудозатраты!B626",Трудозатраты!B626+SUMIF(F2298:F2464,"*",O2298:O2464))</f>
        <v>1359.4899999999996</v>
      </c>
      <c r="O2297" s="94">
        <f>N2297*J2297</f>
        <v>1359.4899999999996</v>
      </c>
      <c r="P2297" s="93">
        <f>O2297/60*(1+запас_труд)*стоимость_трудочаса</f>
        <v>53246.691666666651</v>
      </c>
      <c r="Q2297" s="130">
        <f>M2297*(1+наценка_покупное)+P2297</f>
        <v>71802.551324068758</v>
      </c>
    </row>
    <row r="2298" spans="5:17" hidden="1" outlineLevel="4" collapsed="1" x14ac:dyDescent="0.25">
      <c r="F2298" s="97" t="s">
        <v>1335</v>
      </c>
      <c r="G2298" s="98"/>
      <c r="H2298" s="99"/>
      <c r="I2298" s="100"/>
      <c r="J2298" s="102">
        <f>HYPERLINK("#Структура!E2490",Структура!E2490)</f>
        <v>1</v>
      </c>
      <c r="K2298" s="112">
        <f>HYPERLINK("#Структура!G2490",Структура!G2490)</f>
        <v>11.704840000000001</v>
      </c>
      <c r="L2298" s="100">
        <f>M2298/J2298</f>
        <v>2959.8206196000006</v>
      </c>
      <c r="M2298" s="100">
        <f>SUMIF(G2299:G2322,"*",M2299:M2322)*J2298</f>
        <v>2959.8206196000006</v>
      </c>
      <c r="N2298" s="122">
        <f>HYPERLINK("#Трудозатраты!B636",Трудозатраты!B636+SUMIF(G2299:G2322,"*",O2299:O2322))</f>
        <v>146.89999999999998</v>
      </c>
      <c r="O2298" s="101">
        <f>N2298*J2298</f>
        <v>146.89999999999998</v>
      </c>
      <c r="P2298" s="100">
        <f>O2298/60*(1+запас_труд)*стоимость_трудочаса</f>
        <v>5753.5833333333321</v>
      </c>
      <c r="Q2298" s="127">
        <f>M2298*(1+наценка_покупное)+P2298</f>
        <v>9305.3680768533322</v>
      </c>
    </row>
    <row r="2299" spans="5:17" hidden="1" outlineLevel="5" collapsed="1" x14ac:dyDescent="0.25">
      <c r="G2299" s="85" t="s">
        <v>1350</v>
      </c>
      <c r="H2299" s="87"/>
      <c r="I2299" s="88"/>
      <c r="J2299" s="90">
        <f>HYPERLINK("#Структура!E2556",Структура!E2556)</f>
        <v>2</v>
      </c>
      <c r="K2299" s="113">
        <f>HYPERLINK("#Структура!G2556",Структура!G2556)</f>
        <v>3.7277800000000001</v>
      </c>
      <c r="L2299" s="88">
        <f>M2299/J2299</f>
        <v>545.94807839999999</v>
      </c>
      <c r="M2299" s="88">
        <f>SUMIF(H2300:H2302,"*",M2300:M2302)*J2299</f>
        <v>1091.8961568</v>
      </c>
      <c r="N2299" s="123">
        <f>HYPERLINK("#Трудозатраты!B638",Трудозатраты!B638+SUMIF(H2300:H2302,"*",O2300:O2302))</f>
        <v>17.700000000000003</v>
      </c>
      <c r="O2299" s="89">
        <f>N2299*J2299</f>
        <v>35.400000000000006</v>
      </c>
      <c r="P2299" s="88">
        <f>O2299/60*(1+запас_труд)*стоимость_трудочаса</f>
        <v>1386.5000000000002</v>
      </c>
      <c r="Q2299" s="128">
        <f>M2299*(1+наценка_покупное)+P2299</f>
        <v>2696.7753881600001</v>
      </c>
    </row>
    <row r="2300" spans="5:17" hidden="1" outlineLevel="6" x14ac:dyDescent="0.25">
      <c r="H2300" s="75" t="s">
        <v>67</v>
      </c>
      <c r="I2300" s="76"/>
      <c r="J2300" s="78">
        <f>HYPERLINK("#Структура!E2580",Структура!E2580)</f>
        <v>6.4000000000000001E-2</v>
      </c>
      <c r="K2300" s="114" t="str">
        <f>HYPERLINK("#Структура!G2580","")</f>
        <v/>
      </c>
      <c r="L2300" s="120">
        <f>HYPERLINK("#Покупные_изделия!D203",Покупные_изделия!D203)</f>
        <v>30.003600000000002</v>
      </c>
      <c r="M2300" s="76">
        <f>J2300*L2300</f>
        <v>1.9202304000000001</v>
      </c>
      <c r="N2300" s="77"/>
      <c r="O2300" s="77"/>
      <c r="P2300" s="76"/>
      <c r="Q2300" s="76"/>
    </row>
    <row r="2301" spans="5:17" hidden="1" outlineLevel="6" x14ac:dyDescent="0.25">
      <c r="H2301" s="75" t="s">
        <v>113</v>
      </c>
      <c r="I2301" s="76"/>
      <c r="J2301" s="78">
        <f>HYPERLINK("#Структура!E2581",Структура!E2581)</f>
        <v>4.5</v>
      </c>
      <c r="K2301" s="114" t="str">
        <f>HYPERLINK("#Структура!G2581","")</f>
        <v/>
      </c>
      <c r="L2301" s="120">
        <f>HYPERLINK("#Покупные_изделия!D286",Покупные_изделия!D286)</f>
        <v>120</v>
      </c>
      <c r="M2301" s="76">
        <f>J2301*L2301</f>
        <v>540</v>
      </c>
      <c r="N2301" s="77"/>
      <c r="O2301" s="77"/>
      <c r="P2301" s="76"/>
      <c r="Q2301" s="76"/>
    </row>
    <row r="2302" spans="5:17" hidden="1" outlineLevel="6" x14ac:dyDescent="0.25">
      <c r="H2302" s="75" t="s">
        <v>146</v>
      </c>
      <c r="I2302" s="76"/>
      <c r="J2302" s="78">
        <f>HYPERLINK("#Структура!E2582",Структура!E2582)</f>
        <v>3.7999999999999999E-2</v>
      </c>
      <c r="K2302" s="114" t="str">
        <f>HYPERLINK("#Структура!G2582","")</f>
        <v/>
      </c>
      <c r="L2302" s="120">
        <f>HYPERLINK("#Покупные_изделия!D406",Покупные_изделия!D406)</f>
        <v>105.996</v>
      </c>
      <c r="M2302" s="76">
        <f>J2302*L2302</f>
        <v>4.0278479999999997</v>
      </c>
      <c r="N2302" s="77"/>
      <c r="O2302" s="77"/>
      <c r="P2302" s="76"/>
      <c r="Q2302" s="76"/>
    </row>
    <row r="2303" spans="5:17" hidden="1" outlineLevel="5" collapsed="1" x14ac:dyDescent="0.25">
      <c r="G2303" s="84" t="s">
        <v>1351</v>
      </c>
      <c r="H2303" s="80"/>
      <c r="I2303" s="81"/>
      <c r="J2303" s="83">
        <f>HYPERLINK("#Структура!E2557",Структура!E2557)</f>
        <v>2</v>
      </c>
      <c r="K2303" s="115">
        <f>HYPERLINK("#Структура!G2557",Структура!G2557)</f>
        <v>0.28765000000000002</v>
      </c>
      <c r="L2303" s="81">
        <f>M2303/J2303</f>
        <v>88.8</v>
      </c>
      <c r="M2303" s="81">
        <f>SUMIF(H2304,"*",M2304)*J2303</f>
        <v>177.6</v>
      </c>
      <c r="N2303" s="124">
        <f>HYPERLINK("#Трудозатраты!B639",Трудозатраты!B639+SUMIF(H2304,"*",O2304))</f>
        <v>0.9</v>
      </c>
      <c r="O2303" s="82">
        <f>N2303*J2303</f>
        <v>1.8</v>
      </c>
      <c r="P2303" s="81">
        <f>O2303/60*(1+запас_труд)*стоимость_трудочаса</f>
        <v>70.5</v>
      </c>
      <c r="Q2303" s="129">
        <f>M2303*(1+наценка_покупное)+P2303</f>
        <v>283.62</v>
      </c>
    </row>
    <row r="2304" spans="5:17" hidden="1" outlineLevel="6" x14ac:dyDescent="0.25">
      <c r="H2304" s="75" t="s">
        <v>113</v>
      </c>
      <c r="I2304" s="76"/>
      <c r="J2304" s="78">
        <f>HYPERLINK("#Структура!E2583",Структура!E2583)</f>
        <v>0.74</v>
      </c>
      <c r="K2304" s="114" t="str">
        <f>HYPERLINK("#Структура!G2583","")</f>
        <v/>
      </c>
      <c r="L2304" s="120">
        <f>HYPERLINK("#Покупные_изделия!D286",Покупные_изделия!D286)</f>
        <v>120</v>
      </c>
      <c r="M2304" s="76">
        <f>J2304*L2304</f>
        <v>88.8</v>
      </c>
      <c r="N2304" s="77"/>
      <c r="O2304" s="77"/>
      <c r="P2304" s="76"/>
      <c r="Q2304" s="76"/>
    </row>
    <row r="2305" spans="7:17" hidden="1" outlineLevel="5" collapsed="1" x14ac:dyDescent="0.25">
      <c r="G2305" s="84" t="s">
        <v>1352</v>
      </c>
      <c r="H2305" s="80"/>
      <c r="I2305" s="81"/>
      <c r="J2305" s="83">
        <f>HYPERLINK("#Структура!E2558",Структура!E2558)</f>
        <v>1</v>
      </c>
      <c r="K2305" s="115">
        <f>HYPERLINK("#Структура!G2558",Структура!G2558)</f>
        <v>1.48038</v>
      </c>
      <c r="L2305" s="81">
        <f>M2305/J2305</f>
        <v>551.8987836</v>
      </c>
      <c r="M2305" s="81">
        <f>SUMIF(H2306:H2308,"*",M2306:M2308)*J2305</f>
        <v>551.8987836</v>
      </c>
      <c r="N2305" s="124">
        <f>HYPERLINK("#Трудозатраты!B640",Трудозатраты!B640+SUMIF(H2306:H2308,"*",O2306:O2308))</f>
        <v>16.5</v>
      </c>
      <c r="O2305" s="82">
        <f>N2305*J2305</f>
        <v>16.5</v>
      </c>
      <c r="P2305" s="81">
        <f>O2305/60*(1+запас_труд)*стоимость_трудочаса</f>
        <v>646.25</v>
      </c>
      <c r="Q2305" s="129">
        <f>M2305*(1+наценка_покупное)+P2305</f>
        <v>1308.52854032</v>
      </c>
    </row>
    <row r="2306" spans="7:17" hidden="1" outlineLevel="6" x14ac:dyDescent="0.25">
      <c r="H2306" s="75" t="s">
        <v>67</v>
      </c>
      <c r="I2306" s="76"/>
      <c r="J2306" s="78">
        <f>HYPERLINK("#Структура!E2584",Структура!E2584)</f>
        <v>2.5999999999999999E-2</v>
      </c>
      <c r="K2306" s="114" t="str">
        <f>HYPERLINK("#Структура!G2584","")</f>
        <v/>
      </c>
      <c r="L2306" s="120">
        <f>HYPERLINK("#Покупные_изделия!D203",Покупные_изделия!D203)</f>
        <v>30.003600000000002</v>
      </c>
      <c r="M2306" s="76">
        <f>J2306*L2306</f>
        <v>0.78009360000000005</v>
      </c>
      <c r="N2306" s="77"/>
      <c r="O2306" s="77"/>
      <c r="P2306" s="76"/>
      <c r="Q2306" s="76"/>
    </row>
    <row r="2307" spans="7:17" hidden="1" outlineLevel="6" x14ac:dyDescent="0.25">
      <c r="H2307" s="75" t="s">
        <v>112</v>
      </c>
      <c r="I2307" s="76"/>
      <c r="J2307" s="78">
        <f>HYPERLINK("#Структура!E2585",Структура!E2585)</f>
        <v>1.8</v>
      </c>
      <c r="K2307" s="114" t="str">
        <f>HYPERLINK("#Структура!G2585","")</f>
        <v/>
      </c>
      <c r="L2307" s="120">
        <f>HYPERLINK("#Покупные_изделия!D285",Покупные_изделия!D285)</f>
        <v>300</v>
      </c>
      <c r="M2307" s="76">
        <f>J2307*L2307</f>
        <v>540</v>
      </c>
      <c r="N2307" s="77"/>
      <c r="O2307" s="77"/>
      <c r="P2307" s="76"/>
      <c r="Q2307" s="76"/>
    </row>
    <row r="2308" spans="7:17" hidden="1" outlineLevel="6" x14ac:dyDescent="0.25">
      <c r="H2308" s="75" t="s">
        <v>147</v>
      </c>
      <c r="I2308" s="76"/>
      <c r="J2308" s="78">
        <f>HYPERLINK("#Структура!E2586",Структура!E2586)</f>
        <v>1.4999999999999999E-2</v>
      </c>
      <c r="K2308" s="114" t="str">
        <f>HYPERLINK("#Структура!G2586","")</f>
        <v/>
      </c>
      <c r="L2308" s="120">
        <f>HYPERLINK("#Покупные_изделия!D407",Покупные_изделия!D407)</f>
        <v>741.24599999999998</v>
      </c>
      <c r="M2308" s="76">
        <f>J2308*L2308</f>
        <v>11.118689999999999</v>
      </c>
      <c r="N2308" s="77"/>
      <c r="O2308" s="77"/>
      <c r="P2308" s="76"/>
      <c r="Q2308" s="76"/>
    </row>
    <row r="2309" spans="7:17" hidden="1" outlineLevel="5" collapsed="1" x14ac:dyDescent="0.25">
      <c r="G2309" s="84" t="s">
        <v>1353</v>
      </c>
      <c r="H2309" s="80"/>
      <c r="I2309" s="81"/>
      <c r="J2309" s="83">
        <f>HYPERLINK("#Структура!E2559",Структура!E2559)</f>
        <v>1</v>
      </c>
      <c r="K2309" s="115">
        <f>HYPERLINK("#Структура!G2559",Структура!G2559)</f>
        <v>1.46516</v>
      </c>
      <c r="L2309" s="81">
        <f>M2309/J2309</f>
        <v>551.8987836</v>
      </c>
      <c r="M2309" s="81">
        <f>SUMIF(H2310:H2312,"*",M2310:M2312)*J2309</f>
        <v>551.8987836</v>
      </c>
      <c r="N2309" s="124">
        <f>HYPERLINK("#Трудозатраты!B641",Трудозатраты!B641+SUMIF(H2310:H2312,"*",O2310:O2312))</f>
        <v>11.3</v>
      </c>
      <c r="O2309" s="82">
        <f>N2309*J2309</f>
        <v>11.3</v>
      </c>
      <c r="P2309" s="81">
        <f>O2309/60*(1+запас_труд)*стоимость_трудочаса</f>
        <v>442.58333333333337</v>
      </c>
      <c r="Q2309" s="129">
        <f>M2309*(1+наценка_покупное)+P2309</f>
        <v>1104.8618736533333</v>
      </c>
    </row>
    <row r="2310" spans="7:17" hidden="1" outlineLevel="6" x14ac:dyDescent="0.25">
      <c r="H2310" s="75" t="s">
        <v>67</v>
      </c>
      <c r="I2310" s="76"/>
      <c r="J2310" s="78">
        <f>HYPERLINK("#Структура!E2587",Структура!E2587)</f>
        <v>2.5999999999999999E-2</v>
      </c>
      <c r="K2310" s="114" t="str">
        <f>HYPERLINK("#Структура!G2587","")</f>
        <v/>
      </c>
      <c r="L2310" s="120">
        <f>HYPERLINK("#Покупные_изделия!D203",Покупные_изделия!D203)</f>
        <v>30.003600000000002</v>
      </c>
      <c r="M2310" s="76">
        <f>J2310*L2310</f>
        <v>0.78009360000000005</v>
      </c>
      <c r="N2310" s="77"/>
      <c r="O2310" s="77"/>
      <c r="P2310" s="76"/>
      <c r="Q2310" s="76"/>
    </row>
    <row r="2311" spans="7:17" hidden="1" outlineLevel="6" x14ac:dyDescent="0.25">
      <c r="H2311" s="75" t="s">
        <v>112</v>
      </c>
      <c r="I2311" s="76"/>
      <c r="J2311" s="78">
        <f>HYPERLINK("#Структура!E2588",Структура!E2588)</f>
        <v>1.8</v>
      </c>
      <c r="K2311" s="114" t="str">
        <f>HYPERLINK("#Структура!G2588","")</f>
        <v/>
      </c>
      <c r="L2311" s="120">
        <f>HYPERLINK("#Покупные_изделия!D285",Покупные_изделия!D285)</f>
        <v>300</v>
      </c>
      <c r="M2311" s="76">
        <f>J2311*L2311</f>
        <v>540</v>
      </c>
      <c r="N2311" s="77"/>
      <c r="O2311" s="77"/>
      <c r="P2311" s="76"/>
      <c r="Q2311" s="76"/>
    </row>
    <row r="2312" spans="7:17" hidden="1" outlineLevel="6" x14ac:dyDescent="0.25">
      <c r="H2312" s="75" t="s">
        <v>147</v>
      </c>
      <c r="I2312" s="76"/>
      <c r="J2312" s="78">
        <f>HYPERLINK("#Структура!E2589",Структура!E2589)</f>
        <v>1.4999999999999999E-2</v>
      </c>
      <c r="K2312" s="114" t="str">
        <f>HYPERLINK("#Структура!G2589","")</f>
        <v/>
      </c>
      <c r="L2312" s="120">
        <f>HYPERLINK("#Покупные_изделия!D407",Покупные_изделия!D407)</f>
        <v>741.24599999999998</v>
      </c>
      <c r="M2312" s="76">
        <f>J2312*L2312</f>
        <v>11.118689999999999</v>
      </c>
      <c r="N2312" s="77"/>
      <c r="O2312" s="77"/>
      <c r="P2312" s="76"/>
      <c r="Q2312" s="76"/>
    </row>
    <row r="2313" spans="7:17" hidden="1" outlineLevel="5" collapsed="1" x14ac:dyDescent="0.25">
      <c r="G2313" s="84" t="s">
        <v>1354</v>
      </c>
      <c r="H2313" s="80"/>
      <c r="I2313" s="81"/>
      <c r="J2313" s="83">
        <f>HYPERLINK("#Структура!E2560",Структура!E2560)</f>
        <v>1</v>
      </c>
      <c r="K2313" s="115">
        <f>HYPERLINK("#Структура!G2560",Структура!G2560)</f>
        <v>0.69088000000000005</v>
      </c>
      <c r="L2313" s="81">
        <f>M2313/J2313</f>
        <v>120.13319999999999</v>
      </c>
      <c r="M2313" s="81">
        <f>SUMIF(H2314,"*",M2314)*J2313</f>
        <v>120.13319999999999</v>
      </c>
      <c r="N2313" s="124">
        <f>HYPERLINK("#Трудозатраты!B643",Трудозатраты!B643+SUMIF(H2314,"*",O2314))</f>
        <v>2.6</v>
      </c>
      <c r="O2313" s="82">
        <f>N2313*J2313</f>
        <v>2.6</v>
      </c>
      <c r="P2313" s="81">
        <f>O2313/60*(1+запас_труд)*стоимость_трудочаса</f>
        <v>101.83333333333334</v>
      </c>
      <c r="Q2313" s="129">
        <f>M2313*(1+наценка_покупное)+P2313</f>
        <v>245.99317333333332</v>
      </c>
    </row>
    <row r="2314" spans="7:17" hidden="1" outlineLevel="6" x14ac:dyDescent="0.25">
      <c r="H2314" s="75" t="s">
        <v>115</v>
      </c>
      <c r="I2314" s="76"/>
      <c r="J2314" s="78">
        <f>HYPERLINK("#Структура!E2593",Структура!E2593)</f>
        <v>1.0011099999999999</v>
      </c>
      <c r="K2314" s="114" t="str">
        <f>HYPERLINK("#Структура!G2593","")</f>
        <v/>
      </c>
      <c r="L2314" s="120">
        <f>HYPERLINK("#Покупные_изделия!D289",Покупные_изделия!D289)</f>
        <v>120</v>
      </c>
      <c r="M2314" s="76">
        <f>J2314*L2314</f>
        <v>120.13319999999999</v>
      </c>
      <c r="N2314" s="77"/>
      <c r="O2314" s="77"/>
      <c r="P2314" s="76"/>
      <c r="Q2314" s="76"/>
    </row>
    <row r="2315" spans="7:17" hidden="1" outlineLevel="5" collapsed="1" x14ac:dyDescent="0.25">
      <c r="G2315" s="84" t="s">
        <v>1355</v>
      </c>
      <c r="H2315" s="80"/>
      <c r="I2315" s="81"/>
      <c r="J2315" s="83">
        <f>HYPERLINK("#Структура!E2561",Структура!E2561)</f>
        <v>1</v>
      </c>
      <c r="K2315" s="115">
        <f>HYPERLINK("#Структура!G2561",Структура!G2561)</f>
        <v>3.7560000000000003E-2</v>
      </c>
      <c r="L2315" s="81">
        <f>M2315/J2315</f>
        <v>13.5</v>
      </c>
      <c r="M2315" s="81">
        <f>SUMIF(H2316,"*",M2316)*J2315</f>
        <v>13.5</v>
      </c>
      <c r="N2315" s="124">
        <f>HYPERLINK("#Трудозатраты!B644",Трудозатраты!B644+SUMIF(H2316,"*",O2316))</f>
        <v>5.8</v>
      </c>
      <c r="O2315" s="82">
        <f>N2315*J2315</f>
        <v>5.8</v>
      </c>
      <c r="P2315" s="81">
        <f>O2315/60*(1+запас_труд)*стоимость_трудочаса</f>
        <v>227.16666666666666</v>
      </c>
      <c r="Q2315" s="129">
        <f>M2315*(1+наценка_покупное)+P2315</f>
        <v>243.36666666666665</v>
      </c>
    </row>
    <row r="2316" spans="7:17" hidden="1" outlineLevel="6" x14ac:dyDescent="0.25">
      <c r="H2316" s="75" t="s">
        <v>112</v>
      </c>
      <c r="I2316" s="76"/>
      <c r="J2316" s="78">
        <f>HYPERLINK("#Структура!E2594",Структура!E2594)</f>
        <v>4.4999999999999998E-2</v>
      </c>
      <c r="K2316" s="114" t="str">
        <f>HYPERLINK("#Структура!G2594","")</f>
        <v/>
      </c>
      <c r="L2316" s="120">
        <f>HYPERLINK("#Покупные_изделия!D285",Покупные_изделия!D285)</f>
        <v>300</v>
      </c>
      <c r="M2316" s="76">
        <f t="shared" ref="M2316:M2322" si="91">J2316*L2316</f>
        <v>13.5</v>
      </c>
      <c r="N2316" s="77"/>
      <c r="O2316" s="77"/>
      <c r="P2316" s="76"/>
      <c r="Q2316" s="76"/>
    </row>
    <row r="2317" spans="7:17" hidden="1" outlineLevel="5" x14ac:dyDescent="0.25">
      <c r="G2317" s="74" t="s">
        <v>65</v>
      </c>
      <c r="H2317" s="75"/>
      <c r="I2317" s="76"/>
      <c r="J2317" s="78">
        <f>HYPERLINK("#Структура!E2562",Структура!E2562)</f>
        <v>0.2</v>
      </c>
      <c r="K2317" s="114" t="str">
        <f>HYPERLINK("#Структура!G2562","")</f>
        <v/>
      </c>
      <c r="L2317" s="120">
        <f>HYPERLINK("#Покупные_изделия!D197",Покупные_изделия!D197)</f>
        <v>264.50399999999996</v>
      </c>
      <c r="M2317" s="76">
        <f t="shared" si="91"/>
        <v>52.900799999999997</v>
      </c>
      <c r="N2317" s="77"/>
      <c r="O2317" s="77"/>
      <c r="P2317" s="76"/>
      <c r="Q2317" s="76"/>
    </row>
    <row r="2318" spans="7:17" hidden="1" outlineLevel="5" x14ac:dyDescent="0.25">
      <c r="G2318" s="74" t="s">
        <v>67</v>
      </c>
      <c r="H2318" s="75"/>
      <c r="I2318" s="76"/>
      <c r="J2318" s="78">
        <f>HYPERLINK("#Структура!E2563",Структура!E2563)</f>
        <v>0.35599999999999998</v>
      </c>
      <c r="K2318" s="114" t="str">
        <f>HYPERLINK("#Структура!G2563","")</f>
        <v/>
      </c>
      <c r="L2318" s="120">
        <f>HYPERLINK("#Покупные_изделия!D203",Покупные_изделия!D203)</f>
        <v>30.003600000000002</v>
      </c>
      <c r="M2318" s="76">
        <f t="shared" si="91"/>
        <v>10.6812816</v>
      </c>
      <c r="N2318" s="77"/>
      <c r="O2318" s="77"/>
      <c r="P2318" s="76"/>
      <c r="Q2318" s="76"/>
    </row>
    <row r="2319" spans="7:17" hidden="1" outlineLevel="5" x14ac:dyDescent="0.25">
      <c r="G2319" s="74" t="s">
        <v>147</v>
      </c>
      <c r="H2319" s="75"/>
      <c r="I2319" s="76"/>
      <c r="J2319" s="78">
        <f>HYPERLINK("#Структура!E2564",Структура!E2564)</f>
        <v>0.20899999999999999</v>
      </c>
      <c r="K2319" s="114" t="str">
        <f>HYPERLINK("#Структура!G2564","")</f>
        <v/>
      </c>
      <c r="L2319" s="120">
        <f>HYPERLINK("#Покупные_изделия!D407",Покупные_изделия!D407)</f>
        <v>741.24599999999998</v>
      </c>
      <c r="M2319" s="76">
        <f t="shared" si="91"/>
        <v>154.92041399999999</v>
      </c>
      <c r="N2319" s="77"/>
      <c r="O2319" s="77"/>
      <c r="P2319" s="76"/>
      <c r="Q2319" s="76"/>
    </row>
    <row r="2320" spans="7:17" hidden="1" outlineLevel="5" x14ac:dyDescent="0.25">
      <c r="G2320" s="74" t="s">
        <v>155</v>
      </c>
      <c r="H2320" s="75"/>
      <c r="I2320" s="76"/>
      <c r="J2320" s="78">
        <f>HYPERLINK("#Структура!E2565",Структура!E2565)</f>
        <v>0.12</v>
      </c>
      <c r="K2320" s="114" t="str">
        <f>HYPERLINK("#Структура!G2565","")</f>
        <v/>
      </c>
      <c r="L2320" s="120">
        <f>HYPERLINK("#Покупные_изделия!D423",Покупные_изделия!D423)</f>
        <v>218.28</v>
      </c>
      <c r="M2320" s="76">
        <f t="shared" si="91"/>
        <v>26.1936</v>
      </c>
      <c r="N2320" s="77"/>
      <c r="O2320" s="77"/>
      <c r="P2320" s="76"/>
      <c r="Q2320" s="76"/>
    </row>
    <row r="2321" spans="6:17" hidden="1" outlineLevel="5" x14ac:dyDescent="0.25">
      <c r="G2321" s="74" t="s">
        <v>200</v>
      </c>
      <c r="H2321" s="75"/>
      <c r="I2321" s="76"/>
      <c r="J2321" s="78">
        <f>HYPERLINK("#Структура!E2566",Структура!E2566)</f>
        <v>0.17</v>
      </c>
      <c r="K2321" s="114" t="str">
        <f>HYPERLINK("#Структура!G2566","")</f>
        <v/>
      </c>
      <c r="L2321" s="120">
        <f>HYPERLINK("#Покупные_изделия!D518",Покупные_изделия!D518)</f>
        <v>270</v>
      </c>
      <c r="M2321" s="76">
        <f t="shared" si="91"/>
        <v>45.900000000000006</v>
      </c>
      <c r="N2321" s="77"/>
      <c r="O2321" s="77"/>
      <c r="P2321" s="76"/>
      <c r="Q2321" s="76"/>
    </row>
    <row r="2322" spans="6:17" hidden="1" outlineLevel="5" x14ac:dyDescent="0.25">
      <c r="G2322" s="74" t="s">
        <v>215</v>
      </c>
      <c r="H2322" s="75"/>
      <c r="I2322" s="76"/>
      <c r="J2322" s="78">
        <f>HYPERLINK("#Структура!E2567",Структура!E2567)</f>
        <v>0.4</v>
      </c>
      <c r="K2322" s="114" t="str">
        <f>HYPERLINK("#Структура!G2567","")</f>
        <v/>
      </c>
      <c r="L2322" s="120">
        <f>HYPERLINK("#Покупные_изделия!D567",Покупные_изделия!D567)</f>
        <v>405.74399999999997</v>
      </c>
      <c r="M2322" s="76">
        <f t="shared" si="91"/>
        <v>162.29759999999999</v>
      </c>
      <c r="N2322" s="77"/>
      <c r="O2322" s="77"/>
      <c r="P2322" s="76"/>
      <c r="Q2322" s="76"/>
    </row>
    <row r="2323" spans="6:17" hidden="1" outlineLevel="4" collapsed="1" x14ac:dyDescent="0.25">
      <c r="F2323" s="96" t="s">
        <v>1336</v>
      </c>
      <c r="G2323" s="91"/>
      <c r="H2323" s="92"/>
      <c r="I2323" s="93"/>
      <c r="J2323" s="95">
        <f>HYPERLINK("#Структура!E2491",Структура!E2491)</f>
        <v>1</v>
      </c>
      <c r="K2323" s="116">
        <f>HYPERLINK("#Структура!G2491",Структура!G2491)</f>
        <v>4.04915</v>
      </c>
      <c r="L2323" s="93">
        <f>M2323/J2323</f>
        <v>857.53426919999993</v>
      </c>
      <c r="M2323" s="93">
        <f>SUMIF(G2324:G2358,"*",M2324:M2358)*J2323</f>
        <v>857.53426919999993</v>
      </c>
      <c r="N2323" s="125">
        <f>HYPERLINK("#Трудозатраты!B645",Трудозатраты!B645+SUMIF(G2324:G2358,"*",O2324:O2358))</f>
        <v>220.245</v>
      </c>
      <c r="O2323" s="94">
        <f>N2323*J2323</f>
        <v>220.245</v>
      </c>
      <c r="P2323" s="93">
        <f>O2323/60*(1+запас_труд)*стоимость_трудочаса</f>
        <v>8626.2625000000007</v>
      </c>
      <c r="Q2323" s="130">
        <f>M2323*(1+наценка_покупное)+P2323</f>
        <v>9655.3036230400012</v>
      </c>
    </row>
    <row r="2324" spans="6:17" hidden="1" outlineLevel="5" collapsed="1" x14ac:dyDescent="0.25">
      <c r="G2324" s="97" t="s">
        <v>1357</v>
      </c>
      <c r="H2324" s="99"/>
      <c r="I2324" s="100"/>
      <c r="J2324" s="102">
        <f>HYPERLINK("#Структура!E2595",Структура!E2595)</f>
        <v>1</v>
      </c>
      <c r="K2324" s="112">
        <f>HYPERLINK("#Структура!G2595",Структура!G2595)</f>
        <v>1.17445</v>
      </c>
      <c r="L2324" s="100">
        <f>M2324/J2324</f>
        <v>226.24409040000003</v>
      </c>
      <c r="M2324" s="100">
        <f>SUMIF(H2325:H2336,"*",M2325:M2336)*J2324</f>
        <v>226.24409040000003</v>
      </c>
      <c r="N2324" s="122">
        <f>HYPERLINK("#Трудозатраты!B652",Трудозатраты!B652+SUMIF(H2325:H2336,"*",O2325:O2336))</f>
        <v>31.27</v>
      </c>
      <c r="O2324" s="101">
        <f>N2324*J2324</f>
        <v>31.27</v>
      </c>
      <c r="P2324" s="100">
        <f>O2324/60*(1+запас_труд)*стоимость_трудочаса</f>
        <v>1224.7416666666666</v>
      </c>
      <c r="Q2324" s="127">
        <f>M2324*(1+наценка_покупное)+P2324</f>
        <v>1496.2345751466667</v>
      </c>
    </row>
    <row r="2325" spans="6:17" hidden="1" outlineLevel="6" collapsed="1" x14ac:dyDescent="0.25">
      <c r="H2325" s="104" t="s">
        <v>1363</v>
      </c>
      <c r="I2325" s="88"/>
      <c r="J2325" s="90">
        <f>HYPERLINK("#Структура!E2630",Структура!E2630)</f>
        <v>1</v>
      </c>
      <c r="K2325" s="113">
        <f>HYPERLINK("#Структура!G2630",Структура!G2630)</f>
        <v>0.26058999999999999</v>
      </c>
      <c r="L2325" s="88">
        <f>M2325/J2325</f>
        <v>61.68</v>
      </c>
      <c r="M2325" s="88">
        <f>SUMIF(I2326,"*",M2326)*J2325</f>
        <v>61.68</v>
      </c>
      <c r="N2325" s="123">
        <f>HYPERLINK("#Трудозатраты!B653",Трудозатраты!B653+SUMIF(I2326,"*",O2326))</f>
        <v>0.7</v>
      </c>
      <c r="O2325" s="89">
        <f>N2325*J2325</f>
        <v>0.7</v>
      </c>
      <c r="P2325" s="88">
        <f>O2325/60*(1+запас_труд)*стоимость_трудочаса</f>
        <v>27.416666666666664</v>
      </c>
      <c r="Q2325" s="128">
        <f>M2325*(1+наценка_покупное)+P2325</f>
        <v>101.43266666666665</v>
      </c>
    </row>
    <row r="2326" spans="6:17" hidden="1" outlineLevel="7" x14ac:dyDescent="0.25">
      <c r="I2326" s="76" t="s">
        <v>115</v>
      </c>
      <c r="J2326" s="78">
        <f>HYPERLINK("#Структура!E2637",Структура!E2637)</f>
        <v>0.51400000000000001</v>
      </c>
      <c r="K2326" s="114" t="str">
        <f>HYPERLINK("#Структура!G2637","")</f>
        <v/>
      </c>
      <c r="L2326" s="120">
        <f>HYPERLINK("#Покупные_изделия!D289",Покупные_изделия!D289)</f>
        <v>120</v>
      </c>
      <c r="M2326" s="76">
        <f>J2326*L2326</f>
        <v>61.68</v>
      </c>
      <c r="N2326" s="77"/>
      <c r="O2326" s="77"/>
      <c r="P2326" s="76"/>
      <c r="Q2326" s="76"/>
    </row>
    <row r="2327" spans="6:17" hidden="1" outlineLevel="6" collapsed="1" x14ac:dyDescent="0.25">
      <c r="H2327" s="103" t="s">
        <v>1364</v>
      </c>
      <c r="I2327" s="81"/>
      <c r="J2327" s="83">
        <f>HYPERLINK("#Структура!E2631",Структура!E2631)</f>
        <v>1</v>
      </c>
      <c r="K2327" s="115">
        <f>HYPERLINK("#Структура!G2631",Структура!G2631)</f>
        <v>0.34426000000000001</v>
      </c>
      <c r="L2327" s="81">
        <f>M2327/J2327</f>
        <v>80.400000000000006</v>
      </c>
      <c r="M2327" s="81">
        <f>SUMIF(I2328,"*",M2328)*J2327</f>
        <v>80.400000000000006</v>
      </c>
      <c r="N2327" s="124">
        <f>HYPERLINK("#Трудозатраты!B654",Трудозатраты!B654+SUMIF(I2328,"*",O2328))</f>
        <v>0.8</v>
      </c>
      <c r="O2327" s="82">
        <f>N2327*J2327</f>
        <v>0.8</v>
      </c>
      <c r="P2327" s="81">
        <f>O2327/60*(1+запас_труд)*стоимость_трудочаса</f>
        <v>31.333333333333336</v>
      </c>
      <c r="Q2327" s="129">
        <f>M2327*(1+наценка_покупное)+P2327</f>
        <v>127.81333333333333</v>
      </c>
    </row>
    <row r="2328" spans="6:17" hidden="1" outlineLevel="7" x14ac:dyDescent="0.25">
      <c r="I2328" s="76" t="s">
        <v>115</v>
      </c>
      <c r="J2328" s="78">
        <f>HYPERLINK("#Структура!E2638",Структура!E2638)</f>
        <v>0.67</v>
      </c>
      <c r="K2328" s="114" t="str">
        <f>HYPERLINK("#Структура!G2638","")</f>
        <v/>
      </c>
      <c r="L2328" s="120">
        <f>HYPERLINK("#Покупные_изделия!D289",Покупные_изделия!D289)</f>
        <v>120</v>
      </c>
      <c r="M2328" s="76">
        <f>J2328*L2328</f>
        <v>80.400000000000006</v>
      </c>
      <c r="N2328" s="77"/>
      <c r="O2328" s="77"/>
      <c r="P2328" s="76"/>
      <c r="Q2328" s="76"/>
    </row>
    <row r="2329" spans="6:17" hidden="1" outlineLevel="6" collapsed="1" x14ac:dyDescent="0.25">
      <c r="H2329" s="103" t="s">
        <v>1365</v>
      </c>
      <c r="I2329" s="81"/>
      <c r="J2329" s="83">
        <f>HYPERLINK("#Структура!E2632",Структура!E2632)</f>
        <v>2</v>
      </c>
      <c r="K2329" s="115">
        <f>HYPERLINK("#Структура!G2632",Структура!G2632)</f>
        <v>0.14924000000000001</v>
      </c>
      <c r="L2329" s="81">
        <f>M2329/J2329</f>
        <v>21.84</v>
      </c>
      <c r="M2329" s="81">
        <f>SUMIF(I2330,"*",M2330)*J2329</f>
        <v>43.68</v>
      </c>
      <c r="N2329" s="124">
        <f>HYPERLINK("#Трудозатраты!B655",Трудозатраты!B655+SUMIF(I2330,"*",O2330))</f>
        <v>0.5</v>
      </c>
      <c r="O2329" s="82">
        <f>N2329*J2329</f>
        <v>1</v>
      </c>
      <c r="P2329" s="81">
        <f>O2329/60*(1+запас_труд)*стоимость_трудочаса</f>
        <v>39.166666666666664</v>
      </c>
      <c r="Q2329" s="129">
        <f>M2329*(1+наценка_покупное)+P2329</f>
        <v>91.582666666666654</v>
      </c>
    </row>
    <row r="2330" spans="6:17" hidden="1" outlineLevel="7" x14ac:dyDescent="0.25">
      <c r="I2330" s="76" t="s">
        <v>115</v>
      </c>
      <c r="J2330" s="78">
        <f>HYPERLINK("#Структура!E2639",Структура!E2639)</f>
        <v>0.182</v>
      </c>
      <c r="K2330" s="114" t="str">
        <f>HYPERLINK("#Структура!G2639","")</f>
        <v/>
      </c>
      <c r="L2330" s="120">
        <f>HYPERLINK("#Покупные_изделия!D289",Покупные_изделия!D289)</f>
        <v>120</v>
      </c>
      <c r="M2330" s="76">
        <f>J2330*L2330</f>
        <v>21.84</v>
      </c>
      <c r="N2330" s="77"/>
      <c r="O2330" s="77"/>
      <c r="P2330" s="76"/>
      <c r="Q2330" s="76"/>
    </row>
    <row r="2331" spans="6:17" hidden="1" outlineLevel="6" collapsed="1" x14ac:dyDescent="0.25">
      <c r="H2331" s="103" t="s">
        <v>1366</v>
      </c>
      <c r="I2331" s="81"/>
      <c r="J2331" s="83">
        <f>HYPERLINK("#Структура!E2633",Структура!E2633)</f>
        <v>1</v>
      </c>
      <c r="K2331" s="115">
        <f>HYPERLINK("#Структура!G2633",Структура!G2633)</f>
        <v>0.10181999999999999</v>
      </c>
      <c r="L2331" s="81">
        <f>M2331/J2331</f>
        <v>15.600000000000001</v>
      </c>
      <c r="M2331" s="81">
        <f>SUMIF(I2332,"*",M2332)*J2331</f>
        <v>15.600000000000001</v>
      </c>
      <c r="N2331" s="124">
        <f>HYPERLINK("#Трудозатраты!B656",Трудозатраты!B656+SUMIF(I2332,"*",O2332))</f>
        <v>1.1000000000000001</v>
      </c>
      <c r="O2331" s="82">
        <f>N2331*J2331</f>
        <v>1.1000000000000001</v>
      </c>
      <c r="P2331" s="81">
        <f>O2331/60*(1+запас_труд)*стоимость_трудочаса</f>
        <v>43.083333333333336</v>
      </c>
      <c r="Q2331" s="129">
        <f>M2331*(1+наценка_покупное)+P2331</f>
        <v>61.803333333333342</v>
      </c>
    </row>
    <row r="2332" spans="6:17" hidden="1" outlineLevel="7" x14ac:dyDescent="0.25">
      <c r="I2332" s="76" t="s">
        <v>117</v>
      </c>
      <c r="J2332" s="78">
        <f>HYPERLINK("#Структура!E2640",Структура!E2640)</f>
        <v>0.13</v>
      </c>
      <c r="K2332" s="114" t="str">
        <f>HYPERLINK("#Структура!G2640","")</f>
        <v/>
      </c>
      <c r="L2332" s="120">
        <f>HYPERLINK("#Покупные_изделия!D292",Покупные_изделия!D292)</f>
        <v>120</v>
      </c>
      <c r="M2332" s="76">
        <f>J2332*L2332</f>
        <v>15.600000000000001</v>
      </c>
      <c r="N2332" s="77"/>
      <c r="O2332" s="77"/>
      <c r="P2332" s="76"/>
      <c r="Q2332" s="76"/>
    </row>
    <row r="2333" spans="6:17" hidden="1" outlineLevel="6" collapsed="1" x14ac:dyDescent="0.25">
      <c r="H2333" s="103" t="s">
        <v>1367</v>
      </c>
      <c r="I2333" s="81"/>
      <c r="J2333" s="83">
        <f>HYPERLINK("#Структура!E2634",Структура!E2634)</f>
        <v>1</v>
      </c>
      <c r="K2333" s="115">
        <f>HYPERLINK("#Структура!G2634",Структура!G2634)</f>
        <v>0.16932</v>
      </c>
      <c r="L2333" s="81">
        <f>M2333/J2333</f>
        <v>18</v>
      </c>
      <c r="M2333" s="81">
        <f>SUMIF(I2334,"*",M2334)*J2333</f>
        <v>18</v>
      </c>
      <c r="N2333" s="124">
        <f>HYPERLINK("#Трудозатраты!B657",Трудозатраты!B657+SUMIF(I2334,"*",O2334))</f>
        <v>12.67</v>
      </c>
      <c r="O2333" s="82">
        <f>N2333*J2333</f>
        <v>12.67</v>
      </c>
      <c r="P2333" s="81">
        <f>O2333/60*(1+запас_труд)*стоимость_трудочаса</f>
        <v>496.24166666666667</v>
      </c>
      <c r="Q2333" s="129">
        <f>M2333*(1+наценка_покупное)+P2333</f>
        <v>517.8416666666667</v>
      </c>
    </row>
    <row r="2334" spans="6:17" hidden="1" outlineLevel="7" x14ac:dyDescent="0.25">
      <c r="I2334" s="76" t="s">
        <v>75</v>
      </c>
      <c r="J2334" s="78">
        <f>HYPERLINK("#Структура!E2641",Структура!E2641)</f>
        <v>0.18</v>
      </c>
      <c r="K2334" s="114" t="str">
        <f>HYPERLINK("#Структура!G2641","")</f>
        <v/>
      </c>
      <c r="L2334" s="120">
        <f>HYPERLINK("#Покупные_изделия!D244",Покупные_изделия!D244)</f>
        <v>100</v>
      </c>
      <c r="M2334" s="76">
        <f>J2334*L2334</f>
        <v>18</v>
      </c>
      <c r="N2334" s="77"/>
      <c r="O2334" s="77"/>
      <c r="P2334" s="76"/>
      <c r="Q2334" s="76"/>
    </row>
    <row r="2335" spans="6:17" hidden="1" outlineLevel="6" x14ac:dyDescent="0.25">
      <c r="H2335" s="75" t="s">
        <v>67</v>
      </c>
      <c r="I2335" s="76"/>
      <c r="J2335" s="78">
        <f>HYPERLINK("#Структура!E2635",Структура!E2635)</f>
        <v>7.3999999999999996E-2</v>
      </c>
      <c r="K2335" s="114" t="str">
        <f>HYPERLINK("#Структура!G2635","")</f>
        <v/>
      </c>
      <c r="L2335" s="120">
        <f>HYPERLINK("#Покупные_изделия!D203",Покупные_изделия!D203)</f>
        <v>30.003600000000002</v>
      </c>
      <c r="M2335" s="76">
        <f>J2335*L2335</f>
        <v>2.2202663999999999</v>
      </c>
      <c r="N2335" s="77"/>
      <c r="O2335" s="77"/>
      <c r="P2335" s="76"/>
      <c r="Q2335" s="76"/>
    </row>
    <row r="2336" spans="6:17" hidden="1" outlineLevel="6" x14ac:dyDescent="0.25">
      <c r="H2336" s="75" t="s">
        <v>146</v>
      </c>
      <c r="I2336" s="76"/>
      <c r="J2336" s="78">
        <f>HYPERLINK("#Структура!E2636",Структура!E2636)</f>
        <v>4.3999999999999997E-2</v>
      </c>
      <c r="K2336" s="114" t="str">
        <f>HYPERLINK("#Структура!G2636","")</f>
        <v/>
      </c>
      <c r="L2336" s="120">
        <f>HYPERLINK("#Покупные_изделия!D406",Покупные_изделия!D406)</f>
        <v>105.996</v>
      </c>
      <c r="M2336" s="76">
        <f>J2336*L2336</f>
        <v>4.6638239999999991</v>
      </c>
      <c r="N2336" s="77"/>
      <c r="O2336" s="77"/>
      <c r="P2336" s="76"/>
      <c r="Q2336" s="76"/>
    </row>
    <row r="2337" spans="7:17" hidden="1" outlineLevel="5" collapsed="1" x14ac:dyDescent="0.25">
      <c r="G2337" s="84" t="s">
        <v>1358</v>
      </c>
      <c r="H2337" s="80"/>
      <c r="I2337" s="81"/>
      <c r="J2337" s="83">
        <f>HYPERLINK("#Структура!E2596",Структура!E2596)</f>
        <v>1</v>
      </c>
      <c r="K2337" s="115">
        <f>HYPERLINK("#Структура!G2596",Структура!G2596)</f>
        <v>1.1667000000000001</v>
      </c>
      <c r="L2337" s="81">
        <f>M2337/J2337</f>
        <v>238.18208759999999</v>
      </c>
      <c r="M2337" s="81">
        <f>SUMIF(H2338:H2340,"*",M2338:M2340)*J2337</f>
        <v>238.18208759999999</v>
      </c>
      <c r="N2337" s="124">
        <f>HYPERLINK("#Трудозатраты!B647",Трудозатраты!B647+SUMIF(H2338:H2340,"*",O2338:O2340))</f>
        <v>19.25</v>
      </c>
      <c r="O2337" s="82">
        <f>N2337*J2337</f>
        <v>19.25</v>
      </c>
      <c r="P2337" s="81">
        <f>O2337/60*(1+запас_труд)*стоимость_трудочаса</f>
        <v>753.95833333333337</v>
      </c>
      <c r="Q2337" s="129">
        <f>M2337*(1+наценка_покупное)+P2337</f>
        <v>1039.7768384533333</v>
      </c>
    </row>
    <row r="2338" spans="7:17" hidden="1" outlineLevel="6" x14ac:dyDescent="0.25">
      <c r="H2338" s="75" t="s">
        <v>67</v>
      </c>
      <c r="I2338" s="76"/>
      <c r="J2338" s="78">
        <f>HYPERLINK("#Структура!E2619",Структура!E2619)</f>
        <v>7.0999999999999994E-2</v>
      </c>
      <c r="K2338" s="114" t="str">
        <f>HYPERLINK("#Структура!G2619","")</f>
        <v/>
      </c>
      <c r="L2338" s="120">
        <f>HYPERLINK("#Покупные_изделия!D203",Покупные_изделия!D203)</f>
        <v>30.003600000000002</v>
      </c>
      <c r="M2338" s="76">
        <f>J2338*L2338</f>
        <v>2.1302555999999999</v>
      </c>
      <c r="N2338" s="77"/>
      <c r="O2338" s="77"/>
      <c r="P2338" s="76"/>
      <c r="Q2338" s="76"/>
    </row>
    <row r="2339" spans="7:17" hidden="1" outlineLevel="6" x14ac:dyDescent="0.25">
      <c r="H2339" s="75" t="s">
        <v>109</v>
      </c>
      <c r="I2339" s="76"/>
      <c r="J2339" s="78">
        <f>HYPERLINK("#Структура!E2620",Структура!E2620)</f>
        <v>1.93</v>
      </c>
      <c r="K2339" s="114" t="str">
        <f>HYPERLINK("#Структура!G2620","")</f>
        <v/>
      </c>
      <c r="L2339" s="120">
        <f>HYPERLINK("#Покупные_изделия!D281",Покупные_изделия!D281)</f>
        <v>120</v>
      </c>
      <c r="M2339" s="76">
        <f>J2339*L2339</f>
        <v>231.6</v>
      </c>
      <c r="N2339" s="77"/>
      <c r="O2339" s="77"/>
      <c r="P2339" s="76"/>
      <c r="Q2339" s="76"/>
    </row>
    <row r="2340" spans="7:17" hidden="1" outlineLevel="6" x14ac:dyDescent="0.25">
      <c r="H2340" s="75" t="s">
        <v>146</v>
      </c>
      <c r="I2340" s="76"/>
      <c r="J2340" s="78">
        <f>HYPERLINK("#Структура!E2621",Структура!E2621)</f>
        <v>4.2000000000000003E-2</v>
      </c>
      <c r="K2340" s="114" t="str">
        <f>HYPERLINK("#Структура!G2621","")</f>
        <v/>
      </c>
      <c r="L2340" s="120">
        <f>HYPERLINK("#Покупные_изделия!D406",Покупные_изделия!D406)</f>
        <v>105.996</v>
      </c>
      <c r="M2340" s="76">
        <f>J2340*L2340</f>
        <v>4.4518320000000005</v>
      </c>
      <c r="N2340" s="77"/>
      <c r="O2340" s="77"/>
      <c r="P2340" s="76"/>
      <c r="Q2340" s="76"/>
    </row>
    <row r="2341" spans="7:17" hidden="1" outlineLevel="5" collapsed="1" x14ac:dyDescent="0.25">
      <c r="G2341" s="84" t="s">
        <v>1359</v>
      </c>
      <c r="H2341" s="80"/>
      <c r="I2341" s="81"/>
      <c r="J2341" s="83">
        <f>HYPERLINK("#Структура!E2597",Структура!E2597)</f>
        <v>1</v>
      </c>
      <c r="K2341" s="115">
        <f>HYPERLINK("#Структура!G2597",Структура!G2597)</f>
        <v>0.57042999999999999</v>
      </c>
      <c r="L2341" s="81">
        <f>M2341/J2341</f>
        <v>85.102015200000011</v>
      </c>
      <c r="M2341" s="81">
        <f>SUMIF(H2342:H2344,"*",M2342:M2344)*J2341</f>
        <v>85.102015200000011</v>
      </c>
      <c r="N2341" s="124">
        <f>HYPERLINK("#Трудозатраты!B648",Трудозатраты!B648+SUMIF(H2342:H2344,"*",O2342:O2344))</f>
        <v>46.1</v>
      </c>
      <c r="O2341" s="82">
        <f>N2341*J2341</f>
        <v>46.1</v>
      </c>
      <c r="P2341" s="81">
        <f>O2341/60*(1+запас_труд)*стоимость_трудочаса</f>
        <v>1805.5833333333333</v>
      </c>
      <c r="Q2341" s="129">
        <f>M2341*(1+наценка_покупное)+P2341</f>
        <v>1907.7057515733334</v>
      </c>
    </row>
    <row r="2342" spans="7:17" hidden="1" outlineLevel="6" x14ac:dyDescent="0.25">
      <c r="H2342" s="75" t="s">
        <v>67</v>
      </c>
      <c r="I2342" s="76"/>
      <c r="J2342" s="78">
        <f>HYPERLINK("#Структура!E2622",Структура!E2622)</f>
        <v>1.2E-2</v>
      </c>
      <c r="K2342" s="114" t="str">
        <f>HYPERLINK("#Структура!G2622","")</f>
        <v/>
      </c>
      <c r="L2342" s="120">
        <f>HYPERLINK("#Покупные_изделия!D203",Покупные_изделия!D203)</f>
        <v>30.003600000000002</v>
      </c>
      <c r="M2342" s="76">
        <f>J2342*L2342</f>
        <v>0.36004320000000001</v>
      </c>
      <c r="N2342" s="77"/>
      <c r="O2342" s="77"/>
      <c r="P2342" s="76"/>
      <c r="Q2342" s="76"/>
    </row>
    <row r="2343" spans="7:17" hidden="1" outlineLevel="6" x14ac:dyDescent="0.25">
      <c r="H2343" s="75" t="s">
        <v>116</v>
      </c>
      <c r="I2343" s="76"/>
      <c r="J2343" s="78">
        <f>HYPERLINK("#Структура!E2623",Структура!E2623)</f>
        <v>0.7</v>
      </c>
      <c r="K2343" s="114" t="str">
        <f>HYPERLINK("#Структура!G2623","")</f>
        <v/>
      </c>
      <c r="L2343" s="120">
        <f>HYPERLINK("#Покупные_изделия!D291",Покупные_изделия!D291)</f>
        <v>120</v>
      </c>
      <c r="M2343" s="76">
        <f>J2343*L2343</f>
        <v>84</v>
      </c>
      <c r="N2343" s="77"/>
      <c r="O2343" s="77"/>
      <c r="P2343" s="76"/>
      <c r="Q2343" s="76"/>
    </row>
    <row r="2344" spans="7:17" hidden="1" outlineLevel="6" x14ac:dyDescent="0.25">
      <c r="H2344" s="75" t="s">
        <v>146</v>
      </c>
      <c r="I2344" s="76"/>
      <c r="J2344" s="78">
        <f>HYPERLINK("#Структура!E2624",Структура!E2624)</f>
        <v>7.0000000000000001E-3</v>
      </c>
      <c r="K2344" s="114" t="str">
        <f>HYPERLINK("#Структура!G2624","")</f>
        <v/>
      </c>
      <c r="L2344" s="120">
        <f>HYPERLINK("#Покупные_изделия!D406",Покупные_изделия!D406)</f>
        <v>105.996</v>
      </c>
      <c r="M2344" s="76">
        <f>J2344*L2344</f>
        <v>0.74197199999999996</v>
      </c>
      <c r="N2344" s="77"/>
      <c r="O2344" s="77"/>
      <c r="P2344" s="76"/>
      <c r="Q2344" s="76"/>
    </row>
    <row r="2345" spans="7:17" hidden="1" outlineLevel="5" collapsed="1" x14ac:dyDescent="0.25">
      <c r="G2345" s="84" t="s">
        <v>1360</v>
      </c>
      <c r="H2345" s="80"/>
      <c r="I2345" s="81"/>
      <c r="J2345" s="83">
        <f>HYPERLINK("#Структура!E2598",Структура!E2598)</f>
        <v>1</v>
      </c>
      <c r="K2345" s="115">
        <f>HYPERLINK("#Структура!G2598",Структура!G2598)</f>
        <v>0.30038999999999999</v>
      </c>
      <c r="L2345" s="81">
        <f>M2345/J2345</f>
        <v>54</v>
      </c>
      <c r="M2345" s="81">
        <f>SUMIF(H2346,"*",M2346)*J2345</f>
        <v>54</v>
      </c>
      <c r="N2345" s="124">
        <f>HYPERLINK("#Трудозатраты!B649",Трудозатраты!B649+SUMIF(H2346,"*",O2346))</f>
        <v>30.9</v>
      </c>
      <c r="O2345" s="82">
        <f>N2345*J2345</f>
        <v>30.9</v>
      </c>
      <c r="P2345" s="81">
        <f>O2345/60*(1+запас_труд)*стоимость_трудочаса</f>
        <v>1210.25</v>
      </c>
      <c r="Q2345" s="129">
        <f>M2345*(1+наценка_покупное)+P2345</f>
        <v>1275.05</v>
      </c>
    </row>
    <row r="2346" spans="7:17" hidden="1" outlineLevel="6" x14ac:dyDescent="0.25">
      <c r="H2346" s="75" t="s">
        <v>113</v>
      </c>
      <c r="I2346" s="76"/>
      <c r="J2346" s="78">
        <f>HYPERLINK("#Структура!E2625",Структура!E2625)</f>
        <v>0.45</v>
      </c>
      <c r="K2346" s="114" t="str">
        <f>HYPERLINK("#Структура!G2625","")</f>
        <v/>
      </c>
      <c r="L2346" s="120">
        <f>HYPERLINK("#Покупные_изделия!D286",Покупные_изделия!D286)</f>
        <v>120</v>
      </c>
      <c r="M2346" s="76">
        <f>J2346*L2346</f>
        <v>54</v>
      </c>
      <c r="N2346" s="77"/>
      <c r="O2346" s="77"/>
      <c r="P2346" s="76"/>
      <c r="Q2346" s="76"/>
    </row>
    <row r="2347" spans="7:17" hidden="1" outlineLevel="5" collapsed="1" x14ac:dyDescent="0.25">
      <c r="G2347" s="84" t="s">
        <v>1361</v>
      </c>
      <c r="H2347" s="80"/>
      <c r="I2347" s="81"/>
      <c r="J2347" s="83">
        <f>HYPERLINK("#Структура!E2599",Структура!E2599)</f>
        <v>1</v>
      </c>
      <c r="K2347" s="115">
        <f>HYPERLINK("#Структура!G2599",Структура!G2599)</f>
        <v>0.68423999999999996</v>
      </c>
      <c r="L2347" s="81">
        <f>M2347/J2347</f>
        <v>96</v>
      </c>
      <c r="M2347" s="81">
        <f>SUMIF(H2348,"*",M2348)*J2347</f>
        <v>96</v>
      </c>
      <c r="N2347" s="124">
        <f>HYPERLINK("#Трудозатраты!B650",Трудозатраты!B650+SUMIF(H2348,"*",O2348))</f>
        <v>33</v>
      </c>
      <c r="O2347" s="82">
        <f>N2347*J2347</f>
        <v>33</v>
      </c>
      <c r="P2347" s="81">
        <f>O2347/60*(1+запас_труд)*стоимость_трудочаса</f>
        <v>1292.5</v>
      </c>
      <c r="Q2347" s="129">
        <f>M2347*(1+наценка_покупное)+P2347</f>
        <v>1407.7</v>
      </c>
    </row>
    <row r="2348" spans="7:17" hidden="1" outlineLevel="6" x14ac:dyDescent="0.25">
      <c r="H2348" s="75" t="s">
        <v>183</v>
      </c>
      <c r="I2348" s="76"/>
      <c r="J2348" s="78">
        <f>HYPERLINK("#Структура!E2626",Структура!E2626)</f>
        <v>0.8</v>
      </c>
      <c r="K2348" s="114" t="str">
        <f>HYPERLINK("#Структура!G2626","")</f>
        <v/>
      </c>
      <c r="L2348" s="120">
        <f>HYPERLINK("#Покупные_изделия!D494",Покупные_изделия!D494)</f>
        <v>120</v>
      </c>
      <c r="M2348" s="76">
        <f>J2348*L2348</f>
        <v>96</v>
      </c>
      <c r="N2348" s="77"/>
      <c r="O2348" s="77"/>
      <c r="P2348" s="76"/>
      <c r="Q2348" s="76"/>
    </row>
    <row r="2349" spans="7:17" hidden="1" outlineLevel="5" collapsed="1" x14ac:dyDescent="0.25">
      <c r="G2349" s="84" t="s">
        <v>1362</v>
      </c>
      <c r="H2349" s="80"/>
      <c r="I2349" s="81"/>
      <c r="J2349" s="83">
        <f>HYPERLINK("#Структура!E2600",Структура!E2600)</f>
        <v>1</v>
      </c>
      <c r="K2349" s="115">
        <f>HYPERLINK("#Структура!G2600",Структура!G2600)</f>
        <v>8.3070000000000005E-2</v>
      </c>
      <c r="L2349" s="81">
        <f>M2349/J2349</f>
        <v>33.634009199999994</v>
      </c>
      <c r="M2349" s="81">
        <f>SUMIF(H2350:H2352,"*",M2350:M2352)*J2349</f>
        <v>33.634009199999994</v>
      </c>
      <c r="N2349" s="124">
        <f>HYPERLINK("#Трудозатраты!B651",Трудозатраты!B651+SUMIF(H2350:H2352,"*",O2350:O2352))</f>
        <v>13.225000000000001</v>
      </c>
      <c r="O2349" s="82">
        <f>N2349*J2349</f>
        <v>13.225000000000001</v>
      </c>
      <c r="P2349" s="81">
        <f>O2349/60*(1+запас_труд)*стоимость_трудочаса</f>
        <v>517.97916666666674</v>
      </c>
      <c r="Q2349" s="129">
        <f>M2349*(1+наценка_покупное)+P2349</f>
        <v>558.33997770666679</v>
      </c>
    </row>
    <row r="2350" spans="7:17" hidden="1" outlineLevel="6" x14ac:dyDescent="0.25">
      <c r="H2350" s="75" t="s">
        <v>67</v>
      </c>
      <c r="I2350" s="76"/>
      <c r="J2350" s="78">
        <f>HYPERLINK("#Структура!E2627",Структура!E2627)</f>
        <v>7.0000000000000001E-3</v>
      </c>
      <c r="K2350" s="114" t="str">
        <f>HYPERLINK("#Структура!G2627","")</f>
        <v/>
      </c>
      <c r="L2350" s="120">
        <f>HYPERLINK("#Покупные_изделия!D203",Покупные_изделия!D203)</f>
        <v>30.003600000000002</v>
      </c>
      <c r="M2350" s="76">
        <f t="shared" ref="M2350:M2358" si="92">J2350*L2350</f>
        <v>0.21002520000000002</v>
      </c>
      <c r="N2350" s="77"/>
      <c r="O2350" s="77"/>
      <c r="P2350" s="76"/>
      <c r="Q2350" s="76"/>
    </row>
    <row r="2351" spans="7:17" hidden="1" outlineLevel="6" x14ac:dyDescent="0.25">
      <c r="H2351" s="75" t="s">
        <v>108</v>
      </c>
      <c r="I2351" s="76"/>
      <c r="J2351" s="78">
        <f>HYPERLINK("#Структура!E2628",Структура!E2628)</f>
        <v>0.11</v>
      </c>
      <c r="K2351" s="114" t="str">
        <f>HYPERLINK("#Структура!G2628","")</f>
        <v/>
      </c>
      <c r="L2351" s="120">
        <f>HYPERLINK("#Покупные_изделия!D280",Покупные_изделия!D280)</f>
        <v>300</v>
      </c>
      <c r="M2351" s="76">
        <f t="shared" si="92"/>
        <v>33</v>
      </c>
      <c r="N2351" s="77"/>
      <c r="O2351" s="77"/>
      <c r="P2351" s="76"/>
      <c r="Q2351" s="76"/>
    </row>
    <row r="2352" spans="7:17" hidden="1" outlineLevel="6" x14ac:dyDescent="0.25">
      <c r="H2352" s="75" t="s">
        <v>146</v>
      </c>
      <c r="I2352" s="76"/>
      <c r="J2352" s="78">
        <f>HYPERLINK("#Структура!E2629",Структура!E2629)</f>
        <v>4.0000000000000001E-3</v>
      </c>
      <c r="K2352" s="114" t="str">
        <f>HYPERLINK("#Структура!G2629","")</f>
        <v/>
      </c>
      <c r="L2352" s="120">
        <f>HYPERLINK("#Покупные_изделия!D406",Покупные_изделия!D406)</f>
        <v>105.996</v>
      </c>
      <c r="M2352" s="76">
        <f t="shared" si="92"/>
        <v>0.42398399999999997</v>
      </c>
      <c r="N2352" s="77"/>
      <c r="O2352" s="77"/>
      <c r="P2352" s="76"/>
      <c r="Q2352" s="76"/>
    </row>
    <row r="2353" spans="6:17" hidden="1" outlineLevel="5" x14ac:dyDescent="0.25">
      <c r="G2353" s="74" t="s">
        <v>65</v>
      </c>
      <c r="H2353" s="75"/>
      <c r="I2353" s="76"/>
      <c r="J2353" s="78">
        <f>HYPERLINK("#Структура!E2601",Структура!E2601)</f>
        <v>0.06</v>
      </c>
      <c r="K2353" s="114" t="str">
        <f>HYPERLINK("#Структура!G2601","")</f>
        <v/>
      </c>
      <c r="L2353" s="120">
        <f>HYPERLINK("#Покупные_изделия!D197",Покупные_изделия!D197)</f>
        <v>264.50399999999996</v>
      </c>
      <c r="M2353" s="76">
        <f t="shared" si="92"/>
        <v>15.870239999999997</v>
      </c>
      <c r="N2353" s="77"/>
      <c r="O2353" s="77"/>
      <c r="P2353" s="76"/>
      <c r="Q2353" s="76"/>
    </row>
    <row r="2354" spans="6:17" hidden="1" outlineLevel="5" x14ac:dyDescent="0.25">
      <c r="G2354" s="74" t="s">
        <v>67</v>
      </c>
      <c r="H2354" s="75"/>
      <c r="I2354" s="76"/>
      <c r="J2354" s="78">
        <f>HYPERLINK("#Структура!E2602",Структура!E2602)</f>
        <v>0.373</v>
      </c>
      <c r="K2354" s="114" t="str">
        <f>HYPERLINK("#Структура!G2602","")</f>
        <v/>
      </c>
      <c r="L2354" s="120">
        <f>HYPERLINK("#Покупные_изделия!D203",Покупные_изделия!D203)</f>
        <v>30.003600000000002</v>
      </c>
      <c r="M2354" s="76">
        <f t="shared" si="92"/>
        <v>11.191342800000001</v>
      </c>
      <c r="N2354" s="77"/>
      <c r="O2354" s="77"/>
      <c r="P2354" s="76"/>
      <c r="Q2354" s="76"/>
    </row>
    <row r="2355" spans="6:17" hidden="1" outlineLevel="5" x14ac:dyDescent="0.25">
      <c r="G2355" s="74" t="s">
        <v>146</v>
      </c>
      <c r="H2355" s="75"/>
      <c r="I2355" s="76"/>
      <c r="J2355" s="78">
        <f>HYPERLINK("#Структура!E2603",Структура!E2603)</f>
        <v>0.219</v>
      </c>
      <c r="K2355" s="114" t="str">
        <f>HYPERLINK("#Структура!G2603","")</f>
        <v/>
      </c>
      <c r="L2355" s="120">
        <f>HYPERLINK("#Покупные_изделия!D406",Покупные_изделия!D406)</f>
        <v>105.996</v>
      </c>
      <c r="M2355" s="76">
        <f t="shared" si="92"/>
        <v>23.213124000000001</v>
      </c>
      <c r="N2355" s="77"/>
      <c r="O2355" s="77"/>
      <c r="P2355" s="76"/>
      <c r="Q2355" s="76"/>
    </row>
    <row r="2356" spans="6:17" hidden="1" outlineLevel="5" x14ac:dyDescent="0.25">
      <c r="G2356" s="74" t="s">
        <v>155</v>
      </c>
      <c r="H2356" s="75"/>
      <c r="I2356" s="76"/>
      <c r="J2356" s="78">
        <f>HYPERLINK("#Структура!E2604",Структура!E2604)</f>
        <v>3.5999999999999997E-2</v>
      </c>
      <c r="K2356" s="114" t="str">
        <f>HYPERLINK("#Структура!G2604","")</f>
        <v/>
      </c>
      <c r="L2356" s="120">
        <f>HYPERLINK("#Покупные_изделия!D423",Покупные_изделия!D423)</f>
        <v>218.28</v>
      </c>
      <c r="M2356" s="76">
        <f t="shared" si="92"/>
        <v>7.8580799999999993</v>
      </c>
      <c r="N2356" s="77"/>
      <c r="O2356" s="77"/>
      <c r="P2356" s="76"/>
      <c r="Q2356" s="76"/>
    </row>
    <row r="2357" spans="6:17" hidden="1" outlineLevel="5" x14ac:dyDescent="0.25">
      <c r="G2357" s="74" t="s">
        <v>200</v>
      </c>
      <c r="H2357" s="75"/>
      <c r="I2357" s="76"/>
      <c r="J2357" s="78">
        <f>HYPERLINK("#Структура!E2605",Структура!E2605)</f>
        <v>6.5000000000000002E-2</v>
      </c>
      <c r="K2357" s="114" t="str">
        <f>HYPERLINK("#Структура!G2605","")</f>
        <v/>
      </c>
      <c r="L2357" s="120">
        <f>HYPERLINK("#Покупные_изделия!D518",Покупные_изделия!D518)</f>
        <v>270</v>
      </c>
      <c r="M2357" s="76">
        <f t="shared" si="92"/>
        <v>17.55</v>
      </c>
      <c r="N2357" s="77"/>
      <c r="O2357" s="77"/>
      <c r="P2357" s="76"/>
      <c r="Q2357" s="76"/>
    </row>
    <row r="2358" spans="6:17" hidden="1" outlineLevel="5" x14ac:dyDescent="0.25">
      <c r="G2358" s="74" t="s">
        <v>215</v>
      </c>
      <c r="H2358" s="75"/>
      <c r="I2358" s="76"/>
      <c r="J2358" s="78">
        <f>HYPERLINK("#Структура!E2606",Структура!E2606)</f>
        <v>0.12</v>
      </c>
      <c r="K2358" s="114" t="str">
        <f>HYPERLINK("#Структура!G2606","")</f>
        <v/>
      </c>
      <c r="L2358" s="120">
        <f>HYPERLINK("#Покупные_изделия!D567",Покупные_изделия!D567)</f>
        <v>405.74399999999997</v>
      </c>
      <c r="M2358" s="76">
        <f t="shared" si="92"/>
        <v>48.689279999999997</v>
      </c>
      <c r="N2358" s="77"/>
      <c r="O2358" s="77"/>
      <c r="P2358" s="76"/>
      <c r="Q2358" s="76"/>
    </row>
    <row r="2359" spans="6:17" hidden="1" outlineLevel="4" collapsed="1" x14ac:dyDescent="0.25">
      <c r="F2359" s="96" t="s">
        <v>1337</v>
      </c>
      <c r="G2359" s="91"/>
      <c r="H2359" s="92"/>
      <c r="I2359" s="93"/>
      <c r="J2359" s="95">
        <f>HYPERLINK("#Структура!E2492",Структура!E2492)</f>
        <v>1</v>
      </c>
      <c r="K2359" s="116">
        <f>HYPERLINK("#Структура!G2492",Структура!G2492)</f>
        <v>4.04915</v>
      </c>
      <c r="L2359" s="93">
        <f>M2359/J2359</f>
        <v>836.96619959999998</v>
      </c>
      <c r="M2359" s="93">
        <f>SUMIF(G2360:G2394,"*",M2360:M2394)*J2359</f>
        <v>836.96619959999998</v>
      </c>
      <c r="N2359" s="125">
        <f>HYPERLINK("#Трудозатраты!B646",Трудозатраты!B646+SUMIF(G2360:G2394,"*",O2360:O2394))</f>
        <v>229.44499999999999</v>
      </c>
      <c r="O2359" s="94">
        <f>N2359*J2359</f>
        <v>229.44499999999999</v>
      </c>
      <c r="P2359" s="93">
        <f>O2359/60*(1+запас_труд)*стоимость_трудочаса</f>
        <v>8986.5958333333328</v>
      </c>
      <c r="Q2359" s="130">
        <f>M2359*(1+наценка_покупное)+P2359</f>
        <v>9990.9552728533326</v>
      </c>
    </row>
    <row r="2360" spans="6:17" hidden="1" outlineLevel="5" collapsed="1" x14ac:dyDescent="0.25">
      <c r="G2360" s="97" t="s">
        <v>1357</v>
      </c>
      <c r="H2360" s="99"/>
      <c r="I2360" s="100"/>
      <c r="J2360" s="102">
        <f>HYPERLINK("#Структура!E2607",Структура!E2607)</f>
        <v>1</v>
      </c>
      <c r="K2360" s="112">
        <f>HYPERLINK("#Структура!G2607",Структура!G2607)</f>
        <v>1.17445</v>
      </c>
      <c r="L2360" s="100">
        <f>M2360/J2360</f>
        <v>226.24409040000003</v>
      </c>
      <c r="M2360" s="100">
        <f>SUMIF(H2361:H2372,"*",M2361:M2372)*J2360</f>
        <v>226.24409040000003</v>
      </c>
      <c r="N2360" s="122">
        <f>HYPERLINK("#Трудозатраты!B652",Трудозатраты!B652+SUMIF(H2361:H2372,"*",O2361:O2372))</f>
        <v>31.27</v>
      </c>
      <c r="O2360" s="101">
        <f>N2360*J2360</f>
        <v>31.27</v>
      </c>
      <c r="P2360" s="100">
        <f>O2360/60*(1+запас_труд)*стоимость_трудочаса</f>
        <v>1224.7416666666666</v>
      </c>
      <c r="Q2360" s="127">
        <f>M2360*(1+наценка_покупное)+P2360</f>
        <v>1496.2345751466667</v>
      </c>
    </row>
    <row r="2361" spans="6:17" hidden="1" outlineLevel="6" collapsed="1" x14ac:dyDescent="0.25">
      <c r="H2361" s="104" t="s">
        <v>1363</v>
      </c>
      <c r="I2361" s="88"/>
      <c r="J2361" s="90">
        <f>HYPERLINK("#Структура!E2630",Структура!E2630)</f>
        <v>1</v>
      </c>
      <c r="K2361" s="113">
        <f>HYPERLINK("#Структура!G2630",Структура!G2630)</f>
        <v>0.26058999999999999</v>
      </c>
      <c r="L2361" s="88">
        <f>M2361/J2361</f>
        <v>61.68</v>
      </c>
      <c r="M2361" s="88">
        <f>SUMIF(I2362,"*",M2362)*J2361</f>
        <v>61.68</v>
      </c>
      <c r="N2361" s="123">
        <f>HYPERLINK("#Трудозатраты!B653",Трудозатраты!B653+SUMIF(I2362,"*",O2362))</f>
        <v>0.7</v>
      </c>
      <c r="O2361" s="89">
        <f>N2361*J2361</f>
        <v>0.7</v>
      </c>
      <c r="P2361" s="88">
        <f>O2361/60*(1+запас_труд)*стоимость_трудочаса</f>
        <v>27.416666666666664</v>
      </c>
      <c r="Q2361" s="128">
        <f>M2361*(1+наценка_покупное)+P2361</f>
        <v>101.43266666666665</v>
      </c>
    </row>
    <row r="2362" spans="6:17" hidden="1" outlineLevel="7" x14ac:dyDescent="0.25">
      <c r="I2362" s="76" t="s">
        <v>115</v>
      </c>
      <c r="J2362" s="78">
        <f>HYPERLINK("#Структура!E2637",Структура!E2637)</f>
        <v>0.51400000000000001</v>
      </c>
      <c r="K2362" s="114" t="str">
        <f>HYPERLINK("#Структура!G2637","")</f>
        <v/>
      </c>
      <c r="L2362" s="120">
        <f>HYPERLINK("#Покупные_изделия!D289",Покупные_изделия!D289)</f>
        <v>120</v>
      </c>
      <c r="M2362" s="76">
        <f>J2362*L2362</f>
        <v>61.68</v>
      </c>
      <c r="N2362" s="77"/>
      <c r="O2362" s="77"/>
      <c r="P2362" s="76"/>
      <c r="Q2362" s="76"/>
    </row>
    <row r="2363" spans="6:17" hidden="1" outlineLevel="6" collapsed="1" x14ac:dyDescent="0.25">
      <c r="H2363" s="103" t="s">
        <v>1364</v>
      </c>
      <c r="I2363" s="81"/>
      <c r="J2363" s="83">
        <f>HYPERLINK("#Структура!E2631",Структура!E2631)</f>
        <v>1</v>
      </c>
      <c r="K2363" s="115">
        <f>HYPERLINK("#Структура!G2631",Структура!G2631)</f>
        <v>0.34426000000000001</v>
      </c>
      <c r="L2363" s="81">
        <f>M2363/J2363</f>
        <v>80.400000000000006</v>
      </c>
      <c r="M2363" s="81">
        <f>SUMIF(I2364,"*",M2364)*J2363</f>
        <v>80.400000000000006</v>
      </c>
      <c r="N2363" s="124">
        <f>HYPERLINK("#Трудозатраты!B654",Трудозатраты!B654+SUMIF(I2364,"*",O2364))</f>
        <v>0.8</v>
      </c>
      <c r="O2363" s="82">
        <f>N2363*J2363</f>
        <v>0.8</v>
      </c>
      <c r="P2363" s="81">
        <f>O2363/60*(1+запас_труд)*стоимость_трудочаса</f>
        <v>31.333333333333336</v>
      </c>
      <c r="Q2363" s="129">
        <f>M2363*(1+наценка_покупное)+P2363</f>
        <v>127.81333333333333</v>
      </c>
    </row>
    <row r="2364" spans="6:17" hidden="1" outlineLevel="7" x14ac:dyDescent="0.25">
      <c r="I2364" s="76" t="s">
        <v>115</v>
      </c>
      <c r="J2364" s="78">
        <f>HYPERLINK("#Структура!E2638",Структура!E2638)</f>
        <v>0.67</v>
      </c>
      <c r="K2364" s="114" t="str">
        <f>HYPERLINK("#Структура!G2638","")</f>
        <v/>
      </c>
      <c r="L2364" s="120">
        <f>HYPERLINK("#Покупные_изделия!D289",Покупные_изделия!D289)</f>
        <v>120</v>
      </c>
      <c r="M2364" s="76">
        <f>J2364*L2364</f>
        <v>80.400000000000006</v>
      </c>
      <c r="N2364" s="77"/>
      <c r="O2364" s="77"/>
      <c r="P2364" s="76"/>
      <c r="Q2364" s="76"/>
    </row>
    <row r="2365" spans="6:17" hidden="1" outlineLevel="6" collapsed="1" x14ac:dyDescent="0.25">
      <c r="H2365" s="103" t="s">
        <v>1365</v>
      </c>
      <c r="I2365" s="81"/>
      <c r="J2365" s="83">
        <f>HYPERLINK("#Структура!E2632",Структура!E2632)</f>
        <v>2</v>
      </c>
      <c r="K2365" s="115">
        <f>HYPERLINK("#Структура!G2632",Структура!G2632)</f>
        <v>0.14924000000000001</v>
      </c>
      <c r="L2365" s="81">
        <f>M2365/J2365</f>
        <v>21.84</v>
      </c>
      <c r="M2365" s="81">
        <f>SUMIF(I2366,"*",M2366)*J2365</f>
        <v>43.68</v>
      </c>
      <c r="N2365" s="124">
        <f>HYPERLINK("#Трудозатраты!B655",Трудозатраты!B655+SUMIF(I2366,"*",O2366))</f>
        <v>0.5</v>
      </c>
      <c r="O2365" s="82">
        <f>N2365*J2365</f>
        <v>1</v>
      </c>
      <c r="P2365" s="81">
        <f>O2365/60*(1+запас_труд)*стоимость_трудочаса</f>
        <v>39.166666666666664</v>
      </c>
      <c r="Q2365" s="129">
        <f>M2365*(1+наценка_покупное)+P2365</f>
        <v>91.582666666666654</v>
      </c>
    </row>
    <row r="2366" spans="6:17" hidden="1" outlineLevel="7" x14ac:dyDescent="0.25">
      <c r="I2366" s="76" t="s">
        <v>115</v>
      </c>
      <c r="J2366" s="78">
        <f>HYPERLINK("#Структура!E2639",Структура!E2639)</f>
        <v>0.182</v>
      </c>
      <c r="K2366" s="114" t="str">
        <f>HYPERLINK("#Структура!G2639","")</f>
        <v/>
      </c>
      <c r="L2366" s="120">
        <f>HYPERLINK("#Покупные_изделия!D289",Покупные_изделия!D289)</f>
        <v>120</v>
      </c>
      <c r="M2366" s="76">
        <f>J2366*L2366</f>
        <v>21.84</v>
      </c>
      <c r="N2366" s="77"/>
      <c r="O2366" s="77"/>
      <c r="P2366" s="76"/>
      <c r="Q2366" s="76"/>
    </row>
    <row r="2367" spans="6:17" hidden="1" outlineLevel="6" collapsed="1" x14ac:dyDescent="0.25">
      <c r="H2367" s="103" t="s">
        <v>1366</v>
      </c>
      <c r="I2367" s="81"/>
      <c r="J2367" s="83">
        <f>HYPERLINK("#Структура!E2633",Структура!E2633)</f>
        <v>1</v>
      </c>
      <c r="K2367" s="115">
        <f>HYPERLINK("#Структура!G2633",Структура!G2633)</f>
        <v>0.10181999999999999</v>
      </c>
      <c r="L2367" s="81">
        <f>M2367/J2367</f>
        <v>15.600000000000001</v>
      </c>
      <c r="M2367" s="81">
        <f>SUMIF(I2368,"*",M2368)*J2367</f>
        <v>15.600000000000001</v>
      </c>
      <c r="N2367" s="124">
        <f>HYPERLINK("#Трудозатраты!B656",Трудозатраты!B656+SUMIF(I2368,"*",O2368))</f>
        <v>1.1000000000000001</v>
      </c>
      <c r="O2367" s="82">
        <f>N2367*J2367</f>
        <v>1.1000000000000001</v>
      </c>
      <c r="P2367" s="81">
        <f>O2367/60*(1+запас_труд)*стоимость_трудочаса</f>
        <v>43.083333333333336</v>
      </c>
      <c r="Q2367" s="129">
        <f>M2367*(1+наценка_покупное)+P2367</f>
        <v>61.803333333333342</v>
      </c>
    </row>
    <row r="2368" spans="6:17" hidden="1" outlineLevel="7" x14ac:dyDescent="0.25">
      <c r="I2368" s="76" t="s">
        <v>117</v>
      </c>
      <c r="J2368" s="78">
        <f>HYPERLINK("#Структура!E2640",Структура!E2640)</f>
        <v>0.13</v>
      </c>
      <c r="K2368" s="114" t="str">
        <f>HYPERLINK("#Структура!G2640","")</f>
        <v/>
      </c>
      <c r="L2368" s="120">
        <f>HYPERLINK("#Покупные_изделия!D292",Покупные_изделия!D292)</f>
        <v>120</v>
      </c>
      <c r="M2368" s="76">
        <f>J2368*L2368</f>
        <v>15.600000000000001</v>
      </c>
      <c r="N2368" s="77"/>
      <c r="O2368" s="77"/>
      <c r="P2368" s="76"/>
      <c r="Q2368" s="76"/>
    </row>
    <row r="2369" spans="7:17" hidden="1" outlineLevel="6" collapsed="1" x14ac:dyDescent="0.25">
      <c r="H2369" s="103" t="s">
        <v>1367</v>
      </c>
      <c r="I2369" s="81"/>
      <c r="J2369" s="83">
        <f>HYPERLINK("#Структура!E2634",Структура!E2634)</f>
        <v>1</v>
      </c>
      <c r="K2369" s="115">
        <f>HYPERLINK("#Структура!G2634",Структура!G2634)</f>
        <v>0.16932</v>
      </c>
      <c r="L2369" s="81">
        <f>M2369/J2369</f>
        <v>18</v>
      </c>
      <c r="M2369" s="81">
        <f>SUMIF(I2370,"*",M2370)*J2369</f>
        <v>18</v>
      </c>
      <c r="N2369" s="124">
        <f>HYPERLINK("#Трудозатраты!B657",Трудозатраты!B657+SUMIF(I2370,"*",O2370))</f>
        <v>12.67</v>
      </c>
      <c r="O2369" s="82">
        <f>N2369*J2369</f>
        <v>12.67</v>
      </c>
      <c r="P2369" s="81">
        <f>O2369/60*(1+запас_труд)*стоимость_трудочаса</f>
        <v>496.24166666666667</v>
      </c>
      <c r="Q2369" s="129">
        <f>M2369*(1+наценка_покупное)+P2369</f>
        <v>517.8416666666667</v>
      </c>
    </row>
    <row r="2370" spans="7:17" hidden="1" outlineLevel="7" x14ac:dyDescent="0.25">
      <c r="I2370" s="76" t="s">
        <v>75</v>
      </c>
      <c r="J2370" s="78">
        <f>HYPERLINK("#Структура!E2641",Структура!E2641)</f>
        <v>0.18</v>
      </c>
      <c r="K2370" s="114" t="str">
        <f>HYPERLINK("#Структура!G2641","")</f>
        <v/>
      </c>
      <c r="L2370" s="120">
        <f>HYPERLINK("#Покупные_изделия!D244",Покупные_изделия!D244)</f>
        <v>100</v>
      </c>
      <c r="M2370" s="76">
        <f>J2370*L2370</f>
        <v>18</v>
      </c>
      <c r="N2370" s="77"/>
      <c r="O2370" s="77"/>
      <c r="P2370" s="76"/>
      <c r="Q2370" s="76"/>
    </row>
    <row r="2371" spans="7:17" hidden="1" outlineLevel="6" x14ac:dyDescent="0.25">
      <c r="H2371" s="75" t="s">
        <v>67</v>
      </c>
      <c r="I2371" s="76"/>
      <c r="J2371" s="78">
        <f>HYPERLINK("#Структура!E2635",Структура!E2635)</f>
        <v>7.3999999999999996E-2</v>
      </c>
      <c r="K2371" s="114" t="str">
        <f>HYPERLINK("#Структура!G2635","")</f>
        <v/>
      </c>
      <c r="L2371" s="120">
        <f>HYPERLINK("#Покупные_изделия!D203",Покупные_изделия!D203)</f>
        <v>30.003600000000002</v>
      </c>
      <c r="M2371" s="76">
        <f>J2371*L2371</f>
        <v>2.2202663999999999</v>
      </c>
      <c r="N2371" s="77"/>
      <c r="O2371" s="77"/>
      <c r="P2371" s="76"/>
      <c r="Q2371" s="76"/>
    </row>
    <row r="2372" spans="7:17" hidden="1" outlineLevel="6" x14ac:dyDescent="0.25">
      <c r="H2372" s="75" t="s">
        <v>146</v>
      </c>
      <c r="I2372" s="76"/>
      <c r="J2372" s="78">
        <f>HYPERLINK("#Структура!E2636",Структура!E2636)</f>
        <v>4.3999999999999997E-2</v>
      </c>
      <c r="K2372" s="114" t="str">
        <f>HYPERLINK("#Структура!G2636","")</f>
        <v/>
      </c>
      <c r="L2372" s="120">
        <f>HYPERLINK("#Покупные_изделия!D406",Покупные_изделия!D406)</f>
        <v>105.996</v>
      </c>
      <c r="M2372" s="76">
        <f>J2372*L2372</f>
        <v>4.6638239999999991</v>
      </c>
      <c r="N2372" s="77"/>
      <c r="O2372" s="77"/>
      <c r="P2372" s="76"/>
      <c r="Q2372" s="76"/>
    </row>
    <row r="2373" spans="7:17" hidden="1" outlineLevel="5" collapsed="1" x14ac:dyDescent="0.25">
      <c r="G2373" s="84" t="s">
        <v>1358</v>
      </c>
      <c r="H2373" s="80"/>
      <c r="I2373" s="81"/>
      <c r="J2373" s="83">
        <f>HYPERLINK("#Структура!E2608",Структура!E2608)</f>
        <v>1</v>
      </c>
      <c r="K2373" s="115">
        <f>HYPERLINK("#Структура!G2608",Структура!G2608)</f>
        <v>1.1667000000000001</v>
      </c>
      <c r="L2373" s="81">
        <f>M2373/J2373</f>
        <v>238.18208759999999</v>
      </c>
      <c r="M2373" s="81">
        <f>SUMIF(H2374:H2376,"*",M2374:M2376)*J2373</f>
        <v>238.18208759999999</v>
      </c>
      <c r="N2373" s="124">
        <f>HYPERLINK("#Трудозатраты!B647",Трудозатраты!B647+SUMIF(H2374:H2376,"*",O2374:O2376))</f>
        <v>19.25</v>
      </c>
      <c r="O2373" s="82">
        <f>N2373*J2373</f>
        <v>19.25</v>
      </c>
      <c r="P2373" s="81">
        <f>O2373/60*(1+запас_труд)*стоимость_трудочаса</f>
        <v>753.95833333333337</v>
      </c>
      <c r="Q2373" s="129">
        <f>M2373*(1+наценка_покупное)+P2373</f>
        <v>1039.7768384533333</v>
      </c>
    </row>
    <row r="2374" spans="7:17" hidden="1" outlineLevel="6" x14ac:dyDescent="0.25">
      <c r="H2374" s="75" t="s">
        <v>67</v>
      </c>
      <c r="I2374" s="76"/>
      <c r="J2374" s="78">
        <f>HYPERLINK("#Структура!E2619",Структура!E2619)</f>
        <v>7.0999999999999994E-2</v>
      </c>
      <c r="K2374" s="114" t="str">
        <f>HYPERLINK("#Структура!G2619","")</f>
        <v/>
      </c>
      <c r="L2374" s="120">
        <f>HYPERLINK("#Покупные_изделия!D203",Покупные_изделия!D203)</f>
        <v>30.003600000000002</v>
      </c>
      <c r="M2374" s="76">
        <f>J2374*L2374</f>
        <v>2.1302555999999999</v>
      </c>
      <c r="N2374" s="77"/>
      <c r="O2374" s="77"/>
      <c r="P2374" s="76"/>
      <c r="Q2374" s="76"/>
    </row>
    <row r="2375" spans="7:17" hidden="1" outlineLevel="6" x14ac:dyDescent="0.25">
      <c r="H2375" s="75" t="s">
        <v>109</v>
      </c>
      <c r="I2375" s="76"/>
      <c r="J2375" s="78">
        <f>HYPERLINK("#Структура!E2620",Структура!E2620)</f>
        <v>1.93</v>
      </c>
      <c r="K2375" s="114" t="str">
        <f>HYPERLINK("#Структура!G2620","")</f>
        <v/>
      </c>
      <c r="L2375" s="120">
        <f>HYPERLINK("#Покупные_изделия!D281",Покупные_изделия!D281)</f>
        <v>120</v>
      </c>
      <c r="M2375" s="76">
        <f>J2375*L2375</f>
        <v>231.6</v>
      </c>
      <c r="N2375" s="77"/>
      <c r="O2375" s="77"/>
      <c r="P2375" s="76"/>
      <c r="Q2375" s="76"/>
    </row>
    <row r="2376" spans="7:17" hidden="1" outlineLevel="6" x14ac:dyDescent="0.25">
      <c r="H2376" s="75" t="s">
        <v>146</v>
      </c>
      <c r="I2376" s="76"/>
      <c r="J2376" s="78">
        <f>HYPERLINK("#Структура!E2621",Структура!E2621)</f>
        <v>4.2000000000000003E-2</v>
      </c>
      <c r="K2376" s="114" t="str">
        <f>HYPERLINK("#Структура!G2621","")</f>
        <v/>
      </c>
      <c r="L2376" s="120">
        <f>HYPERLINK("#Покупные_изделия!D406",Покупные_изделия!D406)</f>
        <v>105.996</v>
      </c>
      <c r="M2376" s="76">
        <f>J2376*L2376</f>
        <v>4.4518320000000005</v>
      </c>
      <c r="N2376" s="77"/>
      <c r="O2376" s="77"/>
      <c r="P2376" s="76"/>
      <c r="Q2376" s="76"/>
    </row>
    <row r="2377" spans="7:17" hidden="1" outlineLevel="5" collapsed="1" x14ac:dyDescent="0.25">
      <c r="G2377" s="84" t="s">
        <v>1359</v>
      </c>
      <c r="H2377" s="80"/>
      <c r="I2377" s="81"/>
      <c r="J2377" s="83">
        <f>HYPERLINK("#Структура!E2609",Структура!E2609)</f>
        <v>1</v>
      </c>
      <c r="K2377" s="115">
        <f>HYPERLINK("#Структура!G2609",Структура!G2609)</f>
        <v>0.57042999999999999</v>
      </c>
      <c r="L2377" s="81">
        <f>M2377/J2377</f>
        <v>85.102015200000011</v>
      </c>
      <c r="M2377" s="81">
        <f>SUMIF(H2378:H2380,"*",M2378:M2380)*J2377</f>
        <v>85.102015200000011</v>
      </c>
      <c r="N2377" s="124">
        <f>HYPERLINK("#Трудозатраты!B648",Трудозатраты!B648+SUMIF(H2378:H2380,"*",O2378:O2380))</f>
        <v>46.1</v>
      </c>
      <c r="O2377" s="82">
        <f>N2377*J2377</f>
        <v>46.1</v>
      </c>
      <c r="P2377" s="81">
        <f>O2377/60*(1+запас_труд)*стоимость_трудочаса</f>
        <v>1805.5833333333333</v>
      </c>
      <c r="Q2377" s="129">
        <f>M2377*(1+наценка_покупное)+P2377</f>
        <v>1907.7057515733334</v>
      </c>
    </row>
    <row r="2378" spans="7:17" hidden="1" outlineLevel="6" x14ac:dyDescent="0.25">
      <c r="H2378" s="75" t="s">
        <v>67</v>
      </c>
      <c r="I2378" s="76"/>
      <c r="J2378" s="78">
        <f>HYPERLINK("#Структура!E2622",Структура!E2622)</f>
        <v>1.2E-2</v>
      </c>
      <c r="K2378" s="114" t="str">
        <f>HYPERLINK("#Структура!G2622","")</f>
        <v/>
      </c>
      <c r="L2378" s="120">
        <f>HYPERLINK("#Покупные_изделия!D203",Покупные_изделия!D203)</f>
        <v>30.003600000000002</v>
      </c>
      <c r="M2378" s="76">
        <f>J2378*L2378</f>
        <v>0.36004320000000001</v>
      </c>
      <c r="N2378" s="77"/>
      <c r="O2378" s="77"/>
      <c r="P2378" s="76"/>
      <c r="Q2378" s="76"/>
    </row>
    <row r="2379" spans="7:17" hidden="1" outlineLevel="6" x14ac:dyDescent="0.25">
      <c r="H2379" s="75" t="s">
        <v>116</v>
      </c>
      <c r="I2379" s="76"/>
      <c r="J2379" s="78">
        <f>HYPERLINK("#Структура!E2623",Структура!E2623)</f>
        <v>0.7</v>
      </c>
      <c r="K2379" s="114" t="str">
        <f>HYPERLINK("#Структура!G2623","")</f>
        <v/>
      </c>
      <c r="L2379" s="120">
        <f>HYPERLINK("#Покупные_изделия!D291",Покупные_изделия!D291)</f>
        <v>120</v>
      </c>
      <c r="M2379" s="76">
        <f>J2379*L2379</f>
        <v>84</v>
      </c>
      <c r="N2379" s="77"/>
      <c r="O2379" s="77"/>
      <c r="P2379" s="76"/>
      <c r="Q2379" s="76"/>
    </row>
    <row r="2380" spans="7:17" hidden="1" outlineLevel="6" x14ac:dyDescent="0.25">
      <c r="H2380" s="75" t="s">
        <v>146</v>
      </c>
      <c r="I2380" s="76"/>
      <c r="J2380" s="78">
        <f>HYPERLINK("#Структура!E2624",Структура!E2624)</f>
        <v>7.0000000000000001E-3</v>
      </c>
      <c r="K2380" s="114" t="str">
        <f>HYPERLINK("#Структура!G2624","")</f>
        <v/>
      </c>
      <c r="L2380" s="120">
        <f>HYPERLINK("#Покупные_изделия!D406",Покупные_изделия!D406)</f>
        <v>105.996</v>
      </c>
      <c r="M2380" s="76">
        <f>J2380*L2380</f>
        <v>0.74197199999999996</v>
      </c>
      <c r="N2380" s="77"/>
      <c r="O2380" s="77"/>
      <c r="P2380" s="76"/>
      <c r="Q2380" s="76"/>
    </row>
    <row r="2381" spans="7:17" hidden="1" outlineLevel="5" collapsed="1" x14ac:dyDescent="0.25">
      <c r="G2381" s="84" t="s">
        <v>1360</v>
      </c>
      <c r="H2381" s="80"/>
      <c r="I2381" s="81"/>
      <c r="J2381" s="83">
        <f>HYPERLINK("#Структура!E2610",Структура!E2610)</f>
        <v>1</v>
      </c>
      <c r="K2381" s="115">
        <f>HYPERLINK("#Структура!G2610",Структура!G2610)</f>
        <v>0.30038999999999999</v>
      </c>
      <c r="L2381" s="81">
        <f>M2381/J2381</f>
        <v>54</v>
      </c>
      <c r="M2381" s="81">
        <f>SUMIF(H2382,"*",M2382)*J2381</f>
        <v>54</v>
      </c>
      <c r="N2381" s="124">
        <f>HYPERLINK("#Трудозатраты!B649",Трудозатраты!B649+SUMIF(H2382,"*",O2382))</f>
        <v>30.9</v>
      </c>
      <c r="O2381" s="82">
        <f>N2381*J2381</f>
        <v>30.9</v>
      </c>
      <c r="P2381" s="81">
        <f>O2381/60*(1+запас_труд)*стоимость_трудочаса</f>
        <v>1210.25</v>
      </c>
      <c r="Q2381" s="129">
        <f>M2381*(1+наценка_покупное)+P2381</f>
        <v>1275.05</v>
      </c>
    </row>
    <row r="2382" spans="7:17" hidden="1" outlineLevel="6" x14ac:dyDescent="0.25">
      <c r="H2382" s="75" t="s">
        <v>113</v>
      </c>
      <c r="I2382" s="76"/>
      <c r="J2382" s="78">
        <f>HYPERLINK("#Структура!E2625",Структура!E2625)</f>
        <v>0.45</v>
      </c>
      <c r="K2382" s="114" t="str">
        <f>HYPERLINK("#Структура!G2625","")</f>
        <v/>
      </c>
      <c r="L2382" s="120">
        <f>HYPERLINK("#Покупные_изделия!D286",Покупные_изделия!D286)</f>
        <v>120</v>
      </c>
      <c r="M2382" s="76">
        <f>J2382*L2382</f>
        <v>54</v>
      </c>
      <c r="N2382" s="77"/>
      <c r="O2382" s="77"/>
      <c r="P2382" s="76"/>
      <c r="Q2382" s="76"/>
    </row>
    <row r="2383" spans="7:17" hidden="1" outlineLevel="5" collapsed="1" x14ac:dyDescent="0.25">
      <c r="G2383" s="84" t="s">
        <v>1361</v>
      </c>
      <c r="H2383" s="80"/>
      <c r="I2383" s="81"/>
      <c r="J2383" s="83">
        <f>HYPERLINK("#Структура!E2611",Структура!E2611)</f>
        <v>1</v>
      </c>
      <c r="K2383" s="115">
        <f>HYPERLINK("#Структура!G2611",Структура!G2611)</f>
        <v>0.68423999999999996</v>
      </c>
      <c r="L2383" s="81">
        <f>M2383/J2383</f>
        <v>96</v>
      </c>
      <c r="M2383" s="81">
        <f>SUMIF(H2384,"*",M2384)*J2383</f>
        <v>96</v>
      </c>
      <c r="N2383" s="124">
        <f>HYPERLINK("#Трудозатраты!B650",Трудозатраты!B650+SUMIF(H2384,"*",O2384))</f>
        <v>33</v>
      </c>
      <c r="O2383" s="82">
        <f>N2383*J2383</f>
        <v>33</v>
      </c>
      <c r="P2383" s="81">
        <f>O2383/60*(1+запас_труд)*стоимость_трудочаса</f>
        <v>1292.5</v>
      </c>
      <c r="Q2383" s="129">
        <f>M2383*(1+наценка_покупное)+P2383</f>
        <v>1407.7</v>
      </c>
    </row>
    <row r="2384" spans="7:17" hidden="1" outlineLevel="6" x14ac:dyDescent="0.25">
      <c r="H2384" s="75" t="s">
        <v>183</v>
      </c>
      <c r="I2384" s="76"/>
      <c r="J2384" s="78">
        <f>HYPERLINK("#Структура!E2626",Структура!E2626)</f>
        <v>0.8</v>
      </c>
      <c r="K2384" s="114" t="str">
        <f>HYPERLINK("#Структура!G2626","")</f>
        <v/>
      </c>
      <c r="L2384" s="120">
        <f>HYPERLINK("#Покупные_изделия!D494",Покупные_изделия!D494)</f>
        <v>120</v>
      </c>
      <c r="M2384" s="76">
        <f>J2384*L2384</f>
        <v>96</v>
      </c>
      <c r="N2384" s="77"/>
      <c r="O2384" s="77"/>
      <c r="P2384" s="76"/>
      <c r="Q2384" s="76"/>
    </row>
    <row r="2385" spans="6:17" hidden="1" outlineLevel="5" collapsed="1" x14ac:dyDescent="0.25">
      <c r="G2385" s="84" t="s">
        <v>1362</v>
      </c>
      <c r="H2385" s="80"/>
      <c r="I2385" s="81"/>
      <c r="J2385" s="83">
        <f>HYPERLINK("#Структура!E2612",Структура!E2612)</f>
        <v>1</v>
      </c>
      <c r="K2385" s="115">
        <f>HYPERLINK("#Структура!G2612",Структура!G2612)</f>
        <v>8.3070000000000005E-2</v>
      </c>
      <c r="L2385" s="81">
        <f>M2385/J2385</f>
        <v>33.634009199999994</v>
      </c>
      <c r="M2385" s="81">
        <f>SUMIF(H2386:H2388,"*",M2386:M2388)*J2385</f>
        <v>33.634009199999994</v>
      </c>
      <c r="N2385" s="124">
        <f>HYPERLINK("#Трудозатраты!B651",Трудозатраты!B651+SUMIF(H2386:H2388,"*",O2386:O2388))</f>
        <v>13.225000000000001</v>
      </c>
      <c r="O2385" s="82">
        <f>N2385*J2385</f>
        <v>13.225000000000001</v>
      </c>
      <c r="P2385" s="81">
        <f>O2385/60*(1+запас_труд)*стоимость_трудочаса</f>
        <v>517.97916666666674</v>
      </c>
      <c r="Q2385" s="129">
        <f>M2385*(1+наценка_покупное)+P2385</f>
        <v>558.33997770666679</v>
      </c>
    </row>
    <row r="2386" spans="6:17" hidden="1" outlineLevel="6" x14ac:dyDescent="0.25">
      <c r="H2386" s="75" t="s">
        <v>67</v>
      </c>
      <c r="I2386" s="76"/>
      <c r="J2386" s="78">
        <f>HYPERLINK("#Структура!E2627",Структура!E2627)</f>
        <v>7.0000000000000001E-3</v>
      </c>
      <c r="K2386" s="114" t="str">
        <f>HYPERLINK("#Структура!G2627","")</f>
        <v/>
      </c>
      <c r="L2386" s="120">
        <f>HYPERLINK("#Покупные_изделия!D203",Покупные_изделия!D203)</f>
        <v>30.003600000000002</v>
      </c>
      <c r="M2386" s="76">
        <f t="shared" ref="M2386:M2394" si="93">J2386*L2386</f>
        <v>0.21002520000000002</v>
      </c>
      <c r="N2386" s="77"/>
      <c r="O2386" s="77"/>
      <c r="P2386" s="76"/>
      <c r="Q2386" s="76"/>
    </row>
    <row r="2387" spans="6:17" hidden="1" outlineLevel="6" x14ac:dyDescent="0.25">
      <c r="H2387" s="75" t="s">
        <v>108</v>
      </c>
      <c r="I2387" s="76"/>
      <c r="J2387" s="78">
        <f>HYPERLINK("#Структура!E2628",Структура!E2628)</f>
        <v>0.11</v>
      </c>
      <c r="K2387" s="114" t="str">
        <f>HYPERLINK("#Структура!G2628","")</f>
        <v/>
      </c>
      <c r="L2387" s="120">
        <f>HYPERLINK("#Покупные_изделия!D280",Покупные_изделия!D280)</f>
        <v>300</v>
      </c>
      <c r="M2387" s="76">
        <f t="shared" si="93"/>
        <v>33</v>
      </c>
      <c r="N2387" s="77"/>
      <c r="O2387" s="77"/>
      <c r="P2387" s="76"/>
      <c r="Q2387" s="76"/>
    </row>
    <row r="2388" spans="6:17" hidden="1" outlineLevel="6" x14ac:dyDescent="0.25">
      <c r="H2388" s="75" t="s">
        <v>146</v>
      </c>
      <c r="I2388" s="76"/>
      <c r="J2388" s="78">
        <f>HYPERLINK("#Структура!E2629",Структура!E2629)</f>
        <v>4.0000000000000001E-3</v>
      </c>
      <c r="K2388" s="114" t="str">
        <f>HYPERLINK("#Структура!G2629","")</f>
        <v/>
      </c>
      <c r="L2388" s="120">
        <f>HYPERLINK("#Покупные_изделия!D406",Покупные_изделия!D406)</f>
        <v>105.996</v>
      </c>
      <c r="M2388" s="76">
        <f t="shared" si="93"/>
        <v>0.42398399999999997</v>
      </c>
      <c r="N2388" s="77"/>
      <c r="O2388" s="77"/>
      <c r="P2388" s="76"/>
      <c r="Q2388" s="76"/>
    </row>
    <row r="2389" spans="6:17" hidden="1" outlineLevel="5" x14ac:dyDescent="0.25">
      <c r="G2389" s="74" t="s">
        <v>65</v>
      </c>
      <c r="H2389" s="75"/>
      <c r="I2389" s="76"/>
      <c r="J2389" s="78">
        <f>HYPERLINK("#Структура!E2613",Структура!E2613)</f>
        <v>0.06</v>
      </c>
      <c r="K2389" s="114" t="str">
        <f>HYPERLINK("#Структура!G2613","")</f>
        <v/>
      </c>
      <c r="L2389" s="120">
        <f>HYPERLINK("#Покупные_изделия!D197",Покупные_изделия!D197)</f>
        <v>264.50399999999996</v>
      </c>
      <c r="M2389" s="76">
        <f t="shared" si="93"/>
        <v>15.870239999999997</v>
      </c>
      <c r="N2389" s="77"/>
      <c r="O2389" s="77"/>
      <c r="P2389" s="76"/>
      <c r="Q2389" s="76"/>
    </row>
    <row r="2390" spans="6:17" hidden="1" outlineLevel="5" x14ac:dyDescent="0.25">
      <c r="G2390" s="74" t="s">
        <v>67</v>
      </c>
      <c r="H2390" s="75"/>
      <c r="I2390" s="76"/>
      <c r="J2390" s="78">
        <f>HYPERLINK("#Структура!E2614",Структура!E2614)</f>
        <v>0.317</v>
      </c>
      <c r="K2390" s="114" t="str">
        <f>HYPERLINK("#Структура!G2614","")</f>
        <v/>
      </c>
      <c r="L2390" s="120">
        <f>HYPERLINK("#Покупные_изделия!D203",Покупные_изделия!D203)</f>
        <v>30.003600000000002</v>
      </c>
      <c r="M2390" s="76">
        <f t="shared" si="93"/>
        <v>9.5111412000000009</v>
      </c>
      <c r="N2390" s="77"/>
      <c r="O2390" s="77"/>
      <c r="P2390" s="76"/>
      <c r="Q2390" s="76"/>
    </row>
    <row r="2391" spans="6:17" hidden="1" outlineLevel="5" x14ac:dyDescent="0.25">
      <c r="G2391" s="74" t="s">
        <v>146</v>
      </c>
      <c r="H2391" s="75"/>
      <c r="I2391" s="76"/>
      <c r="J2391" s="78">
        <f>HYPERLINK("#Структура!E2615",Структура!E2615)</f>
        <v>0.186</v>
      </c>
      <c r="K2391" s="114" t="str">
        <f>HYPERLINK("#Структура!G2615","")</f>
        <v/>
      </c>
      <c r="L2391" s="120">
        <f>HYPERLINK("#Покупные_изделия!D406",Покупные_изделия!D406)</f>
        <v>105.996</v>
      </c>
      <c r="M2391" s="76">
        <f t="shared" si="93"/>
        <v>19.715256</v>
      </c>
      <c r="N2391" s="77"/>
      <c r="O2391" s="77"/>
      <c r="P2391" s="76"/>
      <c r="Q2391" s="76"/>
    </row>
    <row r="2392" spans="6:17" hidden="1" outlineLevel="5" x14ac:dyDescent="0.25">
      <c r="G2392" s="74" t="s">
        <v>155</v>
      </c>
      <c r="H2392" s="75"/>
      <c r="I2392" s="76"/>
      <c r="J2392" s="78">
        <f>HYPERLINK("#Структура!E2616",Структура!E2616)</f>
        <v>3.5999999999999997E-2</v>
      </c>
      <c r="K2392" s="114" t="str">
        <f>HYPERLINK("#Структура!G2616","")</f>
        <v/>
      </c>
      <c r="L2392" s="120">
        <f>HYPERLINK("#Покупные_изделия!D423",Покупные_изделия!D423)</f>
        <v>218.28</v>
      </c>
      <c r="M2392" s="76">
        <f t="shared" si="93"/>
        <v>7.8580799999999993</v>
      </c>
      <c r="N2392" s="77"/>
      <c r="O2392" s="77"/>
      <c r="P2392" s="76"/>
      <c r="Q2392" s="76"/>
    </row>
    <row r="2393" spans="6:17" hidden="1" outlineLevel="5" x14ac:dyDescent="0.25">
      <c r="G2393" s="74" t="s">
        <v>200</v>
      </c>
      <c r="H2393" s="75"/>
      <c r="I2393" s="76"/>
      <c r="J2393" s="78">
        <f>HYPERLINK("#Структура!E2617",Структура!E2617)</f>
        <v>8.0000000000000002E-3</v>
      </c>
      <c r="K2393" s="114" t="str">
        <f>HYPERLINK("#Структура!G2617","")</f>
        <v/>
      </c>
      <c r="L2393" s="120">
        <f>HYPERLINK("#Покупные_изделия!D518",Покупные_изделия!D518)</f>
        <v>270</v>
      </c>
      <c r="M2393" s="76">
        <f t="shared" si="93"/>
        <v>2.16</v>
      </c>
      <c r="N2393" s="77"/>
      <c r="O2393" s="77"/>
      <c r="P2393" s="76"/>
      <c r="Q2393" s="76"/>
    </row>
    <row r="2394" spans="6:17" hidden="1" outlineLevel="5" x14ac:dyDescent="0.25">
      <c r="G2394" s="74" t="s">
        <v>215</v>
      </c>
      <c r="H2394" s="75"/>
      <c r="I2394" s="76"/>
      <c r="J2394" s="78">
        <f>HYPERLINK("#Структура!E2618",Структура!E2618)</f>
        <v>0.12</v>
      </c>
      <c r="K2394" s="114" t="str">
        <f>HYPERLINK("#Структура!G2618","")</f>
        <v/>
      </c>
      <c r="L2394" s="120">
        <f>HYPERLINK("#Покупные_изделия!D567",Покупные_изделия!D567)</f>
        <v>405.74399999999997</v>
      </c>
      <c r="M2394" s="76">
        <f t="shared" si="93"/>
        <v>48.689279999999997</v>
      </c>
      <c r="N2394" s="77"/>
      <c r="O2394" s="77"/>
      <c r="P2394" s="76"/>
      <c r="Q2394" s="76"/>
    </row>
    <row r="2395" spans="6:17" hidden="1" outlineLevel="4" collapsed="1" x14ac:dyDescent="0.25">
      <c r="F2395" s="96" t="s">
        <v>1338</v>
      </c>
      <c r="G2395" s="91"/>
      <c r="H2395" s="92"/>
      <c r="I2395" s="93"/>
      <c r="J2395" s="95">
        <f>HYPERLINK("#Структура!E2493",Структура!E2493)</f>
        <v>2</v>
      </c>
      <c r="K2395" s="116">
        <f>HYPERLINK("#Структура!G2493",Структура!G2493)</f>
        <v>1.83558</v>
      </c>
      <c r="L2395" s="93">
        <f>M2395/J2395</f>
        <v>529.55071359999999</v>
      </c>
      <c r="M2395" s="93">
        <f>SUMIF(G2396:G2420,"*",M2396:M2420)*J2395</f>
        <v>1059.1014272</v>
      </c>
      <c r="N2395" s="125">
        <f>HYPERLINK("#Трудозатраты!B658",Трудозатраты!B658+SUMIF(G2396:G2420,"*",O2396:O2420))</f>
        <v>300.90000000000003</v>
      </c>
      <c r="O2395" s="94">
        <f>N2395*J2395</f>
        <v>601.80000000000007</v>
      </c>
      <c r="P2395" s="93">
        <f>O2395/60*(1+запас_труд)*стоимость_трудочаса</f>
        <v>23570.500000000004</v>
      </c>
      <c r="Q2395" s="130">
        <f>M2395*(1+наценка_покупное)+P2395</f>
        <v>24841.421712640004</v>
      </c>
    </row>
    <row r="2396" spans="6:17" hidden="1" outlineLevel="5" collapsed="1" x14ac:dyDescent="0.25">
      <c r="G2396" s="97" t="s">
        <v>1368</v>
      </c>
      <c r="H2396" s="99"/>
      <c r="I2396" s="100"/>
      <c r="J2396" s="102">
        <f>HYPERLINK("#Структура!E2642",Структура!E2642)</f>
        <v>1</v>
      </c>
      <c r="K2396" s="112">
        <f>HYPERLINK("#Структура!G2642",Структура!G2642)</f>
        <v>0.81493000000000004</v>
      </c>
      <c r="L2396" s="100">
        <f>M2396/J2396</f>
        <v>151.0501184</v>
      </c>
      <c r="M2396" s="100">
        <f>SUMIF(H2397:H2404,"*",M2397:M2404)*J2396</f>
        <v>151.0501184</v>
      </c>
      <c r="N2396" s="122">
        <f>HYPERLINK("#Трудозатраты!B660",Трудозатраты!B660+SUMIF(H2397:H2404,"*",O2397:O2404))</f>
        <v>103.4</v>
      </c>
      <c r="O2396" s="101">
        <f>N2396*J2396</f>
        <v>103.4</v>
      </c>
      <c r="P2396" s="100">
        <f>O2396/60*(1+запас_труд)*стоимость_трудочаса</f>
        <v>4049.8333333333335</v>
      </c>
      <c r="Q2396" s="127">
        <f>M2396*(1+наценка_покупное)+P2396</f>
        <v>4231.0934754133332</v>
      </c>
    </row>
    <row r="2397" spans="6:17" hidden="1" outlineLevel="6" collapsed="1" x14ac:dyDescent="0.25">
      <c r="H2397" s="104" t="s">
        <v>1371</v>
      </c>
      <c r="I2397" s="88"/>
      <c r="J2397" s="90">
        <f>HYPERLINK("#Структура!E2653",Структура!E2653)</f>
        <v>1</v>
      </c>
      <c r="K2397" s="113">
        <f>HYPERLINK("#Структура!G2653",Структура!G2653)</f>
        <v>0.29077999999999998</v>
      </c>
      <c r="L2397" s="88">
        <f>M2397/J2397</f>
        <v>60</v>
      </c>
      <c r="M2397" s="88">
        <f>SUMIF(I2398,"*",M2398)*J2397</f>
        <v>60</v>
      </c>
      <c r="N2397" s="123">
        <f>HYPERLINK("#Трудозатраты!B661",Трудозатраты!B661+SUMIF(I2398,"*",O2398))</f>
        <v>15.9</v>
      </c>
      <c r="O2397" s="89">
        <f>N2397*J2397</f>
        <v>15.9</v>
      </c>
      <c r="P2397" s="88">
        <f>O2397/60*(1+запас_труд)*стоимость_трудочаса</f>
        <v>622.75</v>
      </c>
      <c r="Q2397" s="128">
        <f>M2397*(1+наценка_покупное)+P2397</f>
        <v>694.75</v>
      </c>
    </row>
    <row r="2398" spans="6:17" hidden="1" outlineLevel="7" x14ac:dyDescent="0.25">
      <c r="I2398" s="76" t="s">
        <v>109</v>
      </c>
      <c r="J2398" s="78">
        <f>HYPERLINK("#Структура!E2658",Структура!E2658)</f>
        <v>0.5</v>
      </c>
      <c r="K2398" s="114" t="str">
        <f>HYPERLINK("#Структура!G2658","")</f>
        <v/>
      </c>
      <c r="L2398" s="120">
        <f>HYPERLINK("#Покупные_изделия!D281",Покупные_изделия!D281)</f>
        <v>120</v>
      </c>
      <c r="M2398" s="76">
        <f>J2398*L2398</f>
        <v>60</v>
      </c>
      <c r="N2398" s="77"/>
      <c r="O2398" s="77"/>
      <c r="P2398" s="76"/>
      <c r="Q2398" s="76"/>
    </row>
    <row r="2399" spans="6:17" hidden="1" outlineLevel="6" collapsed="1" x14ac:dyDescent="0.25">
      <c r="H2399" s="103" t="s">
        <v>1372</v>
      </c>
      <c r="I2399" s="81"/>
      <c r="J2399" s="83">
        <f>HYPERLINK("#Структура!E2654",Структура!E2654)</f>
        <v>1</v>
      </c>
      <c r="K2399" s="115">
        <f>HYPERLINK("#Структура!G2654",Структура!G2654)</f>
        <v>8.9849999999999999E-2</v>
      </c>
      <c r="L2399" s="81">
        <f>M2399/J2399</f>
        <v>26</v>
      </c>
      <c r="M2399" s="81">
        <f>SUMIF(I2400,"*",M2400)*J2399</f>
        <v>26</v>
      </c>
      <c r="N2399" s="124">
        <f>HYPERLINK("#Трудозатраты!B662",Трудозатраты!B662+SUMIF(I2400,"*",O2400))</f>
        <v>47</v>
      </c>
      <c r="O2399" s="82">
        <f>N2399*J2399</f>
        <v>47</v>
      </c>
      <c r="P2399" s="81">
        <f>O2399/60*(1+запас_труд)*стоимость_трудочаса</f>
        <v>1840.8333333333333</v>
      </c>
      <c r="Q2399" s="129">
        <f>M2399*(1+наценка_покупное)+P2399</f>
        <v>1872.0333333333333</v>
      </c>
    </row>
    <row r="2400" spans="6:17" hidden="1" outlineLevel="7" x14ac:dyDescent="0.25">
      <c r="I2400" s="76" t="s">
        <v>97</v>
      </c>
      <c r="J2400" s="78">
        <f>HYPERLINK("#Структура!E2659",Структура!E2659)</f>
        <v>0.26</v>
      </c>
      <c r="K2400" s="114" t="str">
        <f>HYPERLINK("#Структура!G2659","")</f>
        <v/>
      </c>
      <c r="L2400" s="120">
        <f>HYPERLINK("#Покупные_изделия!D266",Покупные_изделия!D266)</f>
        <v>100</v>
      </c>
      <c r="M2400" s="76">
        <f>J2400*L2400</f>
        <v>26</v>
      </c>
      <c r="N2400" s="77"/>
      <c r="O2400" s="77"/>
      <c r="P2400" s="76"/>
      <c r="Q2400" s="76"/>
    </row>
    <row r="2401" spans="7:17" hidden="1" outlineLevel="6" collapsed="1" x14ac:dyDescent="0.25">
      <c r="H2401" s="103" t="s">
        <v>1373</v>
      </c>
      <c r="I2401" s="81"/>
      <c r="J2401" s="83">
        <f>HYPERLINK("#Структура!E2655",Структура!E2655)</f>
        <v>1</v>
      </c>
      <c r="K2401" s="115">
        <f>HYPERLINK("#Структура!G2655",Структура!G2655)</f>
        <v>0.43430000000000002</v>
      </c>
      <c r="L2401" s="81">
        <f>M2401/J2401</f>
        <v>56.4</v>
      </c>
      <c r="M2401" s="81">
        <f>SUMIF(I2402,"*",M2402)*J2401</f>
        <v>56.4</v>
      </c>
      <c r="N2401" s="124">
        <f>HYPERLINK("#Трудозатраты!B663",Трудозатраты!B663+SUMIF(I2402,"*",O2402))</f>
        <v>31.5</v>
      </c>
      <c r="O2401" s="82">
        <f>N2401*J2401</f>
        <v>31.5</v>
      </c>
      <c r="P2401" s="81">
        <f>O2401/60*(1+запас_труд)*стоимость_трудочаса</f>
        <v>1233.75</v>
      </c>
      <c r="Q2401" s="129">
        <f>M2401*(1+наценка_покупное)+P2401</f>
        <v>1301.43</v>
      </c>
    </row>
    <row r="2402" spans="7:17" hidden="1" outlineLevel="7" x14ac:dyDescent="0.25">
      <c r="I2402" s="76" t="s">
        <v>180</v>
      </c>
      <c r="J2402" s="78">
        <f>HYPERLINK("#Структура!E2660",Структура!E2660)</f>
        <v>0.47</v>
      </c>
      <c r="K2402" s="114" t="str">
        <f>HYPERLINK("#Структура!G2660","")</f>
        <v/>
      </c>
      <c r="L2402" s="120">
        <f>HYPERLINK("#Покупные_изделия!D491",Покупные_изделия!D491)</f>
        <v>120</v>
      </c>
      <c r="M2402" s="76">
        <f>J2402*L2402</f>
        <v>56.4</v>
      </c>
      <c r="N2402" s="77"/>
      <c r="O2402" s="77"/>
      <c r="P2402" s="76"/>
      <c r="Q2402" s="76"/>
    </row>
    <row r="2403" spans="7:17" hidden="1" outlineLevel="6" x14ac:dyDescent="0.25">
      <c r="H2403" s="75" t="s">
        <v>67</v>
      </c>
      <c r="I2403" s="76"/>
      <c r="J2403" s="78">
        <f>HYPERLINK("#Структура!E2656",Структура!E2656)</f>
        <v>9.4E-2</v>
      </c>
      <c r="K2403" s="114" t="str">
        <f>HYPERLINK("#Структура!G2656","")</f>
        <v/>
      </c>
      <c r="L2403" s="120">
        <f>HYPERLINK("#Покупные_изделия!D203",Покупные_изделия!D203)</f>
        <v>30.003600000000002</v>
      </c>
      <c r="M2403" s="76">
        <f>J2403*L2403</f>
        <v>2.8203384000000002</v>
      </c>
      <c r="N2403" s="77"/>
      <c r="O2403" s="77"/>
      <c r="P2403" s="76"/>
      <c r="Q2403" s="76"/>
    </row>
    <row r="2404" spans="7:17" hidden="1" outlineLevel="6" x14ac:dyDescent="0.25">
      <c r="H2404" s="75" t="s">
        <v>146</v>
      </c>
      <c r="I2404" s="76"/>
      <c r="J2404" s="78">
        <f>HYPERLINK("#Структура!E2657",Структура!E2657)</f>
        <v>5.5E-2</v>
      </c>
      <c r="K2404" s="114" t="str">
        <f>HYPERLINK("#Структура!G2657","")</f>
        <v/>
      </c>
      <c r="L2404" s="120">
        <f>HYPERLINK("#Покупные_изделия!D406",Покупные_изделия!D406)</f>
        <v>105.996</v>
      </c>
      <c r="M2404" s="76">
        <f>J2404*L2404</f>
        <v>5.8297799999999995</v>
      </c>
      <c r="N2404" s="77"/>
      <c r="O2404" s="77"/>
      <c r="P2404" s="76"/>
      <c r="Q2404" s="76"/>
    </row>
    <row r="2405" spans="7:17" hidden="1" outlineLevel="5" collapsed="1" x14ac:dyDescent="0.25">
      <c r="G2405" s="96" t="s">
        <v>1369</v>
      </c>
      <c r="H2405" s="92"/>
      <c r="I2405" s="93"/>
      <c r="J2405" s="95">
        <f>HYPERLINK("#Структура!E2643",Структура!E2643)</f>
        <v>1</v>
      </c>
      <c r="K2405" s="116">
        <f>HYPERLINK("#Структура!G2643",Структура!G2643)</f>
        <v>0.16705</v>
      </c>
      <c r="L2405" s="93">
        <f>M2405/J2405</f>
        <v>43.310063599999999</v>
      </c>
      <c r="M2405" s="93">
        <f>SUMIF(H2406:H2411,"*",M2406:M2411)*J2405</f>
        <v>43.310063599999999</v>
      </c>
      <c r="N2405" s="125">
        <f>HYPERLINK("#Трудозатраты!B664",Трудозатраты!B664+SUMIF(H2406:H2411,"*",O2406:O2411))</f>
        <v>143.80000000000001</v>
      </c>
      <c r="O2405" s="94">
        <f>N2405*J2405</f>
        <v>143.80000000000001</v>
      </c>
      <c r="P2405" s="93">
        <f>O2405/60*(1+запас_труд)*стоимость_трудочаса</f>
        <v>5632.166666666667</v>
      </c>
      <c r="Q2405" s="130">
        <f>M2405*(1+наценка_покупное)+P2405</f>
        <v>5684.1387429866672</v>
      </c>
    </row>
    <row r="2406" spans="7:17" hidden="1" outlineLevel="6" collapsed="1" x14ac:dyDescent="0.25">
      <c r="H2406" s="104" t="s">
        <v>1372</v>
      </c>
      <c r="I2406" s="88"/>
      <c r="J2406" s="90">
        <f>HYPERLINK("#Структура!E2661",Структура!E2661)</f>
        <v>1</v>
      </c>
      <c r="K2406" s="113">
        <f>HYPERLINK("#Структура!G2661",Структура!G2661)</f>
        <v>8.9849999999999999E-2</v>
      </c>
      <c r="L2406" s="88">
        <f>M2406/J2406</f>
        <v>26</v>
      </c>
      <c r="M2406" s="88">
        <f>SUMIF(I2407,"*",M2407)*J2406</f>
        <v>26</v>
      </c>
      <c r="N2406" s="123">
        <f>HYPERLINK("#Трудозатраты!B662",Трудозатраты!B662+SUMIF(I2407,"*",O2407))</f>
        <v>47</v>
      </c>
      <c r="O2406" s="89">
        <f>N2406*J2406</f>
        <v>47</v>
      </c>
      <c r="P2406" s="88">
        <f>O2406/60*(1+запас_труд)*стоимость_трудочаса</f>
        <v>1840.8333333333333</v>
      </c>
      <c r="Q2406" s="128">
        <f>M2406*(1+наценка_покупное)+P2406</f>
        <v>1872.0333333333333</v>
      </c>
    </row>
    <row r="2407" spans="7:17" hidden="1" outlineLevel="7" x14ac:dyDescent="0.25">
      <c r="I2407" s="76" t="s">
        <v>97</v>
      </c>
      <c r="J2407" s="78">
        <f>HYPERLINK("#Структура!E2659",Структура!E2659)</f>
        <v>0.26</v>
      </c>
      <c r="K2407" s="114" t="str">
        <f>HYPERLINK("#Структура!G2659","")</f>
        <v/>
      </c>
      <c r="L2407" s="120">
        <f>HYPERLINK("#Покупные_изделия!D266",Покупные_изделия!D266)</f>
        <v>100</v>
      </c>
      <c r="M2407" s="76">
        <f>J2407*L2407</f>
        <v>26</v>
      </c>
      <c r="N2407" s="77"/>
      <c r="O2407" s="77"/>
      <c r="P2407" s="76"/>
      <c r="Q2407" s="76"/>
    </row>
    <row r="2408" spans="7:17" hidden="1" outlineLevel="6" collapsed="1" x14ac:dyDescent="0.25">
      <c r="H2408" s="103" t="s">
        <v>1374</v>
      </c>
      <c r="I2408" s="81"/>
      <c r="J2408" s="83">
        <f>HYPERLINK("#Структура!E2662",Структура!E2662)</f>
        <v>3</v>
      </c>
      <c r="K2408" s="115">
        <f>HYPERLINK("#Структура!G2662",Структура!G2662)</f>
        <v>2.5729999999999999E-2</v>
      </c>
      <c r="L2408" s="81">
        <f>M2408/J2408</f>
        <v>4.2</v>
      </c>
      <c r="M2408" s="81">
        <f>SUMIF(I2409,"*",M2409)*J2408</f>
        <v>12.600000000000001</v>
      </c>
      <c r="N2408" s="124">
        <f>HYPERLINK("#Трудозатраты!B665",Трудозатраты!B665+SUMIF(I2409,"*",O2409))</f>
        <v>28.6</v>
      </c>
      <c r="O2408" s="82">
        <f>N2408*J2408</f>
        <v>85.800000000000011</v>
      </c>
      <c r="P2408" s="81">
        <f>O2408/60*(1+запас_труд)*стоимость_трудочаса</f>
        <v>3360.5000000000005</v>
      </c>
      <c r="Q2408" s="129">
        <f>M2408*(1+наценка_покупное)+P2408</f>
        <v>3375.6200000000003</v>
      </c>
    </row>
    <row r="2409" spans="7:17" hidden="1" outlineLevel="7" x14ac:dyDescent="0.25">
      <c r="I2409" s="76" t="s">
        <v>78</v>
      </c>
      <c r="J2409" s="78">
        <f>HYPERLINK("#Структура!E2665",Структура!E2665)</f>
        <v>4.2000000000000003E-2</v>
      </c>
      <c r="K2409" s="114" t="str">
        <f>HYPERLINK("#Структура!G2665","")</f>
        <v/>
      </c>
      <c r="L2409" s="120">
        <f>HYPERLINK("#Покупные_изделия!D247",Покупные_изделия!D247)</f>
        <v>100</v>
      </c>
      <c r="M2409" s="76">
        <f>J2409*L2409</f>
        <v>4.2</v>
      </c>
      <c r="N2409" s="77"/>
      <c r="O2409" s="77"/>
      <c r="P2409" s="76"/>
      <c r="Q2409" s="76"/>
    </row>
    <row r="2410" spans="7:17" hidden="1" outlineLevel="6" x14ac:dyDescent="0.25">
      <c r="H2410" s="75" t="s">
        <v>67</v>
      </c>
      <c r="I2410" s="76"/>
      <c r="J2410" s="78">
        <f>HYPERLINK("#Структура!E2663",Структура!E2663)</f>
        <v>5.0999999999999997E-2</v>
      </c>
      <c r="K2410" s="114" t="str">
        <f>HYPERLINK("#Структура!G2663","")</f>
        <v/>
      </c>
      <c r="L2410" s="120">
        <f>HYPERLINK("#Покупные_изделия!D203",Покупные_изделия!D203)</f>
        <v>30.003600000000002</v>
      </c>
      <c r="M2410" s="76">
        <f>J2410*L2410</f>
        <v>1.5301836</v>
      </c>
      <c r="N2410" s="77"/>
      <c r="O2410" s="77"/>
      <c r="P2410" s="76"/>
      <c r="Q2410" s="76"/>
    </row>
    <row r="2411" spans="7:17" hidden="1" outlineLevel="6" x14ac:dyDescent="0.25">
      <c r="H2411" s="75" t="s">
        <v>146</v>
      </c>
      <c r="I2411" s="76"/>
      <c r="J2411" s="78">
        <f>HYPERLINK("#Структура!E2664",Структура!E2664)</f>
        <v>0.03</v>
      </c>
      <c r="K2411" s="114" t="str">
        <f>HYPERLINK("#Структура!G2664","")</f>
        <v/>
      </c>
      <c r="L2411" s="120">
        <f>HYPERLINK("#Покупные_изделия!D406",Покупные_изделия!D406)</f>
        <v>105.996</v>
      </c>
      <c r="M2411" s="76">
        <f>J2411*L2411</f>
        <v>3.1798799999999998</v>
      </c>
      <c r="N2411" s="77"/>
      <c r="O2411" s="77"/>
      <c r="P2411" s="76"/>
      <c r="Q2411" s="76"/>
    </row>
    <row r="2412" spans="7:17" hidden="1" outlineLevel="5" collapsed="1" x14ac:dyDescent="0.25">
      <c r="G2412" s="84" t="s">
        <v>1370</v>
      </c>
      <c r="H2412" s="80"/>
      <c r="I2412" s="81"/>
      <c r="J2412" s="83">
        <f>HYPERLINK("#Структура!E2644",Структура!E2644)</f>
        <v>1</v>
      </c>
      <c r="K2412" s="115">
        <f>HYPERLINK("#Структура!G2644",Структура!G2644)</f>
        <v>0.85358999999999996</v>
      </c>
      <c r="L2412" s="81">
        <f>M2412/J2412</f>
        <v>108</v>
      </c>
      <c r="M2412" s="81">
        <f>SUMIF(H2413,"*",M2413)*J2412</f>
        <v>108</v>
      </c>
      <c r="N2412" s="124">
        <f>HYPERLINK("#Трудозатраты!B659",Трудозатраты!B659+SUMIF(H2413,"*",O2413))</f>
        <v>37</v>
      </c>
      <c r="O2412" s="82">
        <f>N2412*J2412</f>
        <v>37</v>
      </c>
      <c r="P2412" s="81">
        <f>O2412/60*(1+запас_труд)*стоимость_трудочаса</f>
        <v>1449.1666666666667</v>
      </c>
      <c r="Q2412" s="129">
        <f>M2412*(1+наценка_покупное)+P2412</f>
        <v>1578.7666666666667</v>
      </c>
    </row>
    <row r="2413" spans="7:17" hidden="1" outlineLevel="6" x14ac:dyDescent="0.25">
      <c r="H2413" s="75" t="s">
        <v>177</v>
      </c>
      <c r="I2413" s="76"/>
      <c r="J2413" s="78">
        <f>HYPERLINK("#Структура!E2652",Структура!E2652)</f>
        <v>0.9</v>
      </c>
      <c r="K2413" s="114" t="str">
        <f>HYPERLINK("#Структура!G2652","")</f>
        <v/>
      </c>
      <c r="L2413" s="120">
        <f>HYPERLINK("#Покупные_изделия!D488",Покупные_изделия!D488)</f>
        <v>120</v>
      </c>
      <c r="M2413" s="76">
        <f t="shared" ref="M2413:M2420" si="94">J2413*L2413</f>
        <v>108</v>
      </c>
      <c r="N2413" s="77"/>
      <c r="O2413" s="77"/>
      <c r="P2413" s="76"/>
      <c r="Q2413" s="76"/>
    </row>
    <row r="2414" spans="7:17" hidden="1" outlineLevel="5" x14ac:dyDescent="0.25">
      <c r="G2414" s="74" t="s">
        <v>65</v>
      </c>
      <c r="H2414" s="75"/>
      <c r="I2414" s="76"/>
      <c r="J2414" s="78">
        <f>HYPERLINK("#Структура!E2645",Структура!E2645)</f>
        <v>1.4999999999999999E-2</v>
      </c>
      <c r="K2414" s="114" t="str">
        <f>HYPERLINK("#Структура!G2645","")</f>
        <v/>
      </c>
      <c r="L2414" s="120">
        <f>HYPERLINK("#Покупные_изделия!D197",Покупные_изделия!D197)</f>
        <v>264.50399999999996</v>
      </c>
      <c r="M2414" s="76">
        <f t="shared" si="94"/>
        <v>3.9675599999999993</v>
      </c>
      <c r="N2414" s="77"/>
      <c r="O2414" s="77"/>
      <c r="P2414" s="76"/>
      <c r="Q2414" s="76"/>
    </row>
    <row r="2415" spans="7:17" hidden="1" outlineLevel="5" x14ac:dyDescent="0.25">
      <c r="G2415" s="74" t="s">
        <v>67</v>
      </c>
      <c r="H2415" s="75"/>
      <c r="I2415" s="76"/>
      <c r="J2415" s="78">
        <f>HYPERLINK("#Структура!E2646",Структура!E2646)</f>
        <v>1.0999999999999999E-2</v>
      </c>
      <c r="K2415" s="114" t="str">
        <f>HYPERLINK("#Структура!G2646","")</f>
        <v/>
      </c>
      <c r="L2415" s="120">
        <f>HYPERLINK("#Покупные_изделия!D203",Покупные_изделия!D203)</f>
        <v>30.003600000000002</v>
      </c>
      <c r="M2415" s="76">
        <f t="shared" si="94"/>
        <v>0.33003959999999999</v>
      </c>
      <c r="N2415" s="77"/>
      <c r="O2415" s="77"/>
      <c r="P2415" s="76"/>
      <c r="Q2415" s="76"/>
    </row>
    <row r="2416" spans="7:17" hidden="1" outlineLevel="5" x14ac:dyDescent="0.25">
      <c r="G2416" s="74" t="s">
        <v>146</v>
      </c>
      <c r="H2416" s="75"/>
      <c r="I2416" s="76"/>
      <c r="J2416" s="78">
        <f>HYPERLINK("#Структура!E2647",Структура!E2647)</f>
        <v>6.0000000000000001E-3</v>
      </c>
      <c r="K2416" s="114" t="str">
        <f>HYPERLINK("#Структура!G2647","")</f>
        <v/>
      </c>
      <c r="L2416" s="120">
        <f>HYPERLINK("#Покупные_изделия!D406",Покупные_изделия!D406)</f>
        <v>105.996</v>
      </c>
      <c r="M2416" s="76">
        <f t="shared" si="94"/>
        <v>0.63597599999999999</v>
      </c>
      <c r="N2416" s="77"/>
      <c r="O2416" s="77"/>
      <c r="P2416" s="76"/>
      <c r="Q2416" s="76"/>
    </row>
    <row r="2417" spans="6:17" hidden="1" outlineLevel="5" x14ac:dyDescent="0.25">
      <c r="G2417" s="74" t="s">
        <v>155</v>
      </c>
      <c r="H2417" s="75"/>
      <c r="I2417" s="76"/>
      <c r="J2417" s="78">
        <f>HYPERLINK("#Структура!E2648",Структура!E2648)</f>
        <v>8.9999999999999993E-3</v>
      </c>
      <c r="K2417" s="114" t="str">
        <f>HYPERLINK("#Структура!G2648","")</f>
        <v/>
      </c>
      <c r="L2417" s="120">
        <f>HYPERLINK("#Покупные_изделия!D423",Покупные_изделия!D423)</f>
        <v>218.28</v>
      </c>
      <c r="M2417" s="76">
        <f t="shared" si="94"/>
        <v>1.9645199999999998</v>
      </c>
      <c r="N2417" s="77"/>
      <c r="O2417" s="77"/>
      <c r="P2417" s="76"/>
      <c r="Q2417" s="76"/>
    </row>
    <row r="2418" spans="6:17" hidden="1" outlineLevel="5" x14ac:dyDescent="0.25">
      <c r="G2418" s="74" t="s">
        <v>156</v>
      </c>
      <c r="H2418" s="75"/>
      <c r="I2418" s="76"/>
      <c r="J2418" s="78">
        <f>HYPERLINK("#Структура!E2649",Структура!E2649)</f>
        <v>1.2999999999999999E-2</v>
      </c>
      <c r="K2418" s="114" t="str">
        <f>HYPERLINK("#Структура!G2649","")</f>
        <v/>
      </c>
      <c r="L2418" s="120">
        <f>HYPERLINK("#Покупные_изделия!D427",Покупные_изделия!D427)</f>
        <v>155.53200000000001</v>
      </c>
      <c r="M2418" s="76">
        <f t="shared" si="94"/>
        <v>2.021916</v>
      </c>
      <c r="N2418" s="77"/>
      <c r="O2418" s="77"/>
      <c r="P2418" s="76"/>
      <c r="Q2418" s="76"/>
    </row>
    <row r="2419" spans="6:17" hidden="1" outlineLevel="5" x14ac:dyDescent="0.25">
      <c r="G2419" s="74" t="s">
        <v>161</v>
      </c>
      <c r="H2419" s="75"/>
      <c r="I2419" s="76"/>
      <c r="J2419" s="78">
        <f>HYPERLINK("#Структура!E2650",Структура!E2650)</f>
        <v>0.05</v>
      </c>
      <c r="K2419" s="114" t="str">
        <f>HYPERLINK("#Структура!G2650","")</f>
        <v/>
      </c>
      <c r="L2419" s="120">
        <f>HYPERLINK("#Покупные_изделия!D446",Покупные_изделия!D446)</f>
        <v>4121.9639999999999</v>
      </c>
      <c r="M2419" s="76">
        <f t="shared" si="94"/>
        <v>206.09820000000002</v>
      </c>
      <c r="N2419" s="77"/>
      <c r="O2419" s="77"/>
      <c r="P2419" s="76"/>
      <c r="Q2419" s="76"/>
    </row>
    <row r="2420" spans="6:17" hidden="1" outlineLevel="5" x14ac:dyDescent="0.25">
      <c r="G2420" s="74" t="s">
        <v>215</v>
      </c>
      <c r="H2420" s="75"/>
      <c r="I2420" s="76"/>
      <c r="J2420" s="78">
        <f>HYPERLINK("#Структура!E2651",Структура!E2651)</f>
        <v>0.03</v>
      </c>
      <c r="K2420" s="114" t="str">
        <f>HYPERLINK("#Структура!G2651","")</f>
        <v/>
      </c>
      <c r="L2420" s="120">
        <f>HYPERLINK("#Покупные_изделия!D567",Покупные_изделия!D567)</f>
        <v>405.74399999999997</v>
      </c>
      <c r="M2420" s="76">
        <f t="shared" si="94"/>
        <v>12.172319999999999</v>
      </c>
      <c r="N2420" s="77"/>
      <c r="O2420" s="77"/>
      <c r="P2420" s="76"/>
      <c r="Q2420" s="76"/>
    </row>
    <row r="2421" spans="6:17" hidden="1" outlineLevel="4" collapsed="1" x14ac:dyDescent="0.25">
      <c r="F2421" s="96" t="s">
        <v>1339</v>
      </c>
      <c r="G2421" s="91"/>
      <c r="H2421" s="92"/>
      <c r="I2421" s="93"/>
      <c r="J2421" s="95">
        <f>HYPERLINK("#Структура!E2494",Структура!E2494)</f>
        <v>1</v>
      </c>
      <c r="K2421" s="116">
        <f>HYPERLINK("#Структура!G2494",Структура!G2494)</f>
        <v>4.1160000000000002E-2</v>
      </c>
      <c r="L2421" s="93">
        <f>M2421/J2421</f>
        <v>19.0522092</v>
      </c>
      <c r="M2421" s="93">
        <f>SUMIF(G2422:G2426,"*",M2422:M2426)*J2421</f>
        <v>19.0522092</v>
      </c>
      <c r="N2421" s="125">
        <f>HYPERLINK("#Трудозатраты!B666",Трудозатраты!B666+SUMIF(G2422:G2426,"*",O2422:O2426))</f>
        <v>6.6</v>
      </c>
      <c r="O2421" s="94">
        <f>N2421*J2421</f>
        <v>6.6</v>
      </c>
      <c r="P2421" s="93">
        <f>O2421/60*(1+запас_труд)*стоимость_трудочаса</f>
        <v>258.5</v>
      </c>
      <c r="Q2421" s="130">
        <f>M2421*(1+наценка_покупное)+P2421</f>
        <v>281.36265104</v>
      </c>
    </row>
    <row r="2422" spans="6:17" hidden="1" outlineLevel="5" collapsed="1" x14ac:dyDescent="0.25">
      <c r="G2422" s="85" t="s">
        <v>1375</v>
      </c>
      <c r="H2422" s="87"/>
      <c r="I2422" s="88"/>
      <c r="J2422" s="90">
        <f>HYPERLINK("#Структура!E2666",Структура!E2666)</f>
        <v>1</v>
      </c>
      <c r="K2422" s="113">
        <f>HYPERLINK("#Структура!G2666",Структура!G2666)</f>
        <v>2.632E-2</v>
      </c>
      <c r="L2422" s="88">
        <f>M2422/J2422</f>
        <v>9</v>
      </c>
      <c r="M2422" s="88">
        <f>SUMIF(H2423,"*",M2423)*J2422</f>
        <v>9</v>
      </c>
      <c r="N2422" s="123">
        <f>HYPERLINK("#Трудозатраты!B667",Трудозатраты!B667+SUMIF(H2423,"*",O2423))</f>
        <v>3.6</v>
      </c>
      <c r="O2422" s="89">
        <f>N2422*J2422</f>
        <v>3.6</v>
      </c>
      <c r="P2422" s="88">
        <f>O2422/60*(1+запас_труд)*стоимость_трудочаса</f>
        <v>141</v>
      </c>
      <c r="Q2422" s="128">
        <f>M2422*(1+наценка_покупное)+P2422</f>
        <v>151.80000000000001</v>
      </c>
    </row>
    <row r="2423" spans="6:17" hidden="1" outlineLevel="6" x14ac:dyDescent="0.25">
      <c r="H2423" s="75" t="s">
        <v>99</v>
      </c>
      <c r="I2423" s="76"/>
      <c r="J2423" s="78">
        <f>HYPERLINK("#Структура!E2670",Структура!E2670)</f>
        <v>0.03</v>
      </c>
      <c r="K2423" s="114" t="str">
        <f>HYPERLINK("#Структура!G2670","")</f>
        <v/>
      </c>
      <c r="L2423" s="120">
        <f>HYPERLINK("#Покупные_изделия!D268",Покупные_изделия!D268)</f>
        <v>300</v>
      </c>
      <c r="M2423" s="76">
        <f>J2423*L2423</f>
        <v>9</v>
      </c>
      <c r="N2423" s="77"/>
      <c r="O2423" s="77"/>
      <c r="P2423" s="76"/>
      <c r="Q2423" s="76"/>
    </row>
    <row r="2424" spans="6:17" hidden="1" outlineLevel="5" x14ac:dyDescent="0.25">
      <c r="G2424" s="74" t="s">
        <v>47</v>
      </c>
      <c r="H2424" s="75"/>
      <c r="I2424" s="76"/>
      <c r="J2424" s="78">
        <f>HYPERLINK("#Структура!E2667",Структура!E2667)</f>
        <v>1</v>
      </c>
      <c r="K2424" s="114">
        <f>HYPERLINK("#Структура!G2667",Структура!G2667)</f>
        <v>1.5699999999999999E-2</v>
      </c>
      <c r="L2424" s="120">
        <f>HYPERLINK("#Покупные_изделия!D104",Покупные_изделия!D104)</f>
        <v>6.8772000000000002</v>
      </c>
      <c r="M2424" s="76">
        <f>J2424*L2424</f>
        <v>6.8772000000000002</v>
      </c>
      <c r="N2424" s="77"/>
      <c r="O2424" s="77"/>
      <c r="P2424" s="76"/>
      <c r="Q2424" s="76"/>
    </row>
    <row r="2425" spans="6:17" hidden="1" outlineLevel="5" x14ac:dyDescent="0.25">
      <c r="G2425" s="74" t="s">
        <v>67</v>
      </c>
      <c r="H2425" s="75"/>
      <c r="I2425" s="76"/>
      <c r="J2425" s="78">
        <f>HYPERLINK("#Структура!E2668",Структура!E2668)</f>
        <v>7.0000000000000001E-3</v>
      </c>
      <c r="K2425" s="114" t="str">
        <f>HYPERLINK("#Структура!G2668","")</f>
        <v/>
      </c>
      <c r="L2425" s="120">
        <f>HYPERLINK("#Покупные_изделия!D203",Покупные_изделия!D203)</f>
        <v>30.003600000000002</v>
      </c>
      <c r="M2425" s="76">
        <f>J2425*L2425</f>
        <v>0.21002520000000002</v>
      </c>
      <c r="N2425" s="77"/>
      <c r="O2425" s="77"/>
      <c r="P2425" s="76"/>
      <c r="Q2425" s="76"/>
    </row>
    <row r="2426" spans="6:17" hidden="1" outlineLevel="5" x14ac:dyDescent="0.25">
      <c r="G2426" s="74" t="s">
        <v>147</v>
      </c>
      <c r="H2426" s="75"/>
      <c r="I2426" s="76"/>
      <c r="J2426" s="78">
        <f>HYPERLINK("#Структура!E2669",Структура!E2669)</f>
        <v>4.0000000000000001E-3</v>
      </c>
      <c r="K2426" s="114" t="str">
        <f>HYPERLINK("#Структура!G2669","")</f>
        <v/>
      </c>
      <c r="L2426" s="120">
        <f>HYPERLINK("#Покупные_изделия!D407",Покупные_изделия!D407)</f>
        <v>741.24599999999998</v>
      </c>
      <c r="M2426" s="76">
        <f>J2426*L2426</f>
        <v>2.9649839999999998</v>
      </c>
      <c r="N2426" s="77"/>
      <c r="O2426" s="77"/>
      <c r="P2426" s="76"/>
      <c r="Q2426" s="76"/>
    </row>
    <row r="2427" spans="6:17" hidden="1" outlineLevel="4" collapsed="1" x14ac:dyDescent="0.25">
      <c r="F2427" s="84" t="s">
        <v>1340</v>
      </c>
      <c r="G2427" s="79"/>
      <c r="H2427" s="80"/>
      <c r="I2427" s="81"/>
      <c r="J2427" s="83">
        <f>HYPERLINK("#Структура!E2495",Структура!E2495)</f>
        <v>1</v>
      </c>
      <c r="K2427" s="115">
        <f>HYPERLINK("#Структура!G2495",Структура!G2495)</f>
        <v>3.1150000000000001E-2</v>
      </c>
      <c r="L2427" s="81">
        <f>M2427/J2427</f>
        <v>15.249804000000001</v>
      </c>
      <c r="M2427" s="81">
        <f>SUMIF(G2428:G2432,"*",M2428:M2432)*J2427</f>
        <v>15.249804000000001</v>
      </c>
      <c r="N2427" s="124">
        <f>HYPERLINK("#Трудозатраты!B628",Трудозатраты!B628+SUMIF(G2428:G2432,"*",O2428:O2432))</f>
        <v>2.7</v>
      </c>
      <c r="O2427" s="82">
        <f>N2427*J2427</f>
        <v>2.7</v>
      </c>
      <c r="P2427" s="81">
        <f>O2427/60*(1+запас_труд)*стоимость_трудочаса</f>
        <v>105.75000000000001</v>
      </c>
      <c r="Q2427" s="129">
        <f>M2427*(1+наценка_покупное)+P2427</f>
        <v>124.04976480000002</v>
      </c>
    </row>
    <row r="2428" spans="6:17" hidden="1" outlineLevel="5" x14ac:dyDescent="0.25">
      <c r="G2428" s="74" t="s">
        <v>65</v>
      </c>
      <c r="H2428" s="75"/>
      <c r="I2428" s="76"/>
      <c r="J2428" s="78">
        <f>HYPERLINK("#Структура!E2536",Структура!E2536)</f>
        <v>1E-3</v>
      </c>
      <c r="K2428" s="114" t="str">
        <f>HYPERLINK("#Структура!G2536","")</f>
        <v/>
      </c>
      <c r="L2428" s="120">
        <f>HYPERLINK("#Покупные_изделия!D197",Покупные_изделия!D197)</f>
        <v>264.50399999999996</v>
      </c>
      <c r="M2428" s="76">
        <f>J2428*L2428</f>
        <v>0.26450399999999996</v>
      </c>
      <c r="N2428" s="77"/>
      <c r="O2428" s="77"/>
      <c r="P2428" s="76"/>
      <c r="Q2428" s="76"/>
    </row>
    <row r="2429" spans="6:17" hidden="1" outlineLevel="5" x14ac:dyDescent="0.25">
      <c r="G2429" s="74" t="s">
        <v>112</v>
      </c>
      <c r="H2429" s="75"/>
      <c r="I2429" s="76"/>
      <c r="J2429" s="78">
        <f>HYPERLINK("#Структура!E2537",Структура!E2537)</f>
        <v>4.5999999999999999E-2</v>
      </c>
      <c r="K2429" s="114" t="str">
        <f>HYPERLINK("#Структура!G2537","")</f>
        <v/>
      </c>
      <c r="L2429" s="120">
        <f>HYPERLINK("#Покупные_изделия!D285",Покупные_изделия!D285)</f>
        <v>300</v>
      </c>
      <c r="M2429" s="76">
        <f>J2429*L2429</f>
        <v>13.799999999999999</v>
      </c>
      <c r="N2429" s="77"/>
      <c r="O2429" s="77"/>
      <c r="P2429" s="76"/>
      <c r="Q2429" s="76"/>
    </row>
    <row r="2430" spans="6:17" hidden="1" outlineLevel="5" x14ac:dyDescent="0.25">
      <c r="G2430" s="74" t="s">
        <v>155</v>
      </c>
      <c r="H2430" s="75"/>
      <c r="I2430" s="76"/>
      <c r="J2430" s="78">
        <f>HYPERLINK("#Структура!E2538",Структура!E2538)</f>
        <v>1E-3</v>
      </c>
      <c r="K2430" s="114" t="str">
        <f>HYPERLINK("#Структура!G2538","")</f>
        <v/>
      </c>
      <c r="L2430" s="120">
        <f>HYPERLINK("#Покупные_изделия!D423",Покупные_изделия!D423)</f>
        <v>218.28</v>
      </c>
      <c r="M2430" s="76">
        <f>J2430*L2430</f>
        <v>0.21828</v>
      </c>
      <c r="N2430" s="77"/>
      <c r="O2430" s="77"/>
      <c r="P2430" s="76"/>
      <c r="Q2430" s="76"/>
    </row>
    <row r="2431" spans="6:17" hidden="1" outlineLevel="5" x14ac:dyDescent="0.25">
      <c r="G2431" s="74" t="s">
        <v>156</v>
      </c>
      <c r="H2431" s="75"/>
      <c r="I2431" s="76"/>
      <c r="J2431" s="78">
        <f>HYPERLINK("#Структура!E2539",Структура!E2539)</f>
        <v>1E-3</v>
      </c>
      <c r="K2431" s="114" t="str">
        <f>HYPERLINK("#Структура!G2539","")</f>
        <v/>
      </c>
      <c r="L2431" s="120">
        <f>HYPERLINK("#Покупные_изделия!D427",Покупные_изделия!D427)</f>
        <v>155.53200000000001</v>
      </c>
      <c r="M2431" s="76">
        <f>J2431*L2431</f>
        <v>0.155532</v>
      </c>
      <c r="N2431" s="77"/>
      <c r="O2431" s="77"/>
      <c r="P2431" s="76"/>
      <c r="Q2431" s="76"/>
    </row>
    <row r="2432" spans="6:17" hidden="1" outlineLevel="5" x14ac:dyDescent="0.25">
      <c r="G2432" s="74" t="s">
        <v>215</v>
      </c>
      <c r="H2432" s="75"/>
      <c r="I2432" s="76"/>
      <c r="J2432" s="78">
        <f>HYPERLINK("#Структура!E2540",Структура!E2540)</f>
        <v>2E-3</v>
      </c>
      <c r="K2432" s="114" t="str">
        <f>HYPERLINK("#Структура!G2540","")</f>
        <v/>
      </c>
      <c r="L2432" s="120">
        <f>HYPERLINK("#Покупные_изделия!D567",Покупные_изделия!D567)</f>
        <v>405.74399999999997</v>
      </c>
      <c r="M2432" s="76">
        <f>J2432*L2432</f>
        <v>0.81148799999999999</v>
      </c>
      <c r="N2432" s="77"/>
      <c r="O2432" s="77"/>
      <c r="P2432" s="76"/>
      <c r="Q2432" s="76"/>
    </row>
    <row r="2433" spans="6:17" hidden="1" outlineLevel="4" collapsed="1" x14ac:dyDescent="0.25">
      <c r="F2433" s="84" t="s">
        <v>1341</v>
      </c>
      <c r="G2433" s="79"/>
      <c r="H2433" s="80"/>
      <c r="I2433" s="81"/>
      <c r="J2433" s="83">
        <f>HYPERLINK("#Структура!E2496",Структура!E2496)</f>
        <v>1</v>
      </c>
      <c r="K2433" s="115">
        <f>HYPERLINK("#Структура!G2496",Структура!G2496)</f>
        <v>0.65620000000000001</v>
      </c>
      <c r="L2433" s="81">
        <f>M2433/J2433</f>
        <v>167.43520000000001</v>
      </c>
      <c r="M2433" s="81">
        <f>SUMIF(G2434,"*",M2434)*J2433</f>
        <v>167.43520000000001</v>
      </c>
      <c r="N2433" s="124">
        <f>HYPERLINK("#Трудозатраты!B629",Трудозатраты!B629+SUMIF(G2434,"*",O2434))</f>
        <v>2.8</v>
      </c>
      <c r="O2433" s="82">
        <f>N2433*J2433</f>
        <v>2.8</v>
      </c>
      <c r="P2433" s="81">
        <f>O2433/60*(1+запас_труд)*стоимость_трудочаса</f>
        <v>109.66666666666666</v>
      </c>
      <c r="Q2433" s="129">
        <f>M2433*(1+наценка_покупное)+P2433</f>
        <v>310.58890666666667</v>
      </c>
    </row>
    <row r="2434" spans="6:17" hidden="1" outlineLevel="5" x14ac:dyDescent="0.25">
      <c r="G2434" s="74" t="s">
        <v>131</v>
      </c>
      <c r="H2434" s="75"/>
      <c r="I2434" s="76"/>
      <c r="J2434" s="78">
        <f>HYPERLINK("#Структура!E2541",Структура!E2541)</f>
        <v>1.04647</v>
      </c>
      <c r="K2434" s="114" t="str">
        <f>HYPERLINK("#Структура!G2541","")</f>
        <v/>
      </c>
      <c r="L2434" s="120">
        <f>HYPERLINK("#Покупные_изделия!D306",Покупные_изделия!D306)</f>
        <v>160</v>
      </c>
      <c r="M2434" s="76">
        <f>J2434*L2434</f>
        <v>167.43520000000001</v>
      </c>
      <c r="N2434" s="77"/>
      <c r="O2434" s="77"/>
      <c r="P2434" s="76"/>
      <c r="Q2434" s="76"/>
    </row>
    <row r="2435" spans="6:17" hidden="1" outlineLevel="4" collapsed="1" x14ac:dyDescent="0.25">
      <c r="F2435" s="84" t="s">
        <v>1342</v>
      </c>
      <c r="G2435" s="79"/>
      <c r="H2435" s="80"/>
      <c r="I2435" s="81"/>
      <c r="J2435" s="83">
        <f>HYPERLINK("#Структура!E2497",Структура!E2497)</f>
        <v>1</v>
      </c>
      <c r="K2435" s="115">
        <f>HYPERLINK("#Структура!G2497",Структура!G2497)</f>
        <v>0.65620000000000001</v>
      </c>
      <c r="L2435" s="81">
        <f>M2435/J2435</f>
        <v>167.43520000000001</v>
      </c>
      <c r="M2435" s="81">
        <f>SUMIF(G2436,"*",M2436)*J2435</f>
        <v>167.43520000000001</v>
      </c>
      <c r="N2435" s="124">
        <f>HYPERLINK("#Трудозатраты!B630",Трудозатраты!B630+SUMIF(G2436,"*",O2436))</f>
        <v>2.8</v>
      </c>
      <c r="O2435" s="82">
        <f>N2435*J2435</f>
        <v>2.8</v>
      </c>
      <c r="P2435" s="81">
        <f>O2435/60*(1+запас_труд)*стоимость_трудочаса</f>
        <v>109.66666666666666</v>
      </c>
      <c r="Q2435" s="129">
        <f>M2435*(1+наценка_покупное)+P2435</f>
        <v>310.58890666666667</v>
      </c>
    </row>
    <row r="2436" spans="6:17" hidden="1" outlineLevel="5" x14ac:dyDescent="0.25">
      <c r="G2436" s="74" t="s">
        <v>131</v>
      </c>
      <c r="H2436" s="75"/>
      <c r="I2436" s="76"/>
      <c r="J2436" s="78">
        <f>HYPERLINK("#Структура!E2542",Структура!E2542)</f>
        <v>1.04647</v>
      </c>
      <c r="K2436" s="114" t="str">
        <f>HYPERLINK("#Структура!G2542","")</f>
        <v/>
      </c>
      <c r="L2436" s="120">
        <f>HYPERLINK("#Покупные_изделия!D306",Покупные_изделия!D306)</f>
        <v>160</v>
      </c>
      <c r="M2436" s="76">
        <f>J2436*L2436</f>
        <v>167.43520000000001</v>
      </c>
      <c r="N2436" s="77"/>
      <c r="O2436" s="77"/>
      <c r="P2436" s="76"/>
      <c r="Q2436" s="76"/>
    </row>
    <row r="2437" spans="6:17" hidden="1" outlineLevel="4" collapsed="1" x14ac:dyDescent="0.25">
      <c r="F2437" s="84" t="s">
        <v>1343</v>
      </c>
      <c r="G2437" s="79"/>
      <c r="H2437" s="80"/>
      <c r="I2437" s="81"/>
      <c r="J2437" s="83">
        <f>HYPERLINK("#Структура!E2498",Структура!E2498)</f>
        <v>1</v>
      </c>
      <c r="K2437" s="115">
        <f>HYPERLINK("#Структура!G2498",Структура!G2498)</f>
        <v>5.3449999999999998E-2</v>
      </c>
      <c r="L2437" s="81">
        <f>M2437/J2437</f>
        <v>10.475200000000001</v>
      </c>
      <c r="M2437" s="81">
        <f>SUMIF(G2438,"*",M2438)*J2437</f>
        <v>10.475200000000001</v>
      </c>
      <c r="N2437" s="124">
        <f>HYPERLINK("#Трудозатраты!B631",Трудозатраты!B631+SUMIF(G2438,"*",O2438))</f>
        <v>6.3</v>
      </c>
      <c r="O2437" s="82">
        <f>N2437*J2437</f>
        <v>6.3</v>
      </c>
      <c r="P2437" s="81">
        <f>O2437/60*(1+запас_труд)*стоимость_трудочаса</f>
        <v>246.75</v>
      </c>
      <c r="Q2437" s="129">
        <f>M2437*(1+наценка_покупное)+P2437</f>
        <v>259.32024000000001</v>
      </c>
    </row>
    <row r="2438" spans="6:17" hidden="1" outlineLevel="5" x14ac:dyDescent="0.25">
      <c r="G2438" s="74" t="s">
        <v>123</v>
      </c>
      <c r="H2438" s="75"/>
      <c r="I2438" s="76"/>
      <c r="J2438" s="78">
        <f>HYPERLINK("#Структура!E2543",Структура!E2543)</f>
        <v>6.547E-2</v>
      </c>
      <c r="K2438" s="114" t="str">
        <f>HYPERLINK("#Структура!G2543","")</f>
        <v/>
      </c>
      <c r="L2438" s="120">
        <f>HYPERLINK("#Покупные_изделия!D298",Покупные_изделия!D298)</f>
        <v>160</v>
      </c>
      <c r="M2438" s="76">
        <f>J2438*L2438</f>
        <v>10.475200000000001</v>
      </c>
      <c r="N2438" s="77"/>
      <c r="O2438" s="77"/>
      <c r="P2438" s="76"/>
      <c r="Q2438" s="76"/>
    </row>
    <row r="2439" spans="6:17" hidden="1" outlineLevel="4" collapsed="1" x14ac:dyDescent="0.25">
      <c r="F2439" s="84" t="s">
        <v>1344</v>
      </c>
      <c r="G2439" s="79"/>
      <c r="H2439" s="80"/>
      <c r="I2439" s="81"/>
      <c r="J2439" s="83">
        <f>HYPERLINK("#Структура!E2499",Структура!E2499)</f>
        <v>1</v>
      </c>
      <c r="K2439" s="115">
        <f>HYPERLINK("#Структура!G2499",Структура!G2499)</f>
        <v>3.662E-2</v>
      </c>
      <c r="L2439" s="81">
        <f>M2439/J2439</f>
        <v>7.6559999999999997</v>
      </c>
      <c r="M2439" s="81">
        <f>SUMIF(G2440,"*",M2440)*J2439</f>
        <v>7.6559999999999997</v>
      </c>
      <c r="N2439" s="124">
        <f>HYPERLINK("#Трудозатраты!B632",Трудозатраты!B632+SUMIF(G2440,"*",O2440))</f>
        <v>4.5</v>
      </c>
      <c r="O2439" s="82">
        <f>N2439*J2439</f>
        <v>4.5</v>
      </c>
      <c r="P2439" s="81">
        <f>O2439/60*(1+запас_труд)*стоимость_трудочаса</f>
        <v>176.25</v>
      </c>
      <c r="Q2439" s="129">
        <f>M2439*(1+наценка_покупное)+P2439</f>
        <v>185.43719999999999</v>
      </c>
    </row>
    <row r="2440" spans="6:17" hidden="1" outlineLevel="5" x14ac:dyDescent="0.25">
      <c r="G2440" s="74" t="s">
        <v>123</v>
      </c>
      <c r="H2440" s="75"/>
      <c r="I2440" s="76"/>
      <c r="J2440" s="78">
        <f>HYPERLINK("#Структура!E2544",Структура!E2544)</f>
        <v>4.7849999999999997E-2</v>
      </c>
      <c r="K2440" s="114" t="str">
        <f>HYPERLINK("#Структура!G2544","")</f>
        <v/>
      </c>
      <c r="L2440" s="120">
        <f>HYPERLINK("#Покупные_изделия!D298",Покупные_изделия!D298)</f>
        <v>160</v>
      </c>
      <c r="M2440" s="76">
        <f>J2440*L2440</f>
        <v>7.6559999999999997</v>
      </c>
      <c r="N2440" s="77"/>
      <c r="O2440" s="77"/>
      <c r="P2440" s="76"/>
      <c r="Q2440" s="76"/>
    </row>
    <row r="2441" spans="6:17" hidden="1" outlineLevel="4" collapsed="1" x14ac:dyDescent="0.25">
      <c r="F2441" s="84" t="s">
        <v>1345</v>
      </c>
      <c r="G2441" s="79"/>
      <c r="H2441" s="80"/>
      <c r="I2441" s="81"/>
      <c r="J2441" s="83">
        <f>HYPERLINK("#Структура!E2500",Структура!E2500)</f>
        <v>1</v>
      </c>
      <c r="K2441" s="115">
        <f>HYPERLINK("#Структура!G2500",Структура!G2500)</f>
        <v>3.0429999999999999E-2</v>
      </c>
      <c r="L2441" s="81">
        <f>M2441/J2441</f>
        <v>6.4512</v>
      </c>
      <c r="M2441" s="81">
        <f>SUMIF(G2442,"*",M2442)*J2441</f>
        <v>6.4512</v>
      </c>
      <c r="N2441" s="124">
        <f>HYPERLINK("#Трудозатраты!B633",Трудозатраты!B633+SUMIF(G2442,"*",O2442))</f>
        <v>4.5999999999999996</v>
      </c>
      <c r="O2441" s="82">
        <f>N2441*J2441</f>
        <v>4.5999999999999996</v>
      </c>
      <c r="P2441" s="81">
        <f>O2441/60*(1+запас_труд)*стоимость_трудочаса</f>
        <v>180.16666666666666</v>
      </c>
      <c r="Q2441" s="129">
        <f>M2441*(1+наценка_покупное)+P2441</f>
        <v>187.90810666666667</v>
      </c>
    </row>
    <row r="2442" spans="6:17" hidden="1" outlineLevel="5" x14ac:dyDescent="0.25">
      <c r="G2442" s="74" t="s">
        <v>123</v>
      </c>
      <c r="H2442" s="75"/>
      <c r="I2442" s="76"/>
      <c r="J2442" s="78">
        <f>HYPERLINK("#Структура!E2545",Структура!E2545)</f>
        <v>4.0320000000000002E-2</v>
      </c>
      <c r="K2442" s="114" t="str">
        <f>HYPERLINK("#Структура!G2545","")</f>
        <v/>
      </c>
      <c r="L2442" s="120">
        <f>HYPERLINK("#Покупные_изделия!D298",Покупные_изделия!D298)</f>
        <v>160</v>
      </c>
      <c r="M2442" s="76">
        <f>J2442*L2442</f>
        <v>6.4512</v>
      </c>
      <c r="N2442" s="77"/>
      <c r="O2442" s="77"/>
      <c r="P2442" s="76"/>
      <c r="Q2442" s="76"/>
    </row>
    <row r="2443" spans="6:17" hidden="1" outlineLevel="4" collapsed="1" x14ac:dyDescent="0.25">
      <c r="F2443" s="84" t="s">
        <v>1346</v>
      </c>
      <c r="G2443" s="79"/>
      <c r="H2443" s="80"/>
      <c r="I2443" s="81"/>
      <c r="J2443" s="83">
        <f>HYPERLINK("#Структура!E2501",Структура!E2501)</f>
        <v>6</v>
      </c>
      <c r="K2443" s="115">
        <f>HYPERLINK("#Структура!G2501",Структура!G2501)</f>
        <v>3.3660000000000002E-2</v>
      </c>
      <c r="L2443" s="81">
        <f>M2443/J2443</f>
        <v>9.2440600000000028</v>
      </c>
      <c r="M2443" s="81">
        <f>SUMIF(G2444:G2448,"*",M2444:M2448)*J2443</f>
        <v>55.464360000000013</v>
      </c>
      <c r="N2443" s="124">
        <f>HYPERLINK("#Трудозатраты!B634",Трудозатраты!B634+SUMIF(G2444:G2448,"*",O2444:O2448))</f>
        <v>12.7</v>
      </c>
      <c r="O2443" s="82">
        <f>N2443*J2443</f>
        <v>76.199999999999989</v>
      </c>
      <c r="P2443" s="81">
        <f>O2443/60*(1+запас_труд)*стоимость_трудочаса</f>
        <v>2984.4999999999995</v>
      </c>
      <c r="Q2443" s="129">
        <f>M2443*(1+наценка_покупное)+P2443</f>
        <v>3051.0572319999997</v>
      </c>
    </row>
    <row r="2444" spans="6:17" hidden="1" outlineLevel="5" x14ac:dyDescent="0.25">
      <c r="G2444" s="74" t="s">
        <v>65</v>
      </c>
      <c r="H2444" s="75"/>
      <c r="I2444" s="76"/>
      <c r="J2444" s="78">
        <f>HYPERLINK("#Структура!E2546",Структура!E2546)</f>
        <v>1E-3</v>
      </c>
      <c r="K2444" s="114" t="str">
        <f>HYPERLINK("#Структура!G2546","")</f>
        <v/>
      </c>
      <c r="L2444" s="120">
        <f>HYPERLINK("#Покупные_изделия!D197",Покупные_изделия!D197)</f>
        <v>264.50399999999996</v>
      </c>
      <c r="M2444" s="76">
        <f>J2444*L2444</f>
        <v>0.26450399999999996</v>
      </c>
      <c r="N2444" s="77"/>
      <c r="O2444" s="77"/>
      <c r="P2444" s="76"/>
      <c r="Q2444" s="76"/>
    </row>
    <row r="2445" spans="6:17" hidden="1" outlineLevel="5" x14ac:dyDescent="0.25">
      <c r="G2445" s="74" t="s">
        <v>83</v>
      </c>
      <c r="H2445" s="75"/>
      <c r="I2445" s="76"/>
      <c r="J2445" s="78">
        <f>HYPERLINK("#Структура!E2547",Структура!E2547)</f>
        <v>8.2000000000000003E-2</v>
      </c>
      <c r="K2445" s="114" t="str">
        <f>HYPERLINK("#Структура!G2547","")</f>
        <v/>
      </c>
      <c r="L2445" s="120">
        <f>HYPERLINK("#Покупные_изделия!D252",Покупные_изделия!D252)</f>
        <v>100</v>
      </c>
      <c r="M2445" s="76">
        <f>J2445*L2445</f>
        <v>8.2000000000000011</v>
      </c>
      <c r="N2445" s="77"/>
      <c r="O2445" s="77"/>
      <c r="P2445" s="76"/>
      <c r="Q2445" s="76"/>
    </row>
    <row r="2446" spans="6:17" hidden="1" outlineLevel="5" x14ac:dyDescent="0.25">
      <c r="G2446" s="74" t="s">
        <v>155</v>
      </c>
      <c r="H2446" s="75"/>
      <c r="I2446" s="76"/>
      <c r="J2446" s="78">
        <f>HYPERLINK("#Структура!E2548",Структура!E2548)</f>
        <v>1E-3</v>
      </c>
      <c r="K2446" s="114" t="str">
        <f>HYPERLINK("#Структура!G2548","")</f>
        <v/>
      </c>
      <c r="L2446" s="120">
        <f>HYPERLINK("#Покупные_изделия!D423",Покупные_изделия!D423)</f>
        <v>218.28</v>
      </c>
      <c r="M2446" s="76">
        <f>J2446*L2446</f>
        <v>0.21828</v>
      </c>
      <c r="N2446" s="77"/>
      <c r="O2446" s="77"/>
      <c r="P2446" s="76"/>
      <c r="Q2446" s="76"/>
    </row>
    <row r="2447" spans="6:17" hidden="1" outlineLevel="5" x14ac:dyDescent="0.25">
      <c r="G2447" s="74" t="s">
        <v>156</v>
      </c>
      <c r="H2447" s="75"/>
      <c r="I2447" s="76"/>
      <c r="J2447" s="78">
        <f>HYPERLINK("#Структура!E2549",Структура!E2549)</f>
        <v>1E-3</v>
      </c>
      <c r="K2447" s="114" t="str">
        <f>HYPERLINK("#Структура!G2549","")</f>
        <v/>
      </c>
      <c r="L2447" s="120">
        <f>HYPERLINK("#Покупные_изделия!D427",Покупные_изделия!D427)</f>
        <v>155.53200000000001</v>
      </c>
      <c r="M2447" s="76">
        <f>J2447*L2447</f>
        <v>0.155532</v>
      </c>
      <c r="N2447" s="77"/>
      <c r="O2447" s="77"/>
      <c r="P2447" s="76"/>
      <c r="Q2447" s="76"/>
    </row>
    <row r="2448" spans="6:17" hidden="1" outlineLevel="5" x14ac:dyDescent="0.25">
      <c r="G2448" s="74" t="s">
        <v>215</v>
      </c>
      <c r="H2448" s="75"/>
      <c r="I2448" s="76"/>
      <c r="J2448" s="78">
        <f>HYPERLINK("#Структура!E2550",Структура!E2550)</f>
        <v>1E-3</v>
      </c>
      <c r="K2448" s="114" t="str">
        <f>HYPERLINK("#Структура!G2550","")</f>
        <v/>
      </c>
      <c r="L2448" s="120">
        <f>HYPERLINK("#Покупные_изделия!D567",Покупные_изделия!D567)</f>
        <v>405.74399999999997</v>
      </c>
      <c r="M2448" s="76">
        <f>J2448*L2448</f>
        <v>0.40574399999999999</v>
      </c>
      <c r="N2448" s="77"/>
      <c r="O2448" s="77"/>
      <c r="P2448" s="76"/>
      <c r="Q2448" s="76"/>
    </row>
    <row r="2449" spans="6:17" hidden="1" outlineLevel="4" collapsed="1" x14ac:dyDescent="0.25">
      <c r="F2449" s="84" t="s">
        <v>1347</v>
      </c>
      <c r="G2449" s="79"/>
      <c r="H2449" s="80"/>
      <c r="I2449" s="81"/>
      <c r="J2449" s="83">
        <f>HYPERLINK("#Структура!E2502",Структура!E2502)</f>
        <v>1</v>
      </c>
      <c r="K2449" s="115">
        <f>HYPERLINK("#Структура!G2502",Структура!G2502)</f>
        <v>3.6850000000000001E-2</v>
      </c>
      <c r="L2449" s="81">
        <f>M2449/J2449</f>
        <v>11.608619999999998</v>
      </c>
      <c r="M2449" s="81">
        <f>SUMIF(G2450:G2454,"*",M2450:M2454)*J2449</f>
        <v>11.608619999999998</v>
      </c>
      <c r="N2449" s="124">
        <f>HYPERLINK("#Трудозатраты!B635",Трудозатраты!B635+SUMIF(G2450:G2454,"*",O2450:O2454))</f>
        <v>14.6</v>
      </c>
      <c r="O2449" s="82">
        <f>N2449*J2449</f>
        <v>14.6</v>
      </c>
      <c r="P2449" s="81">
        <f>O2449/60*(1+запас_труд)*стоимость_трудочаса</f>
        <v>571.83333333333326</v>
      </c>
      <c r="Q2449" s="129">
        <f>M2449*(1+наценка_покупное)+P2449</f>
        <v>585.76367733333325</v>
      </c>
    </row>
    <row r="2450" spans="6:17" hidden="1" outlineLevel="5" x14ac:dyDescent="0.25">
      <c r="G2450" s="74" t="s">
        <v>65</v>
      </c>
      <c r="H2450" s="75"/>
      <c r="I2450" s="76"/>
      <c r="J2450" s="78">
        <f>HYPERLINK("#Структура!E2551",Структура!E2551)</f>
        <v>1E-3</v>
      </c>
      <c r="K2450" s="114" t="str">
        <f>HYPERLINK("#Структура!G2551","")</f>
        <v/>
      </c>
      <c r="L2450" s="120">
        <f>HYPERLINK("#Покупные_изделия!D197",Покупные_изделия!D197)</f>
        <v>264.50399999999996</v>
      </c>
      <c r="M2450" s="76">
        <f t="shared" ref="M2450:M2464" si="95">J2450*L2450</f>
        <v>0.26450399999999996</v>
      </c>
      <c r="N2450" s="77"/>
      <c r="O2450" s="77"/>
      <c r="P2450" s="76"/>
      <c r="Q2450" s="76"/>
    </row>
    <row r="2451" spans="6:17" hidden="1" outlineLevel="5" x14ac:dyDescent="0.25">
      <c r="G2451" s="74" t="s">
        <v>155</v>
      </c>
      <c r="H2451" s="75"/>
      <c r="I2451" s="76"/>
      <c r="J2451" s="78">
        <f>HYPERLINK("#Структура!E2552",Структура!E2552)</f>
        <v>1E-3</v>
      </c>
      <c r="K2451" s="114" t="str">
        <f>HYPERLINK("#Структура!G2552","")</f>
        <v/>
      </c>
      <c r="L2451" s="120">
        <f>HYPERLINK("#Покупные_изделия!D423",Покупные_изделия!D423)</f>
        <v>218.28</v>
      </c>
      <c r="M2451" s="76">
        <f t="shared" si="95"/>
        <v>0.21828</v>
      </c>
      <c r="N2451" s="77"/>
      <c r="O2451" s="77"/>
      <c r="P2451" s="76"/>
      <c r="Q2451" s="76"/>
    </row>
    <row r="2452" spans="6:17" hidden="1" outlineLevel="5" x14ac:dyDescent="0.25">
      <c r="G2452" s="74" t="s">
        <v>156</v>
      </c>
      <c r="H2452" s="75"/>
      <c r="I2452" s="76"/>
      <c r="J2452" s="78">
        <f>HYPERLINK("#Структура!E2553",Структура!E2553)</f>
        <v>1E-3</v>
      </c>
      <c r="K2452" s="114" t="str">
        <f>HYPERLINK("#Структура!G2553","")</f>
        <v/>
      </c>
      <c r="L2452" s="120">
        <f>HYPERLINK("#Покупные_изделия!D427",Покупные_изделия!D427)</f>
        <v>155.53200000000001</v>
      </c>
      <c r="M2452" s="76">
        <f t="shared" si="95"/>
        <v>0.155532</v>
      </c>
      <c r="N2452" s="77"/>
      <c r="O2452" s="77"/>
      <c r="P2452" s="76"/>
      <c r="Q2452" s="76"/>
    </row>
    <row r="2453" spans="6:17" hidden="1" outlineLevel="5" x14ac:dyDescent="0.25">
      <c r="G2453" s="74" t="s">
        <v>208</v>
      </c>
      <c r="H2453" s="75"/>
      <c r="I2453" s="76"/>
      <c r="J2453" s="78">
        <f>HYPERLINK("#Структура!E2554",Структура!E2554)</f>
        <v>0.09</v>
      </c>
      <c r="K2453" s="114" t="str">
        <f>HYPERLINK("#Структура!G2554","")</f>
        <v/>
      </c>
      <c r="L2453" s="120">
        <f>HYPERLINK("#Покупные_изделия!D553",Покупные_изделия!D553)</f>
        <v>117.38399999999999</v>
      </c>
      <c r="M2453" s="76">
        <f t="shared" si="95"/>
        <v>10.564559999999998</v>
      </c>
      <c r="N2453" s="77"/>
      <c r="O2453" s="77"/>
      <c r="P2453" s="76"/>
      <c r="Q2453" s="76"/>
    </row>
    <row r="2454" spans="6:17" hidden="1" outlineLevel="5" x14ac:dyDescent="0.25">
      <c r="G2454" s="74" t="s">
        <v>215</v>
      </c>
      <c r="H2454" s="75"/>
      <c r="I2454" s="76"/>
      <c r="J2454" s="78">
        <f>HYPERLINK("#Структура!E2555",Структура!E2555)</f>
        <v>1E-3</v>
      </c>
      <c r="K2454" s="114" t="str">
        <f>HYPERLINK("#Структура!G2555","")</f>
        <v/>
      </c>
      <c r="L2454" s="120">
        <f>HYPERLINK("#Покупные_изделия!D567",Покупные_изделия!D567)</f>
        <v>405.74399999999997</v>
      </c>
      <c r="M2454" s="76">
        <f t="shared" si="95"/>
        <v>0.40574399999999999</v>
      </c>
      <c r="N2454" s="77"/>
      <c r="O2454" s="77"/>
      <c r="P2454" s="76"/>
      <c r="Q2454" s="76"/>
    </row>
    <row r="2455" spans="6:17" hidden="1" outlineLevel="4" x14ac:dyDescent="0.25">
      <c r="F2455" s="74" t="s">
        <v>623</v>
      </c>
      <c r="G2455" s="74"/>
      <c r="H2455" s="75"/>
      <c r="I2455" s="76"/>
      <c r="J2455" s="78">
        <f>HYPERLINK("#Структура!E2503",Структура!E2503)</f>
        <v>6</v>
      </c>
      <c r="K2455" s="114">
        <f>HYPERLINK("#Структура!G2503",Структура!G2503)</f>
        <v>1.67E-2</v>
      </c>
      <c r="L2455" s="120">
        <f>HYPERLINK("#Покупные_изделия!D86",Покупные_изделия!D86)</f>
        <v>8.7719999999999985</v>
      </c>
      <c r="M2455" s="76">
        <f t="shared" si="95"/>
        <v>52.631999999999991</v>
      </c>
      <c r="N2455" s="77"/>
      <c r="O2455" s="77"/>
      <c r="P2455" s="76"/>
      <c r="Q2455" s="76"/>
    </row>
    <row r="2456" spans="6:17" hidden="1" outlineLevel="4" x14ac:dyDescent="0.25">
      <c r="F2456" s="74" t="s">
        <v>47</v>
      </c>
      <c r="G2456" s="74"/>
      <c r="H2456" s="75"/>
      <c r="I2456" s="76"/>
      <c r="J2456" s="78">
        <f>HYPERLINK("#Структура!E2504",Структура!E2504)</f>
        <v>3</v>
      </c>
      <c r="K2456" s="114">
        <f>HYPERLINK("#Структура!G2504",Структура!G2504)</f>
        <v>1.5699999999999999E-2</v>
      </c>
      <c r="L2456" s="120">
        <f>HYPERLINK("#Покупные_изделия!D104",Покупные_изделия!D104)</f>
        <v>6.8772000000000002</v>
      </c>
      <c r="M2456" s="76">
        <f t="shared" si="95"/>
        <v>20.631599999999999</v>
      </c>
      <c r="N2456" s="77"/>
      <c r="O2456" s="77"/>
      <c r="P2456" s="76"/>
      <c r="Q2456" s="76"/>
    </row>
    <row r="2457" spans="6:17" hidden="1" outlineLevel="4" x14ac:dyDescent="0.25">
      <c r="F2457" s="74" t="s">
        <v>48</v>
      </c>
      <c r="G2457" s="74"/>
      <c r="H2457" s="75"/>
      <c r="I2457" s="76"/>
      <c r="J2457" s="78">
        <f>HYPERLINK("#Структура!E2505",Структура!E2505)</f>
        <v>6</v>
      </c>
      <c r="K2457" s="114">
        <f>HYPERLINK("#Структура!G2505",Структура!G2505)</f>
        <v>3.3140000000000003E-2</v>
      </c>
      <c r="L2457" s="120">
        <f>HYPERLINK("#Покупные_изделия!D111",Покупные_изделия!D111)</f>
        <v>13.9656</v>
      </c>
      <c r="M2457" s="76">
        <f t="shared" si="95"/>
        <v>83.793599999999998</v>
      </c>
      <c r="N2457" s="77"/>
      <c r="O2457" s="77"/>
      <c r="P2457" s="76"/>
      <c r="Q2457" s="76"/>
    </row>
    <row r="2458" spans="6:17" hidden="1" outlineLevel="4" x14ac:dyDescent="0.25">
      <c r="F2458" s="74" t="s">
        <v>49</v>
      </c>
      <c r="G2458" s="74"/>
      <c r="H2458" s="75"/>
      <c r="I2458" s="76"/>
      <c r="J2458" s="78">
        <f>HYPERLINK("#Структура!E2506",Структура!E2506)</f>
        <v>4</v>
      </c>
      <c r="K2458" s="114">
        <f>HYPERLINK("#Структура!G2506",Структура!G2506)</f>
        <v>1.2199999999999999E-3</v>
      </c>
      <c r="L2458" s="120">
        <f>HYPERLINK("#Покупные_изделия!D133",Покупные_изделия!D133)</f>
        <v>1.2012000000000003</v>
      </c>
      <c r="M2458" s="76">
        <f t="shared" si="95"/>
        <v>4.8048000000000011</v>
      </c>
      <c r="N2458" s="77"/>
      <c r="O2458" s="77"/>
      <c r="P2458" s="76"/>
      <c r="Q2458" s="76"/>
    </row>
    <row r="2459" spans="6:17" hidden="1" outlineLevel="4" x14ac:dyDescent="0.25">
      <c r="F2459" s="74" t="s">
        <v>53</v>
      </c>
      <c r="G2459" s="74"/>
      <c r="H2459" s="75"/>
      <c r="I2459" s="76"/>
      <c r="J2459" s="78">
        <f>HYPERLINK("#Структура!E2507",Структура!E2507)</f>
        <v>2</v>
      </c>
      <c r="K2459" s="114">
        <f>HYPERLINK("#Структура!G2507",Структура!G2507)</f>
        <v>1.32E-3</v>
      </c>
      <c r="L2459" s="120">
        <f>HYPERLINK("#Покупные_изделия!D142",Покупные_изделия!D142)</f>
        <v>1.5047999999999999</v>
      </c>
      <c r="M2459" s="76">
        <f t="shared" si="95"/>
        <v>3.0095999999999998</v>
      </c>
      <c r="N2459" s="77"/>
      <c r="O2459" s="77"/>
      <c r="P2459" s="76"/>
      <c r="Q2459" s="76"/>
    </row>
    <row r="2460" spans="6:17" hidden="1" outlineLevel="4" x14ac:dyDescent="0.25">
      <c r="F2460" s="74" t="s">
        <v>1002</v>
      </c>
      <c r="G2460" s="74"/>
      <c r="H2460" s="75"/>
      <c r="I2460" s="76"/>
      <c r="J2460" s="78">
        <f>HYPERLINK("#Структура!E2508",Структура!E2508)</f>
        <v>6</v>
      </c>
      <c r="K2460" s="114">
        <f>HYPERLINK("#Структура!G2508",Структура!G2508)</f>
        <v>8.0000000000000004E-4</v>
      </c>
      <c r="L2460" s="120">
        <f>HYPERLINK("#Покупные_изделия!D186",Покупные_изделия!D186)</f>
        <v>0.51480000000000004</v>
      </c>
      <c r="M2460" s="76">
        <f t="shared" si="95"/>
        <v>3.0888</v>
      </c>
      <c r="N2460" s="77"/>
      <c r="O2460" s="77"/>
      <c r="P2460" s="76"/>
      <c r="Q2460" s="76"/>
    </row>
    <row r="2461" spans="6:17" hidden="1" outlineLevel="4" x14ac:dyDescent="0.25">
      <c r="F2461" s="74" t="s">
        <v>625</v>
      </c>
      <c r="G2461" s="74"/>
      <c r="H2461" s="75"/>
      <c r="I2461" s="76"/>
      <c r="J2461" s="78">
        <f>HYPERLINK("#Структура!E2509",Структура!E2509)</f>
        <v>10</v>
      </c>
      <c r="K2461" s="114">
        <f>HYPERLINK("#Структура!G2509",Структура!G2509)</f>
        <v>7.1399999999999996E-3</v>
      </c>
      <c r="L2461" s="120">
        <f>HYPERLINK("#Покупные_изделия!D168",Покупные_изделия!D168)</f>
        <v>1.9715672368421051</v>
      </c>
      <c r="M2461" s="76">
        <f t="shared" si="95"/>
        <v>19.71567236842105</v>
      </c>
      <c r="N2461" s="77"/>
      <c r="O2461" s="77"/>
      <c r="P2461" s="76"/>
      <c r="Q2461" s="76"/>
    </row>
    <row r="2462" spans="6:17" hidden="1" outlineLevel="4" x14ac:dyDescent="0.25">
      <c r="F2462" s="74" t="s">
        <v>1348</v>
      </c>
      <c r="G2462" s="74"/>
      <c r="H2462" s="75"/>
      <c r="I2462" s="76"/>
      <c r="J2462" s="78">
        <f>HYPERLINK("#Структура!E2510",Структура!E2510)</f>
        <v>4</v>
      </c>
      <c r="K2462" s="114">
        <f>HYPERLINK("#Структура!G2510",Структура!G2510)</f>
        <v>2.9999999999999997E-4</v>
      </c>
      <c r="L2462" s="120">
        <f>HYPERLINK("#Покупные_изделия!D544",Покупные_изделия!D544)</f>
        <v>0.55000000000000004</v>
      </c>
      <c r="M2462" s="76">
        <f t="shared" si="95"/>
        <v>2.2000000000000002</v>
      </c>
      <c r="N2462" s="77"/>
      <c r="O2462" s="77"/>
      <c r="P2462" s="76"/>
      <c r="Q2462" s="76"/>
    </row>
    <row r="2463" spans="6:17" hidden="1" outlineLevel="4" x14ac:dyDescent="0.25">
      <c r="F2463" s="74" t="s">
        <v>12</v>
      </c>
      <c r="G2463" s="74"/>
      <c r="H2463" s="75"/>
      <c r="I2463" s="76"/>
      <c r="J2463" s="78">
        <f>HYPERLINK("#Структура!E2511",Структура!E2511)</f>
        <v>1</v>
      </c>
      <c r="K2463" s="114">
        <f>HYPERLINK("#Структура!G2511",Структура!G2511)</f>
        <v>0.15347</v>
      </c>
      <c r="L2463" s="120">
        <f>HYPERLINK("#Покупные_изделия!D18",Покупные_изделия!D18)</f>
        <v>4504.5</v>
      </c>
      <c r="M2463" s="76">
        <f t="shared" si="95"/>
        <v>4504.5</v>
      </c>
      <c r="N2463" s="77"/>
      <c r="O2463" s="77"/>
      <c r="P2463" s="76"/>
      <c r="Q2463" s="76"/>
    </row>
    <row r="2464" spans="6:17" hidden="1" outlineLevel="4" x14ac:dyDescent="0.25">
      <c r="F2464" s="74" t="s">
        <v>13</v>
      </c>
      <c r="G2464" s="74"/>
      <c r="H2464" s="75"/>
      <c r="I2464" s="76"/>
      <c r="J2464" s="78">
        <f>HYPERLINK("#Структура!E2512",Структура!E2512)</f>
        <v>1</v>
      </c>
      <c r="K2464" s="114">
        <f>HYPERLINK("#Структура!G2512",Структура!G2512)</f>
        <v>0.12407</v>
      </c>
      <c r="L2464" s="120">
        <f>HYPERLINK("#Покупные_изделия!D20",Покупные_изделия!D20)</f>
        <v>4594.59</v>
      </c>
      <c r="M2464" s="76">
        <f t="shared" si="95"/>
        <v>4594.59</v>
      </c>
      <c r="N2464" s="77"/>
      <c r="O2464" s="77"/>
      <c r="P2464" s="76"/>
      <c r="Q2464" s="76"/>
    </row>
    <row r="2465" spans="5:17" hidden="1" outlineLevel="3" collapsed="1" x14ac:dyDescent="0.25">
      <c r="E2465" s="84" t="s">
        <v>1188</v>
      </c>
      <c r="F2465" s="79"/>
      <c r="G2465" s="79"/>
      <c r="H2465" s="80"/>
      <c r="I2465" s="81"/>
      <c r="J2465" s="83">
        <f>HYPERLINK("#Структура!E2169",Структура!E2169)</f>
        <v>2</v>
      </c>
      <c r="K2465" s="115">
        <f>HYPERLINK("#Структура!G2169",Структура!G2169)</f>
        <v>0.10907</v>
      </c>
      <c r="L2465" s="81">
        <f>M2465/J2465</f>
        <v>24</v>
      </c>
      <c r="M2465" s="81">
        <f>SUMIF(F2466,"*",M2466)*J2465</f>
        <v>48</v>
      </c>
      <c r="N2465" s="124">
        <f>HYPERLINK("#Трудозатраты!B489",Трудозатраты!B489+SUMIF(F2466,"*",O2466))</f>
        <v>0.8</v>
      </c>
      <c r="O2465" s="82">
        <f>N2465*J2465</f>
        <v>1.6</v>
      </c>
      <c r="P2465" s="81">
        <f>O2465/60*(1+запас_труд)*стоимость_трудочаса</f>
        <v>62.666666666666671</v>
      </c>
      <c r="Q2465" s="129">
        <f>M2465*(1+наценка_покупное)+P2465</f>
        <v>120.26666666666667</v>
      </c>
    </row>
    <row r="2466" spans="5:17" hidden="1" outlineLevel="4" x14ac:dyDescent="0.25">
      <c r="F2466" s="74" t="s">
        <v>123</v>
      </c>
      <c r="G2466" s="74"/>
      <c r="H2466" s="75"/>
      <c r="I2466" s="76"/>
      <c r="J2466" s="78">
        <f>HYPERLINK("#Структура!E1834",Структура!E1834)</f>
        <v>0.15</v>
      </c>
      <c r="K2466" s="114" t="str">
        <f>HYPERLINK("#Структура!G1834","")</f>
        <v/>
      </c>
      <c r="L2466" s="120">
        <f>HYPERLINK("#Покупные_изделия!D298",Покупные_изделия!D298)</f>
        <v>160</v>
      </c>
      <c r="M2466" s="76">
        <f>J2466*L2466</f>
        <v>24</v>
      </c>
      <c r="N2466" s="77"/>
      <c r="O2466" s="77"/>
      <c r="P2466" s="76"/>
      <c r="Q2466" s="76"/>
    </row>
    <row r="2467" spans="5:17" hidden="1" outlineLevel="3" collapsed="1" x14ac:dyDescent="0.25">
      <c r="E2467" s="84" t="s">
        <v>1189</v>
      </c>
      <c r="F2467" s="79"/>
      <c r="G2467" s="79"/>
      <c r="H2467" s="80"/>
      <c r="I2467" s="81"/>
      <c r="J2467" s="83">
        <f>HYPERLINK("#Структура!E2170",Структура!E2170)</f>
        <v>2</v>
      </c>
      <c r="K2467" s="115">
        <f>HYPERLINK("#Структура!G2170",Структура!G2170)</f>
        <v>0.24543999999999999</v>
      </c>
      <c r="L2467" s="81">
        <f>M2467/J2467</f>
        <v>43.169856000000003</v>
      </c>
      <c r="M2467" s="81">
        <f>SUMIF(F2468:F2472,"*",M2468:M2472)*J2467</f>
        <v>86.339712000000006</v>
      </c>
      <c r="N2467" s="124">
        <f>HYPERLINK("#Трудозатраты!B490",Трудозатраты!B490+SUMIF(F2468:F2472,"*",O2468:O2472))</f>
        <v>3</v>
      </c>
      <c r="O2467" s="82">
        <f>N2467*J2467</f>
        <v>6</v>
      </c>
      <c r="P2467" s="81">
        <f>O2467/60*(1+запас_труд)*стоимость_трудочаса</f>
        <v>235</v>
      </c>
      <c r="Q2467" s="129">
        <f>M2467*(1+наценка_покупное)+P2467</f>
        <v>338.6076544</v>
      </c>
    </row>
    <row r="2468" spans="5:17" hidden="1" outlineLevel="4" x14ac:dyDescent="0.25">
      <c r="F2468" s="74" t="s">
        <v>65</v>
      </c>
      <c r="G2468" s="74"/>
      <c r="H2468" s="75"/>
      <c r="I2468" s="76"/>
      <c r="J2468" s="78">
        <f>HYPERLINK("#Структура!E1835",Структура!E1835)</f>
        <v>3.0000000000000001E-3</v>
      </c>
      <c r="K2468" s="114" t="str">
        <f>HYPERLINK("#Структура!G1835","")</f>
        <v/>
      </c>
      <c r="L2468" s="120">
        <f>HYPERLINK("#Покупные_изделия!D197",Покупные_изделия!D197)</f>
        <v>264.50399999999996</v>
      </c>
      <c r="M2468" s="76">
        <f>J2468*L2468</f>
        <v>0.79351199999999988</v>
      </c>
      <c r="N2468" s="77"/>
      <c r="O2468" s="77"/>
      <c r="P2468" s="76"/>
      <c r="Q2468" s="76"/>
    </row>
    <row r="2469" spans="5:17" hidden="1" outlineLevel="4" x14ac:dyDescent="0.25">
      <c r="F2469" s="74" t="s">
        <v>116</v>
      </c>
      <c r="G2469" s="74"/>
      <c r="H2469" s="75"/>
      <c r="I2469" s="76"/>
      <c r="J2469" s="78">
        <f>HYPERLINK("#Структура!E1836",Структура!E1836)</f>
        <v>0.33</v>
      </c>
      <c r="K2469" s="114" t="str">
        <f>HYPERLINK("#Структура!G1836","")</f>
        <v/>
      </c>
      <c r="L2469" s="120">
        <f>HYPERLINK("#Покупные_изделия!D291",Покупные_изделия!D291)</f>
        <v>120</v>
      </c>
      <c r="M2469" s="76">
        <f>J2469*L2469</f>
        <v>39.6</v>
      </c>
      <c r="N2469" s="77"/>
      <c r="O2469" s="77"/>
      <c r="P2469" s="76"/>
      <c r="Q2469" s="76"/>
    </row>
    <row r="2470" spans="5:17" hidden="1" outlineLevel="4" x14ac:dyDescent="0.25">
      <c r="F2470" s="74" t="s">
        <v>155</v>
      </c>
      <c r="G2470" s="74"/>
      <c r="H2470" s="75"/>
      <c r="I2470" s="76"/>
      <c r="J2470" s="78">
        <f>HYPERLINK("#Структура!E1837",Структура!E1837)</f>
        <v>2E-3</v>
      </c>
      <c r="K2470" s="114" t="str">
        <f>HYPERLINK("#Структура!G1837","")</f>
        <v/>
      </c>
      <c r="L2470" s="120">
        <f>HYPERLINK("#Покупные_изделия!D423",Покупные_изделия!D423)</f>
        <v>218.28</v>
      </c>
      <c r="M2470" s="76">
        <f>J2470*L2470</f>
        <v>0.43656</v>
      </c>
      <c r="N2470" s="77"/>
      <c r="O2470" s="77"/>
      <c r="P2470" s="76"/>
      <c r="Q2470" s="76"/>
    </row>
    <row r="2471" spans="5:17" hidden="1" outlineLevel="4" x14ac:dyDescent="0.25">
      <c r="F2471" s="74" t="s">
        <v>156</v>
      </c>
      <c r="G2471" s="74"/>
      <c r="H2471" s="75"/>
      <c r="I2471" s="76"/>
      <c r="J2471" s="78">
        <f>HYPERLINK("#Структура!E1838",Структура!E1838)</f>
        <v>2E-3</v>
      </c>
      <c r="K2471" s="114" t="str">
        <f>HYPERLINK("#Структура!G1838","")</f>
        <v/>
      </c>
      <c r="L2471" s="120">
        <f>HYPERLINK("#Покупные_изделия!D427",Покупные_изделия!D427)</f>
        <v>155.53200000000001</v>
      </c>
      <c r="M2471" s="76">
        <f>J2471*L2471</f>
        <v>0.31106400000000001</v>
      </c>
      <c r="N2471" s="77"/>
      <c r="O2471" s="77"/>
      <c r="P2471" s="76"/>
      <c r="Q2471" s="76"/>
    </row>
    <row r="2472" spans="5:17" hidden="1" outlineLevel="4" x14ac:dyDescent="0.25">
      <c r="F2472" s="74" t="s">
        <v>215</v>
      </c>
      <c r="G2472" s="74"/>
      <c r="H2472" s="75"/>
      <c r="I2472" s="76"/>
      <c r="J2472" s="78">
        <f>HYPERLINK("#Структура!E1839",Структура!E1839)</f>
        <v>5.0000000000000001E-3</v>
      </c>
      <c r="K2472" s="114" t="str">
        <f>HYPERLINK("#Структура!G1839","")</f>
        <v/>
      </c>
      <c r="L2472" s="120">
        <f>HYPERLINK("#Покупные_изделия!D567",Покупные_изделия!D567)</f>
        <v>405.74399999999997</v>
      </c>
      <c r="M2472" s="76">
        <f>J2472*L2472</f>
        <v>2.0287199999999999</v>
      </c>
      <c r="N2472" s="77"/>
      <c r="O2472" s="77"/>
      <c r="P2472" s="76"/>
      <c r="Q2472" s="76"/>
    </row>
    <row r="2473" spans="5:17" hidden="1" outlineLevel="3" collapsed="1" x14ac:dyDescent="0.25">
      <c r="E2473" s="84" t="s">
        <v>1192</v>
      </c>
      <c r="F2473" s="79"/>
      <c r="G2473" s="79"/>
      <c r="H2473" s="80"/>
      <c r="I2473" s="81"/>
      <c r="J2473" s="83">
        <f>HYPERLINK("#Структура!E2171",Структура!E2171)</f>
        <v>2</v>
      </c>
      <c r="K2473" s="115">
        <f>HYPERLINK("#Структура!G2171",Структура!G2171)</f>
        <v>3.1669999999999997E-2</v>
      </c>
      <c r="L2473" s="81">
        <f>M2473/J2473</f>
        <v>6.7200000000000006</v>
      </c>
      <c r="M2473" s="81">
        <f>SUMIF(F2474,"*",M2474)*J2473</f>
        <v>13.440000000000001</v>
      </c>
      <c r="N2473" s="124">
        <f>HYPERLINK("#Трудозатраты!B493",Трудозатраты!B493+SUMIF(F2474,"*",O2474))</f>
        <v>2.5</v>
      </c>
      <c r="O2473" s="82">
        <f>N2473*J2473</f>
        <v>5</v>
      </c>
      <c r="P2473" s="81">
        <f>O2473/60*(1+запас_труд)*стоимость_трудочаса</f>
        <v>195.83333333333331</v>
      </c>
      <c r="Q2473" s="129">
        <f>M2473*(1+наценка_покупное)+P2473</f>
        <v>211.9613333333333</v>
      </c>
    </row>
    <row r="2474" spans="5:17" hidden="1" outlineLevel="4" x14ac:dyDescent="0.25">
      <c r="F2474" s="74" t="s">
        <v>130</v>
      </c>
      <c r="G2474" s="74"/>
      <c r="H2474" s="75"/>
      <c r="I2474" s="76"/>
      <c r="J2474" s="78">
        <f>HYPERLINK("#Структура!E1847",Структура!E1847)</f>
        <v>4.2000000000000003E-2</v>
      </c>
      <c r="K2474" s="114" t="str">
        <f>HYPERLINK("#Структура!G1847","")</f>
        <v/>
      </c>
      <c r="L2474" s="120">
        <f>HYPERLINK("#Покупные_изделия!D305",Покупные_изделия!D305)</f>
        <v>160</v>
      </c>
      <c r="M2474" s="76">
        <f>J2474*L2474</f>
        <v>6.7200000000000006</v>
      </c>
      <c r="N2474" s="77"/>
      <c r="O2474" s="77"/>
      <c r="P2474" s="76"/>
      <c r="Q2474" s="76"/>
    </row>
    <row r="2475" spans="5:17" hidden="1" outlineLevel="3" collapsed="1" x14ac:dyDescent="0.25">
      <c r="E2475" s="84" t="s">
        <v>1193</v>
      </c>
      <c r="F2475" s="79"/>
      <c r="G2475" s="79"/>
      <c r="H2475" s="80"/>
      <c r="I2475" s="81"/>
      <c r="J2475" s="83">
        <f>HYPERLINK("#Структура!E2172",Структура!E2172)</f>
        <v>1</v>
      </c>
      <c r="K2475" s="115">
        <f>HYPERLINK("#Структура!G2172",Структура!G2172)</f>
        <v>3.0291000000000001</v>
      </c>
      <c r="L2475" s="81">
        <f>M2475/J2475</f>
        <v>1593.26316</v>
      </c>
      <c r="M2475" s="81">
        <f>SUMIF(F2476:F2481,"*",M2476:M2481)*J2475</f>
        <v>1593.26316</v>
      </c>
      <c r="N2475" s="124">
        <f>HYPERLINK("#Трудозатраты!B494",Трудозатраты!B494+SUMIF(F2476:F2481,"*",O2476:O2481))</f>
        <v>43.5</v>
      </c>
      <c r="O2475" s="82">
        <f>N2475*J2475</f>
        <v>43.5</v>
      </c>
      <c r="P2475" s="81">
        <f>O2475/60*(1+запас_труд)*стоимость_трудочаса</f>
        <v>1703.75</v>
      </c>
      <c r="Q2475" s="129">
        <f>M2475*(1+наценка_покупное)+P2475</f>
        <v>3615.6657919999998</v>
      </c>
    </row>
    <row r="2476" spans="5:17" hidden="1" outlineLevel="4" x14ac:dyDescent="0.25">
      <c r="F2476" s="74" t="s">
        <v>65</v>
      </c>
      <c r="G2476" s="74"/>
      <c r="H2476" s="75"/>
      <c r="I2476" s="76"/>
      <c r="J2476" s="78">
        <f>HYPERLINK("#Структура!E1848",Структура!E1848)</f>
        <v>0.15</v>
      </c>
      <c r="K2476" s="114" t="str">
        <f>HYPERLINK("#Структура!G1848","")</f>
        <v/>
      </c>
      <c r="L2476" s="120">
        <f>HYPERLINK("#Покупные_изделия!D197",Покупные_изделия!D197)</f>
        <v>264.50399999999996</v>
      </c>
      <c r="M2476" s="76">
        <f t="shared" ref="M2476:M2481" si="96">J2476*L2476</f>
        <v>39.675599999999996</v>
      </c>
      <c r="N2476" s="77"/>
      <c r="O2476" s="77"/>
      <c r="P2476" s="76"/>
      <c r="Q2476" s="76"/>
    </row>
    <row r="2477" spans="5:17" hidden="1" outlineLevel="4" x14ac:dyDescent="0.25">
      <c r="F2477" s="74" t="s">
        <v>113</v>
      </c>
      <c r="G2477" s="74"/>
      <c r="H2477" s="75"/>
      <c r="I2477" s="76"/>
      <c r="J2477" s="78">
        <f>HYPERLINK("#Структура!E1849",Структура!E1849)</f>
        <v>11.42</v>
      </c>
      <c r="K2477" s="114" t="str">
        <f>HYPERLINK("#Структура!G1849","")</f>
        <v/>
      </c>
      <c r="L2477" s="120">
        <f>HYPERLINK("#Покупные_изделия!D286",Покупные_изделия!D286)</f>
        <v>120</v>
      </c>
      <c r="M2477" s="76">
        <f t="shared" si="96"/>
        <v>1370.4</v>
      </c>
      <c r="N2477" s="77"/>
      <c r="O2477" s="77"/>
      <c r="P2477" s="76"/>
      <c r="Q2477" s="76"/>
    </row>
    <row r="2478" spans="5:17" hidden="1" outlineLevel="4" x14ac:dyDescent="0.25">
      <c r="F2478" s="74" t="s">
        <v>155</v>
      </c>
      <c r="G2478" s="74"/>
      <c r="H2478" s="75"/>
      <c r="I2478" s="76"/>
      <c r="J2478" s="78">
        <f>HYPERLINK("#Структура!E1850",Структура!E1850)</f>
        <v>0.09</v>
      </c>
      <c r="K2478" s="114" t="str">
        <f>HYPERLINK("#Структура!G1850","")</f>
        <v/>
      </c>
      <c r="L2478" s="120">
        <f>HYPERLINK("#Покупные_изделия!D423",Покупные_изделия!D423)</f>
        <v>218.28</v>
      </c>
      <c r="M2478" s="76">
        <f t="shared" si="96"/>
        <v>19.645199999999999</v>
      </c>
      <c r="N2478" s="77"/>
      <c r="O2478" s="77"/>
      <c r="P2478" s="76"/>
      <c r="Q2478" s="76"/>
    </row>
    <row r="2479" spans="5:17" hidden="1" outlineLevel="4" x14ac:dyDescent="0.25">
      <c r="F2479" s="74" t="s">
        <v>156</v>
      </c>
      <c r="G2479" s="74"/>
      <c r="H2479" s="75"/>
      <c r="I2479" s="76"/>
      <c r="J2479" s="78">
        <f>HYPERLINK("#Структура!E1851",Структура!E1851)</f>
        <v>0.13</v>
      </c>
      <c r="K2479" s="114" t="str">
        <f>HYPERLINK("#Структура!G1851","")</f>
        <v/>
      </c>
      <c r="L2479" s="120">
        <f>HYPERLINK("#Покупные_изделия!D427",Покупные_изделия!D427)</f>
        <v>155.53200000000001</v>
      </c>
      <c r="M2479" s="76">
        <f t="shared" si="96"/>
        <v>20.219160000000002</v>
      </c>
      <c r="N2479" s="77"/>
      <c r="O2479" s="77"/>
      <c r="P2479" s="76"/>
      <c r="Q2479" s="76"/>
    </row>
    <row r="2480" spans="5:17" hidden="1" outlineLevel="4" x14ac:dyDescent="0.25">
      <c r="F2480" s="74" t="s">
        <v>200</v>
      </c>
      <c r="G2480" s="74"/>
      <c r="H2480" s="75"/>
      <c r="I2480" s="76"/>
      <c r="J2480" s="78">
        <f>HYPERLINK("#Структура!E1852",Структура!E1852)</f>
        <v>0.08</v>
      </c>
      <c r="K2480" s="114" t="str">
        <f>HYPERLINK("#Структура!G1852","")</f>
        <v/>
      </c>
      <c r="L2480" s="120">
        <f>HYPERLINK("#Покупные_изделия!D518",Покупные_изделия!D518)</f>
        <v>270</v>
      </c>
      <c r="M2480" s="76">
        <f t="shared" si="96"/>
        <v>21.6</v>
      </c>
      <c r="N2480" s="77"/>
      <c r="O2480" s="77"/>
      <c r="P2480" s="76"/>
      <c r="Q2480" s="76"/>
    </row>
    <row r="2481" spans="5:17" hidden="1" outlineLevel="4" x14ac:dyDescent="0.25">
      <c r="F2481" s="74" t="s">
        <v>215</v>
      </c>
      <c r="G2481" s="74"/>
      <c r="H2481" s="75"/>
      <c r="I2481" s="76"/>
      <c r="J2481" s="78">
        <f>HYPERLINK("#Структура!E1853",Структура!E1853)</f>
        <v>0.3</v>
      </c>
      <c r="K2481" s="114" t="str">
        <f>HYPERLINK("#Структура!G1853","")</f>
        <v/>
      </c>
      <c r="L2481" s="120">
        <f>HYPERLINK("#Покупные_изделия!D567",Покупные_изделия!D567)</f>
        <v>405.74399999999997</v>
      </c>
      <c r="M2481" s="76">
        <f t="shared" si="96"/>
        <v>121.72319999999999</v>
      </c>
      <c r="N2481" s="77"/>
      <c r="O2481" s="77"/>
      <c r="P2481" s="76"/>
      <c r="Q2481" s="76"/>
    </row>
    <row r="2482" spans="5:17" hidden="1" outlineLevel="3" collapsed="1" x14ac:dyDescent="0.25">
      <c r="E2482" s="84" t="s">
        <v>1194</v>
      </c>
      <c r="F2482" s="79"/>
      <c r="G2482" s="79"/>
      <c r="H2482" s="80"/>
      <c r="I2482" s="81"/>
      <c r="J2482" s="83">
        <f>HYPERLINK("#Структура!E2173",Структура!E2173)</f>
        <v>2</v>
      </c>
      <c r="K2482" s="115">
        <f>HYPERLINK("#Структура!G2173",Структура!G2173)</f>
        <v>6.1120000000000001E-2</v>
      </c>
      <c r="L2482" s="81">
        <f>M2482/J2482</f>
        <v>12.8</v>
      </c>
      <c r="M2482" s="81">
        <f>SUMIF(F2483,"*",M2483)*J2482</f>
        <v>25.6</v>
      </c>
      <c r="N2482" s="124">
        <f>HYPERLINK("#Трудозатраты!B495",Трудозатраты!B495+SUMIF(F2483,"*",O2483))</f>
        <v>1.9000000000000001</v>
      </c>
      <c r="O2482" s="82">
        <f>N2482*J2482</f>
        <v>3.8000000000000003</v>
      </c>
      <c r="P2482" s="81">
        <f>O2482/60*(1+запас_труд)*стоимость_трудочаса</f>
        <v>148.83333333333334</v>
      </c>
      <c r="Q2482" s="129">
        <f>M2482*(1+наценка_покупное)+P2482</f>
        <v>179.55333333333334</v>
      </c>
    </row>
    <row r="2483" spans="5:17" hidden="1" outlineLevel="4" x14ac:dyDescent="0.25">
      <c r="F2483" s="74" t="s">
        <v>131</v>
      </c>
      <c r="G2483" s="74"/>
      <c r="H2483" s="75"/>
      <c r="I2483" s="76"/>
      <c r="J2483" s="78">
        <f>HYPERLINK("#Структура!E1854",Структура!E1854)</f>
        <v>0.08</v>
      </c>
      <c r="K2483" s="114" t="str">
        <f>HYPERLINK("#Структура!G1854","")</f>
        <v/>
      </c>
      <c r="L2483" s="120">
        <f>HYPERLINK("#Покупные_изделия!D306",Покупные_изделия!D306)</f>
        <v>160</v>
      </c>
      <c r="M2483" s="76">
        <f>J2483*L2483</f>
        <v>12.8</v>
      </c>
      <c r="N2483" s="77"/>
      <c r="O2483" s="77"/>
      <c r="P2483" s="76"/>
      <c r="Q2483" s="76"/>
    </row>
    <row r="2484" spans="5:17" hidden="1" outlineLevel="3" collapsed="1" x14ac:dyDescent="0.25">
      <c r="E2484" s="84" t="s">
        <v>1195</v>
      </c>
      <c r="F2484" s="79"/>
      <c r="G2484" s="79"/>
      <c r="H2484" s="80"/>
      <c r="I2484" s="81"/>
      <c r="J2484" s="83">
        <f>HYPERLINK("#Структура!E2174",Структура!E2174)</f>
        <v>2</v>
      </c>
      <c r="K2484" s="115">
        <f>HYPERLINK("#Структура!G2174",Структура!G2174)</f>
        <v>5.7880000000000001E-2</v>
      </c>
      <c r="L2484" s="81">
        <f>M2484/J2484</f>
        <v>10.689804000000002</v>
      </c>
      <c r="M2484" s="81">
        <f>SUMIF(F2485:F2489,"*",M2485:M2489)*J2484</f>
        <v>21.379608000000005</v>
      </c>
      <c r="N2484" s="124">
        <f>HYPERLINK("#Трудозатраты!B496",Трудозатраты!B496+SUMIF(F2485:F2489,"*",O2485:O2489))</f>
        <v>7.9</v>
      </c>
      <c r="O2484" s="82">
        <f>N2484*J2484</f>
        <v>15.8</v>
      </c>
      <c r="P2484" s="81">
        <f>O2484/60*(1+запас_труд)*стоимость_трудочаса</f>
        <v>618.83333333333337</v>
      </c>
      <c r="Q2484" s="129">
        <f>M2484*(1+наценка_покупное)+P2484</f>
        <v>644.48886293333339</v>
      </c>
    </row>
    <row r="2485" spans="5:17" hidden="1" outlineLevel="4" x14ac:dyDescent="0.25">
      <c r="F2485" s="74" t="s">
        <v>65</v>
      </c>
      <c r="G2485" s="74"/>
      <c r="H2485" s="75"/>
      <c r="I2485" s="76"/>
      <c r="J2485" s="78">
        <f>HYPERLINK("#Структура!E1855",Структура!E1855)</f>
        <v>1E-3</v>
      </c>
      <c r="K2485" s="114" t="str">
        <f>HYPERLINK("#Структура!G1855","")</f>
        <v/>
      </c>
      <c r="L2485" s="120">
        <f>HYPERLINK("#Покупные_изделия!D197",Покупные_изделия!D197)</f>
        <v>264.50399999999996</v>
      </c>
      <c r="M2485" s="76">
        <f>J2485*L2485</f>
        <v>0.26450399999999996</v>
      </c>
      <c r="N2485" s="77"/>
      <c r="O2485" s="77"/>
      <c r="P2485" s="76"/>
      <c r="Q2485" s="76"/>
    </row>
    <row r="2486" spans="5:17" hidden="1" outlineLevel="4" x14ac:dyDescent="0.25">
      <c r="F2486" s="74" t="s">
        <v>109</v>
      </c>
      <c r="G2486" s="74"/>
      <c r="H2486" s="75"/>
      <c r="I2486" s="76"/>
      <c r="J2486" s="78">
        <f>HYPERLINK("#Структура!E1856",Структура!E1856)</f>
        <v>7.6999999999999999E-2</v>
      </c>
      <c r="K2486" s="114" t="str">
        <f>HYPERLINK("#Структура!G1856","")</f>
        <v/>
      </c>
      <c r="L2486" s="120">
        <f>HYPERLINK("#Покупные_изделия!D281",Покупные_изделия!D281)</f>
        <v>120</v>
      </c>
      <c r="M2486" s="76">
        <f>J2486*L2486</f>
        <v>9.24</v>
      </c>
      <c r="N2486" s="77"/>
      <c r="O2486" s="77"/>
      <c r="P2486" s="76"/>
      <c r="Q2486" s="76"/>
    </row>
    <row r="2487" spans="5:17" hidden="1" outlineLevel="4" x14ac:dyDescent="0.25">
      <c r="F2487" s="74" t="s">
        <v>155</v>
      </c>
      <c r="G2487" s="74"/>
      <c r="H2487" s="75"/>
      <c r="I2487" s="76"/>
      <c r="J2487" s="78">
        <f>HYPERLINK("#Структура!E1857",Структура!E1857)</f>
        <v>1E-3</v>
      </c>
      <c r="K2487" s="114" t="str">
        <f>HYPERLINK("#Структура!G1857","")</f>
        <v/>
      </c>
      <c r="L2487" s="120">
        <f>HYPERLINK("#Покупные_изделия!D423",Покупные_изделия!D423)</f>
        <v>218.28</v>
      </c>
      <c r="M2487" s="76">
        <f>J2487*L2487</f>
        <v>0.21828</v>
      </c>
      <c r="N2487" s="77"/>
      <c r="O2487" s="77"/>
      <c r="P2487" s="76"/>
      <c r="Q2487" s="76"/>
    </row>
    <row r="2488" spans="5:17" hidden="1" outlineLevel="4" x14ac:dyDescent="0.25">
      <c r="F2488" s="74" t="s">
        <v>156</v>
      </c>
      <c r="G2488" s="74"/>
      <c r="H2488" s="75"/>
      <c r="I2488" s="76"/>
      <c r="J2488" s="78">
        <f>HYPERLINK("#Структура!E1858",Структура!E1858)</f>
        <v>1E-3</v>
      </c>
      <c r="K2488" s="114" t="str">
        <f>HYPERLINK("#Структура!G1858","")</f>
        <v/>
      </c>
      <c r="L2488" s="120">
        <f>HYPERLINK("#Покупные_изделия!D427",Покупные_изделия!D427)</f>
        <v>155.53200000000001</v>
      </c>
      <c r="M2488" s="76">
        <f>J2488*L2488</f>
        <v>0.155532</v>
      </c>
      <c r="N2488" s="77"/>
      <c r="O2488" s="77"/>
      <c r="P2488" s="76"/>
      <c r="Q2488" s="76"/>
    </row>
    <row r="2489" spans="5:17" hidden="1" outlineLevel="4" x14ac:dyDescent="0.25">
      <c r="F2489" s="74" t="s">
        <v>215</v>
      </c>
      <c r="G2489" s="74"/>
      <c r="H2489" s="75"/>
      <c r="I2489" s="76"/>
      <c r="J2489" s="78">
        <f>HYPERLINK("#Структура!E1859",Структура!E1859)</f>
        <v>2E-3</v>
      </c>
      <c r="K2489" s="114" t="str">
        <f>HYPERLINK("#Структура!G1859","")</f>
        <v/>
      </c>
      <c r="L2489" s="120">
        <f>HYPERLINK("#Покупные_изделия!D567",Покупные_изделия!D567)</f>
        <v>405.74399999999997</v>
      </c>
      <c r="M2489" s="76">
        <f>J2489*L2489</f>
        <v>0.81148799999999999</v>
      </c>
      <c r="N2489" s="77"/>
      <c r="O2489" s="77"/>
      <c r="P2489" s="76"/>
      <c r="Q2489" s="76"/>
    </row>
    <row r="2490" spans="5:17" hidden="1" outlineLevel="3" collapsed="1" x14ac:dyDescent="0.25">
      <c r="E2490" s="84" t="s">
        <v>1196</v>
      </c>
      <c r="F2490" s="79"/>
      <c r="G2490" s="79"/>
      <c r="H2490" s="80"/>
      <c r="I2490" s="81"/>
      <c r="J2490" s="83">
        <f>HYPERLINK("#Структура!E2175",Структура!E2175)</f>
        <v>1</v>
      </c>
      <c r="K2490" s="115">
        <f>HYPERLINK("#Структура!G2175",Структура!G2175)</f>
        <v>1.4852700000000001</v>
      </c>
      <c r="L2490" s="81">
        <f>M2490/J2490</f>
        <v>513.63986399999999</v>
      </c>
      <c r="M2490" s="81">
        <f>SUMIF(F2491:F2495,"*",M2491:M2495)*J2490</f>
        <v>513.63986399999999</v>
      </c>
      <c r="N2490" s="124">
        <f>HYPERLINK("#Трудозатраты!B497",Трудозатраты!B497+SUMIF(F2491:F2495,"*",O2491:O2495))</f>
        <v>9.1</v>
      </c>
      <c r="O2490" s="82">
        <f>N2490*J2490</f>
        <v>9.1</v>
      </c>
      <c r="P2490" s="81">
        <f>O2490/60*(1+запас_труд)*стоимость_трудочаса</f>
        <v>356.41666666666669</v>
      </c>
      <c r="Q2490" s="129">
        <f>M2490*(1+наценка_покупное)+P2490</f>
        <v>972.78450346666659</v>
      </c>
    </row>
    <row r="2491" spans="5:17" hidden="1" outlineLevel="4" x14ac:dyDescent="0.25">
      <c r="F2491" s="74" t="s">
        <v>65</v>
      </c>
      <c r="G2491" s="74"/>
      <c r="H2491" s="75"/>
      <c r="I2491" s="76"/>
      <c r="J2491" s="78">
        <f>HYPERLINK("#Структура!E1860",Структура!E1860)</f>
        <v>1.2E-2</v>
      </c>
      <c r="K2491" s="114" t="str">
        <f>HYPERLINK("#Структура!G1860","")</f>
        <v/>
      </c>
      <c r="L2491" s="120">
        <f>HYPERLINK("#Покупные_изделия!D197",Покупные_изделия!D197)</f>
        <v>264.50399999999996</v>
      </c>
      <c r="M2491" s="76">
        <f>J2491*L2491</f>
        <v>3.1740479999999995</v>
      </c>
      <c r="N2491" s="77"/>
      <c r="O2491" s="77"/>
      <c r="P2491" s="76"/>
      <c r="Q2491" s="76"/>
    </row>
    <row r="2492" spans="5:17" hidden="1" outlineLevel="4" x14ac:dyDescent="0.25">
      <c r="F2492" s="74" t="s">
        <v>116</v>
      </c>
      <c r="G2492" s="74"/>
      <c r="H2492" s="75"/>
      <c r="I2492" s="76"/>
      <c r="J2492" s="78">
        <f>HYPERLINK("#Структура!E1861",Структура!E1861)</f>
        <v>1.91</v>
      </c>
      <c r="K2492" s="114" t="str">
        <f>HYPERLINK("#Структура!G1861","")</f>
        <v/>
      </c>
      <c r="L2492" s="120">
        <f>HYPERLINK("#Покупные_изделия!D291",Покупные_изделия!D291)</f>
        <v>120</v>
      </c>
      <c r="M2492" s="76">
        <f>J2492*L2492</f>
        <v>229.2</v>
      </c>
      <c r="N2492" s="77"/>
      <c r="O2492" s="77"/>
      <c r="P2492" s="76"/>
      <c r="Q2492" s="76"/>
    </row>
    <row r="2493" spans="5:17" hidden="1" outlineLevel="4" x14ac:dyDescent="0.25">
      <c r="F2493" s="74" t="s">
        <v>155</v>
      </c>
      <c r="G2493" s="74"/>
      <c r="H2493" s="75"/>
      <c r="I2493" s="76"/>
      <c r="J2493" s="78">
        <f>HYPERLINK("#Структура!E1862",Структура!E1862)</f>
        <v>7.0000000000000001E-3</v>
      </c>
      <c r="K2493" s="114" t="str">
        <f>HYPERLINK("#Структура!G1862","")</f>
        <v/>
      </c>
      <c r="L2493" s="120">
        <f>HYPERLINK("#Покупные_изделия!D423",Покупные_изделия!D423)</f>
        <v>218.28</v>
      </c>
      <c r="M2493" s="76">
        <f>J2493*L2493</f>
        <v>1.52796</v>
      </c>
      <c r="N2493" s="77"/>
      <c r="O2493" s="77"/>
      <c r="P2493" s="76"/>
      <c r="Q2493" s="76"/>
    </row>
    <row r="2494" spans="5:17" hidden="1" outlineLevel="4" x14ac:dyDescent="0.25">
      <c r="F2494" s="74" t="s">
        <v>200</v>
      </c>
      <c r="G2494" s="74"/>
      <c r="H2494" s="75"/>
      <c r="I2494" s="76"/>
      <c r="J2494" s="78">
        <f>HYPERLINK("#Структура!E1863",Структура!E1863)</f>
        <v>1</v>
      </c>
      <c r="K2494" s="114" t="str">
        <f>HYPERLINK("#Структура!G1863","")</f>
        <v/>
      </c>
      <c r="L2494" s="120">
        <f>HYPERLINK("#Покупные_изделия!D518",Покупные_изделия!D518)</f>
        <v>270</v>
      </c>
      <c r="M2494" s="76">
        <f>J2494*L2494</f>
        <v>270</v>
      </c>
      <c r="N2494" s="77"/>
      <c r="O2494" s="77"/>
      <c r="P2494" s="76"/>
      <c r="Q2494" s="76"/>
    </row>
    <row r="2495" spans="5:17" hidden="1" outlineLevel="4" x14ac:dyDescent="0.25">
      <c r="F2495" s="74" t="s">
        <v>215</v>
      </c>
      <c r="G2495" s="74"/>
      <c r="H2495" s="75"/>
      <c r="I2495" s="76"/>
      <c r="J2495" s="78">
        <f>HYPERLINK("#Структура!E1864",Структура!E1864)</f>
        <v>2.4E-2</v>
      </c>
      <c r="K2495" s="114" t="str">
        <f>HYPERLINK("#Структура!G1864","")</f>
        <v/>
      </c>
      <c r="L2495" s="120">
        <f>HYPERLINK("#Покупные_изделия!D567",Покупные_изделия!D567)</f>
        <v>405.74399999999997</v>
      </c>
      <c r="M2495" s="76">
        <f>J2495*L2495</f>
        <v>9.737855999999999</v>
      </c>
      <c r="N2495" s="77"/>
      <c r="O2495" s="77"/>
      <c r="P2495" s="76"/>
      <c r="Q2495" s="76"/>
    </row>
    <row r="2496" spans="5:17" hidden="1" outlineLevel="3" collapsed="1" x14ac:dyDescent="0.25">
      <c r="E2496" s="84" t="s">
        <v>1197</v>
      </c>
      <c r="F2496" s="79"/>
      <c r="G2496" s="79"/>
      <c r="H2496" s="80"/>
      <c r="I2496" s="81"/>
      <c r="J2496" s="83">
        <f>HYPERLINK("#Структура!E2176",Структура!E2176)</f>
        <v>2</v>
      </c>
      <c r="K2496" s="115">
        <f>HYPERLINK("#Структура!G2176",Структура!G2176)</f>
        <v>0.30839</v>
      </c>
      <c r="L2496" s="81">
        <f>M2496/J2496</f>
        <v>51.056927999999999</v>
      </c>
      <c r="M2496" s="81">
        <f>SUMIF(F2497:F2501,"*",M2497:M2501)*J2496</f>
        <v>102.113856</v>
      </c>
      <c r="N2496" s="124">
        <f>HYPERLINK("#Трудозатраты!B498",Трудозатраты!B498+SUMIF(F2497:F2501,"*",O2497:O2501))</f>
        <v>1.9000000000000001</v>
      </c>
      <c r="O2496" s="82">
        <f>N2496*J2496</f>
        <v>3.8000000000000003</v>
      </c>
      <c r="P2496" s="81">
        <f>O2496/60*(1+запас_труд)*стоимость_трудочаса</f>
        <v>148.83333333333334</v>
      </c>
      <c r="Q2496" s="129">
        <f>M2496*(1+наценка_покупное)+P2496</f>
        <v>271.36996053333337</v>
      </c>
    </row>
    <row r="2497" spans="5:17" hidden="1" outlineLevel="4" x14ac:dyDescent="0.25">
      <c r="F2497" s="74" t="s">
        <v>65</v>
      </c>
      <c r="G2497" s="74"/>
      <c r="H2497" s="75"/>
      <c r="I2497" s="76"/>
      <c r="J2497" s="78">
        <f>HYPERLINK("#Структура!E1865",Структура!E1865)</f>
        <v>5.0000000000000001E-3</v>
      </c>
      <c r="K2497" s="114" t="str">
        <f>HYPERLINK("#Структура!G1865","")</f>
        <v/>
      </c>
      <c r="L2497" s="120">
        <f>HYPERLINK("#Покупные_изделия!D197",Покупные_изделия!D197)</f>
        <v>264.50399999999996</v>
      </c>
      <c r="M2497" s="76">
        <f>J2497*L2497</f>
        <v>1.3225199999999999</v>
      </c>
      <c r="N2497" s="77"/>
      <c r="O2497" s="77"/>
      <c r="P2497" s="76"/>
      <c r="Q2497" s="76"/>
    </row>
    <row r="2498" spans="5:17" hidden="1" outlineLevel="4" x14ac:dyDescent="0.25">
      <c r="F2498" s="74" t="s">
        <v>113</v>
      </c>
      <c r="G2498" s="74"/>
      <c r="H2498" s="75"/>
      <c r="I2498" s="76"/>
      <c r="J2498" s="78">
        <f>HYPERLINK("#Структура!E1866",Структура!E1866)</f>
        <v>0.37</v>
      </c>
      <c r="K2498" s="114" t="str">
        <f>HYPERLINK("#Структура!G1866","")</f>
        <v/>
      </c>
      <c r="L2498" s="120">
        <f>HYPERLINK("#Покупные_изделия!D286",Покупные_изделия!D286)</f>
        <v>120</v>
      </c>
      <c r="M2498" s="76">
        <f>J2498*L2498</f>
        <v>44.4</v>
      </c>
      <c r="N2498" s="77"/>
      <c r="O2498" s="77"/>
      <c r="P2498" s="76"/>
      <c r="Q2498" s="76"/>
    </row>
    <row r="2499" spans="5:17" hidden="1" outlineLevel="4" x14ac:dyDescent="0.25">
      <c r="F2499" s="74" t="s">
        <v>155</v>
      </c>
      <c r="G2499" s="74"/>
      <c r="H2499" s="75"/>
      <c r="I2499" s="76"/>
      <c r="J2499" s="78">
        <f>HYPERLINK("#Структура!E1867",Структура!E1867)</f>
        <v>3.0000000000000001E-3</v>
      </c>
      <c r="K2499" s="114" t="str">
        <f>HYPERLINK("#Структура!G1867","")</f>
        <v/>
      </c>
      <c r="L2499" s="120">
        <f>HYPERLINK("#Покупные_изделия!D423",Покупные_изделия!D423)</f>
        <v>218.28</v>
      </c>
      <c r="M2499" s="76">
        <f>J2499*L2499</f>
        <v>0.65483999999999998</v>
      </c>
      <c r="N2499" s="77"/>
      <c r="O2499" s="77"/>
      <c r="P2499" s="76"/>
      <c r="Q2499" s="76"/>
    </row>
    <row r="2500" spans="5:17" hidden="1" outlineLevel="4" x14ac:dyDescent="0.25">
      <c r="F2500" s="74" t="s">
        <v>156</v>
      </c>
      <c r="G2500" s="74"/>
      <c r="H2500" s="75"/>
      <c r="I2500" s="76"/>
      <c r="J2500" s="78">
        <f>HYPERLINK("#Структура!E1868",Структура!E1868)</f>
        <v>4.0000000000000001E-3</v>
      </c>
      <c r="K2500" s="114" t="str">
        <f>HYPERLINK("#Структура!G1868","")</f>
        <v/>
      </c>
      <c r="L2500" s="120">
        <f>HYPERLINK("#Покупные_изделия!D427",Покупные_изделия!D427)</f>
        <v>155.53200000000001</v>
      </c>
      <c r="M2500" s="76">
        <f>J2500*L2500</f>
        <v>0.62212800000000001</v>
      </c>
      <c r="N2500" s="77"/>
      <c r="O2500" s="77"/>
      <c r="P2500" s="76"/>
      <c r="Q2500" s="76"/>
    </row>
    <row r="2501" spans="5:17" hidden="1" outlineLevel="4" x14ac:dyDescent="0.25">
      <c r="F2501" s="74" t="s">
        <v>215</v>
      </c>
      <c r="G2501" s="74"/>
      <c r="H2501" s="75"/>
      <c r="I2501" s="76"/>
      <c r="J2501" s="78">
        <f>HYPERLINK("#Структура!E1869",Структура!E1869)</f>
        <v>0.01</v>
      </c>
      <c r="K2501" s="114" t="str">
        <f>HYPERLINK("#Структура!G1869","")</f>
        <v/>
      </c>
      <c r="L2501" s="120">
        <f>HYPERLINK("#Покупные_изделия!D567",Покупные_изделия!D567)</f>
        <v>405.74399999999997</v>
      </c>
      <c r="M2501" s="76">
        <f>J2501*L2501</f>
        <v>4.0574399999999997</v>
      </c>
      <c r="N2501" s="77"/>
      <c r="O2501" s="77"/>
      <c r="P2501" s="76"/>
      <c r="Q2501" s="76"/>
    </row>
    <row r="2502" spans="5:17" hidden="1" outlineLevel="3" collapsed="1" x14ac:dyDescent="0.25">
      <c r="E2502" s="84" t="s">
        <v>1287</v>
      </c>
      <c r="F2502" s="79"/>
      <c r="G2502" s="79"/>
      <c r="H2502" s="80"/>
      <c r="I2502" s="81"/>
      <c r="J2502" s="83">
        <f>HYPERLINK("#Структура!E2177",Структура!E2177)</f>
        <v>1</v>
      </c>
      <c r="K2502" s="115">
        <f>HYPERLINK("#Структура!G2177",Структура!G2177)</f>
        <v>0.97319999999999995</v>
      </c>
      <c r="L2502" s="81">
        <f>M2502/J2502</f>
        <v>360</v>
      </c>
      <c r="M2502" s="81">
        <f>SUMIF(F2503,"*",M2503)*J2502</f>
        <v>360</v>
      </c>
      <c r="N2502" s="124">
        <f>HYPERLINK("#Трудозатраты!B578",Трудозатраты!B578+SUMIF(F2503,"*",O2503))</f>
        <v>2.2000000000000002</v>
      </c>
      <c r="O2502" s="82">
        <f>N2502*J2502</f>
        <v>2.2000000000000002</v>
      </c>
      <c r="P2502" s="81">
        <f>O2502/60*(1+запас_труд)*стоимость_трудочаса</f>
        <v>86.166666666666671</v>
      </c>
      <c r="Q2502" s="129">
        <f>M2502*(1+наценка_покупное)+P2502</f>
        <v>518.16666666666663</v>
      </c>
    </row>
    <row r="2503" spans="5:17" hidden="1" outlineLevel="4" x14ac:dyDescent="0.25">
      <c r="F2503" s="74" t="s">
        <v>112</v>
      </c>
      <c r="G2503" s="74"/>
      <c r="H2503" s="75"/>
      <c r="I2503" s="76"/>
      <c r="J2503" s="78">
        <f>HYPERLINK("#Структура!E2211",Структура!E2211)</f>
        <v>1.2</v>
      </c>
      <c r="K2503" s="114" t="str">
        <f>HYPERLINK("#Структура!G2211","")</f>
        <v/>
      </c>
      <c r="L2503" s="120">
        <f>HYPERLINK("#Покупные_изделия!D285",Покупные_изделия!D285)</f>
        <v>300</v>
      </c>
      <c r="M2503" s="76">
        <f>J2503*L2503</f>
        <v>360</v>
      </c>
      <c r="N2503" s="77"/>
      <c r="O2503" s="77"/>
      <c r="P2503" s="76"/>
      <c r="Q2503" s="76"/>
    </row>
    <row r="2504" spans="5:17" hidden="1" outlineLevel="3" collapsed="1" x14ac:dyDescent="0.25">
      <c r="E2504" s="84" t="s">
        <v>1288</v>
      </c>
      <c r="F2504" s="79"/>
      <c r="G2504" s="79"/>
      <c r="H2504" s="80"/>
      <c r="I2504" s="81"/>
      <c r="J2504" s="83">
        <f>HYPERLINK("#Структура!E2178",Структура!E2178)</f>
        <v>1</v>
      </c>
      <c r="K2504" s="115">
        <f>HYPERLINK("#Структура!G2178",Структура!G2178)</f>
        <v>3.0280399999999998</v>
      </c>
      <c r="L2504" s="81">
        <f>M2504/J2504</f>
        <v>1237.9138799999998</v>
      </c>
      <c r="M2504" s="81">
        <f>SUMIF(F2505:F2510,"*",M2505:M2510)*J2504</f>
        <v>1237.9138799999998</v>
      </c>
      <c r="N2504" s="124">
        <f>HYPERLINK("#Трудозатраты!B579",Трудозатраты!B579+SUMIF(F2505:F2510,"*",O2505:O2510))</f>
        <v>58</v>
      </c>
      <c r="O2504" s="82">
        <f>N2504*J2504</f>
        <v>58</v>
      </c>
      <c r="P2504" s="81">
        <f>O2504/60*(1+запас_труд)*стоимость_трудочаса</f>
        <v>2271.6666666666665</v>
      </c>
      <c r="Q2504" s="129">
        <f>M2504*(1+наценка_покупное)+P2504</f>
        <v>3757.1633226666663</v>
      </c>
    </row>
    <row r="2505" spans="5:17" hidden="1" outlineLevel="4" x14ac:dyDescent="0.25">
      <c r="F2505" s="74" t="s">
        <v>65</v>
      </c>
      <c r="G2505" s="74"/>
      <c r="H2505" s="75"/>
      <c r="I2505" s="76"/>
      <c r="J2505" s="78">
        <f>HYPERLINK("#Структура!E2212",Структура!E2212)</f>
        <v>0.1</v>
      </c>
      <c r="K2505" s="114" t="str">
        <f>HYPERLINK("#Структура!G2212","")</f>
        <v/>
      </c>
      <c r="L2505" s="120">
        <f>HYPERLINK("#Покупные_изделия!D197",Покупные_изделия!D197)</f>
        <v>264.50399999999996</v>
      </c>
      <c r="M2505" s="76">
        <f t="shared" ref="M2505:M2510" si="97">J2505*L2505</f>
        <v>26.450399999999998</v>
      </c>
      <c r="N2505" s="77"/>
      <c r="O2505" s="77"/>
      <c r="P2505" s="76"/>
      <c r="Q2505" s="76"/>
    </row>
    <row r="2506" spans="5:17" hidden="1" outlineLevel="4" x14ac:dyDescent="0.25">
      <c r="F2506" s="74" t="s">
        <v>109</v>
      </c>
      <c r="G2506" s="74"/>
      <c r="H2506" s="75"/>
      <c r="I2506" s="76"/>
      <c r="J2506" s="78">
        <f>HYPERLINK("#Структура!E2213",Структура!E2213)</f>
        <v>9</v>
      </c>
      <c r="K2506" s="114" t="str">
        <f>HYPERLINK("#Структура!G2213","")</f>
        <v/>
      </c>
      <c r="L2506" s="120">
        <f>HYPERLINK("#Покупные_изделия!D281",Покупные_изделия!D281)</f>
        <v>120</v>
      </c>
      <c r="M2506" s="76">
        <f t="shared" si="97"/>
        <v>1080</v>
      </c>
      <c r="N2506" s="77"/>
      <c r="O2506" s="77"/>
      <c r="P2506" s="76"/>
      <c r="Q2506" s="76"/>
    </row>
    <row r="2507" spans="5:17" hidden="1" outlineLevel="4" x14ac:dyDescent="0.25">
      <c r="F2507" s="74" t="s">
        <v>155</v>
      </c>
      <c r="G2507" s="74"/>
      <c r="H2507" s="75"/>
      <c r="I2507" s="76"/>
      <c r="J2507" s="78">
        <f>HYPERLINK("#Структура!E2214",Структура!E2214)</f>
        <v>0.06</v>
      </c>
      <c r="K2507" s="114" t="str">
        <f>HYPERLINK("#Структура!G2214","")</f>
        <v/>
      </c>
      <c r="L2507" s="120">
        <f>HYPERLINK("#Покупные_изделия!D423",Покупные_изделия!D423)</f>
        <v>218.28</v>
      </c>
      <c r="M2507" s="76">
        <f t="shared" si="97"/>
        <v>13.0968</v>
      </c>
      <c r="N2507" s="77"/>
      <c r="O2507" s="77"/>
      <c r="P2507" s="76"/>
      <c r="Q2507" s="76"/>
    </row>
    <row r="2508" spans="5:17" hidden="1" outlineLevel="4" x14ac:dyDescent="0.25">
      <c r="F2508" s="74" t="s">
        <v>156</v>
      </c>
      <c r="G2508" s="74"/>
      <c r="H2508" s="75"/>
      <c r="I2508" s="76"/>
      <c r="J2508" s="78">
        <f>HYPERLINK("#Структура!E2215",Структура!E2215)</f>
        <v>0.09</v>
      </c>
      <c r="K2508" s="114" t="str">
        <f>HYPERLINK("#Структура!G2215","")</f>
        <v/>
      </c>
      <c r="L2508" s="120">
        <f>HYPERLINK("#Покупные_изделия!D427",Покупные_изделия!D427)</f>
        <v>155.53200000000001</v>
      </c>
      <c r="M2508" s="76">
        <f t="shared" si="97"/>
        <v>13.99788</v>
      </c>
      <c r="N2508" s="77"/>
      <c r="O2508" s="77"/>
      <c r="P2508" s="76"/>
      <c r="Q2508" s="76"/>
    </row>
    <row r="2509" spans="5:17" hidden="1" outlineLevel="4" x14ac:dyDescent="0.25">
      <c r="F2509" s="74" t="s">
        <v>200</v>
      </c>
      <c r="G2509" s="74"/>
      <c r="H2509" s="75"/>
      <c r="I2509" s="76"/>
      <c r="J2509" s="78">
        <f>HYPERLINK("#Структура!E2216",Структура!E2216)</f>
        <v>8.5999999999999993E-2</v>
      </c>
      <c r="K2509" s="114" t="str">
        <f>HYPERLINK("#Структура!G2216","")</f>
        <v/>
      </c>
      <c r="L2509" s="120">
        <f>HYPERLINK("#Покупные_изделия!D518",Покупные_изделия!D518)</f>
        <v>270</v>
      </c>
      <c r="M2509" s="76">
        <f t="shared" si="97"/>
        <v>23.22</v>
      </c>
      <c r="N2509" s="77"/>
      <c r="O2509" s="77"/>
      <c r="P2509" s="76"/>
      <c r="Q2509" s="76"/>
    </row>
    <row r="2510" spans="5:17" hidden="1" outlineLevel="4" x14ac:dyDescent="0.25">
      <c r="F2510" s="74" t="s">
        <v>215</v>
      </c>
      <c r="G2510" s="74"/>
      <c r="H2510" s="75"/>
      <c r="I2510" s="76"/>
      <c r="J2510" s="78">
        <f>HYPERLINK("#Структура!E2217",Структура!E2217)</f>
        <v>0.2</v>
      </c>
      <c r="K2510" s="114" t="str">
        <f>HYPERLINK("#Структура!G2217","")</f>
        <v/>
      </c>
      <c r="L2510" s="120">
        <f>HYPERLINK("#Покупные_изделия!D567",Покупные_изделия!D567)</f>
        <v>405.74399999999997</v>
      </c>
      <c r="M2510" s="76">
        <f t="shared" si="97"/>
        <v>81.148799999999994</v>
      </c>
      <c r="N2510" s="77"/>
      <c r="O2510" s="77"/>
      <c r="P2510" s="76"/>
      <c r="Q2510" s="76"/>
    </row>
    <row r="2511" spans="5:17" hidden="1" outlineLevel="3" collapsed="1" x14ac:dyDescent="0.25">
      <c r="E2511" s="84" t="s">
        <v>1289</v>
      </c>
      <c r="F2511" s="79"/>
      <c r="G2511" s="79"/>
      <c r="H2511" s="80"/>
      <c r="I2511" s="81"/>
      <c r="J2511" s="83">
        <f>HYPERLINK("#Структура!E2179",Структура!E2179)</f>
        <v>2</v>
      </c>
      <c r="K2511" s="115">
        <f>HYPERLINK("#Структура!G2179",Структура!G2179)</f>
        <v>12.73732</v>
      </c>
      <c r="L2511" s="81">
        <f>M2511/J2511</f>
        <v>2097.9878399999998</v>
      </c>
      <c r="M2511" s="81">
        <f>SUMIF(F2512:F2517,"*",M2512:M2517)*J2511</f>
        <v>4195.9756799999996</v>
      </c>
      <c r="N2511" s="124">
        <f>HYPERLINK("#Трудозатраты!B580",Трудозатраты!B580+SUMIF(F2512:F2517,"*",O2512:O2517))</f>
        <v>34.1</v>
      </c>
      <c r="O2511" s="82">
        <f>N2511*J2511</f>
        <v>68.2</v>
      </c>
      <c r="P2511" s="81">
        <f>O2511/60*(1+запас_труд)*стоимость_трудочаса</f>
        <v>2671.166666666667</v>
      </c>
      <c r="Q2511" s="129">
        <f>M2511*(1+наценка_покупное)+P2511</f>
        <v>7706.3374826666659</v>
      </c>
    </row>
    <row r="2512" spans="5:17" hidden="1" outlineLevel="4" x14ac:dyDescent="0.25">
      <c r="F2512" s="74" t="s">
        <v>65</v>
      </c>
      <c r="G2512" s="74"/>
      <c r="H2512" s="75"/>
      <c r="I2512" s="76"/>
      <c r="J2512" s="78">
        <f>HYPERLINK("#Структура!E2218",Структура!E2218)</f>
        <v>0.15</v>
      </c>
      <c r="K2512" s="114" t="str">
        <f>HYPERLINK("#Структура!G2218","")</f>
        <v/>
      </c>
      <c r="L2512" s="120">
        <f>HYPERLINK("#Покупные_изделия!D197",Покупные_изделия!D197)</f>
        <v>264.50399999999996</v>
      </c>
      <c r="M2512" s="76">
        <f t="shared" ref="M2512:M2542" si="98">J2512*L2512</f>
        <v>39.675599999999996</v>
      </c>
      <c r="N2512" s="77"/>
      <c r="O2512" s="77"/>
      <c r="P2512" s="76"/>
      <c r="Q2512" s="76"/>
    </row>
    <row r="2513" spans="5:17" hidden="1" outlineLevel="4" x14ac:dyDescent="0.25">
      <c r="F2513" s="74" t="s">
        <v>115</v>
      </c>
      <c r="G2513" s="74"/>
      <c r="H2513" s="75"/>
      <c r="I2513" s="76"/>
      <c r="J2513" s="78">
        <f>HYPERLINK("#Структура!E2219",Структура!E2219)</f>
        <v>15.45</v>
      </c>
      <c r="K2513" s="114" t="str">
        <f>HYPERLINK("#Структура!G2219","")</f>
        <v/>
      </c>
      <c r="L2513" s="120">
        <f>HYPERLINK("#Покупные_изделия!D289",Покупные_изделия!D289)</f>
        <v>120</v>
      </c>
      <c r="M2513" s="76">
        <f t="shared" si="98"/>
        <v>1854</v>
      </c>
      <c r="N2513" s="77"/>
      <c r="O2513" s="77"/>
      <c r="P2513" s="76"/>
      <c r="Q2513" s="76"/>
    </row>
    <row r="2514" spans="5:17" hidden="1" outlineLevel="4" x14ac:dyDescent="0.25">
      <c r="F2514" s="74" t="s">
        <v>155</v>
      </c>
      <c r="G2514" s="74"/>
      <c r="H2514" s="75"/>
      <c r="I2514" s="76"/>
      <c r="J2514" s="78">
        <f>HYPERLINK("#Структура!E2220",Структура!E2220)</f>
        <v>0.09</v>
      </c>
      <c r="K2514" s="114" t="str">
        <f>HYPERLINK("#Структура!G2220","")</f>
        <v/>
      </c>
      <c r="L2514" s="120">
        <f>HYPERLINK("#Покупные_изделия!D423",Покупные_изделия!D423)</f>
        <v>218.28</v>
      </c>
      <c r="M2514" s="76">
        <f t="shared" si="98"/>
        <v>19.645199999999999</v>
      </c>
      <c r="N2514" s="77"/>
      <c r="O2514" s="77"/>
      <c r="P2514" s="76"/>
      <c r="Q2514" s="76"/>
    </row>
    <row r="2515" spans="5:17" hidden="1" outlineLevel="4" x14ac:dyDescent="0.25">
      <c r="F2515" s="74" t="s">
        <v>156</v>
      </c>
      <c r="G2515" s="74"/>
      <c r="H2515" s="75"/>
      <c r="I2515" s="76"/>
      <c r="J2515" s="78">
        <f>HYPERLINK("#Структура!E2221",Структура!E2221)</f>
        <v>0.12</v>
      </c>
      <c r="K2515" s="114" t="str">
        <f>HYPERLINK("#Структура!G2221","")</f>
        <v/>
      </c>
      <c r="L2515" s="120">
        <f>HYPERLINK("#Покупные_изделия!D427",Покупные_изделия!D427)</f>
        <v>155.53200000000001</v>
      </c>
      <c r="M2515" s="76">
        <f t="shared" si="98"/>
        <v>18.66384</v>
      </c>
      <c r="N2515" s="77"/>
      <c r="O2515" s="77"/>
      <c r="P2515" s="76"/>
      <c r="Q2515" s="76"/>
    </row>
    <row r="2516" spans="5:17" hidden="1" outlineLevel="4" x14ac:dyDescent="0.25">
      <c r="F2516" s="74" t="s">
        <v>200</v>
      </c>
      <c r="G2516" s="74"/>
      <c r="H2516" s="75"/>
      <c r="I2516" s="76"/>
      <c r="J2516" s="78">
        <f>HYPERLINK("#Структура!E2222",Структура!E2222)</f>
        <v>0.16400000000000001</v>
      </c>
      <c r="K2516" s="114" t="str">
        <f>HYPERLINK("#Структура!G2222","")</f>
        <v/>
      </c>
      <c r="L2516" s="120">
        <f>HYPERLINK("#Покупные_изделия!D518",Покупные_изделия!D518)</f>
        <v>270</v>
      </c>
      <c r="M2516" s="76">
        <f t="shared" si="98"/>
        <v>44.28</v>
      </c>
      <c r="N2516" s="77"/>
      <c r="O2516" s="77"/>
      <c r="P2516" s="76"/>
      <c r="Q2516" s="76"/>
    </row>
    <row r="2517" spans="5:17" hidden="1" outlineLevel="4" x14ac:dyDescent="0.25">
      <c r="F2517" s="74" t="s">
        <v>215</v>
      </c>
      <c r="G2517" s="74"/>
      <c r="H2517" s="75"/>
      <c r="I2517" s="76"/>
      <c r="J2517" s="78">
        <f>HYPERLINK("#Структура!E2223",Структура!E2223)</f>
        <v>0.3</v>
      </c>
      <c r="K2517" s="114" t="str">
        <f>HYPERLINK("#Структура!G2223","")</f>
        <v/>
      </c>
      <c r="L2517" s="120">
        <f>HYPERLINK("#Покупные_изделия!D567",Покупные_изделия!D567)</f>
        <v>405.74399999999997</v>
      </c>
      <c r="M2517" s="76">
        <f t="shared" si="98"/>
        <v>121.72319999999999</v>
      </c>
      <c r="N2517" s="77"/>
      <c r="O2517" s="77"/>
      <c r="P2517" s="76"/>
      <c r="Q2517" s="76"/>
    </row>
    <row r="2518" spans="5:17" hidden="1" outlineLevel="3" x14ac:dyDescent="0.25">
      <c r="E2518" s="74" t="s">
        <v>1198</v>
      </c>
      <c r="F2518" s="74"/>
      <c r="G2518" s="74"/>
      <c r="H2518" s="75"/>
      <c r="I2518" s="76"/>
      <c r="J2518" s="78">
        <f>HYPERLINK("#Структура!E2180",Структура!E2180)</f>
        <v>4</v>
      </c>
      <c r="K2518" s="114">
        <f>HYPERLINK("#Структура!G2180",Структура!G2180)</f>
        <v>2.7699999999999999E-2</v>
      </c>
      <c r="L2518" s="120">
        <f>HYPERLINK("#Покупные_изделия!D71",Покупные_изделия!D71)</f>
        <v>10.692</v>
      </c>
      <c r="M2518" s="76">
        <f t="shared" si="98"/>
        <v>42.768000000000001</v>
      </c>
      <c r="N2518" s="77"/>
      <c r="O2518" s="77"/>
      <c r="P2518" s="76"/>
      <c r="Q2518" s="76"/>
    </row>
    <row r="2519" spans="5:17" hidden="1" outlineLevel="3" x14ac:dyDescent="0.25">
      <c r="E2519" s="74" t="s">
        <v>1290</v>
      </c>
      <c r="F2519" s="74"/>
      <c r="G2519" s="74"/>
      <c r="H2519" s="75"/>
      <c r="I2519" s="76"/>
      <c r="J2519" s="78">
        <f>HYPERLINK("#Структура!E2181",Структура!E2181)</f>
        <v>12</v>
      </c>
      <c r="K2519" s="114">
        <f>HYPERLINK("#Структура!G2181",Структура!G2181)</f>
        <v>3.1600000000000003E-2</v>
      </c>
      <c r="L2519" s="120">
        <f>HYPERLINK("#Покупные_изделия!D73",Покупные_изделия!D73)</f>
        <v>12.888</v>
      </c>
      <c r="M2519" s="76">
        <f t="shared" si="98"/>
        <v>154.65600000000001</v>
      </c>
      <c r="N2519" s="77"/>
      <c r="O2519" s="77"/>
      <c r="P2519" s="76"/>
      <c r="Q2519" s="76"/>
    </row>
    <row r="2520" spans="5:17" hidden="1" outlineLevel="3" x14ac:dyDescent="0.25">
      <c r="E2520" s="74" t="s">
        <v>1291</v>
      </c>
      <c r="F2520" s="74"/>
      <c r="G2520" s="74"/>
      <c r="H2520" s="75"/>
      <c r="I2520" s="76"/>
      <c r="J2520" s="78">
        <f>HYPERLINK("#Структура!E2182",Структура!E2182)</f>
        <v>4</v>
      </c>
      <c r="K2520" s="114">
        <f>HYPERLINK("#Структура!G2182",Структура!G2182)</f>
        <v>7.5999999999999998E-2</v>
      </c>
      <c r="L2520" s="120">
        <f>HYPERLINK("#Покупные_изделия!D79",Покупные_изделия!D79)</f>
        <v>97.838399999999993</v>
      </c>
      <c r="M2520" s="76">
        <f t="shared" si="98"/>
        <v>391.35359999999997</v>
      </c>
      <c r="N2520" s="77"/>
      <c r="O2520" s="77"/>
      <c r="P2520" s="76"/>
      <c r="Q2520" s="76"/>
    </row>
    <row r="2521" spans="5:17" hidden="1" outlineLevel="3" x14ac:dyDescent="0.25">
      <c r="E2521" s="74" t="s">
        <v>622</v>
      </c>
      <c r="F2521" s="74"/>
      <c r="G2521" s="74"/>
      <c r="H2521" s="75"/>
      <c r="I2521" s="76"/>
      <c r="J2521" s="78">
        <f>HYPERLINK("#Структура!E2183",Структура!E2183)</f>
        <v>104</v>
      </c>
      <c r="K2521" s="114">
        <f>HYPERLINK("#Структура!G2183",Структура!G2183)</f>
        <v>1.52E-2</v>
      </c>
      <c r="L2521" s="120">
        <f>HYPERLINK("#Покупные_изделия!D85",Покупные_изделия!D85)</f>
        <v>8.6999999999999993</v>
      </c>
      <c r="M2521" s="76">
        <f t="shared" si="98"/>
        <v>904.8</v>
      </c>
      <c r="N2521" s="77"/>
      <c r="O2521" s="77"/>
      <c r="P2521" s="76"/>
      <c r="Q2521" s="76"/>
    </row>
    <row r="2522" spans="5:17" hidden="1" outlineLevel="3" x14ac:dyDescent="0.25">
      <c r="E2522" s="74" t="s">
        <v>623</v>
      </c>
      <c r="F2522" s="74"/>
      <c r="G2522" s="74"/>
      <c r="H2522" s="75"/>
      <c r="I2522" s="76"/>
      <c r="J2522" s="78">
        <f>HYPERLINK("#Структура!E2184",Структура!E2184)</f>
        <v>5</v>
      </c>
      <c r="K2522" s="114">
        <f>HYPERLINK("#Структура!G2184",Структура!G2184)</f>
        <v>1.67E-2</v>
      </c>
      <c r="L2522" s="120">
        <f>HYPERLINK("#Покупные_изделия!D86",Покупные_изделия!D86)</f>
        <v>8.7719999999999985</v>
      </c>
      <c r="M2522" s="76">
        <f t="shared" si="98"/>
        <v>43.859999999999992</v>
      </c>
      <c r="N2522" s="77"/>
      <c r="O2522" s="77"/>
      <c r="P2522" s="76"/>
      <c r="Q2522" s="76"/>
    </row>
    <row r="2523" spans="5:17" hidden="1" outlineLevel="3" x14ac:dyDescent="0.25">
      <c r="E2523" s="74" t="s">
        <v>1201</v>
      </c>
      <c r="F2523" s="74"/>
      <c r="G2523" s="74"/>
      <c r="H2523" s="75"/>
      <c r="I2523" s="76"/>
      <c r="J2523" s="78">
        <f>HYPERLINK("#Структура!E2185",Структура!E2185)</f>
        <v>4</v>
      </c>
      <c r="K2523" s="114">
        <f>HYPERLINK("#Структура!G2185",Структура!G2185)</f>
        <v>0.13730000000000001</v>
      </c>
      <c r="L2523" s="120">
        <f>HYPERLINK("#Покупные_изделия!D98",Покупные_изделия!D98)</f>
        <v>21.241466400000004</v>
      </c>
      <c r="M2523" s="76">
        <f t="shared" si="98"/>
        <v>84.965865600000015</v>
      </c>
      <c r="N2523" s="77"/>
      <c r="O2523" s="77"/>
      <c r="P2523" s="76"/>
      <c r="Q2523" s="76"/>
    </row>
    <row r="2524" spans="5:17" hidden="1" outlineLevel="3" x14ac:dyDescent="0.25">
      <c r="E2524" s="74" t="s">
        <v>745</v>
      </c>
      <c r="F2524" s="74"/>
      <c r="G2524" s="74"/>
      <c r="H2524" s="75"/>
      <c r="I2524" s="76"/>
      <c r="J2524" s="78">
        <f>HYPERLINK("#Структура!E2186",Структура!E2186)</f>
        <v>16</v>
      </c>
      <c r="K2524" s="114">
        <f>HYPERLINK("#Структура!G2186",Структура!G2186)</f>
        <v>1.022E-2</v>
      </c>
      <c r="L2524" s="120">
        <f>HYPERLINK("#Покупные_изделия!D174",Покупные_изделия!D174)</f>
        <v>4.7160000000000002</v>
      </c>
      <c r="M2524" s="76">
        <f t="shared" si="98"/>
        <v>75.456000000000003</v>
      </c>
      <c r="N2524" s="77"/>
      <c r="O2524" s="77"/>
      <c r="P2524" s="76"/>
      <c r="Q2524" s="76"/>
    </row>
    <row r="2525" spans="5:17" hidden="1" outlineLevel="3" x14ac:dyDescent="0.25">
      <c r="E2525" s="74" t="s">
        <v>864</v>
      </c>
      <c r="F2525" s="74"/>
      <c r="G2525" s="74"/>
      <c r="H2525" s="75"/>
      <c r="I2525" s="76"/>
      <c r="J2525" s="78">
        <f>HYPERLINK("#Структура!E2187",Структура!E2187)</f>
        <v>4</v>
      </c>
      <c r="K2525" s="114">
        <f>HYPERLINK("#Структура!G2187",Структура!G2187)</f>
        <v>1.567E-2</v>
      </c>
      <c r="L2525" s="120">
        <f>HYPERLINK("#Покупные_изделия!D175",Покупные_изделия!D175)</f>
        <v>3.3659999999999997</v>
      </c>
      <c r="M2525" s="76">
        <f t="shared" si="98"/>
        <v>13.463999999999999</v>
      </c>
      <c r="N2525" s="77"/>
      <c r="O2525" s="77"/>
      <c r="P2525" s="76"/>
      <c r="Q2525" s="76"/>
    </row>
    <row r="2526" spans="5:17" hidden="1" outlineLevel="3" x14ac:dyDescent="0.25">
      <c r="E2526" s="74" t="s">
        <v>818</v>
      </c>
      <c r="F2526" s="74"/>
      <c r="G2526" s="74"/>
      <c r="H2526" s="75"/>
      <c r="I2526" s="76"/>
      <c r="J2526" s="78">
        <f>HYPERLINK("#Структура!E2188",Структура!E2188)</f>
        <v>4</v>
      </c>
      <c r="K2526" s="114">
        <f>HYPERLINK("#Структура!G2188",Структура!G2188)</f>
        <v>3.7609999999999998E-2</v>
      </c>
      <c r="L2526" s="120">
        <f>HYPERLINK("#Покупные_изделия!D177",Покупные_изделия!D177)</f>
        <v>9.4320000000000004</v>
      </c>
      <c r="M2526" s="76">
        <f t="shared" si="98"/>
        <v>37.728000000000002</v>
      </c>
      <c r="N2526" s="77"/>
      <c r="O2526" s="77"/>
      <c r="P2526" s="76"/>
      <c r="Q2526" s="76"/>
    </row>
    <row r="2527" spans="5:17" hidden="1" outlineLevel="3" x14ac:dyDescent="0.25">
      <c r="E2527" s="74" t="s">
        <v>733</v>
      </c>
      <c r="F2527" s="74"/>
      <c r="G2527" s="74"/>
      <c r="H2527" s="75"/>
      <c r="I2527" s="76"/>
      <c r="J2527" s="78">
        <f>HYPERLINK("#Структура!E2189",Структура!E2189)</f>
        <v>8</v>
      </c>
      <c r="K2527" s="114">
        <f>HYPERLINK("#Структура!G2189",Структура!G2189)</f>
        <v>7.1440000000000003E-2</v>
      </c>
      <c r="L2527" s="120">
        <f>HYPERLINK("#Покупные_изделия!D181",Покупные_изделия!D181)</f>
        <v>15.227999999999998</v>
      </c>
      <c r="M2527" s="76">
        <f t="shared" si="98"/>
        <v>121.82399999999998</v>
      </c>
      <c r="N2527" s="77"/>
      <c r="O2527" s="77"/>
      <c r="P2527" s="76"/>
      <c r="Q2527" s="76"/>
    </row>
    <row r="2528" spans="5:17" hidden="1" outlineLevel="3" x14ac:dyDescent="0.25">
      <c r="E2528" s="74" t="s">
        <v>625</v>
      </c>
      <c r="F2528" s="74"/>
      <c r="G2528" s="74"/>
      <c r="H2528" s="75"/>
      <c r="I2528" s="76"/>
      <c r="J2528" s="78">
        <f>HYPERLINK("#Структура!E2190",Структура!E2190)</f>
        <v>42</v>
      </c>
      <c r="K2528" s="114">
        <f>HYPERLINK("#Структура!G2190",Структура!G2190)</f>
        <v>7.1399999999999996E-3</v>
      </c>
      <c r="L2528" s="120">
        <f>HYPERLINK("#Покупные_изделия!D168",Покупные_изделия!D168)</f>
        <v>1.9715672368421051</v>
      </c>
      <c r="M2528" s="76">
        <f t="shared" si="98"/>
        <v>82.80582394736841</v>
      </c>
      <c r="N2528" s="77"/>
      <c r="O2528" s="77"/>
      <c r="P2528" s="76"/>
      <c r="Q2528" s="76"/>
    </row>
    <row r="2529" spans="4:17" hidden="1" outlineLevel="3" x14ac:dyDescent="0.25">
      <c r="E2529" s="74" t="s">
        <v>767</v>
      </c>
      <c r="F2529" s="74"/>
      <c r="G2529" s="74"/>
      <c r="H2529" s="75"/>
      <c r="I2529" s="76"/>
      <c r="J2529" s="78">
        <f>HYPERLINK("#Структура!E2191",Структура!E2191)</f>
        <v>13</v>
      </c>
      <c r="K2529" s="114">
        <f>HYPERLINK("#Структура!G2191",Структура!G2191)</f>
        <v>2.0100000000000001E-3</v>
      </c>
      <c r="L2529" s="120">
        <f>HYPERLINK("#Покупные_изделия!D522",Покупные_изделия!D522)</f>
        <v>1.6500000000000001</v>
      </c>
      <c r="M2529" s="76">
        <f t="shared" si="98"/>
        <v>21.450000000000003</v>
      </c>
      <c r="N2529" s="77"/>
      <c r="O2529" s="77"/>
      <c r="P2529" s="76"/>
      <c r="Q2529" s="76"/>
    </row>
    <row r="2530" spans="4:17" hidden="1" outlineLevel="3" x14ac:dyDescent="0.25">
      <c r="E2530" s="74" t="s">
        <v>865</v>
      </c>
      <c r="F2530" s="74"/>
      <c r="G2530" s="74"/>
      <c r="H2530" s="75"/>
      <c r="I2530" s="76"/>
      <c r="J2530" s="78">
        <f>HYPERLINK("#Структура!E2192",Структура!E2192)</f>
        <v>4</v>
      </c>
      <c r="K2530" s="114">
        <f>HYPERLINK("#Структура!G2192",Структура!G2192)</f>
        <v>3.4499999999999999E-3</v>
      </c>
      <c r="L2530" s="120">
        <f>HYPERLINK("#Покупные_изделия!D523",Покупные_изделия!D523)</f>
        <v>1.5973680000000001</v>
      </c>
      <c r="M2530" s="76">
        <f t="shared" si="98"/>
        <v>6.3894720000000005</v>
      </c>
      <c r="N2530" s="77"/>
      <c r="O2530" s="77"/>
      <c r="P2530" s="76"/>
      <c r="Q2530" s="76"/>
    </row>
    <row r="2531" spans="4:17" hidden="1" outlineLevel="3" x14ac:dyDescent="0.25">
      <c r="E2531" s="74" t="s">
        <v>819</v>
      </c>
      <c r="F2531" s="74"/>
      <c r="G2531" s="74"/>
      <c r="H2531" s="75"/>
      <c r="I2531" s="76"/>
      <c r="J2531" s="78">
        <f>HYPERLINK("#Структура!E2193",Структура!E2193)</f>
        <v>4</v>
      </c>
      <c r="K2531" s="114">
        <f>HYPERLINK("#Структура!G2193",Структура!G2193)</f>
        <v>6.0800000000000003E-3</v>
      </c>
      <c r="L2531" s="120">
        <f>HYPERLINK("#Покупные_изделия!D525",Покупные_изделия!D525)</f>
        <v>1.9345375522388062</v>
      </c>
      <c r="M2531" s="76">
        <f t="shared" si="98"/>
        <v>7.7381502089552248</v>
      </c>
      <c r="N2531" s="77"/>
      <c r="O2531" s="77"/>
      <c r="P2531" s="76"/>
      <c r="Q2531" s="76"/>
    </row>
    <row r="2532" spans="4:17" hidden="1" outlineLevel="3" x14ac:dyDescent="0.25">
      <c r="E2532" s="74" t="s">
        <v>735</v>
      </c>
      <c r="F2532" s="74"/>
      <c r="G2532" s="74"/>
      <c r="H2532" s="75"/>
      <c r="I2532" s="76"/>
      <c r="J2532" s="78">
        <f>HYPERLINK("#Структура!E2194",Структура!E2194)</f>
        <v>4</v>
      </c>
      <c r="K2532" s="114">
        <f>HYPERLINK("#Структура!G2194",Структура!G2194)</f>
        <v>1.289E-2</v>
      </c>
      <c r="L2532" s="120">
        <f>HYPERLINK("#Покупные_изделия!D527",Покупные_изделия!D527)</f>
        <v>5.5</v>
      </c>
      <c r="M2532" s="76">
        <f t="shared" si="98"/>
        <v>22</v>
      </c>
      <c r="N2532" s="77"/>
      <c r="O2532" s="77"/>
      <c r="P2532" s="76"/>
      <c r="Q2532" s="76"/>
    </row>
    <row r="2533" spans="4:17" hidden="1" outlineLevel="3" x14ac:dyDescent="0.25">
      <c r="E2533" s="74" t="s">
        <v>1292</v>
      </c>
      <c r="F2533" s="74"/>
      <c r="G2533" s="74"/>
      <c r="H2533" s="75"/>
      <c r="I2533" s="76"/>
      <c r="J2533" s="78">
        <f>HYPERLINK("#Структура!E2195",Структура!E2195)</f>
        <v>4</v>
      </c>
      <c r="K2533" s="114">
        <f>HYPERLINK("#Структура!G2195",Структура!G2195)</f>
        <v>2.1999999999999999E-2</v>
      </c>
      <c r="L2533" s="120">
        <f>HYPERLINK("#Покупные_изделия!D532",Покупные_изделия!D532)</f>
        <v>5.8080000000000007</v>
      </c>
      <c r="M2533" s="76">
        <f t="shared" si="98"/>
        <v>23.232000000000003</v>
      </c>
      <c r="N2533" s="77"/>
      <c r="O2533" s="77"/>
      <c r="P2533" s="76"/>
      <c r="Q2533" s="76"/>
    </row>
    <row r="2534" spans="4:17" hidden="1" outlineLevel="3" x14ac:dyDescent="0.25">
      <c r="E2534" s="74" t="s">
        <v>1202</v>
      </c>
      <c r="F2534" s="74"/>
      <c r="G2534" s="74"/>
      <c r="H2534" s="75"/>
      <c r="I2534" s="76"/>
      <c r="J2534" s="78">
        <f>HYPERLINK("#Структура!E2196",Структура!E2196)</f>
        <v>4</v>
      </c>
      <c r="K2534" s="114">
        <f>HYPERLINK("#Структура!G2196",Структура!G2196)</f>
        <v>7.8E-2</v>
      </c>
      <c r="L2534" s="120">
        <f>HYPERLINK("#Покупные_изделия!D534",Покупные_изделия!D534)</f>
        <v>12.038399999999999</v>
      </c>
      <c r="M2534" s="76">
        <f t="shared" si="98"/>
        <v>48.153599999999997</v>
      </c>
      <c r="N2534" s="77"/>
      <c r="O2534" s="77"/>
      <c r="P2534" s="76"/>
      <c r="Q2534" s="76"/>
    </row>
    <row r="2535" spans="4:17" hidden="1" outlineLevel="3" x14ac:dyDescent="0.25">
      <c r="E2535" s="74" t="s">
        <v>747</v>
      </c>
      <c r="F2535" s="74"/>
      <c r="G2535" s="74"/>
      <c r="H2535" s="75"/>
      <c r="I2535" s="76"/>
      <c r="J2535" s="78">
        <f>HYPERLINK("#Структура!E2197",Структура!E2197)</f>
        <v>18</v>
      </c>
      <c r="K2535" s="114">
        <f>HYPERLINK("#Структура!G2197",Структура!G2197)</f>
        <v>6.13E-3</v>
      </c>
      <c r="L2535" s="120">
        <f>HYPERLINK("#Покупные_изделия!D537",Покупные_изделия!D537)</f>
        <v>2.8559999999999999</v>
      </c>
      <c r="M2535" s="76">
        <f t="shared" si="98"/>
        <v>51.408000000000001</v>
      </c>
      <c r="N2535" s="77"/>
      <c r="O2535" s="77"/>
      <c r="P2535" s="76"/>
      <c r="Q2535" s="76"/>
    </row>
    <row r="2536" spans="4:17" hidden="1" outlineLevel="3" x14ac:dyDescent="0.25">
      <c r="E2536" s="74" t="s">
        <v>662</v>
      </c>
      <c r="F2536" s="74"/>
      <c r="G2536" s="74"/>
      <c r="H2536" s="75"/>
      <c r="I2536" s="76"/>
      <c r="J2536" s="78">
        <f>HYPERLINK("#Структура!E2198",Структура!E2198)</f>
        <v>8</v>
      </c>
      <c r="K2536" s="114">
        <f>HYPERLINK("#Структура!G2198",Структура!G2198)</f>
        <v>1.098E-2</v>
      </c>
      <c r="L2536" s="120">
        <f>HYPERLINK("#Покупные_изделия!D541",Покупные_изделия!D541)</f>
        <v>1.713367999999998</v>
      </c>
      <c r="M2536" s="76">
        <f t="shared" si="98"/>
        <v>13.706943999999984</v>
      </c>
      <c r="N2536" s="77"/>
      <c r="O2536" s="77"/>
      <c r="P2536" s="76"/>
      <c r="Q2536" s="76"/>
    </row>
    <row r="2537" spans="4:17" hidden="1" outlineLevel="3" x14ac:dyDescent="0.25">
      <c r="E2537" s="74" t="s">
        <v>736</v>
      </c>
      <c r="F2537" s="74"/>
      <c r="G2537" s="74"/>
      <c r="H2537" s="75"/>
      <c r="I2537" s="76"/>
      <c r="J2537" s="78">
        <f>HYPERLINK("#Структура!E2199",Структура!E2199)</f>
        <v>4</v>
      </c>
      <c r="K2537" s="114">
        <f>HYPERLINK("#Структура!G2199",Структура!G2199)</f>
        <v>1.636E-2</v>
      </c>
      <c r="L2537" s="120">
        <f>HYPERLINK("#Покупные_изделия!D542",Покупные_изделия!D542)</f>
        <v>2.8467119999999975</v>
      </c>
      <c r="M2537" s="76">
        <f t="shared" si="98"/>
        <v>11.38684799999999</v>
      </c>
      <c r="N2537" s="77"/>
      <c r="O2537" s="77"/>
      <c r="P2537" s="76"/>
      <c r="Q2537" s="76"/>
    </row>
    <row r="2538" spans="4:17" hidden="1" outlineLevel="3" x14ac:dyDescent="0.25">
      <c r="E2538" s="74" t="s">
        <v>7</v>
      </c>
      <c r="F2538" s="74"/>
      <c r="G2538" s="74"/>
      <c r="H2538" s="75"/>
      <c r="I2538" s="76"/>
      <c r="J2538" s="78">
        <f>HYPERLINK("#Структура!E2200",Структура!E2200)</f>
        <v>1</v>
      </c>
      <c r="K2538" s="114">
        <f>HYPERLINK("#Структура!G2200",Структура!G2200)</f>
        <v>111</v>
      </c>
      <c r="L2538" s="120">
        <f>HYPERLINK("#Покупные_изделия!D9",Покупные_изделия!D9)</f>
        <v>25610.003999999997</v>
      </c>
      <c r="M2538" s="76">
        <f t="shared" si="98"/>
        <v>25610.003999999997</v>
      </c>
      <c r="N2538" s="77"/>
      <c r="O2538" s="77"/>
      <c r="P2538" s="76"/>
      <c r="Q2538" s="76"/>
    </row>
    <row r="2539" spans="4:17" hidden="1" outlineLevel="3" x14ac:dyDescent="0.25">
      <c r="E2539" s="74" t="s">
        <v>23</v>
      </c>
      <c r="F2539" s="74"/>
      <c r="G2539" s="74"/>
      <c r="H2539" s="75"/>
      <c r="I2539" s="76"/>
      <c r="J2539" s="78">
        <f>HYPERLINK("#Структура!E2201",Структура!E2201)</f>
        <v>1</v>
      </c>
      <c r="K2539" s="114">
        <f>HYPERLINK("#Структура!G2201",Структура!G2201)</f>
        <v>1.1640699999999999</v>
      </c>
      <c r="L2539" s="120">
        <f>HYPERLINK("#Покупные_изделия!D32",Покупные_изделия!D32)</f>
        <v>761.42399999999998</v>
      </c>
      <c r="M2539" s="76">
        <f t="shared" si="98"/>
        <v>761.42399999999998</v>
      </c>
      <c r="N2539" s="77"/>
      <c r="O2539" s="77"/>
      <c r="P2539" s="76"/>
      <c r="Q2539" s="76"/>
    </row>
    <row r="2540" spans="4:17" hidden="1" outlineLevel="3" x14ac:dyDescent="0.25">
      <c r="E2540" s="74" t="s">
        <v>29</v>
      </c>
      <c r="F2540" s="74"/>
      <c r="G2540" s="74"/>
      <c r="H2540" s="75"/>
      <c r="I2540" s="76"/>
      <c r="J2540" s="78">
        <f>HYPERLINK("#Структура!E2202",Структура!E2202)</f>
        <v>1</v>
      </c>
      <c r="K2540" s="114">
        <f>HYPERLINK("#Структура!G2202",Структура!G2202)</f>
        <v>5.7279499999999999</v>
      </c>
      <c r="L2540" s="120">
        <f>HYPERLINK("#Покупные_изделия!D38",Покупные_изделия!D38)</f>
        <v>3452.1479999999997</v>
      </c>
      <c r="M2540" s="76">
        <f t="shared" si="98"/>
        <v>3452.1479999999997</v>
      </c>
      <c r="N2540" s="77"/>
      <c r="O2540" s="77"/>
      <c r="P2540" s="76"/>
      <c r="Q2540" s="76"/>
    </row>
    <row r="2541" spans="4:17" hidden="1" outlineLevel="3" x14ac:dyDescent="0.25">
      <c r="E2541" s="74" t="s">
        <v>42</v>
      </c>
      <c r="F2541" s="74"/>
      <c r="G2541" s="74"/>
      <c r="H2541" s="75"/>
      <c r="I2541" s="76"/>
      <c r="J2541" s="78">
        <f>HYPERLINK("#Структура!E2203",Структура!E2203)</f>
        <v>2</v>
      </c>
      <c r="K2541" s="114">
        <f>HYPERLINK("#Структура!G2203",Структура!G2203)</f>
        <v>0.15</v>
      </c>
      <c r="L2541" s="120">
        <f>HYPERLINK("#Покупные_изделия!D53",Покупные_изделия!D53)</f>
        <v>530.86440000000005</v>
      </c>
      <c r="M2541" s="76">
        <f t="shared" si="98"/>
        <v>1061.7288000000001</v>
      </c>
      <c r="N2541" s="77"/>
      <c r="O2541" s="77"/>
      <c r="P2541" s="76"/>
      <c r="Q2541" s="76"/>
    </row>
    <row r="2542" spans="4:17" hidden="1" outlineLevel="3" x14ac:dyDescent="0.25">
      <c r="E2542" s="74" t="s">
        <v>68</v>
      </c>
      <c r="F2542" s="74"/>
      <c r="G2542" s="74"/>
      <c r="H2542" s="75"/>
      <c r="I2542" s="76"/>
      <c r="J2542" s="78">
        <f>HYPERLINK("#Структура!E2204",Структура!E2204)</f>
        <v>4</v>
      </c>
      <c r="K2542" s="114">
        <f>HYPERLINK("#Структура!G2204",Структура!G2204)</f>
        <v>3.211E-2</v>
      </c>
      <c r="L2542" s="120">
        <f>HYPERLINK("#Покупные_изделия!D204",Покупные_изделия!D204)</f>
        <v>1.2276000000000002</v>
      </c>
      <c r="M2542" s="76">
        <f t="shared" si="98"/>
        <v>4.910400000000001</v>
      </c>
      <c r="N2542" s="77"/>
      <c r="O2542" s="77"/>
      <c r="P2542" s="76"/>
      <c r="Q2542" s="76"/>
    </row>
    <row r="2543" spans="4:17" hidden="1" outlineLevel="2" collapsed="1" x14ac:dyDescent="0.25">
      <c r="D2543" s="96" t="s">
        <v>1294</v>
      </c>
      <c r="E2543" s="91"/>
      <c r="F2543" s="91"/>
      <c r="G2543" s="91"/>
      <c r="H2543" s="92"/>
      <c r="I2543" s="93"/>
      <c r="J2543" s="95">
        <f>HYPERLINK("#Структура!E2206",Структура!E2206)</f>
        <v>1</v>
      </c>
      <c r="K2543" s="116">
        <f>HYPERLINK("#Структура!G2206",Структура!G2206)</f>
        <v>24.263190000000002</v>
      </c>
      <c r="L2543" s="93">
        <f>M2543/J2543</f>
        <v>320658.3745416</v>
      </c>
      <c r="M2543" s="93">
        <f>SUMIF(E2544:E2631,"*",M2544:M2631)*J2543</f>
        <v>320658.3745416</v>
      </c>
      <c r="N2543" s="125">
        <f>HYPERLINK("#Трудозатраты!B695",Трудозатраты!B695+SUMIF(E2544:E2631,"*",O2544:O2631))</f>
        <v>1140.8599999999999</v>
      </c>
      <c r="O2543" s="94">
        <f>N2543*J2543</f>
        <v>1140.8599999999999</v>
      </c>
      <c r="P2543" s="93">
        <f>O2543/60*(1+запас_труд)*стоимость_трудочаса</f>
        <v>44683.683333333334</v>
      </c>
      <c r="Q2543" s="130">
        <f>M2543*(1+наценка_покупное)+P2543</f>
        <v>429473.73278325336</v>
      </c>
    </row>
    <row r="2544" spans="4:17" hidden="1" outlineLevel="3" collapsed="1" x14ac:dyDescent="0.25">
      <c r="E2544" s="97" t="s">
        <v>1377</v>
      </c>
      <c r="F2544" s="98"/>
      <c r="G2544" s="98"/>
      <c r="H2544" s="99"/>
      <c r="I2544" s="100"/>
      <c r="J2544" s="102">
        <f>HYPERLINK("#Структура!E2761",Структура!E2761)</f>
        <v>1</v>
      </c>
      <c r="K2544" s="112">
        <f>HYPERLINK("#Структура!G2761",Структура!G2761)</f>
        <v>5.7201599999999999</v>
      </c>
      <c r="L2544" s="100">
        <f>M2544/J2544</f>
        <v>97159.10176000002</v>
      </c>
      <c r="M2544" s="100">
        <f>SUMIF(F2545:F2550,"*",M2545:M2550)*J2544</f>
        <v>97159.10176000002</v>
      </c>
      <c r="N2544" s="122">
        <f>HYPERLINK("#Трудозатраты!B678",Трудозатраты!B678+SUMIF(F2545:F2550,"*",O2545:O2550))</f>
        <v>15.75</v>
      </c>
      <c r="O2544" s="101">
        <f>N2544*J2544</f>
        <v>15.75</v>
      </c>
      <c r="P2544" s="100">
        <f>O2544/60*(1+запас_труд)*стоимость_трудочаса</f>
        <v>616.875</v>
      </c>
      <c r="Q2544" s="127">
        <f>M2544*(1+наценка_покупное)+P2544</f>
        <v>117207.79711200001</v>
      </c>
    </row>
    <row r="2545" spans="5:17" hidden="1" outlineLevel="4" collapsed="1" x14ac:dyDescent="0.25">
      <c r="F2545" s="85" t="s">
        <v>1391</v>
      </c>
      <c r="G2545" s="86"/>
      <c r="H2545" s="87"/>
      <c r="I2545" s="88"/>
      <c r="J2545" s="90">
        <f>HYPERLINK("#Структура!E2710",Структура!E2710)</f>
        <v>1</v>
      </c>
      <c r="K2545" s="113">
        <f>HYPERLINK("#Структура!G2710",Структура!G2710)</f>
        <v>0.30442000000000002</v>
      </c>
      <c r="L2545" s="88">
        <f>M2545/J2545</f>
        <v>64</v>
      </c>
      <c r="M2545" s="88">
        <f>SUMIF(G2546,"*",M2546)*J2545</f>
        <v>64</v>
      </c>
      <c r="N2545" s="123">
        <f>HYPERLINK("#Трудозатраты!B679",Трудозатраты!B679+SUMIF(G2546,"*",O2546))</f>
        <v>5.75</v>
      </c>
      <c r="O2545" s="89">
        <f>N2545*J2545</f>
        <v>5.75</v>
      </c>
      <c r="P2545" s="88">
        <f>O2545/60*(1+запас_труд)*стоимость_трудочаса</f>
        <v>225.20833333333334</v>
      </c>
      <c r="Q2545" s="128">
        <f>M2545*(1+наценка_покупное)+P2545</f>
        <v>302.00833333333333</v>
      </c>
    </row>
    <row r="2546" spans="5:17" hidden="1" outlineLevel="5" x14ac:dyDescent="0.25">
      <c r="G2546" s="74" t="s">
        <v>130</v>
      </c>
      <c r="H2546" s="75"/>
      <c r="I2546" s="76"/>
      <c r="J2546" s="78">
        <f>HYPERLINK("#Структура!E2715",Структура!E2715)</f>
        <v>0.4</v>
      </c>
      <c r="K2546" s="114" t="str">
        <f>HYPERLINK("#Структура!G2715","")</f>
        <v/>
      </c>
      <c r="L2546" s="120">
        <f>HYPERLINK("#Покупные_изделия!D305",Покупные_изделия!D305)</f>
        <v>160</v>
      </c>
      <c r="M2546" s="76">
        <f>J2546*L2546</f>
        <v>64</v>
      </c>
      <c r="N2546" s="77"/>
      <c r="O2546" s="77"/>
      <c r="P2546" s="76"/>
      <c r="Q2546" s="76"/>
    </row>
    <row r="2547" spans="5:17" hidden="1" outlineLevel="4" x14ac:dyDescent="0.25">
      <c r="F2547" s="74" t="s">
        <v>1009</v>
      </c>
      <c r="G2547" s="74"/>
      <c r="H2547" s="75"/>
      <c r="I2547" s="76"/>
      <c r="J2547" s="78">
        <f>HYPERLINK("#Структура!E2711",Структура!E2711)</f>
        <v>2</v>
      </c>
      <c r="K2547" s="114">
        <f>HYPERLINK("#Структура!G2711",Структура!G2711)</f>
        <v>6.4999999999999997E-3</v>
      </c>
      <c r="L2547" s="120">
        <f>HYPERLINK("#Покупные_изделия!D82",Покупные_изделия!D82)</f>
        <v>12.06</v>
      </c>
      <c r="M2547" s="76">
        <f>J2547*L2547</f>
        <v>24.12</v>
      </c>
      <c r="N2547" s="77"/>
      <c r="O2547" s="77"/>
      <c r="P2547" s="76"/>
      <c r="Q2547" s="76"/>
    </row>
    <row r="2548" spans="5:17" hidden="1" outlineLevel="4" x14ac:dyDescent="0.25">
      <c r="F2548" s="74" t="s">
        <v>1022</v>
      </c>
      <c r="G2548" s="74"/>
      <c r="H2548" s="75"/>
      <c r="I2548" s="76"/>
      <c r="J2548" s="78">
        <f>HYPERLINK("#Структура!E2712",Структура!E2712)</f>
        <v>4</v>
      </c>
      <c r="K2548" s="114">
        <f>HYPERLINK("#Структура!G2712",Структура!G2712)</f>
        <v>8.9499999999999996E-3</v>
      </c>
      <c r="L2548" s="120">
        <f>HYPERLINK("#Покупные_изделия!D84",Покупные_изделия!D84)</f>
        <v>10.68</v>
      </c>
      <c r="M2548" s="76">
        <f>J2548*L2548</f>
        <v>42.72</v>
      </c>
      <c r="N2548" s="77"/>
      <c r="O2548" s="77"/>
      <c r="P2548" s="76"/>
      <c r="Q2548" s="76"/>
    </row>
    <row r="2549" spans="5:17" hidden="1" outlineLevel="4" x14ac:dyDescent="0.25">
      <c r="F2549" s="74" t="s">
        <v>871</v>
      </c>
      <c r="G2549" s="74"/>
      <c r="H2549" s="75"/>
      <c r="I2549" s="76"/>
      <c r="J2549" s="78">
        <f>HYPERLINK("#Структура!E2713",Структура!E2713)</f>
        <v>4</v>
      </c>
      <c r="K2549" s="114">
        <f>HYPERLINK("#Структура!G2713",Структура!G2713)</f>
        <v>3.3E-3</v>
      </c>
      <c r="L2549" s="120">
        <f>HYPERLINK("#Покупные_изделия!D167",Покупные_изделия!D167)</f>
        <v>2.0654400000000002</v>
      </c>
      <c r="M2549" s="76">
        <f>J2549*L2549</f>
        <v>8.2617600000000007</v>
      </c>
      <c r="N2549" s="77"/>
      <c r="O2549" s="77"/>
      <c r="P2549" s="76"/>
      <c r="Q2549" s="76"/>
    </row>
    <row r="2550" spans="5:17" hidden="1" outlineLevel="4" x14ac:dyDescent="0.25">
      <c r="F2550" s="74" t="s">
        <v>134</v>
      </c>
      <c r="G2550" s="74"/>
      <c r="H2550" s="75"/>
      <c r="I2550" s="76"/>
      <c r="J2550" s="78">
        <f>HYPERLINK("#Структура!E2714",Структура!E2714)</f>
        <v>1</v>
      </c>
      <c r="K2550" s="114">
        <f>HYPERLINK("#Структура!G2714",Структура!G2714)</f>
        <v>4.1453100000000003</v>
      </c>
      <c r="L2550" s="120">
        <f>HYPERLINK("#Покупные_изделия!D309",Покупные_изделия!D309)</f>
        <v>97020.000000000015</v>
      </c>
      <c r="M2550" s="76">
        <f>J2550*L2550</f>
        <v>97020.000000000015</v>
      </c>
      <c r="N2550" s="77"/>
      <c r="O2550" s="77"/>
      <c r="P2550" s="76"/>
      <c r="Q2550" s="76"/>
    </row>
    <row r="2551" spans="5:17" hidden="1" outlineLevel="3" collapsed="1" x14ac:dyDescent="0.25">
      <c r="E2551" s="96" t="s">
        <v>1378</v>
      </c>
      <c r="F2551" s="91"/>
      <c r="G2551" s="91"/>
      <c r="H2551" s="92"/>
      <c r="I2551" s="93"/>
      <c r="J2551" s="95">
        <f>HYPERLINK("#Структура!E2762",Структура!E2762)</f>
        <v>1</v>
      </c>
      <c r="K2551" s="116">
        <f>HYPERLINK("#Структура!G2762",Структура!G2762)</f>
        <v>4.2926099999999998</v>
      </c>
      <c r="L2551" s="93">
        <f>M2551/J2551</f>
        <v>90899.741453600014</v>
      </c>
      <c r="M2551" s="93">
        <f>SUMIF(F2552:F2573,"*",M2552:M2573)*J2551</f>
        <v>90899.741453600014</v>
      </c>
      <c r="N2551" s="125">
        <f>HYPERLINK("#Трудозатраты!B680",Трудозатраты!B680+SUMIF(F2552:F2573,"*",O2552:O2573))</f>
        <v>416.51</v>
      </c>
      <c r="O2551" s="94">
        <f>N2551*J2551</f>
        <v>416.51</v>
      </c>
      <c r="P2551" s="93">
        <f>O2551/60*(1+запас_труд)*стоимость_трудочаса</f>
        <v>16313.308333333332</v>
      </c>
      <c r="Q2551" s="130">
        <f>M2551*(1+наценка_покупное)+P2551</f>
        <v>125392.99807765335</v>
      </c>
    </row>
    <row r="2552" spans="5:17" hidden="1" outlineLevel="4" collapsed="1" x14ac:dyDescent="0.25">
      <c r="F2552" s="97" t="s">
        <v>1392</v>
      </c>
      <c r="G2552" s="98"/>
      <c r="H2552" s="99"/>
      <c r="I2552" s="100"/>
      <c r="J2552" s="102">
        <f>HYPERLINK("#Структура!E2716",Структура!E2716)</f>
        <v>1</v>
      </c>
      <c r="K2552" s="112">
        <f>HYPERLINK("#Структура!G2716",Структура!G2716)</f>
        <v>4.8410000000000002E-2</v>
      </c>
      <c r="L2552" s="100">
        <f>M2552/J2552</f>
        <v>372.60729119999996</v>
      </c>
      <c r="M2552" s="100">
        <f>SUMIF(G2553:G2558,"*",M2553:M2558)*J2552</f>
        <v>372.60729119999996</v>
      </c>
      <c r="N2552" s="122">
        <f>HYPERLINK("#Трудозатраты!B684",Трудозатраты!B684+SUMIF(G2553:G2558,"*",O2553:O2558))</f>
        <v>38.340000000000003</v>
      </c>
      <c r="O2552" s="101">
        <f>N2552*J2552</f>
        <v>38.340000000000003</v>
      </c>
      <c r="P2552" s="100">
        <f>O2552/60*(1+запас_труд)*стоимость_трудочаса</f>
        <v>1501.65</v>
      </c>
      <c r="Q2552" s="127">
        <f>M2552*(1+наценка_покупное)+P2552</f>
        <v>1948.77874944</v>
      </c>
    </row>
    <row r="2553" spans="5:17" hidden="1" outlineLevel="5" collapsed="1" x14ac:dyDescent="0.25">
      <c r="G2553" s="85" t="s">
        <v>1396</v>
      </c>
      <c r="H2553" s="87"/>
      <c r="I2553" s="88"/>
      <c r="J2553" s="90">
        <f>HYPERLINK("#Структура!E2732",Структура!E2732)</f>
        <v>1</v>
      </c>
      <c r="K2553" s="113">
        <f>HYPERLINK("#Структура!G2732",Структура!G2732)</f>
        <v>4.0910000000000002E-2</v>
      </c>
      <c r="L2553" s="88">
        <f>M2553/J2553</f>
        <v>99.267379199999993</v>
      </c>
      <c r="M2553" s="88">
        <f>SUMIF(H2554,"*",M2554)*J2553</f>
        <v>99.267379199999993</v>
      </c>
      <c r="N2553" s="123">
        <f>HYPERLINK("#Трудозатраты!B685",Трудозатраты!B685+SUMIF(H2554,"*",O2554))</f>
        <v>19.670000000000002</v>
      </c>
      <c r="O2553" s="89">
        <f>N2553*J2553</f>
        <v>19.670000000000002</v>
      </c>
      <c r="P2553" s="88">
        <f>O2553/60*(1+запас_труд)*стоимость_трудочаса</f>
        <v>770.40833333333342</v>
      </c>
      <c r="Q2553" s="128">
        <f>M2553*(1+наценка_покупное)+P2553</f>
        <v>889.52918837333345</v>
      </c>
    </row>
    <row r="2554" spans="5:17" hidden="1" outlineLevel="6" x14ac:dyDescent="0.25">
      <c r="H2554" s="75" t="s">
        <v>154</v>
      </c>
      <c r="I2554" s="76"/>
      <c r="J2554" s="78">
        <f>HYPERLINK("#Структура!E2736",Структура!E2736)</f>
        <v>0.10199999999999999</v>
      </c>
      <c r="K2554" s="114" t="str">
        <f>HYPERLINK("#Структура!G2736","")</f>
        <v/>
      </c>
      <c r="L2554" s="120">
        <f>HYPERLINK("#Покупные_изделия!D422",Покупные_изделия!D422)</f>
        <v>973.20960000000002</v>
      </c>
      <c r="M2554" s="76">
        <f>J2554*L2554</f>
        <v>99.267379199999993</v>
      </c>
      <c r="N2554" s="77"/>
      <c r="O2554" s="77"/>
      <c r="P2554" s="76"/>
      <c r="Q2554" s="76"/>
    </row>
    <row r="2555" spans="5:17" hidden="1" outlineLevel="5" collapsed="1" x14ac:dyDescent="0.25">
      <c r="G2555" s="84" t="s">
        <v>1397</v>
      </c>
      <c r="H2555" s="80"/>
      <c r="I2555" s="81"/>
      <c r="J2555" s="83">
        <f>HYPERLINK("#Структура!E2733",Структура!E2733)</f>
        <v>1</v>
      </c>
      <c r="K2555" s="115">
        <f>HYPERLINK("#Структура!G2733",Структура!G2733)</f>
        <v>3.0699999999999998E-3</v>
      </c>
      <c r="L2555" s="81">
        <f>M2555/J2555</f>
        <v>42.662400000000005</v>
      </c>
      <c r="M2555" s="81">
        <f>SUMIF(H2556,"*",M2556)*J2555</f>
        <v>42.662400000000005</v>
      </c>
      <c r="N2555" s="124">
        <f>HYPERLINK("#Трудозатраты!B686",Трудозатраты!B686+SUMIF(H2556,"*",O2556))</f>
        <v>8.67</v>
      </c>
      <c r="O2555" s="82">
        <f>N2555*J2555</f>
        <v>8.67</v>
      </c>
      <c r="P2555" s="81">
        <f>O2555/60*(1+запас_труд)*стоимость_трудочаса</f>
        <v>339.57499999999999</v>
      </c>
      <c r="Q2555" s="129">
        <f>M2555*(1+наценка_покупное)+P2555</f>
        <v>390.76988</v>
      </c>
    </row>
    <row r="2556" spans="5:17" hidden="1" outlineLevel="6" x14ac:dyDescent="0.25">
      <c r="H2556" s="75" t="s">
        <v>153</v>
      </c>
      <c r="I2556" s="76"/>
      <c r="J2556" s="78">
        <f>HYPERLINK("#Структура!E2737",Структура!E2737)</f>
        <v>4.8000000000000001E-2</v>
      </c>
      <c r="K2556" s="114" t="str">
        <f>HYPERLINK("#Структура!G2737","")</f>
        <v/>
      </c>
      <c r="L2556" s="120">
        <f>HYPERLINK("#Покупные_изделия!D421",Покупные_изделия!D421)</f>
        <v>888.80000000000007</v>
      </c>
      <c r="M2556" s="76">
        <f>J2556*L2556</f>
        <v>42.662400000000005</v>
      </c>
      <c r="N2556" s="77"/>
      <c r="O2556" s="77"/>
      <c r="P2556" s="76"/>
      <c r="Q2556" s="76"/>
    </row>
    <row r="2557" spans="5:17" hidden="1" outlineLevel="5" x14ac:dyDescent="0.25">
      <c r="G2557" s="74" t="s">
        <v>197</v>
      </c>
      <c r="H2557" s="75"/>
      <c r="I2557" s="76"/>
      <c r="J2557" s="78">
        <f>HYPERLINK("#Структура!E2734",Структура!E2734)</f>
        <v>1</v>
      </c>
      <c r="K2557" s="114">
        <f>HYPERLINK("#Структура!G2734",Структура!G2734)</f>
        <v>4.4400000000000004E-3</v>
      </c>
      <c r="L2557" s="120">
        <f>HYPERLINK("#Покупные_изделия!D512",Покупные_изделия!D512)</f>
        <v>230.39999999999998</v>
      </c>
      <c r="M2557" s="76">
        <f>J2557*L2557</f>
        <v>230.39999999999998</v>
      </c>
      <c r="N2557" s="77"/>
      <c r="O2557" s="77"/>
      <c r="P2557" s="76"/>
      <c r="Q2557" s="76"/>
    </row>
    <row r="2558" spans="5:17" hidden="1" outlineLevel="5" x14ac:dyDescent="0.25">
      <c r="G2558" s="74" t="s">
        <v>157</v>
      </c>
      <c r="H2558" s="75"/>
      <c r="I2558" s="76"/>
      <c r="J2558" s="78">
        <f>HYPERLINK("#Структура!E2735",Структура!E2735)</f>
        <v>2E-3</v>
      </c>
      <c r="K2558" s="114" t="str">
        <f>HYPERLINK("#Структура!G2735","")</f>
        <v/>
      </c>
      <c r="L2558" s="120">
        <f>HYPERLINK("#Покупные_изделия!D428",Покупные_изделия!D428)</f>
        <v>138.756</v>
      </c>
      <c r="M2558" s="76">
        <f>J2558*L2558</f>
        <v>0.27751199999999998</v>
      </c>
      <c r="N2558" s="77"/>
      <c r="O2558" s="77"/>
      <c r="P2558" s="76"/>
      <c r="Q2558" s="76"/>
    </row>
    <row r="2559" spans="5:17" hidden="1" outlineLevel="4" collapsed="1" x14ac:dyDescent="0.25">
      <c r="F2559" s="84" t="s">
        <v>1393</v>
      </c>
      <c r="G2559" s="79"/>
      <c r="H2559" s="80"/>
      <c r="I2559" s="81"/>
      <c r="J2559" s="83">
        <f>HYPERLINK("#Структура!E2717",Структура!E2717)</f>
        <v>11</v>
      </c>
      <c r="K2559" s="115">
        <f>HYPERLINK("#Структура!G2717",Структура!G2717)</f>
        <v>7.0150000000000004E-2</v>
      </c>
      <c r="L2559" s="81">
        <f>M2559/J2559</f>
        <v>23.828952000000001</v>
      </c>
      <c r="M2559" s="81">
        <f>SUMIF(G2560,"*",M2560)*J2559</f>
        <v>262.118472</v>
      </c>
      <c r="N2559" s="124">
        <f>HYPERLINK("#Трудозатраты!B681",Трудозатраты!B681+SUMIF(G2560,"*",O2560))</f>
        <v>13.5</v>
      </c>
      <c r="O2559" s="82">
        <f>N2559*J2559</f>
        <v>148.5</v>
      </c>
      <c r="P2559" s="81">
        <f>O2559/60*(1+запас_труд)*стоимость_трудочаса</f>
        <v>5816.25</v>
      </c>
      <c r="Q2559" s="129">
        <f>M2559*(1+наценка_покупное)+P2559</f>
        <v>6130.7921663999996</v>
      </c>
    </row>
    <row r="2560" spans="5:17" hidden="1" outlineLevel="5" x14ac:dyDescent="0.25">
      <c r="G2560" s="74" t="s">
        <v>208</v>
      </c>
      <c r="H2560" s="75"/>
      <c r="I2560" s="76"/>
      <c r="J2560" s="78">
        <f>HYPERLINK("#Структура!E2729",Структура!E2729)</f>
        <v>0.20300000000000001</v>
      </c>
      <c r="K2560" s="114" t="str">
        <f>HYPERLINK("#Структура!G2729","")</f>
        <v/>
      </c>
      <c r="L2560" s="120">
        <f>HYPERLINK("#Покупные_изделия!D553",Покупные_изделия!D553)</f>
        <v>117.38399999999999</v>
      </c>
      <c r="M2560" s="76">
        <f>J2560*L2560</f>
        <v>23.828951999999997</v>
      </c>
      <c r="N2560" s="77"/>
      <c r="O2560" s="77"/>
      <c r="P2560" s="76"/>
      <c r="Q2560" s="76"/>
    </row>
    <row r="2561" spans="5:17" hidden="1" outlineLevel="4" collapsed="1" x14ac:dyDescent="0.25">
      <c r="F2561" s="84" t="s">
        <v>1394</v>
      </c>
      <c r="G2561" s="79"/>
      <c r="H2561" s="80"/>
      <c r="I2561" s="81"/>
      <c r="J2561" s="83">
        <f>HYPERLINK("#Структура!E2718",Структура!E2718)</f>
        <v>2</v>
      </c>
      <c r="K2561" s="115">
        <f>HYPERLINK("#Структура!G2718",Структура!G2718)</f>
        <v>6.2219999999999998E-2</v>
      </c>
      <c r="L2561" s="81">
        <f>M2561/J2561</f>
        <v>21.104107199999998</v>
      </c>
      <c r="M2561" s="81">
        <f>SUMIF(G2562,"*",M2562)*J2561</f>
        <v>42.208214399999996</v>
      </c>
      <c r="N2561" s="124">
        <f>HYPERLINK("#Трудозатраты!B682",Трудозатраты!B682+SUMIF(G2562,"*",O2562))</f>
        <v>16.5</v>
      </c>
      <c r="O2561" s="82">
        <f>N2561*J2561</f>
        <v>33</v>
      </c>
      <c r="P2561" s="81">
        <f>O2561/60*(1+запас_труд)*стоимость_трудочаса</f>
        <v>1292.5</v>
      </c>
      <c r="Q2561" s="129">
        <f>M2561*(1+наценка_покупное)+P2561</f>
        <v>1343.1498572800001</v>
      </c>
    </row>
    <row r="2562" spans="5:17" hidden="1" outlineLevel="5" x14ac:dyDescent="0.25">
      <c r="G2562" s="74" t="s">
        <v>209</v>
      </c>
      <c r="H2562" s="75"/>
      <c r="I2562" s="76"/>
      <c r="J2562" s="78">
        <f>HYPERLINK("#Структура!E2730",Структура!E2730)</f>
        <v>0.17799999999999999</v>
      </c>
      <c r="K2562" s="114" t="str">
        <f>HYPERLINK("#Структура!G2730","")</f>
        <v/>
      </c>
      <c r="L2562" s="120">
        <f>HYPERLINK("#Покупные_изделия!D554",Покупные_изделия!D554)</f>
        <v>118.5624</v>
      </c>
      <c r="M2562" s="76">
        <f>J2562*L2562</f>
        <v>21.104107199999998</v>
      </c>
      <c r="N2562" s="77"/>
      <c r="O2562" s="77"/>
      <c r="P2562" s="76"/>
      <c r="Q2562" s="76"/>
    </row>
    <row r="2563" spans="5:17" hidden="1" outlineLevel="4" collapsed="1" x14ac:dyDescent="0.25">
      <c r="F2563" s="84" t="s">
        <v>1395</v>
      </c>
      <c r="G2563" s="79"/>
      <c r="H2563" s="80"/>
      <c r="I2563" s="81"/>
      <c r="J2563" s="83">
        <f>HYPERLINK("#Структура!E2719",Структура!E2719)</f>
        <v>1</v>
      </c>
      <c r="K2563" s="115">
        <f>HYPERLINK("#Структура!G2719",Структура!G2719)</f>
        <v>5.9200000000000003E-2</v>
      </c>
      <c r="L2563" s="81">
        <f>M2563/J2563</f>
        <v>13.100000000000001</v>
      </c>
      <c r="M2563" s="81">
        <f>SUMIF(G2564,"*",M2564)*J2563</f>
        <v>13.100000000000001</v>
      </c>
      <c r="N2563" s="124">
        <f>HYPERLINK("#Трудозатраты!B683",Трудозатраты!B683+SUMIF(G2564,"*",O2564))</f>
        <v>6.67</v>
      </c>
      <c r="O2563" s="82">
        <f>N2563*J2563</f>
        <v>6.67</v>
      </c>
      <c r="P2563" s="81">
        <f>O2563/60*(1+запас_труд)*стоимость_трудочаса</f>
        <v>261.24166666666667</v>
      </c>
      <c r="Q2563" s="129">
        <f>M2563*(1+наценка_покупное)+P2563</f>
        <v>276.9616666666667</v>
      </c>
    </row>
    <row r="2564" spans="5:17" hidden="1" outlineLevel="5" x14ac:dyDescent="0.25">
      <c r="G2564" s="74" t="s">
        <v>83</v>
      </c>
      <c r="H2564" s="75"/>
      <c r="I2564" s="76"/>
      <c r="J2564" s="78">
        <f>HYPERLINK("#Структура!E2731",Структура!E2731)</f>
        <v>0.13100000000000001</v>
      </c>
      <c r="K2564" s="114" t="str">
        <f>HYPERLINK("#Структура!G2731","")</f>
        <v/>
      </c>
      <c r="L2564" s="120">
        <f>HYPERLINK("#Покупные_изделия!D252",Покупные_изделия!D252)</f>
        <v>100</v>
      </c>
      <c r="M2564" s="76">
        <f t="shared" ref="M2564:M2573" si="99">J2564*L2564</f>
        <v>13.100000000000001</v>
      </c>
      <c r="N2564" s="77"/>
      <c r="O2564" s="77"/>
      <c r="P2564" s="76"/>
      <c r="Q2564" s="76"/>
    </row>
    <row r="2565" spans="5:17" hidden="1" outlineLevel="4" x14ac:dyDescent="0.25">
      <c r="F2565" s="74" t="s">
        <v>61</v>
      </c>
      <c r="G2565" s="74"/>
      <c r="H2565" s="75"/>
      <c r="I2565" s="76"/>
      <c r="J2565" s="78">
        <f>HYPERLINK("#Структура!E2720",Структура!E2720)</f>
        <v>2</v>
      </c>
      <c r="K2565" s="114">
        <f>HYPERLINK("#Структура!G2720",Структура!G2720)</f>
        <v>0.46400000000000002</v>
      </c>
      <c r="L2565" s="120">
        <f>HYPERLINK("#Покупные_изделия!D193",Покупные_изделия!D193)</f>
        <v>213.40799999999999</v>
      </c>
      <c r="M2565" s="76">
        <f t="shared" si="99"/>
        <v>426.81599999999997</v>
      </c>
      <c r="N2565" s="77"/>
      <c r="O2565" s="77"/>
      <c r="P2565" s="76"/>
      <c r="Q2565" s="76"/>
    </row>
    <row r="2566" spans="5:17" hidden="1" outlineLevel="4" x14ac:dyDescent="0.25">
      <c r="F2566" s="74" t="s">
        <v>145</v>
      </c>
      <c r="G2566" s="74"/>
      <c r="H2566" s="75"/>
      <c r="I2566" s="76"/>
      <c r="J2566" s="78">
        <f>HYPERLINK("#Структура!E2721",Структура!E2721)</f>
        <v>2</v>
      </c>
      <c r="K2566" s="114">
        <f>HYPERLINK("#Структура!G2721",Структура!G2721)</f>
        <v>0.04</v>
      </c>
      <c r="L2566" s="120">
        <f>HYPERLINK("#Покупные_изделия!D388",Покупные_изделия!D388)</f>
        <v>23.179200000000002</v>
      </c>
      <c r="M2566" s="76">
        <f t="shared" si="99"/>
        <v>46.358400000000003</v>
      </c>
      <c r="N2566" s="77"/>
      <c r="O2566" s="77"/>
      <c r="P2566" s="76"/>
      <c r="Q2566" s="76"/>
    </row>
    <row r="2567" spans="5:17" hidden="1" outlineLevel="4" x14ac:dyDescent="0.25">
      <c r="F2567" s="74" t="s">
        <v>170</v>
      </c>
      <c r="G2567" s="74"/>
      <c r="H2567" s="75"/>
      <c r="I2567" s="76"/>
      <c r="J2567" s="78">
        <f>HYPERLINK("#Структура!E2722",Структура!E2722)</f>
        <v>3</v>
      </c>
      <c r="K2567" s="114">
        <f>HYPERLINK("#Структура!G2722",Структура!G2722)</f>
        <v>0.13300000000000001</v>
      </c>
      <c r="L2567" s="120">
        <f>HYPERLINK("#Покупные_изделия!D479",Покупные_изделия!D479)</f>
        <v>38.319600000000001</v>
      </c>
      <c r="M2567" s="76">
        <f t="shared" si="99"/>
        <v>114.9588</v>
      </c>
      <c r="N2567" s="77"/>
      <c r="O2567" s="77"/>
      <c r="P2567" s="76"/>
      <c r="Q2567" s="76"/>
    </row>
    <row r="2568" spans="5:17" hidden="1" outlineLevel="4" x14ac:dyDescent="0.25">
      <c r="F2568" s="74" t="s">
        <v>193</v>
      </c>
      <c r="G2568" s="74"/>
      <c r="H2568" s="75"/>
      <c r="I2568" s="76"/>
      <c r="J2568" s="78">
        <f>HYPERLINK("#Структура!E2723",Структура!E2723)</f>
        <v>4</v>
      </c>
      <c r="K2568" s="114">
        <f>HYPERLINK("#Структура!G2723",Структура!G2723)</f>
        <v>9.4E-2</v>
      </c>
      <c r="L2568" s="120">
        <f>HYPERLINK("#Покупные_изделия!D506",Покупные_изделия!D506)</f>
        <v>43.98</v>
      </c>
      <c r="M2568" s="76">
        <f t="shared" si="99"/>
        <v>175.92</v>
      </c>
      <c r="N2568" s="77"/>
      <c r="O2568" s="77"/>
      <c r="P2568" s="76"/>
      <c r="Q2568" s="76"/>
    </row>
    <row r="2569" spans="5:17" hidden="1" outlineLevel="4" x14ac:dyDescent="0.25">
      <c r="F2569" s="74" t="s">
        <v>198</v>
      </c>
      <c r="G2569" s="74"/>
      <c r="H2569" s="75"/>
      <c r="I2569" s="76"/>
      <c r="J2569" s="78">
        <f>HYPERLINK("#Структура!E2724",Структура!E2724)</f>
        <v>1</v>
      </c>
      <c r="K2569" s="114">
        <f>HYPERLINK("#Структура!G2724",Структура!G2724)</f>
        <v>3.7999999999999999E-2</v>
      </c>
      <c r="L2569" s="120">
        <f>HYPERLINK("#Покупные_изделия!D516",Покупные_изделия!D516)</f>
        <v>102.35280000000002</v>
      </c>
      <c r="M2569" s="76">
        <f t="shared" si="99"/>
        <v>102.35280000000002</v>
      </c>
      <c r="N2569" s="77"/>
      <c r="O2569" s="77"/>
      <c r="P2569" s="76"/>
      <c r="Q2569" s="76"/>
    </row>
    <row r="2570" spans="5:17" hidden="1" outlineLevel="4" x14ac:dyDescent="0.25">
      <c r="F2570" s="74" t="s">
        <v>10</v>
      </c>
      <c r="G2570" s="74"/>
      <c r="H2570" s="75"/>
      <c r="I2570" s="76"/>
      <c r="J2570" s="78">
        <f>HYPERLINK("#Структура!E2725",Структура!E2725)</f>
        <v>1</v>
      </c>
      <c r="K2570" s="114">
        <f>HYPERLINK("#Структура!G2725",Структура!G2725)</f>
        <v>0.70323999999999998</v>
      </c>
      <c r="L2570" s="120">
        <f>HYPERLINK("#Покупные_изделия!D14",Покупные_изделия!D14)</f>
        <v>64040.008428000008</v>
      </c>
      <c r="M2570" s="76">
        <f t="shared" si="99"/>
        <v>64040.008428000008</v>
      </c>
      <c r="N2570" s="77"/>
      <c r="O2570" s="77"/>
      <c r="P2570" s="76"/>
      <c r="Q2570" s="76"/>
    </row>
    <row r="2571" spans="5:17" hidden="1" outlineLevel="4" x14ac:dyDescent="0.25">
      <c r="F2571" s="74" t="s">
        <v>33</v>
      </c>
      <c r="G2571" s="74"/>
      <c r="H2571" s="75"/>
      <c r="I2571" s="76"/>
      <c r="J2571" s="78">
        <f>HYPERLINK("#Структура!E2726",Структура!E2726)</f>
        <v>1</v>
      </c>
      <c r="K2571" s="114">
        <f>HYPERLINK("#Структура!G2726",Структура!G2726)</f>
        <v>0.72860999999999998</v>
      </c>
      <c r="L2571" s="120">
        <f>HYPERLINK("#Покупные_изделия!D44",Покупные_изделия!D44)</f>
        <v>25038.119568000006</v>
      </c>
      <c r="M2571" s="76">
        <f t="shared" si="99"/>
        <v>25038.119568000006</v>
      </c>
      <c r="N2571" s="77"/>
      <c r="O2571" s="77"/>
      <c r="P2571" s="76"/>
      <c r="Q2571" s="76"/>
    </row>
    <row r="2572" spans="5:17" hidden="1" outlineLevel="4" x14ac:dyDescent="0.25">
      <c r="F2572" s="74" t="s">
        <v>62</v>
      </c>
      <c r="G2572" s="74"/>
      <c r="H2572" s="75"/>
      <c r="I2572" s="76"/>
      <c r="J2572" s="78">
        <f>HYPERLINK("#Структура!E2727",Структура!E2727)</f>
        <v>0.7</v>
      </c>
      <c r="K2572" s="114" t="str">
        <f>HYPERLINK("#Структура!G2727","")</f>
        <v/>
      </c>
      <c r="L2572" s="120">
        <f>HYPERLINK("#Покупные_изделия!D194",Покупные_изделия!D194)</f>
        <v>333.22800000000001</v>
      </c>
      <c r="M2572" s="76">
        <f t="shared" si="99"/>
        <v>233.25959999999998</v>
      </c>
      <c r="N2572" s="77"/>
      <c r="O2572" s="77"/>
      <c r="P2572" s="76"/>
      <c r="Q2572" s="76"/>
    </row>
    <row r="2573" spans="5:17" hidden="1" outlineLevel="4" x14ac:dyDescent="0.25">
      <c r="F2573" s="74" t="s">
        <v>157</v>
      </c>
      <c r="G2573" s="74"/>
      <c r="H2573" s="75"/>
      <c r="I2573" s="76"/>
      <c r="J2573" s="78">
        <f>HYPERLINK("#Структура!E2728",Структура!E2728)</f>
        <v>0.23</v>
      </c>
      <c r="K2573" s="114" t="str">
        <f>HYPERLINK("#Структура!G2728","")</f>
        <v/>
      </c>
      <c r="L2573" s="120">
        <f>HYPERLINK("#Покупные_изделия!D428",Покупные_изделия!D428)</f>
        <v>138.756</v>
      </c>
      <c r="M2573" s="76">
        <f t="shared" si="99"/>
        <v>31.913880000000002</v>
      </c>
      <c r="N2573" s="77"/>
      <c r="O2573" s="77"/>
      <c r="P2573" s="76"/>
      <c r="Q2573" s="76"/>
    </row>
    <row r="2574" spans="5:17" hidden="1" outlineLevel="3" collapsed="1" x14ac:dyDescent="0.25">
      <c r="E2574" s="96" t="s">
        <v>1379</v>
      </c>
      <c r="F2574" s="91"/>
      <c r="G2574" s="91"/>
      <c r="H2574" s="92"/>
      <c r="I2574" s="93"/>
      <c r="J2574" s="95">
        <f>HYPERLINK("#Структура!E2763",Структура!E2763)</f>
        <v>1</v>
      </c>
      <c r="K2574" s="116">
        <f>HYPERLINK("#Структура!G2763",Структура!G2763)</f>
        <v>3.5384899999999999</v>
      </c>
      <c r="L2574" s="93">
        <f>M2574/J2574</f>
        <v>48081.334296000008</v>
      </c>
      <c r="M2574" s="93">
        <f>SUMIF(F2575:F2584,"*",M2575:M2584)*J2574</f>
        <v>48081.334296000008</v>
      </c>
      <c r="N2574" s="125">
        <f>HYPERLINK("#Трудозатраты!B687",Трудозатраты!B687+SUMIF(F2575:F2584,"*",O2575:O2584))</f>
        <v>103</v>
      </c>
      <c r="O2574" s="94">
        <f>N2574*J2574</f>
        <v>103</v>
      </c>
      <c r="P2574" s="93">
        <f>O2574/60*(1+запас_труд)*стоимость_трудочаса</f>
        <v>4034.1666666666665</v>
      </c>
      <c r="Q2574" s="130">
        <f>M2574*(1+наценка_покупное)+P2574</f>
        <v>61731.76782186667</v>
      </c>
    </row>
    <row r="2575" spans="5:17" hidden="1" outlineLevel="4" collapsed="1" x14ac:dyDescent="0.25">
      <c r="F2575" s="85" t="s">
        <v>1398</v>
      </c>
      <c r="G2575" s="86"/>
      <c r="H2575" s="87"/>
      <c r="I2575" s="88"/>
      <c r="J2575" s="90">
        <f>HYPERLINK("#Структура!E2738",Структура!E2738)</f>
        <v>1</v>
      </c>
      <c r="K2575" s="113">
        <f>HYPERLINK("#Структура!G2738",Структура!G2738)</f>
        <v>0.56699999999999995</v>
      </c>
      <c r="L2575" s="88">
        <f>M2575/J2575</f>
        <v>68.88</v>
      </c>
      <c r="M2575" s="88">
        <f>SUMIF(G2576,"*",M2576)*J2575</f>
        <v>68.88</v>
      </c>
      <c r="N2575" s="123">
        <f>HYPERLINK("#Трудозатраты!B688",Трудозатраты!B688+SUMIF(G2576,"*",O2576))</f>
        <v>14</v>
      </c>
      <c r="O2575" s="89">
        <f>N2575*J2575</f>
        <v>14</v>
      </c>
      <c r="P2575" s="88">
        <f>O2575/60*(1+запас_труд)*стоимость_трудочаса</f>
        <v>548.33333333333337</v>
      </c>
      <c r="Q2575" s="128">
        <f>M2575*(1+наценка_покупное)+P2575</f>
        <v>630.98933333333332</v>
      </c>
    </row>
    <row r="2576" spans="5:17" hidden="1" outlineLevel="5" x14ac:dyDescent="0.25">
      <c r="G2576" s="74" t="s">
        <v>179</v>
      </c>
      <c r="H2576" s="75"/>
      <c r="I2576" s="76"/>
      <c r="J2576" s="78">
        <f>HYPERLINK("#Структура!E2745",Структура!E2745)</f>
        <v>0.57399999999999995</v>
      </c>
      <c r="K2576" s="114" t="str">
        <f>HYPERLINK("#Структура!G2745","")</f>
        <v/>
      </c>
      <c r="L2576" s="120">
        <f>HYPERLINK("#Покупные_изделия!D490",Покупные_изделия!D490)</f>
        <v>120</v>
      </c>
      <c r="M2576" s="76">
        <f>J2576*L2576</f>
        <v>68.88</v>
      </c>
      <c r="N2576" s="77"/>
      <c r="O2576" s="77"/>
      <c r="P2576" s="76"/>
      <c r="Q2576" s="76"/>
    </row>
    <row r="2577" spans="5:17" hidden="1" outlineLevel="4" collapsed="1" x14ac:dyDescent="0.25">
      <c r="F2577" s="84" t="s">
        <v>1399</v>
      </c>
      <c r="G2577" s="79"/>
      <c r="H2577" s="80"/>
      <c r="I2577" s="81"/>
      <c r="J2577" s="83">
        <f>HYPERLINK("#Структура!E2739",Структура!E2739)</f>
        <v>1</v>
      </c>
      <c r="K2577" s="115">
        <f>HYPERLINK("#Структура!G2739",Структура!G2739)</f>
        <v>0.3024</v>
      </c>
      <c r="L2577" s="81">
        <f>M2577/J2577</f>
        <v>39.840000000000003</v>
      </c>
      <c r="M2577" s="81">
        <f>SUMIF(G2578,"*",M2578)*J2577</f>
        <v>39.840000000000003</v>
      </c>
      <c r="N2577" s="124">
        <f>HYPERLINK("#Трудозатраты!B689",Трудозатраты!B689+SUMIF(G2578,"*",O2578))</f>
        <v>14</v>
      </c>
      <c r="O2577" s="82">
        <f>N2577*J2577</f>
        <v>14</v>
      </c>
      <c r="P2577" s="81">
        <f>O2577/60*(1+запас_труд)*стоимость_трудочаса</f>
        <v>548.33333333333337</v>
      </c>
      <c r="Q2577" s="129">
        <f>M2577*(1+наценка_покупное)+P2577</f>
        <v>596.14133333333336</v>
      </c>
    </row>
    <row r="2578" spans="5:17" hidden="1" outlineLevel="5" x14ac:dyDescent="0.25">
      <c r="G2578" s="74" t="s">
        <v>179</v>
      </c>
      <c r="H2578" s="75"/>
      <c r="I2578" s="76"/>
      <c r="J2578" s="78">
        <f>HYPERLINK("#Структура!E2746",Структура!E2746)</f>
        <v>0.33200000000000002</v>
      </c>
      <c r="K2578" s="114" t="str">
        <f>HYPERLINK("#Структура!G2746","")</f>
        <v/>
      </c>
      <c r="L2578" s="120">
        <f>HYPERLINK("#Покупные_изделия!D490",Покупные_изделия!D490)</f>
        <v>120</v>
      </c>
      <c r="M2578" s="76">
        <f>J2578*L2578</f>
        <v>39.840000000000003</v>
      </c>
      <c r="N2578" s="77"/>
      <c r="O2578" s="77"/>
      <c r="P2578" s="76"/>
      <c r="Q2578" s="76"/>
    </row>
    <row r="2579" spans="5:17" hidden="1" outlineLevel="4" collapsed="1" x14ac:dyDescent="0.25">
      <c r="F2579" s="84" t="s">
        <v>1400</v>
      </c>
      <c r="G2579" s="79"/>
      <c r="H2579" s="80"/>
      <c r="I2579" s="81"/>
      <c r="J2579" s="83">
        <f>HYPERLINK("#Структура!E2740",Структура!E2740)</f>
        <v>1</v>
      </c>
      <c r="K2579" s="115">
        <f>HYPERLINK("#Структура!G2740",Структура!G2740)</f>
        <v>0.3024</v>
      </c>
      <c r="L2579" s="81">
        <f>M2579/J2579</f>
        <v>37.32</v>
      </c>
      <c r="M2579" s="81">
        <f>SUMIF(G2580,"*",M2580)*J2579</f>
        <v>37.32</v>
      </c>
      <c r="N2579" s="124">
        <f>HYPERLINK("#Трудозатраты!B690",Трудозатраты!B690+SUMIF(G2580,"*",O2580))</f>
        <v>14</v>
      </c>
      <c r="O2579" s="82">
        <f>N2579*J2579</f>
        <v>14</v>
      </c>
      <c r="P2579" s="81">
        <f>O2579/60*(1+запас_труд)*стоимость_трудочаса</f>
        <v>548.33333333333337</v>
      </c>
      <c r="Q2579" s="129">
        <f>M2579*(1+наценка_покупное)+P2579</f>
        <v>593.11733333333336</v>
      </c>
    </row>
    <row r="2580" spans="5:17" hidden="1" outlineLevel="5" x14ac:dyDescent="0.25">
      <c r="G2580" s="74" t="s">
        <v>179</v>
      </c>
      <c r="H2580" s="75"/>
      <c r="I2580" s="76"/>
      <c r="J2580" s="78">
        <f>HYPERLINK("#Структура!E2747",Структура!E2747)</f>
        <v>0.311</v>
      </c>
      <c r="K2580" s="114" t="str">
        <f>HYPERLINK("#Структура!G2747","")</f>
        <v/>
      </c>
      <c r="L2580" s="120">
        <f>HYPERLINK("#Покупные_изделия!D490",Покупные_изделия!D490)</f>
        <v>120</v>
      </c>
      <c r="M2580" s="76">
        <f>J2580*L2580</f>
        <v>37.32</v>
      </c>
      <c r="N2580" s="77"/>
      <c r="O2580" s="77"/>
      <c r="P2580" s="76"/>
      <c r="Q2580" s="76"/>
    </row>
    <row r="2581" spans="5:17" hidden="1" outlineLevel="4" x14ac:dyDescent="0.25">
      <c r="F2581" s="74" t="s">
        <v>32</v>
      </c>
      <c r="G2581" s="74"/>
      <c r="H2581" s="75"/>
      <c r="I2581" s="76"/>
      <c r="J2581" s="78">
        <f>HYPERLINK("#Структура!E2741",Структура!E2741)</f>
        <v>1</v>
      </c>
      <c r="K2581" s="114">
        <f>HYPERLINK("#Структура!G2741",Структура!G2741)</f>
        <v>1.8180000000000001</v>
      </c>
      <c r="L2581" s="120">
        <f>HYPERLINK("#Покупные_изделия!D43",Покупные_изделия!D43)</f>
        <v>44821.552776000004</v>
      </c>
      <c r="M2581" s="76">
        <f>J2581*L2581</f>
        <v>44821.552776000004</v>
      </c>
      <c r="N2581" s="77"/>
      <c r="O2581" s="77"/>
      <c r="P2581" s="76"/>
      <c r="Q2581" s="76"/>
    </row>
    <row r="2582" spans="5:17" hidden="1" outlineLevel="4" x14ac:dyDescent="0.25">
      <c r="F2582" s="74" t="s">
        <v>73</v>
      </c>
      <c r="G2582" s="74"/>
      <c r="H2582" s="75"/>
      <c r="I2582" s="76"/>
      <c r="J2582" s="78">
        <f>HYPERLINK("#Структура!E2742",Структура!E2742)</f>
        <v>1</v>
      </c>
      <c r="K2582" s="114">
        <f>HYPERLINK("#Структура!G2742",Структура!G2742)</f>
        <v>0.54867999999999995</v>
      </c>
      <c r="L2582" s="120">
        <f>HYPERLINK("#Покупные_изделия!D240",Покупные_изделия!D240)</f>
        <v>2944.3524000000007</v>
      </c>
      <c r="M2582" s="76">
        <f>J2582*L2582</f>
        <v>2944.3524000000007</v>
      </c>
      <c r="N2582" s="77"/>
      <c r="O2582" s="77"/>
      <c r="P2582" s="76"/>
      <c r="Q2582" s="76"/>
    </row>
    <row r="2583" spans="5:17" hidden="1" outlineLevel="4" x14ac:dyDescent="0.25">
      <c r="F2583" s="74" t="s">
        <v>62</v>
      </c>
      <c r="G2583" s="74"/>
      <c r="H2583" s="75"/>
      <c r="I2583" s="76"/>
      <c r="J2583" s="78">
        <f>HYPERLINK("#Структура!E2743",Структура!E2743)</f>
        <v>0.5</v>
      </c>
      <c r="K2583" s="114" t="str">
        <f>HYPERLINK("#Структура!G2743","")</f>
        <v/>
      </c>
      <c r="L2583" s="120">
        <f>HYPERLINK("#Покупные_изделия!D194",Покупные_изделия!D194)</f>
        <v>333.22800000000001</v>
      </c>
      <c r="M2583" s="76">
        <f>J2583*L2583</f>
        <v>166.614</v>
      </c>
      <c r="N2583" s="77"/>
      <c r="O2583" s="77"/>
      <c r="P2583" s="76"/>
      <c r="Q2583" s="76"/>
    </row>
    <row r="2584" spans="5:17" hidden="1" outlineLevel="4" x14ac:dyDescent="0.25">
      <c r="F2584" s="74" t="s">
        <v>157</v>
      </c>
      <c r="G2584" s="74"/>
      <c r="H2584" s="75"/>
      <c r="I2584" s="76"/>
      <c r="J2584" s="78">
        <f>HYPERLINK("#Структура!E2744",Структура!E2744)</f>
        <v>0.02</v>
      </c>
      <c r="K2584" s="114" t="str">
        <f>HYPERLINK("#Структура!G2744","")</f>
        <v/>
      </c>
      <c r="L2584" s="120">
        <f>HYPERLINK("#Покупные_изделия!D428",Покупные_изделия!D428)</f>
        <v>138.756</v>
      </c>
      <c r="M2584" s="76">
        <f>J2584*L2584</f>
        <v>2.7751200000000003</v>
      </c>
      <c r="N2584" s="77"/>
      <c r="O2584" s="77"/>
      <c r="P2584" s="76"/>
      <c r="Q2584" s="76"/>
    </row>
    <row r="2585" spans="5:17" hidden="1" outlineLevel="3" collapsed="1" x14ac:dyDescent="0.25">
      <c r="E2585" s="96" t="s">
        <v>1380</v>
      </c>
      <c r="F2585" s="91"/>
      <c r="G2585" s="91"/>
      <c r="H2585" s="92"/>
      <c r="I2585" s="93"/>
      <c r="J2585" s="95">
        <f>HYPERLINK("#Структура!E2764",Структура!E2764)</f>
        <v>1</v>
      </c>
      <c r="K2585" s="116">
        <f>HYPERLINK("#Структура!G2764",Структура!G2764)</f>
        <v>0.24001</v>
      </c>
      <c r="L2585" s="93">
        <f>M2585/J2585</f>
        <v>119.055296</v>
      </c>
      <c r="M2585" s="93">
        <f>SUMIF(F2586:F2598,"*",M2586:M2598)*J2585</f>
        <v>119.055296</v>
      </c>
      <c r="N2585" s="125">
        <f>HYPERLINK("#Трудозатраты!B691",Трудозатраты!B691+SUMIF(F2586:F2598,"*",O2586:O2598))</f>
        <v>41.9</v>
      </c>
      <c r="O2585" s="94">
        <f>N2585*J2585</f>
        <v>41.9</v>
      </c>
      <c r="P2585" s="93">
        <f>O2585/60*(1+запас_труд)*стоимость_трудочаса</f>
        <v>1641.0833333333335</v>
      </c>
      <c r="Q2585" s="130">
        <f>M2585*(1+наценка_покупное)+P2585</f>
        <v>1783.9496885333335</v>
      </c>
    </row>
    <row r="2586" spans="5:17" hidden="1" outlineLevel="4" collapsed="1" x14ac:dyDescent="0.25">
      <c r="F2586" s="85" t="s">
        <v>1402</v>
      </c>
      <c r="G2586" s="86"/>
      <c r="H2586" s="87"/>
      <c r="I2586" s="88"/>
      <c r="J2586" s="90">
        <f>HYPERLINK("#Структура!E2748",Структура!E2748)</f>
        <v>4</v>
      </c>
      <c r="K2586" s="113">
        <f>HYPERLINK("#Структура!G2748",Структура!G2748)</f>
        <v>1.013E-2</v>
      </c>
      <c r="L2586" s="88">
        <f>M2586/J2586</f>
        <v>2.2400000000000002</v>
      </c>
      <c r="M2586" s="88">
        <f>SUMIF(G2587,"*",M2587)*J2586</f>
        <v>8.9600000000000009</v>
      </c>
      <c r="N2586" s="123">
        <f>HYPERLINK("#Трудозатраты!B692",Трудозатраты!B692+SUMIF(G2587,"*",O2587))</f>
        <v>3.3</v>
      </c>
      <c r="O2586" s="89">
        <f>N2586*J2586</f>
        <v>13.2</v>
      </c>
      <c r="P2586" s="88">
        <f>O2586/60*(1+запас_труд)*стоимость_трудочаса</f>
        <v>517</v>
      </c>
      <c r="Q2586" s="128">
        <f>M2586*(1+наценка_покупное)+P2586</f>
        <v>527.75199999999995</v>
      </c>
    </row>
    <row r="2587" spans="5:17" hidden="1" outlineLevel="5" x14ac:dyDescent="0.25">
      <c r="G2587" s="74" t="s">
        <v>128</v>
      </c>
      <c r="H2587" s="75"/>
      <c r="I2587" s="76"/>
      <c r="J2587" s="78">
        <f>HYPERLINK("#Структура!E2758",Структура!E2758)</f>
        <v>1.4E-2</v>
      </c>
      <c r="K2587" s="114" t="str">
        <f>HYPERLINK("#Структура!G2758","")</f>
        <v/>
      </c>
      <c r="L2587" s="120">
        <f>HYPERLINK("#Покупные_изделия!D303",Покупные_изделия!D303)</f>
        <v>160</v>
      </c>
      <c r="M2587" s="76">
        <f>J2587*L2587</f>
        <v>2.2400000000000002</v>
      </c>
      <c r="N2587" s="77"/>
      <c r="O2587" s="77"/>
      <c r="P2587" s="76"/>
      <c r="Q2587" s="76"/>
    </row>
    <row r="2588" spans="5:17" hidden="1" outlineLevel="4" collapsed="1" x14ac:dyDescent="0.25">
      <c r="F2588" s="84" t="s">
        <v>1403</v>
      </c>
      <c r="G2588" s="79"/>
      <c r="H2588" s="80"/>
      <c r="I2588" s="81"/>
      <c r="J2588" s="83">
        <f>HYPERLINK("#Структура!E2749",Структура!E2749)</f>
        <v>2</v>
      </c>
      <c r="K2588" s="115">
        <f>HYPERLINK("#Структура!G2749",Структура!G2749)</f>
        <v>7.8899999999999994E-3</v>
      </c>
      <c r="L2588" s="81">
        <f>M2588/J2588</f>
        <v>6.3000000000000007</v>
      </c>
      <c r="M2588" s="81">
        <f>SUMIF(G2589,"*",M2589)*J2588</f>
        <v>12.600000000000001</v>
      </c>
      <c r="N2588" s="124">
        <f>HYPERLINK("#Трудозатраты!B693",Трудозатраты!B693+SUMIF(G2589,"*",O2589))</f>
        <v>6.6</v>
      </c>
      <c r="O2588" s="82">
        <f>N2588*J2588</f>
        <v>13.2</v>
      </c>
      <c r="P2588" s="81">
        <f>O2588/60*(1+запас_труд)*стоимость_трудочаса</f>
        <v>517</v>
      </c>
      <c r="Q2588" s="129">
        <f>M2588*(1+наценка_покупное)+P2588</f>
        <v>532.12</v>
      </c>
    </row>
    <row r="2589" spans="5:17" hidden="1" outlineLevel="5" x14ac:dyDescent="0.25">
      <c r="G2589" s="74" t="s">
        <v>81</v>
      </c>
      <c r="H2589" s="75"/>
      <c r="I2589" s="76"/>
      <c r="J2589" s="78">
        <f>HYPERLINK("#Структура!E2759",Структура!E2759)</f>
        <v>2.1000000000000001E-2</v>
      </c>
      <c r="K2589" s="114" t="str">
        <f>HYPERLINK("#Структура!G2759","")</f>
        <v/>
      </c>
      <c r="L2589" s="120">
        <f>HYPERLINK("#Покупные_изделия!D250",Покупные_изделия!D250)</f>
        <v>300</v>
      </c>
      <c r="M2589" s="76">
        <f>J2589*L2589</f>
        <v>6.3000000000000007</v>
      </c>
      <c r="N2589" s="77"/>
      <c r="O2589" s="77"/>
      <c r="P2589" s="76"/>
      <c r="Q2589" s="76"/>
    </row>
    <row r="2590" spans="5:17" hidden="1" outlineLevel="4" collapsed="1" x14ac:dyDescent="0.25">
      <c r="F2590" s="84" t="s">
        <v>1404</v>
      </c>
      <c r="G2590" s="79"/>
      <c r="H2590" s="80"/>
      <c r="I2590" s="81"/>
      <c r="J2590" s="83">
        <f>HYPERLINK("#Структура!E2750",Структура!E2750)</f>
        <v>1</v>
      </c>
      <c r="K2590" s="115">
        <f>HYPERLINK("#Структура!G2750",Структура!G2750)</f>
        <v>5.1569999999999998E-2</v>
      </c>
      <c r="L2590" s="81">
        <f>M2590/J2590</f>
        <v>37.230335999999994</v>
      </c>
      <c r="M2590" s="81">
        <f>SUMIF(G2591,"*",M2591)*J2590</f>
        <v>37.230335999999994</v>
      </c>
      <c r="N2590" s="124">
        <f>HYPERLINK("#Трудозатраты!B694",Трудозатраты!B694+SUMIF(G2591,"*",O2591))</f>
        <v>0.5</v>
      </c>
      <c r="O2590" s="82">
        <f>N2590*J2590</f>
        <v>0.5</v>
      </c>
      <c r="P2590" s="81">
        <f>O2590/60*(1+запас_труд)*стоимость_трудочаса</f>
        <v>19.583333333333332</v>
      </c>
      <c r="Q2590" s="129">
        <f>M2590*(1+наценка_покупное)+P2590</f>
        <v>64.259736533333324</v>
      </c>
    </row>
    <row r="2591" spans="5:17" hidden="1" outlineLevel="5" x14ac:dyDescent="0.25">
      <c r="G2591" s="74" t="s">
        <v>151</v>
      </c>
      <c r="H2591" s="75"/>
      <c r="I2591" s="76"/>
      <c r="J2591" s="78">
        <f>HYPERLINK("#Структура!E2760",Структура!E2760)</f>
        <v>5.1999999999999998E-2</v>
      </c>
      <c r="K2591" s="114" t="str">
        <f>HYPERLINK("#Структура!G2760","")</f>
        <v/>
      </c>
      <c r="L2591" s="120">
        <f>HYPERLINK("#Покупные_изделия!D419",Покупные_изделия!D419)</f>
        <v>715.96799999999996</v>
      </c>
      <c r="M2591" s="76">
        <f t="shared" ref="M2591:M2598" si="100">J2591*L2591</f>
        <v>37.230335999999994</v>
      </c>
      <c r="N2591" s="77"/>
      <c r="O2591" s="77"/>
      <c r="P2591" s="76"/>
      <c r="Q2591" s="76"/>
    </row>
    <row r="2592" spans="5:17" hidden="1" outlineLevel="4" x14ac:dyDescent="0.25">
      <c r="F2592" s="74" t="s">
        <v>1405</v>
      </c>
      <c r="G2592" s="74"/>
      <c r="H2592" s="75"/>
      <c r="I2592" s="76"/>
      <c r="J2592" s="78">
        <f>HYPERLINK("#Структура!E2751",Структура!E2751)</f>
        <v>4</v>
      </c>
      <c r="K2592" s="114">
        <f>HYPERLINK("#Структура!G2751",Структура!G2751)</f>
        <v>1.06E-3</v>
      </c>
      <c r="L2592" s="120">
        <f>HYPERLINK("#Покупные_изделия!D162",Покупные_изделия!D162)</f>
        <v>5.5</v>
      </c>
      <c r="M2592" s="76">
        <f t="shared" si="100"/>
        <v>22</v>
      </c>
      <c r="N2592" s="77"/>
      <c r="O2592" s="77"/>
      <c r="P2592" s="76"/>
      <c r="Q2592" s="76"/>
    </row>
    <row r="2593" spans="5:17" hidden="1" outlineLevel="4" x14ac:dyDescent="0.25">
      <c r="F2593" s="74" t="s">
        <v>1406</v>
      </c>
      <c r="G2593" s="74"/>
      <c r="H2593" s="75"/>
      <c r="I2593" s="76"/>
      <c r="J2593" s="78">
        <f>HYPERLINK("#Структура!E2752",Структура!E2752)</f>
        <v>2</v>
      </c>
      <c r="K2593" s="114">
        <f>HYPERLINK("#Структура!G2752",Структура!G2752)</f>
        <v>8.9800000000000001E-3</v>
      </c>
      <c r="L2593" s="120">
        <f>HYPERLINK("#Покупные_изделия!D101",Покупные_изделия!D101)</f>
        <v>2.9700000000000006</v>
      </c>
      <c r="M2593" s="76">
        <f t="shared" si="100"/>
        <v>5.9400000000000013</v>
      </c>
      <c r="N2593" s="77"/>
      <c r="O2593" s="77"/>
      <c r="P2593" s="76"/>
      <c r="Q2593" s="76"/>
    </row>
    <row r="2594" spans="5:17" hidden="1" outlineLevel="4" x14ac:dyDescent="0.25">
      <c r="F2594" s="74" t="s">
        <v>1407</v>
      </c>
      <c r="G2594" s="74"/>
      <c r="H2594" s="75"/>
      <c r="I2594" s="76"/>
      <c r="J2594" s="78">
        <f>HYPERLINK("#Структура!E2753",Структура!E2753)</f>
        <v>4</v>
      </c>
      <c r="K2594" s="114">
        <f>HYPERLINK("#Структура!G2753",Структура!G2753)</f>
        <v>2.0699999999999998E-3</v>
      </c>
      <c r="L2594" s="120">
        <f>HYPERLINK("#Покупные_изделия!D119",Покупные_изделия!D119)</f>
        <v>1.2804</v>
      </c>
      <c r="M2594" s="76">
        <f t="shared" si="100"/>
        <v>5.1215999999999999</v>
      </c>
      <c r="N2594" s="77"/>
      <c r="O2594" s="77"/>
      <c r="P2594" s="76"/>
      <c r="Q2594" s="76"/>
    </row>
    <row r="2595" spans="5:17" hidden="1" outlineLevel="4" x14ac:dyDescent="0.25">
      <c r="F2595" s="74" t="s">
        <v>1408</v>
      </c>
      <c r="G2595" s="74"/>
      <c r="H2595" s="75"/>
      <c r="I2595" s="76"/>
      <c r="J2595" s="78">
        <f>HYPERLINK("#Структура!E2754",Структура!E2754)</f>
        <v>2</v>
      </c>
      <c r="K2595" s="114">
        <f>HYPERLINK("#Структура!G2754",Структура!G2754)</f>
        <v>2.5699999999999998E-3</v>
      </c>
      <c r="L2595" s="120">
        <f>HYPERLINK("#Покупные_изделия!D189",Покупные_изделия!D189)</f>
        <v>1.2012000000000003</v>
      </c>
      <c r="M2595" s="76">
        <f t="shared" si="100"/>
        <v>2.4024000000000005</v>
      </c>
      <c r="N2595" s="77"/>
      <c r="O2595" s="77"/>
      <c r="P2595" s="76"/>
      <c r="Q2595" s="76"/>
    </row>
    <row r="2596" spans="5:17" hidden="1" outlineLevel="4" x14ac:dyDescent="0.25">
      <c r="F2596" s="74" t="s">
        <v>1409</v>
      </c>
      <c r="G2596" s="74"/>
      <c r="H2596" s="75"/>
      <c r="I2596" s="76"/>
      <c r="J2596" s="78">
        <f>HYPERLINK("#Структура!E2755",Структура!E2755)</f>
        <v>4</v>
      </c>
      <c r="K2596" s="114">
        <f>HYPERLINK("#Структура!G2755",Структура!G2755)</f>
        <v>4.0000000000000003E-5</v>
      </c>
      <c r="L2596" s="120">
        <f>HYPERLINK("#Покупные_изделия!D526",Покупные_изделия!D526)</f>
        <v>4.620000000000001</v>
      </c>
      <c r="M2596" s="76">
        <f t="shared" si="100"/>
        <v>18.480000000000004</v>
      </c>
      <c r="N2596" s="77"/>
      <c r="O2596" s="77"/>
      <c r="P2596" s="76"/>
      <c r="Q2596" s="76"/>
    </row>
    <row r="2597" spans="5:17" hidden="1" outlineLevel="4" x14ac:dyDescent="0.25">
      <c r="F2597" s="74" t="s">
        <v>1410</v>
      </c>
      <c r="G2597" s="74"/>
      <c r="H2597" s="75"/>
      <c r="I2597" s="76"/>
      <c r="J2597" s="78">
        <f>HYPERLINK("#Структура!E2756",Структура!E2756)</f>
        <v>2</v>
      </c>
      <c r="K2597" s="114">
        <f>HYPERLINK("#Структура!G2756",Структура!G2756)</f>
        <v>3.8000000000000002E-4</v>
      </c>
      <c r="L2597" s="120">
        <f>HYPERLINK("#Покупные_изделия!D529",Покупные_изделия!D529)</f>
        <v>0.96048000000000022</v>
      </c>
      <c r="M2597" s="76">
        <f t="shared" si="100"/>
        <v>1.9209600000000004</v>
      </c>
      <c r="N2597" s="77"/>
      <c r="O2597" s="77"/>
      <c r="P2597" s="76"/>
      <c r="Q2597" s="76"/>
    </row>
    <row r="2598" spans="5:17" hidden="1" outlineLevel="4" x14ac:dyDescent="0.25">
      <c r="F2598" s="74" t="s">
        <v>1411</v>
      </c>
      <c r="G2598" s="74"/>
      <c r="H2598" s="75"/>
      <c r="I2598" s="76"/>
      <c r="J2598" s="78">
        <f>HYPERLINK("#Структура!E2757",Структура!E2757)</f>
        <v>4</v>
      </c>
      <c r="K2598" s="114">
        <f>HYPERLINK("#Структура!G2757",Структура!G2757)</f>
        <v>9.8999999999999999E-4</v>
      </c>
      <c r="L2598" s="120">
        <f>HYPERLINK("#Покупные_изделия!D546",Покупные_изделия!D546)</f>
        <v>1.1000000000000001</v>
      </c>
      <c r="M2598" s="76">
        <f t="shared" si="100"/>
        <v>4.4000000000000004</v>
      </c>
      <c r="N2598" s="77"/>
      <c r="O2598" s="77"/>
      <c r="P2598" s="76"/>
      <c r="Q2598" s="76"/>
    </row>
    <row r="2599" spans="5:17" hidden="1" outlineLevel="3" collapsed="1" x14ac:dyDescent="0.25">
      <c r="E2599" s="96" t="s">
        <v>1412</v>
      </c>
      <c r="F2599" s="91"/>
      <c r="G2599" s="91"/>
      <c r="H2599" s="92"/>
      <c r="I2599" s="93"/>
      <c r="J2599" s="95">
        <f>HYPERLINK("#Структура!E2765",Структура!E2765)</f>
        <v>1</v>
      </c>
      <c r="K2599" s="116">
        <f>HYPERLINK("#Структура!G2765",Структура!G2765)</f>
        <v>16.18976</v>
      </c>
      <c r="L2599" s="93">
        <f>M2599/J2599</f>
        <v>84219.353936000014</v>
      </c>
      <c r="M2599" s="93">
        <f>SUMIF(F2600:F2624,"*",M2600:M2624)*J2599</f>
        <v>84219.353936000014</v>
      </c>
      <c r="N2599" s="125">
        <f>HYPERLINK("#Трудозатраты!B696",Трудозатраты!B696+SUMIF(F2600:F2624,"*",O2600:O2624))</f>
        <v>403.7</v>
      </c>
      <c r="O2599" s="94">
        <f>N2599*J2599</f>
        <v>403.7</v>
      </c>
      <c r="P2599" s="93">
        <f>O2599/60*(1+запас_труд)*стоимость_трудочаса</f>
        <v>15811.583333333334</v>
      </c>
      <c r="Q2599" s="130">
        <f>M2599*(1+наценка_покупное)+P2599</f>
        <v>116874.80805653334</v>
      </c>
    </row>
    <row r="2600" spans="5:17" hidden="1" outlineLevel="4" collapsed="1" x14ac:dyDescent="0.25">
      <c r="F2600" s="85" t="s">
        <v>1384</v>
      </c>
      <c r="G2600" s="86"/>
      <c r="H2600" s="87"/>
      <c r="I2600" s="88"/>
      <c r="J2600" s="90">
        <f>HYPERLINK("#Структура!E2773",Структура!E2773)</f>
        <v>1</v>
      </c>
      <c r="K2600" s="113">
        <f>HYPERLINK("#Структура!G2773",Структура!G2773)</f>
        <v>0.6048</v>
      </c>
      <c r="L2600" s="88">
        <f>M2600/J2600</f>
        <v>75</v>
      </c>
      <c r="M2600" s="88">
        <f>SUMIF(G2601,"*",M2601)*J2600</f>
        <v>75</v>
      </c>
      <c r="N2600" s="123">
        <f>HYPERLINK("#Трудозатраты!B672",Трудозатраты!B672+SUMIF(G2601,"*",O2601))</f>
        <v>14</v>
      </c>
      <c r="O2600" s="89">
        <f>N2600*J2600</f>
        <v>14</v>
      </c>
      <c r="P2600" s="88">
        <f>O2600/60*(1+запас_труд)*стоимость_трудочаса</f>
        <v>548.33333333333337</v>
      </c>
      <c r="Q2600" s="128">
        <f>M2600*(1+наценка_покупное)+P2600</f>
        <v>638.33333333333337</v>
      </c>
    </row>
    <row r="2601" spans="5:17" hidden="1" outlineLevel="5" x14ac:dyDescent="0.25">
      <c r="G2601" s="74" t="s">
        <v>179</v>
      </c>
      <c r="H2601" s="75"/>
      <c r="I2601" s="76"/>
      <c r="J2601" s="78">
        <f>HYPERLINK("#Структура!E2704",Структура!E2704)</f>
        <v>0.625</v>
      </c>
      <c r="K2601" s="114" t="str">
        <f>HYPERLINK("#Структура!G2704","")</f>
        <v/>
      </c>
      <c r="L2601" s="120">
        <f>HYPERLINK("#Покупные_изделия!D490",Покупные_изделия!D490)</f>
        <v>120</v>
      </c>
      <c r="M2601" s="76">
        <f>J2601*L2601</f>
        <v>75</v>
      </c>
      <c r="N2601" s="77"/>
      <c r="O2601" s="77"/>
      <c r="P2601" s="76"/>
      <c r="Q2601" s="76"/>
    </row>
    <row r="2602" spans="5:17" hidden="1" outlineLevel="4" collapsed="1" x14ac:dyDescent="0.25">
      <c r="F2602" s="84" t="s">
        <v>1385</v>
      </c>
      <c r="G2602" s="79"/>
      <c r="H2602" s="80"/>
      <c r="I2602" s="81"/>
      <c r="J2602" s="83">
        <f>HYPERLINK("#Структура!E2774",Структура!E2774)</f>
        <v>1</v>
      </c>
      <c r="K2602" s="115">
        <f>HYPERLINK("#Структура!G2774",Структура!G2774)</f>
        <v>9.2859999999999998E-2</v>
      </c>
      <c r="L2602" s="81">
        <f>M2602/J2602</f>
        <v>15.8</v>
      </c>
      <c r="M2602" s="81">
        <f>SUMIF(G2603,"*",M2603)*J2602</f>
        <v>15.8</v>
      </c>
      <c r="N2602" s="124">
        <f>HYPERLINK("#Трудозатраты!B673",Трудозатраты!B673+SUMIF(G2603,"*",O2603))</f>
        <v>8.6999999999999993</v>
      </c>
      <c r="O2602" s="82">
        <f>N2602*J2602</f>
        <v>8.6999999999999993</v>
      </c>
      <c r="P2602" s="81">
        <f>O2602/60*(1+запас_труд)*стоимость_трудочаса</f>
        <v>340.75</v>
      </c>
      <c r="Q2602" s="129">
        <f>M2602*(1+наценка_покупное)+P2602</f>
        <v>359.71</v>
      </c>
    </row>
    <row r="2603" spans="5:17" hidden="1" outlineLevel="5" x14ac:dyDescent="0.25">
      <c r="G2603" s="74" t="s">
        <v>88</v>
      </c>
      <c r="H2603" s="75"/>
      <c r="I2603" s="76"/>
      <c r="J2603" s="78">
        <f>HYPERLINK("#Структура!E2705",Структура!E2705)</f>
        <v>0.158</v>
      </c>
      <c r="K2603" s="114" t="str">
        <f>HYPERLINK("#Структура!G2705","")</f>
        <v/>
      </c>
      <c r="L2603" s="120">
        <f>HYPERLINK("#Покупные_изделия!D257",Покупные_изделия!D257)</f>
        <v>100</v>
      </c>
      <c r="M2603" s="76">
        <f>J2603*L2603</f>
        <v>15.8</v>
      </c>
      <c r="N2603" s="77"/>
      <c r="O2603" s="77"/>
      <c r="P2603" s="76"/>
      <c r="Q2603" s="76"/>
    </row>
    <row r="2604" spans="5:17" hidden="1" outlineLevel="4" collapsed="1" x14ac:dyDescent="0.25">
      <c r="F2604" s="84" t="s">
        <v>1386</v>
      </c>
      <c r="G2604" s="79"/>
      <c r="H2604" s="80"/>
      <c r="I2604" s="81"/>
      <c r="J2604" s="83">
        <f>HYPERLINK("#Структура!E2775",Структура!E2775)</f>
        <v>2</v>
      </c>
      <c r="K2604" s="115">
        <f>HYPERLINK("#Структура!G2775",Структура!G2775)</f>
        <v>0.2268</v>
      </c>
      <c r="L2604" s="81">
        <f>M2604/J2604</f>
        <v>28.799999999999997</v>
      </c>
      <c r="M2604" s="81">
        <f>SUMIF(G2605,"*",M2605)*J2604</f>
        <v>57.599999999999994</v>
      </c>
      <c r="N2604" s="124">
        <f>HYPERLINK("#Трудозатраты!B674",Трудозатраты!B674+SUMIF(G2605,"*",O2605))</f>
        <v>14</v>
      </c>
      <c r="O2604" s="82">
        <f>N2604*J2604</f>
        <v>28</v>
      </c>
      <c r="P2604" s="81">
        <f>O2604/60*(1+запас_труд)*стоимость_трудочаса</f>
        <v>1096.6666666666667</v>
      </c>
      <c r="Q2604" s="129">
        <f>M2604*(1+наценка_покупное)+P2604</f>
        <v>1165.7866666666666</v>
      </c>
    </row>
    <row r="2605" spans="5:17" hidden="1" outlineLevel="5" x14ac:dyDescent="0.25">
      <c r="G2605" s="74" t="s">
        <v>179</v>
      </c>
      <c r="H2605" s="75"/>
      <c r="I2605" s="76"/>
      <c r="J2605" s="78">
        <f>HYPERLINK("#Структура!E2706",Структура!E2706)</f>
        <v>0.24</v>
      </c>
      <c r="K2605" s="114" t="str">
        <f>HYPERLINK("#Структура!G2706","")</f>
        <v/>
      </c>
      <c r="L2605" s="120">
        <f>HYPERLINK("#Покупные_изделия!D490",Покупные_изделия!D490)</f>
        <v>120</v>
      </c>
      <c r="M2605" s="76">
        <f>J2605*L2605</f>
        <v>28.799999999999997</v>
      </c>
      <c r="N2605" s="77"/>
      <c r="O2605" s="77"/>
      <c r="P2605" s="76"/>
      <c r="Q2605" s="76"/>
    </row>
    <row r="2606" spans="5:17" hidden="1" outlineLevel="4" collapsed="1" x14ac:dyDescent="0.25">
      <c r="F2606" s="84" t="s">
        <v>1389</v>
      </c>
      <c r="G2606" s="79"/>
      <c r="H2606" s="80"/>
      <c r="I2606" s="81"/>
      <c r="J2606" s="83">
        <f>HYPERLINK("#Структура!E2776",Структура!E2776)</f>
        <v>1</v>
      </c>
      <c r="K2606" s="115">
        <f>HYPERLINK("#Структура!G2776",Структура!G2776)</f>
        <v>0.96389999999999998</v>
      </c>
      <c r="L2606" s="81">
        <f>M2606/J2606</f>
        <v>116.16</v>
      </c>
      <c r="M2606" s="81">
        <f>SUMIF(G2607,"*",M2607)*J2606</f>
        <v>116.16</v>
      </c>
      <c r="N2606" s="124">
        <f>HYPERLINK("#Трудозатраты!B677",Трудозатраты!B677+SUMIF(G2607,"*",O2607))</f>
        <v>14</v>
      </c>
      <c r="O2606" s="82">
        <f>N2606*J2606</f>
        <v>14</v>
      </c>
      <c r="P2606" s="81">
        <f>O2606/60*(1+запас_труд)*стоимость_трудочаса</f>
        <v>548.33333333333337</v>
      </c>
      <c r="Q2606" s="129">
        <f>M2606*(1+наценка_покупное)+P2606</f>
        <v>687.72533333333331</v>
      </c>
    </row>
    <row r="2607" spans="5:17" hidden="1" outlineLevel="5" x14ac:dyDescent="0.25">
      <c r="G2607" s="74" t="s">
        <v>179</v>
      </c>
      <c r="H2607" s="75"/>
      <c r="I2607" s="76"/>
      <c r="J2607" s="78">
        <f>HYPERLINK("#Структура!E2709",Структура!E2709)</f>
        <v>0.96799999999999997</v>
      </c>
      <c r="K2607" s="114" t="str">
        <f>HYPERLINK("#Структура!G2709","")</f>
        <v/>
      </c>
      <c r="L2607" s="120">
        <f>HYPERLINK("#Покупные_изделия!D490",Покупные_изделия!D490)</f>
        <v>120</v>
      </c>
      <c r="M2607" s="76">
        <f>J2607*L2607</f>
        <v>116.16</v>
      </c>
      <c r="N2607" s="77"/>
      <c r="O2607" s="77"/>
      <c r="P2607" s="76"/>
      <c r="Q2607" s="76"/>
    </row>
    <row r="2608" spans="5:17" hidden="1" outlineLevel="4" collapsed="1" x14ac:dyDescent="0.25">
      <c r="F2608" s="84" t="s">
        <v>1413</v>
      </c>
      <c r="G2608" s="79"/>
      <c r="H2608" s="80"/>
      <c r="I2608" s="81"/>
      <c r="J2608" s="83">
        <f>HYPERLINK("#Структура!E2777",Структура!E2777)</f>
        <v>1</v>
      </c>
      <c r="K2608" s="115">
        <f>HYPERLINK("#Структура!G2777",Структура!G2777)</f>
        <v>0.56699999999999995</v>
      </c>
      <c r="L2608" s="81">
        <f>M2608/J2608</f>
        <v>68.88</v>
      </c>
      <c r="M2608" s="81">
        <f>SUMIF(G2609,"*",M2609)*J2608</f>
        <v>68.88</v>
      </c>
      <c r="N2608" s="124">
        <f>HYPERLINK("#Трудозатраты!B697",Трудозатраты!B697+SUMIF(G2609,"*",O2609))</f>
        <v>14</v>
      </c>
      <c r="O2608" s="82">
        <f>N2608*J2608</f>
        <v>14</v>
      </c>
      <c r="P2608" s="81">
        <f>O2608/60*(1+запас_труд)*стоимость_трудочаса</f>
        <v>548.33333333333337</v>
      </c>
      <c r="Q2608" s="129">
        <f>M2608*(1+наценка_покупное)+P2608</f>
        <v>630.98933333333332</v>
      </c>
    </row>
    <row r="2609" spans="6:17" hidden="1" outlineLevel="5" x14ac:dyDescent="0.25">
      <c r="G2609" s="74" t="s">
        <v>179</v>
      </c>
      <c r="H2609" s="75"/>
      <c r="I2609" s="76"/>
      <c r="J2609" s="78">
        <f>HYPERLINK("#Структура!E2791",Структура!E2791)</f>
        <v>0.57399999999999995</v>
      </c>
      <c r="K2609" s="114" t="str">
        <f>HYPERLINK("#Структура!G2791","")</f>
        <v/>
      </c>
      <c r="L2609" s="120">
        <f>HYPERLINK("#Покупные_изделия!D490",Покупные_изделия!D490)</f>
        <v>120</v>
      </c>
      <c r="M2609" s="76">
        <f>J2609*L2609</f>
        <v>68.88</v>
      </c>
      <c r="N2609" s="77"/>
      <c r="O2609" s="77"/>
      <c r="P2609" s="76"/>
      <c r="Q2609" s="76"/>
    </row>
    <row r="2610" spans="6:17" hidden="1" outlineLevel="4" collapsed="1" x14ac:dyDescent="0.25">
      <c r="F2610" s="84" t="s">
        <v>1414</v>
      </c>
      <c r="G2610" s="79"/>
      <c r="H2610" s="80"/>
      <c r="I2610" s="81"/>
      <c r="J2610" s="83">
        <f>HYPERLINK("#Структура!E2778",Структура!E2778)</f>
        <v>2</v>
      </c>
      <c r="K2610" s="115">
        <f>HYPERLINK("#Структура!G2778",Структура!G2778)</f>
        <v>0.378</v>
      </c>
      <c r="L2610" s="81">
        <f>M2610/J2610</f>
        <v>46.32</v>
      </c>
      <c r="M2610" s="81">
        <f>SUMIF(G2611,"*",M2611)*J2610</f>
        <v>92.64</v>
      </c>
      <c r="N2610" s="124">
        <f>HYPERLINK("#Трудозатраты!B698",Трудозатраты!B698+SUMIF(G2611,"*",O2611))</f>
        <v>14</v>
      </c>
      <c r="O2610" s="82">
        <f>N2610*J2610</f>
        <v>28</v>
      </c>
      <c r="P2610" s="81">
        <f>O2610/60*(1+запас_труд)*стоимость_трудочаса</f>
        <v>1096.6666666666667</v>
      </c>
      <c r="Q2610" s="129">
        <f>M2610*(1+наценка_покупное)+P2610</f>
        <v>1207.8346666666666</v>
      </c>
    </row>
    <row r="2611" spans="6:17" hidden="1" outlineLevel="5" x14ac:dyDescent="0.25">
      <c r="G2611" s="74" t="s">
        <v>179</v>
      </c>
      <c r="H2611" s="75"/>
      <c r="I2611" s="76"/>
      <c r="J2611" s="78">
        <f>HYPERLINK("#Структура!E2792",Структура!E2792)</f>
        <v>0.38600000000000001</v>
      </c>
      <c r="K2611" s="114" t="str">
        <f>HYPERLINK("#Структура!G2792","")</f>
        <v/>
      </c>
      <c r="L2611" s="120">
        <f>HYPERLINK("#Покупные_изделия!D490",Покупные_изделия!D490)</f>
        <v>120</v>
      </c>
      <c r="M2611" s="76">
        <f>J2611*L2611</f>
        <v>46.32</v>
      </c>
      <c r="N2611" s="77"/>
      <c r="O2611" s="77"/>
      <c r="P2611" s="76"/>
      <c r="Q2611" s="76"/>
    </row>
    <row r="2612" spans="6:17" hidden="1" outlineLevel="4" collapsed="1" x14ac:dyDescent="0.25">
      <c r="F2612" s="84" t="s">
        <v>1415</v>
      </c>
      <c r="G2612" s="79"/>
      <c r="H2612" s="80"/>
      <c r="I2612" s="81"/>
      <c r="J2612" s="83">
        <f>HYPERLINK("#Структура!E2779",Структура!E2779)</f>
        <v>1</v>
      </c>
      <c r="K2612" s="115">
        <f>HYPERLINK("#Структура!G2779",Структура!G2779)</f>
        <v>0.2268</v>
      </c>
      <c r="L2612" s="81">
        <f>M2612/J2612</f>
        <v>28.32</v>
      </c>
      <c r="M2612" s="81">
        <f>SUMIF(G2613,"*",M2613)*J2612</f>
        <v>28.32</v>
      </c>
      <c r="N2612" s="124">
        <f>HYPERLINK("#Трудозатраты!B699",Трудозатраты!B699+SUMIF(G2613,"*",O2613))</f>
        <v>14</v>
      </c>
      <c r="O2612" s="82">
        <f>N2612*J2612</f>
        <v>14</v>
      </c>
      <c r="P2612" s="81">
        <f>O2612/60*(1+запас_труд)*стоимость_трудочаса</f>
        <v>548.33333333333337</v>
      </c>
      <c r="Q2612" s="129">
        <f>M2612*(1+наценка_покупное)+P2612</f>
        <v>582.31733333333341</v>
      </c>
    </row>
    <row r="2613" spans="6:17" hidden="1" outlineLevel="5" x14ac:dyDescent="0.25">
      <c r="G2613" s="74" t="s">
        <v>179</v>
      </c>
      <c r="H2613" s="75"/>
      <c r="I2613" s="76"/>
      <c r="J2613" s="78">
        <f>HYPERLINK("#Структура!E2793",Структура!E2793)</f>
        <v>0.23599999999999999</v>
      </c>
      <c r="K2613" s="114" t="str">
        <f>HYPERLINK("#Структура!G2793","")</f>
        <v/>
      </c>
      <c r="L2613" s="120">
        <f>HYPERLINK("#Покупные_изделия!D490",Покупные_изделия!D490)</f>
        <v>120</v>
      </c>
      <c r="M2613" s="76">
        <f t="shared" ref="M2613:M2631" si="101">J2613*L2613</f>
        <v>28.32</v>
      </c>
      <c r="N2613" s="77"/>
      <c r="O2613" s="77"/>
      <c r="P2613" s="76"/>
      <c r="Q2613" s="76"/>
    </row>
    <row r="2614" spans="6:17" hidden="1" outlineLevel="4" x14ac:dyDescent="0.25">
      <c r="F2614" s="74" t="s">
        <v>171</v>
      </c>
      <c r="G2614" s="74"/>
      <c r="H2614" s="75"/>
      <c r="I2614" s="76"/>
      <c r="J2614" s="78">
        <f>HYPERLINK("#Структура!E2780",Структура!E2780)</f>
        <v>1</v>
      </c>
      <c r="K2614" s="114">
        <f>HYPERLINK("#Структура!G2780",Структура!G2780)</f>
        <v>0.49</v>
      </c>
      <c r="L2614" s="120">
        <f>HYPERLINK("#Покупные_изделия!D480",Покупные_изделия!D480)</f>
        <v>258.68399999999997</v>
      </c>
      <c r="M2614" s="76">
        <f t="shared" si="101"/>
        <v>258.68399999999997</v>
      </c>
      <c r="N2614" s="77"/>
      <c r="O2614" s="77"/>
      <c r="P2614" s="76"/>
      <c r="Q2614" s="76"/>
    </row>
    <row r="2615" spans="6:17" hidden="1" outlineLevel="4" x14ac:dyDescent="0.25">
      <c r="F2615" s="74" t="s">
        <v>172</v>
      </c>
      <c r="G2615" s="74"/>
      <c r="H2615" s="75"/>
      <c r="I2615" s="76"/>
      <c r="J2615" s="78">
        <f>HYPERLINK("#Структура!E2781",Структура!E2781)</f>
        <v>3</v>
      </c>
      <c r="K2615" s="114">
        <f>HYPERLINK("#Структура!G2781",Структура!G2781)</f>
        <v>0.35199999999999998</v>
      </c>
      <c r="L2615" s="120">
        <f>HYPERLINK("#Покупные_изделия!D481",Покупные_изделия!D481)</f>
        <v>146.8236</v>
      </c>
      <c r="M2615" s="76">
        <f t="shared" si="101"/>
        <v>440.4708</v>
      </c>
      <c r="N2615" s="77"/>
      <c r="O2615" s="77"/>
      <c r="P2615" s="76"/>
      <c r="Q2615" s="76"/>
    </row>
    <row r="2616" spans="6:17" hidden="1" outlineLevel="4" x14ac:dyDescent="0.25">
      <c r="F2616" s="74" t="s">
        <v>194</v>
      </c>
      <c r="G2616" s="74"/>
      <c r="H2616" s="75"/>
      <c r="I2616" s="76"/>
      <c r="J2616" s="78">
        <f>HYPERLINK("#Структура!E2782",Структура!E2782)</f>
        <v>2</v>
      </c>
      <c r="K2616" s="114">
        <f>HYPERLINK("#Структура!G2782",Структура!G2782)</f>
        <v>0.22900000000000001</v>
      </c>
      <c r="L2616" s="120">
        <f>HYPERLINK("#Покупные_изделия!D507",Покупные_изделия!D507)</f>
        <v>81.49199999999999</v>
      </c>
      <c r="M2616" s="76">
        <f t="shared" si="101"/>
        <v>162.98399999999998</v>
      </c>
      <c r="N2616" s="77"/>
      <c r="O2616" s="77"/>
      <c r="P2616" s="76"/>
      <c r="Q2616" s="76"/>
    </row>
    <row r="2617" spans="6:17" hidden="1" outlineLevel="4" x14ac:dyDescent="0.25">
      <c r="F2617" s="74" t="s">
        <v>195</v>
      </c>
      <c r="G2617" s="74"/>
      <c r="H2617" s="75"/>
      <c r="I2617" s="76"/>
      <c r="J2617" s="78">
        <f>HYPERLINK("#Структура!E2783",Структура!E2783)</f>
        <v>3</v>
      </c>
      <c r="K2617" s="114">
        <f>HYPERLINK("#Структура!G2783",Структура!G2783)</f>
        <v>0.35199999999999998</v>
      </c>
      <c r="L2617" s="120">
        <f>HYPERLINK("#Покупные_изделия!D508",Покупные_изделия!D508)</f>
        <v>123.85199999999999</v>
      </c>
      <c r="M2617" s="76">
        <f t="shared" si="101"/>
        <v>371.55599999999998</v>
      </c>
      <c r="N2617" s="77"/>
      <c r="O2617" s="77"/>
      <c r="P2617" s="76"/>
      <c r="Q2617" s="76"/>
    </row>
    <row r="2618" spans="6:17" hidden="1" outlineLevel="4" x14ac:dyDescent="0.25">
      <c r="F2618" s="74" t="s">
        <v>199</v>
      </c>
      <c r="G2618" s="74"/>
      <c r="H2618" s="75"/>
      <c r="I2618" s="76"/>
      <c r="J2618" s="78">
        <f>HYPERLINK("#Структура!E2784",Структура!E2784)</f>
        <v>2</v>
      </c>
      <c r="K2618" s="114">
        <f>HYPERLINK("#Структура!G2784",Структура!G2784)</f>
        <v>0.14599999999999999</v>
      </c>
      <c r="L2618" s="120">
        <f>HYPERLINK("#Покупные_изделия!D517",Покупные_изделия!D517)</f>
        <v>47.704800000000006</v>
      </c>
      <c r="M2618" s="76">
        <f t="shared" si="101"/>
        <v>95.409600000000012</v>
      </c>
      <c r="N2618" s="77"/>
      <c r="O2618" s="77"/>
      <c r="P2618" s="76"/>
      <c r="Q2618" s="76"/>
    </row>
    <row r="2619" spans="6:17" hidden="1" outlineLevel="4" x14ac:dyDescent="0.25">
      <c r="F2619" s="74" t="s">
        <v>18</v>
      </c>
      <c r="G2619" s="74"/>
      <c r="H2619" s="75"/>
      <c r="I2619" s="76"/>
      <c r="J2619" s="78">
        <f>HYPERLINK("#Структура!E2785",Структура!E2785)</f>
        <v>1</v>
      </c>
      <c r="K2619" s="114">
        <f>HYPERLINK("#Структура!G2785",Структура!G2785)</f>
        <v>1.26095</v>
      </c>
      <c r="L2619" s="120">
        <f>HYPERLINK("#Покупные_изделия!D26",Покупные_изделия!D26)</f>
        <v>35490</v>
      </c>
      <c r="M2619" s="76">
        <f t="shared" si="101"/>
        <v>35490</v>
      </c>
      <c r="N2619" s="77"/>
      <c r="O2619" s="77"/>
      <c r="P2619" s="76"/>
      <c r="Q2619" s="76"/>
    </row>
    <row r="2620" spans="6:17" hidden="1" outlineLevel="4" x14ac:dyDescent="0.25">
      <c r="F2620" s="74" t="s">
        <v>32</v>
      </c>
      <c r="G2620" s="74"/>
      <c r="H2620" s="75"/>
      <c r="I2620" s="76"/>
      <c r="J2620" s="78">
        <f>HYPERLINK("#Структура!E2786",Структура!E2786)</f>
        <v>1</v>
      </c>
      <c r="K2620" s="114">
        <f>HYPERLINK("#Структура!G2786",Структура!G2786)</f>
        <v>1.8180000000000001</v>
      </c>
      <c r="L2620" s="120">
        <f>HYPERLINK("#Покупные_изделия!D43",Покупные_изделия!D43)</f>
        <v>44821.552776000004</v>
      </c>
      <c r="M2620" s="76">
        <f t="shared" si="101"/>
        <v>44821.552776000004</v>
      </c>
      <c r="N2620" s="77"/>
      <c r="O2620" s="77"/>
      <c r="P2620" s="76"/>
      <c r="Q2620" s="76"/>
    </row>
    <row r="2621" spans="6:17" hidden="1" outlineLevel="4" x14ac:dyDescent="0.25">
      <c r="F2621" s="74" t="s">
        <v>163</v>
      </c>
      <c r="G2621" s="74"/>
      <c r="H2621" s="75"/>
      <c r="I2621" s="76"/>
      <c r="J2621" s="78">
        <f>HYPERLINK("#Структура!E2787",Структура!E2787)</f>
        <v>2</v>
      </c>
      <c r="K2621" s="114">
        <f>HYPERLINK("#Структура!G2787",Структура!G2787)</f>
        <v>0.66662999999999994</v>
      </c>
      <c r="L2621" s="120">
        <f>HYPERLINK("#Покупные_изделия!D448",Покупные_изделия!D448)</f>
        <v>421.47600000000006</v>
      </c>
      <c r="M2621" s="76">
        <f t="shared" si="101"/>
        <v>842.95200000000011</v>
      </c>
      <c r="N2621" s="77"/>
      <c r="O2621" s="77"/>
      <c r="P2621" s="76"/>
      <c r="Q2621" s="76"/>
    </row>
    <row r="2622" spans="6:17" hidden="1" outlineLevel="4" x14ac:dyDescent="0.25">
      <c r="F2622" s="74" t="s">
        <v>1390</v>
      </c>
      <c r="G2622" s="74"/>
      <c r="H2622" s="75"/>
      <c r="I2622" s="76"/>
      <c r="J2622" s="78">
        <f>HYPERLINK("#Структура!E2788",Структура!E2788)</f>
        <v>1</v>
      </c>
      <c r="K2622" s="114">
        <f>HYPERLINK("#Структура!G2788",Структура!G2788)</f>
        <v>0.30236000000000002</v>
      </c>
      <c r="L2622" s="120">
        <f>HYPERLINK("#Покупные_изделия!D468",Покупные_изделия!D468)</f>
        <v>1085.5919999999999</v>
      </c>
      <c r="M2622" s="76">
        <f t="shared" si="101"/>
        <v>1085.5919999999999</v>
      </c>
      <c r="N2622" s="77"/>
      <c r="O2622" s="77"/>
      <c r="P2622" s="76"/>
      <c r="Q2622" s="76"/>
    </row>
    <row r="2623" spans="6:17" hidden="1" outlineLevel="4" x14ac:dyDescent="0.25">
      <c r="F2623" s="74" t="s">
        <v>62</v>
      </c>
      <c r="G2623" s="74"/>
      <c r="H2623" s="75"/>
      <c r="I2623" s="76"/>
      <c r="J2623" s="78">
        <f>HYPERLINK("#Структура!E2789",Структура!E2789)</f>
        <v>0.5</v>
      </c>
      <c r="K2623" s="114" t="str">
        <f>HYPERLINK("#Структура!G2789","")</f>
        <v/>
      </c>
      <c r="L2623" s="120">
        <f>HYPERLINK("#Покупные_изделия!D194",Покупные_изделия!D194)</f>
        <v>333.22800000000001</v>
      </c>
      <c r="M2623" s="76">
        <f t="shared" si="101"/>
        <v>166.614</v>
      </c>
      <c r="N2623" s="77"/>
      <c r="O2623" s="77"/>
      <c r="P2623" s="76"/>
      <c r="Q2623" s="76"/>
    </row>
    <row r="2624" spans="6:17" hidden="1" outlineLevel="4" x14ac:dyDescent="0.25">
      <c r="F2624" s="74" t="s">
        <v>157</v>
      </c>
      <c r="G2624" s="74"/>
      <c r="H2624" s="75"/>
      <c r="I2624" s="76"/>
      <c r="J2624" s="78">
        <f>HYPERLINK("#Структура!E2790",Структура!E2790)</f>
        <v>0.21</v>
      </c>
      <c r="K2624" s="114" t="str">
        <f>HYPERLINK("#Структура!G2790","")</f>
        <v/>
      </c>
      <c r="L2624" s="120">
        <f>HYPERLINK("#Покупные_изделия!D428",Покупные_изделия!D428)</f>
        <v>138.756</v>
      </c>
      <c r="M2624" s="76">
        <f t="shared" si="101"/>
        <v>29.138759999999998</v>
      </c>
      <c r="N2624" s="77"/>
      <c r="O2624" s="77"/>
      <c r="P2624" s="76"/>
      <c r="Q2624" s="76"/>
    </row>
    <row r="2625" spans="4:17" hidden="1" outlineLevel="3" x14ac:dyDescent="0.25">
      <c r="E2625" s="74" t="s">
        <v>1010</v>
      </c>
      <c r="F2625" s="74"/>
      <c r="G2625" s="74"/>
      <c r="H2625" s="75"/>
      <c r="I2625" s="76"/>
      <c r="J2625" s="78">
        <f>HYPERLINK("#Структура!E2766",Структура!E2766)</f>
        <v>1</v>
      </c>
      <c r="K2625" s="114">
        <f>HYPERLINK("#Структура!G2766",Структура!G2766)</f>
        <v>1.2199999999999999E-3</v>
      </c>
      <c r="L2625" s="120">
        <f>HYPERLINK("#Покупные_изделия!D117",Покупные_изделия!D117)</f>
        <v>4.5599999999999996</v>
      </c>
      <c r="M2625" s="76">
        <f t="shared" si="101"/>
        <v>4.5599999999999996</v>
      </c>
      <c r="N2625" s="77"/>
      <c r="O2625" s="77"/>
      <c r="P2625" s="76"/>
      <c r="Q2625" s="76"/>
    </row>
    <row r="2626" spans="4:17" hidden="1" outlineLevel="3" x14ac:dyDescent="0.25">
      <c r="E2626" s="74" t="s">
        <v>1381</v>
      </c>
      <c r="F2626" s="74"/>
      <c r="G2626" s="74"/>
      <c r="H2626" s="75"/>
      <c r="I2626" s="76"/>
      <c r="J2626" s="78">
        <f>HYPERLINK("#Структура!E2767",Структура!E2767)</f>
        <v>1</v>
      </c>
      <c r="K2626" s="114">
        <f>HYPERLINK("#Структура!G2767",Структура!G2767)</f>
        <v>8.8999999999999995E-4</v>
      </c>
      <c r="L2626" s="120">
        <f>HYPERLINK("#Покупные_изделия!D535",Покупные_изделия!D535)</f>
        <v>1.1000000000000001</v>
      </c>
      <c r="M2626" s="76">
        <f t="shared" si="101"/>
        <v>1.1000000000000001</v>
      </c>
      <c r="N2626" s="77"/>
      <c r="O2626" s="77"/>
      <c r="P2626" s="76"/>
      <c r="Q2626" s="76"/>
    </row>
    <row r="2627" spans="4:17" hidden="1" outlineLevel="3" x14ac:dyDescent="0.25">
      <c r="E2627" s="74" t="s">
        <v>62</v>
      </c>
      <c r="F2627" s="74"/>
      <c r="G2627" s="74"/>
      <c r="H2627" s="75"/>
      <c r="I2627" s="76"/>
      <c r="J2627" s="78">
        <f>HYPERLINK("#Структура!E2768",Структура!E2768)</f>
        <v>0.3</v>
      </c>
      <c r="K2627" s="114" t="str">
        <f>HYPERLINK("#Структура!G2768","")</f>
        <v/>
      </c>
      <c r="L2627" s="120">
        <f>HYPERLINK("#Покупные_изделия!D194",Покупные_изделия!D194)</f>
        <v>333.22800000000001</v>
      </c>
      <c r="M2627" s="76">
        <f t="shared" si="101"/>
        <v>99.968400000000003</v>
      </c>
      <c r="N2627" s="77"/>
      <c r="O2627" s="77"/>
      <c r="P2627" s="76"/>
      <c r="Q2627" s="76"/>
    </row>
    <row r="2628" spans="4:17" hidden="1" outlineLevel="3" x14ac:dyDescent="0.25">
      <c r="E2628" s="74" t="s">
        <v>65</v>
      </c>
      <c r="F2628" s="74"/>
      <c r="G2628" s="74"/>
      <c r="H2628" s="75"/>
      <c r="I2628" s="76"/>
      <c r="J2628" s="78">
        <f>HYPERLINK("#Структура!E2769",Структура!E2769)</f>
        <v>5.5E-2</v>
      </c>
      <c r="K2628" s="114" t="str">
        <f>HYPERLINK("#Структура!G2769","")</f>
        <v/>
      </c>
      <c r="L2628" s="120">
        <f>HYPERLINK("#Покупные_изделия!D197",Покупные_изделия!D197)</f>
        <v>264.50399999999996</v>
      </c>
      <c r="M2628" s="76">
        <f t="shared" si="101"/>
        <v>14.547719999999998</v>
      </c>
      <c r="N2628" s="77"/>
      <c r="O2628" s="77"/>
      <c r="P2628" s="76"/>
      <c r="Q2628" s="76"/>
    </row>
    <row r="2629" spans="4:17" hidden="1" outlineLevel="3" x14ac:dyDescent="0.25">
      <c r="E2629" s="74" t="s">
        <v>155</v>
      </c>
      <c r="F2629" s="74"/>
      <c r="G2629" s="74"/>
      <c r="H2629" s="75"/>
      <c r="I2629" s="76"/>
      <c r="J2629" s="78">
        <f>HYPERLINK("#Структура!E2770",Структура!E2770)</f>
        <v>3.3000000000000002E-2</v>
      </c>
      <c r="K2629" s="114" t="str">
        <f>HYPERLINK("#Структура!G2770","")</f>
        <v/>
      </c>
      <c r="L2629" s="120">
        <f>HYPERLINK("#Покупные_изделия!D423",Покупные_изделия!D423)</f>
        <v>218.28</v>
      </c>
      <c r="M2629" s="76">
        <f t="shared" si="101"/>
        <v>7.2032400000000001</v>
      </c>
      <c r="N2629" s="77"/>
      <c r="O2629" s="77"/>
      <c r="P2629" s="76"/>
      <c r="Q2629" s="76"/>
    </row>
    <row r="2630" spans="4:17" hidden="1" outlineLevel="3" x14ac:dyDescent="0.25">
      <c r="E2630" s="74" t="s">
        <v>156</v>
      </c>
      <c r="F2630" s="74"/>
      <c r="G2630" s="74"/>
      <c r="H2630" s="75"/>
      <c r="I2630" s="76"/>
      <c r="J2630" s="78">
        <f>HYPERLINK("#Структура!E2771",Структура!E2771)</f>
        <v>0.05</v>
      </c>
      <c r="K2630" s="114" t="str">
        <f>HYPERLINK("#Структура!G2771","")</f>
        <v/>
      </c>
      <c r="L2630" s="120">
        <f>HYPERLINK("#Покупные_изделия!D427",Покупные_изделия!D427)</f>
        <v>155.53200000000001</v>
      </c>
      <c r="M2630" s="76">
        <f t="shared" si="101"/>
        <v>7.7766000000000011</v>
      </c>
      <c r="N2630" s="77"/>
      <c r="O2630" s="77"/>
      <c r="P2630" s="76"/>
      <c r="Q2630" s="76"/>
    </row>
    <row r="2631" spans="4:17" hidden="1" outlineLevel="3" x14ac:dyDescent="0.25">
      <c r="E2631" s="74" t="s">
        <v>215</v>
      </c>
      <c r="F2631" s="74"/>
      <c r="G2631" s="74"/>
      <c r="H2631" s="75"/>
      <c r="I2631" s="76"/>
      <c r="J2631" s="78">
        <f>HYPERLINK("#Структура!E2772",Структура!E2772)</f>
        <v>0.11</v>
      </c>
      <c r="K2631" s="114" t="str">
        <f>HYPERLINK("#Структура!G2772","")</f>
        <v/>
      </c>
      <c r="L2631" s="120">
        <f>HYPERLINK("#Покупные_изделия!D567",Покупные_изделия!D567)</f>
        <v>405.74399999999997</v>
      </c>
      <c r="M2631" s="76">
        <f t="shared" si="101"/>
        <v>44.631839999999997</v>
      </c>
      <c r="N2631" s="77"/>
      <c r="O2631" s="77"/>
      <c r="P2631" s="76"/>
      <c r="Q2631" s="76"/>
    </row>
    <row r="2632" spans="4:17" hidden="1" outlineLevel="2" collapsed="1" x14ac:dyDescent="0.25">
      <c r="D2632" s="84" t="s">
        <v>1174</v>
      </c>
      <c r="E2632" s="79"/>
      <c r="F2632" s="79"/>
      <c r="G2632" s="79"/>
      <c r="H2632" s="80"/>
      <c r="I2632" s="81"/>
      <c r="J2632" s="83">
        <f>HYPERLINK("#Структура!E2207",Структура!E2207)</f>
        <v>2</v>
      </c>
      <c r="K2632" s="115">
        <f>HYPERLINK("#Структура!G2207",Структура!G2207)</f>
        <v>7.6410000000000006E-2</v>
      </c>
      <c r="L2632" s="81">
        <f>M2632/J2632</f>
        <v>186.70466400000001</v>
      </c>
      <c r="M2632" s="81">
        <f>SUMIF(E2633,"*",M2633)*J2632</f>
        <v>373.40932800000002</v>
      </c>
      <c r="N2632" s="124">
        <f>HYPERLINK("#Трудозатраты!B481",Трудозатраты!B481+SUMIF(E2633,"*",O2633))</f>
        <v>21.35</v>
      </c>
      <c r="O2632" s="82">
        <f>N2632*J2632</f>
        <v>42.7</v>
      </c>
      <c r="P2632" s="81">
        <f>O2632/60*(1+запас_труд)*стоимость_трудочаса</f>
        <v>1672.4166666666667</v>
      </c>
      <c r="Q2632" s="129">
        <f>M2632*(1+наценка_покупное)+P2632</f>
        <v>2120.5078602666667</v>
      </c>
    </row>
    <row r="2633" spans="4:17" hidden="1" outlineLevel="3" x14ac:dyDescent="0.25">
      <c r="E2633" s="74" t="s">
        <v>152</v>
      </c>
      <c r="F2633" s="74"/>
      <c r="G2633" s="74"/>
      <c r="H2633" s="75"/>
      <c r="I2633" s="76"/>
      <c r="J2633" s="78">
        <f>HYPERLINK("#Структура!E1766",Структура!E1766)</f>
        <v>0.16700000000000001</v>
      </c>
      <c r="K2633" s="114" t="str">
        <f>HYPERLINK("#Структура!G1766","")</f>
        <v/>
      </c>
      <c r="L2633" s="120">
        <f>HYPERLINK("#Покупные_изделия!D420",Покупные_изделия!D420)</f>
        <v>1117.992</v>
      </c>
      <c r="M2633" s="76">
        <f>J2633*L2633</f>
        <v>186.70466400000001</v>
      </c>
      <c r="N2633" s="77"/>
      <c r="O2633" s="77"/>
      <c r="P2633" s="76"/>
      <c r="Q2633" s="76"/>
    </row>
    <row r="2634" spans="4:17" hidden="1" outlineLevel="2" collapsed="1" x14ac:dyDescent="0.25">
      <c r="D2634" s="84" t="s">
        <v>615</v>
      </c>
      <c r="E2634" s="79"/>
      <c r="F2634" s="79"/>
      <c r="G2634" s="79"/>
      <c r="H2634" s="80"/>
      <c r="I2634" s="81"/>
      <c r="J2634" s="83">
        <f>HYPERLINK("#Структура!E2208",Структура!E2208)</f>
        <v>1</v>
      </c>
      <c r="K2634" s="115">
        <f>HYPERLINK("#Структура!G2208",Структура!G2208)</f>
        <v>0.32214999999999999</v>
      </c>
      <c r="L2634" s="81">
        <f>M2634/J2634</f>
        <v>63.720794400000003</v>
      </c>
      <c r="M2634" s="81">
        <f>SUMIF(E2635:E2639,"*",M2635:M2639)*J2634</f>
        <v>63.720794400000003</v>
      </c>
      <c r="N2634" s="124">
        <f>HYPERLINK("#Трудозатраты!B482",Трудозатраты!B482+SUMIF(E2635:E2639,"*",O2635:O2639))</f>
        <v>3</v>
      </c>
      <c r="O2634" s="82">
        <f>N2634*J2634</f>
        <v>3</v>
      </c>
      <c r="P2634" s="81">
        <f>O2634/60*(1+запас_труд)*стоимость_трудочаса</f>
        <v>117.5</v>
      </c>
      <c r="Q2634" s="129">
        <f>M2634*(1+наценка_покупное)+P2634</f>
        <v>193.96495328</v>
      </c>
    </row>
    <row r="2635" spans="4:17" hidden="1" outlineLevel="3" x14ac:dyDescent="0.25">
      <c r="E2635" s="74" t="s">
        <v>44</v>
      </c>
      <c r="F2635" s="74"/>
      <c r="G2635" s="74"/>
      <c r="H2635" s="75"/>
      <c r="I2635" s="76"/>
      <c r="J2635" s="78">
        <f>HYPERLINK("#Структура!E1767",Структура!E1767)</f>
        <v>8.0000000000000002E-3</v>
      </c>
      <c r="K2635" s="114" t="str">
        <f>HYPERLINK("#Структура!G1767","")</f>
        <v/>
      </c>
      <c r="L2635" s="120">
        <f>HYPERLINK("#Покупные_изделия!D63",Покупные_изделия!D63)</f>
        <v>396.00000000000006</v>
      </c>
      <c r="M2635" s="76">
        <f>J2635*L2635</f>
        <v>3.1680000000000006</v>
      </c>
      <c r="N2635" s="77"/>
      <c r="O2635" s="77"/>
      <c r="P2635" s="76"/>
      <c r="Q2635" s="76"/>
    </row>
    <row r="2636" spans="4:17" hidden="1" outlineLevel="3" x14ac:dyDescent="0.25">
      <c r="E2636" s="74" t="s">
        <v>118</v>
      </c>
      <c r="F2636" s="74"/>
      <c r="G2636" s="74"/>
      <c r="H2636" s="75"/>
      <c r="I2636" s="76"/>
      <c r="J2636" s="78">
        <f>HYPERLINK("#Структура!E1768",Структура!E1768)</f>
        <v>0.47599999999999998</v>
      </c>
      <c r="K2636" s="114" t="str">
        <f>HYPERLINK("#Структура!G1768","")</f>
        <v/>
      </c>
      <c r="L2636" s="120">
        <f>HYPERLINK("#Покупные_изделия!D293",Покупные_изделия!D293)</f>
        <v>120</v>
      </c>
      <c r="M2636" s="76">
        <f>J2636*L2636</f>
        <v>57.12</v>
      </c>
      <c r="N2636" s="77"/>
      <c r="O2636" s="77"/>
      <c r="P2636" s="76"/>
      <c r="Q2636" s="76"/>
    </row>
    <row r="2637" spans="4:17" hidden="1" outlineLevel="3" x14ac:dyDescent="0.25">
      <c r="E2637" s="74" t="s">
        <v>139</v>
      </c>
      <c r="F2637" s="74"/>
      <c r="G2637" s="74"/>
      <c r="H2637" s="75"/>
      <c r="I2637" s="76"/>
      <c r="J2637" s="78">
        <f>HYPERLINK("#Структура!E1769",Структура!E1769)</f>
        <v>2E-3</v>
      </c>
      <c r="K2637" s="114" t="str">
        <f>HYPERLINK("#Структура!G1769","")</f>
        <v/>
      </c>
      <c r="L2637" s="120">
        <f>HYPERLINK("#Покупные_изделия!D360",Покупные_изделия!D360)</f>
        <v>171.87720000000002</v>
      </c>
      <c r="M2637" s="76">
        <f>J2637*L2637</f>
        <v>0.34375440000000002</v>
      </c>
      <c r="N2637" s="77"/>
      <c r="O2637" s="77"/>
      <c r="P2637" s="76"/>
      <c r="Q2637" s="76"/>
    </row>
    <row r="2638" spans="4:17" hidden="1" outlineLevel="3" x14ac:dyDescent="0.25">
      <c r="E2638" s="74" t="s">
        <v>156</v>
      </c>
      <c r="F2638" s="74"/>
      <c r="G2638" s="74"/>
      <c r="H2638" s="75"/>
      <c r="I2638" s="76"/>
      <c r="J2638" s="78">
        <f>HYPERLINK("#Структура!E1770",Структура!E1770)</f>
        <v>2E-3</v>
      </c>
      <c r="K2638" s="114" t="str">
        <f>HYPERLINK("#Структура!G1770","")</f>
        <v/>
      </c>
      <c r="L2638" s="120">
        <f>HYPERLINK("#Покупные_изделия!D427",Покупные_изделия!D427)</f>
        <v>155.53200000000001</v>
      </c>
      <c r="M2638" s="76">
        <f>J2638*L2638</f>
        <v>0.31106400000000001</v>
      </c>
      <c r="N2638" s="77"/>
      <c r="O2638" s="77"/>
      <c r="P2638" s="76"/>
      <c r="Q2638" s="76"/>
    </row>
    <row r="2639" spans="4:17" hidden="1" outlineLevel="3" x14ac:dyDescent="0.25">
      <c r="E2639" s="74" t="s">
        <v>202</v>
      </c>
      <c r="F2639" s="74"/>
      <c r="G2639" s="74"/>
      <c r="H2639" s="75"/>
      <c r="I2639" s="76"/>
      <c r="J2639" s="78">
        <f>HYPERLINK("#Структура!E1771",Структура!E1771)</f>
        <v>6.0000000000000001E-3</v>
      </c>
      <c r="K2639" s="114" t="str">
        <f>HYPERLINK("#Структура!G1771","")</f>
        <v/>
      </c>
      <c r="L2639" s="120">
        <f>HYPERLINK("#Покупные_изделия!D521",Покупные_изделия!D521)</f>
        <v>462.99599999999998</v>
      </c>
      <c r="M2639" s="76">
        <f>J2639*L2639</f>
        <v>2.7779759999999998</v>
      </c>
      <c r="N2639" s="77"/>
      <c r="O2639" s="77"/>
      <c r="P2639" s="76"/>
      <c r="Q2639" s="76"/>
    </row>
    <row r="2640" spans="4:17" hidden="1" outlineLevel="2" collapsed="1" x14ac:dyDescent="0.25">
      <c r="D2640" s="84" t="s">
        <v>616</v>
      </c>
      <c r="E2640" s="79"/>
      <c r="F2640" s="79"/>
      <c r="G2640" s="79"/>
      <c r="H2640" s="80"/>
      <c r="I2640" s="81"/>
      <c r="J2640" s="83">
        <f>HYPERLINK("#Структура!E2209",Структура!E2209)</f>
        <v>1</v>
      </c>
      <c r="K2640" s="115">
        <f>HYPERLINK("#Структура!G2209",Структура!G2209)</f>
        <v>6.9110000000000005E-2</v>
      </c>
      <c r="L2640" s="81">
        <f>M2640/J2640</f>
        <v>9.9824052000000023</v>
      </c>
      <c r="M2640" s="81">
        <f>SUMIF(E2641:E2645,"*",M2641:M2645)*J2640</f>
        <v>9.9824052000000023</v>
      </c>
      <c r="N2640" s="124">
        <f>HYPERLINK("#Трудозатраты!B483",Трудозатраты!B483+SUMIF(E2641:E2645,"*",O2641:O2645))</f>
        <v>10.3</v>
      </c>
      <c r="O2640" s="82">
        <f>N2640*J2640</f>
        <v>10.3</v>
      </c>
      <c r="P2640" s="81">
        <f>O2640/60*(1+запас_труд)*стоимость_трудочаса</f>
        <v>403.41666666666674</v>
      </c>
      <c r="Q2640" s="129">
        <f>M2640*(1+наценка_покупное)+P2640</f>
        <v>415.39555290666675</v>
      </c>
    </row>
    <row r="2641" spans="3:17" hidden="1" outlineLevel="3" x14ac:dyDescent="0.25">
      <c r="E2641" s="74" t="s">
        <v>44</v>
      </c>
      <c r="F2641" s="74"/>
      <c r="G2641" s="74"/>
      <c r="H2641" s="75"/>
      <c r="I2641" s="76"/>
      <c r="J2641" s="78">
        <f>HYPERLINK("#Структура!E1772",Структура!E1772)</f>
        <v>2E-3</v>
      </c>
      <c r="K2641" s="114" t="str">
        <f>HYPERLINK("#Структура!G1772","")</f>
        <v/>
      </c>
      <c r="L2641" s="120">
        <f>HYPERLINK("#Покупные_изделия!D63",Покупные_изделия!D63)</f>
        <v>396.00000000000006</v>
      </c>
      <c r="M2641" s="76">
        <f t="shared" ref="M2641:M2646" si="102">J2641*L2641</f>
        <v>0.79200000000000015</v>
      </c>
      <c r="N2641" s="77"/>
      <c r="O2641" s="77"/>
      <c r="P2641" s="76"/>
      <c r="Q2641" s="76"/>
    </row>
    <row r="2642" spans="3:17" hidden="1" outlineLevel="3" x14ac:dyDescent="0.25">
      <c r="E2642" s="74" t="s">
        <v>1175</v>
      </c>
      <c r="F2642" s="74"/>
      <c r="G2642" s="74"/>
      <c r="H2642" s="75"/>
      <c r="I2642" s="76"/>
      <c r="J2642" s="78">
        <f>HYPERLINK("#Структура!E1773",Структура!E1773)</f>
        <v>8.4000000000000005E-2</v>
      </c>
      <c r="K2642" s="114" t="str">
        <f>HYPERLINK("#Структура!G1773","")</f>
        <v/>
      </c>
      <c r="L2642" s="120">
        <f>HYPERLINK("#Покупные_изделия!D275",Покупные_изделия!D275)</f>
        <v>100</v>
      </c>
      <c r="M2642" s="76">
        <f t="shared" si="102"/>
        <v>8.4</v>
      </c>
      <c r="N2642" s="77"/>
      <c r="O2642" s="77"/>
      <c r="P2642" s="76"/>
      <c r="Q2642" s="76"/>
    </row>
    <row r="2643" spans="3:17" hidden="1" outlineLevel="3" x14ac:dyDescent="0.25">
      <c r="E2643" s="74" t="s">
        <v>139</v>
      </c>
      <c r="F2643" s="74"/>
      <c r="G2643" s="74"/>
      <c r="H2643" s="75"/>
      <c r="I2643" s="76"/>
      <c r="J2643" s="78">
        <f>HYPERLINK("#Структура!E1774",Структура!E1774)</f>
        <v>1E-3</v>
      </c>
      <c r="K2643" s="114" t="str">
        <f>HYPERLINK("#Структура!G1774","")</f>
        <v/>
      </c>
      <c r="L2643" s="120">
        <f>HYPERLINK("#Покупные_изделия!D360",Покупные_изделия!D360)</f>
        <v>171.87720000000002</v>
      </c>
      <c r="M2643" s="76">
        <f t="shared" si="102"/>
        <v>0.17187720000000001</v>
      </c>
      <c r="N2643" s="77"/>
      <c r="O2643" s="77"/>
      <c r="P2643" s="76"/>
      <c r="Q2643" s="76"/>
    </row>
    <row r="2644" spans="3:17" hidden="1" outlineLevel="3" x14ac:dyDescent="0.25">
      <c r="E2644" s="74" t="s">
        <v>156</v>
      </c>
      <c r="F2644" s="74"/>
      <c r="G2644" s="74"/>
      <c r="H2644" s="75"/>
      <c r="I2644" s="76"/>
      <c r="J2644" s="78">
        <f>HYPERLINK("#Структура!E1775",Структура!E1775)</f>
        <v>1E-3</v>
      </c>
      <c r="K2644" s="114" t="str">
        <f>HYPERLINK("#Структура!G1775","")</f>
        <v/>
      </c>
      <c r="L2644" s="120">
        <f>HYPERLINK("#Покупные_изделия!D427",Покупные_изделия!D427)</f>
        <v>155.53200000000001</v>
      </c>
      <c r="M2644" s="76">
        <f t="shared" si="102"/>
        <v>0.155532</v>
      </c>
      <c r="N2644" s="77"/>
      <c r="O2644" s="77"/>
      <c r="P2644" s="76"/>
      <c r="Q2644" s="76"/>
    </row>
    <row r="2645" spans="3:17" hidden="1" outlineLevel="3" x14ac:dyDescent="0.25">
      <c r="E2645" s="74" t="s">
        <v>202</v>
      </c>
      <c r="F2645" s="74"/>
      <c r="G2645" s="74"/>
      <c r="H2645" s="75"/>
      <c r="I2645" s="76"/>
      <c r="J2645" s="78">
        <f>HYPERLINK("#Структура!E1776",Структура!E1776)</f>
        <v>1E-3</v>
      </c>
      <c r="K2645" s="114" t="str">
        <f>HYPERLINK("#Структура!G1776","")</f>
        <v/>
      </c>
      <c r="L2645" s="120">
        <f>HYPERLINK("#Покупные_изделия!D521",Покупные_изделия!D521)</f>
        <v>462.99599999999998</v>
      </c>
      <c r="M2645" s="76">
        <f t="shared" si="102"/>
        <v>0.46299599999999996</v>
      </c>
      <c r="N2645" s="77"/>
      <c r="O2645" s="77"/>
      <c r="P2645" s="76"/>
      <c r="Q2645" s="76"/>
    </row>
    <row r="2646" spans="3:17" hidden="1" outlineLevel="2" x14ac:dyDescent="0.25">
      <c r="D2646" s="74" t="s">
        <v>625</v>
      </c>
      <c r="E2646" s="74"/>
      <c r="F2646" s="74"/>
      <c r="G2646" s="74"/>
      <c r="H2646" s="75"/>
      <c r="I2646" s="76"/>
      <c r="J2646" s="78">
        <f>HYPERLINK("#Структура!E2210",Структура!E2210)</f>
        <v>2</v>
      </c>
      <c r="K2646" s="114">
        <f>HYPERLINK("#Структура!G2210",Структура!G2210)</f>
        <v>7.1399999999999996E-3</v>
      </c>
      <c r="L2646" s="120">
        <f>HYPERLINK("#Покупные_изделия!D168",Покупные_изделия!D168)</f>
        <v>1.9715672368421051</v>
      </c>
      <c r="M2646" s="76">
        <f t="shared" si="102"/>
        <v>3.9431344736842102</v>
      </c>
      <c r="N2646" s="77"/>
      <c r="O2646" s="77"/>
      <c r="P2646" s="76"/>
      <c r="Q2646" s="76"/>
    </row>
    <row r="2647" spans="3:17" hidden="1" outlineLevel="1" collapsed="1" x14ac:dyDescent="0.25">
      <c r="C2647" s="96" t="s">
        <v>1319</v>
      </c>
      <c r="D2647" s="91"/>
      <c r="E2647" s="91"/>
      <c r="F2647" s="91"/>
      <c r="G2647" s="91"/>
      <c r="H2647" s="92"/>
      <c r="I2647" s="93"/>
      <c r="J2647" s="95">
        <f>HYPERLINK("#Структура!E3255",Структура!E3255)</f>
        <v>5</v>
      </c>
      <c r="K2647" s="116">
        <f>HYPERLINK("#Структура!G3255",Структура!G3255)</f>
        <v>542.70910000000003</v>
      </c>
      <c r="L2647" s="93">
        <f>M2647/J2647</f>
        <v>456317.95483135636</v>
      </c>
      <c r="M2647" s="93">
        <f>SUMIF(D2648:D3300,"*",M2648:M3300)*J2647</f>
        <v>2281589.7741567818</v>
      </c>
      <c r="N2647" s="125">
        <f>HYPERLINK("#Трудозатраты!B603",Трудозатраты!B603+SUMIF(D2648:D3300,"*",O2648:O3300))</f>
        <v>6953.0100000000011</v>
      </c>
      <c r="O2647" s="94">
        <f>N2647*J2647</f>
        <v>34765.050000000003</v>
      </c>
      <c r="P2647" s="93">
        <f>O2647/60*(1+запас_труд)*стоимость_трудочаса</f>
        <v>1361631.125</v>
      </c>
      <c r="Q2647" s="130">
        <f>M2647*(1+наценка_покупное)+P2647</f>
        <v>4099538.853988138</v>
      </c>
    </row>
    <row r="2648" spans="3:17" hidden="1" outlineLevel="2" collapsed="1" x14ac:dyDescent="0.25">
      <c r="D2648" s="97" t="s">
        <v>1309</v>
      </c>
      <c r="E2648" s="98"/>
      <c r="F2648" s="98"/>
      <c r="G2648" s="98"/>
      <c r="H2648" s="99"/>
      <c r="I2648" s="100"/>
      <c r="J2648" s="102">
        <f>HYPERLINK("#Структура!E2376",Структура!E2376)</f>
        <v>1</v>
      </c>
      <c r="K2648" s="112">
        <f>HYPERLINK("#Структура!G2376",Структура!G2376)</f>
        <v>510.64749</v>
      </c>
      <c r="L2648" s="100">
        <f>M2648/J2648</f>
        <v>135520.29996368263</v>
      </c>
      <c r="M2648" s="100">
        <f>SUMIF(E2649:E3196,"*",M2649:M3196)*J2648</f>
        <v>135520.29996368263</v>
      </c>
      <c r="N2648" s="122">
        <f>HYPERLINK("#Трудозатраты!B602",Трудозатраты!B602+SUMIF(E2649:E3196,"*",O2649:O3196))</f>
        <v>5734.1500000000015</v>
      </c>
      <c r="O2648" s="101">
        <f>N2648*J2648</f>
        <v>5734.1500000000015</v>
      </c>
      <c r="P2648" s="100">
        <f>O2648/60*(1+запас_труд)*стоимость_трудочаса</f>
        <v>224587.54166666672</v>
      </c>
      <c r="Q2648" s="127">
        <f>M2648*(1+наценка_покупное)+P2648</f>
        <v>387211.90162308584</v>
      </c>
    </row>
    <row r="2649" spans="3:17" hidden="1" outlineLevel="3" collapsed="1" x14ac:dyDescent="0.25">
      <c r="E2649" s="97" t="s">
        <v>1176</v>
      </c>
      <c r="F2649" s="98"/>
      <c r="G2649" s="98"/>
      <c r="H2649" s="99"/>
      <c r="I2649" s="100"/>
      <c r="J2649" s="102">
        <f>HYPERLINK("#Структура!E2330",Структура!E2330)</f>
        <v>1</v>
      </c>
      <c r="K2649" s="112">
        <f>HYPERLINK("#Структура!G2330",Структура!G2330)</f>
        <v>1.3748100000000001</v>
      </c>
      <c r="L2649" s="100">
        <f>M2649/J2649</f>
        <v>261.6112</v>
      </c>
      <c r="M2649" s="100">
        <f>SUMIF(F2650:F2659,"*",M2650:M2659)*J2649</f>
        <v>261.6112</v>
      </c>
      <c r="N2649" s="122">
        <f>HYPERLINK("#Трудозатраты!B499",Трудозатраты!B499+SUMIF(F2650:F2659,"*",O2650:O2659))</f>
        <v>21.3</v>
      </c>
      <c r="O2649" s="101">
        <f>N2649*J2649</f>
        <v>21.3</v>
      </c>
      <c r="P2649" s="100">
        <f>O2649/60*(1+запас_труд)*стоимость_трудочаса</f>
        <v>834.25000000000011</v>
      </c>
      <c r="Q2649" s="127">
        <f>M2649*(1+наценка_покупное)+P2649</f>
        <v>1148.18344</v>
      </c>
    </row>
    <row r="2650" spans="3:17" hidden="1" outlineLevel="4" collapsed="1" x14ac:dyDescent="0.25">
      <c r="F2650" s="85" t="s">
        <v>1205</v>
      </c>
      <c r="G2650" s="86"/>
      <c r="H2650" s="87"/>
      <c r="I2650" s="88"/>
      <c r="J2650" s="90">
        <f>HYPERLINK("#Структура!E1870",Структура!E1870)</f>
        <v>1</v>
      </c>
      <c r="K2650" s="113">
        <f>HYPERLINK("#Структура!G1870",Структура!G1870)</f>
        <v>1.3327199999999999</v>
      </c>
      <c r="L2650" s="88">
        <f>M2650/J2650</f>
        <v>250.03919999999999</v>
      </c>
      <c r="M2650" s="88">
        <f>SUMIF(G2651:G2655,"*",M2651:M2655)*J2650</f>
        <v>250.03919999999999</v>
      </c>
      <c r="N2650" s="123">
        <f>HYPERLINK("#Трудозатраты!B500",Трудозатраты!B500+SUMIF(G2651:G2655,"*",O2651:O2655))</f>
        <v>7.8</v>
      </c>
      <c r="O2650" s="89">
        <f>N2650*J2650</f>
        <v>7.8</v>
      </c>
      <c r="P2650" s="88">
        <f>O2650/60*(1+запас_труд)*стоимость_трудочаса</f>
        <v>305.5</v>
      </c>
      <c r="Q2650" s="128">
        <f>M2650*(1+наценка_покупное)+P2650</f>
        <v>605.54703999999992</v>
      </c>
    </row>
    <row r="2651" spans="3:17" hidden="1" outlineLevel="5" x14ac:dyDescent="0.25">
      <c r="G2651" s="74" t="s">
        <v>65</v>
      </c>
      <c r="H2651" s="75"/>
      <c r="I2651" s="76"/>
      <c r="J2651" s="78">
        <f>HYPERLINK("#Структура!E1874",Структура!E1874)</f>
        <v>0.02</v>
      </c>
      <c r="K2651" s="114" t="str">
        <f>HYPERLINK("#Структура!G1874","")</f>
        <v/>
      </c>
      <c r="L2651" s="120">
        <f>HYPERLINK("#Покупные_изделия!D197",Покупные_изделия!D197)</f>
        <v>264.50399999999996</v>
      </c>
      <c r="M2651" s="76">
        <f>J2651*L2651</f>
        <v>5.2900799999999997</v>
      </c>
      <c r="N2651" s="77"/>
      <c r="O2651" s="77"/>
      <c r="P2651" s="76"/>
      <c r="Q2651" s="76"/>
    </row>
    <row r="2652" spans="3:17" hidden="1" outlineLevel="5" x14ac:dyDescent="0.25">
      <c r="G2652" s="74" t="s">
        <v>113</v>
      </c>
      <c r="H2652" s="75"/>
      <c r="I2652" s="76"/>
      <c r="J2652" s="78">
        <f>HYPERLINK("#Структура!E1875",Структура!E1875)</f>
        <v>1.86</v>
      </c>
      <c r="K2652" s="114" t="str">
        <f>HYPERLINK("#Структура!G1875","")</f>
        <v/>
      </c>
      <c r="L2652" s="120">
        <f>HYPERLINK("#Покупные_изделия!D286",Покупные_изделия!D286)</f>
        <v>120</v>
      </c>
      <c r="M2652" s="76">
        <f>J2652*L2652</f>
        <v>223.20000000000002</v>
      </c>
      <c r="N2652" s="77"/>
      <c r="O2652" s="77"/>
      <c r="P2652" s="76"/>
      <c r="Q2652" s="76"/>
    </row>
    <row r="2653" spans="3:17" hidden="1" outlineLevel="5" x14ac:dyDescent="0.25">
      <c r="G2653" s="74" t="s">
        <v>155</v>
      </c>
      <c r="H2653" s="75"/>
      <c r="I2653" s="76"/>
      <c r="J2653" s="78">
        <f>HYPERLINK("#Структура!E1876",Структура!E1876)</f>
        <v>1.2E-2</v>
      </c>
      <c r="K2653" s="114" t="str">
        <f>HYPERLINK("#Структура!G1876","")</f>
        <v/>
      </c>
      <c r="L2653" s="120">
        <f>HYPERLINK("#Покупные_изделия!D423",Покупные_изделия!D423)</f>
        <v>218.28</v>
      </c>
      <c r="M2653" s="76">
        <f>J2653*L2653</f>
        <v>2.6193599999999999</v>
      </c>
      <c r="N2653" s="77"/>
      <c r="O2653" s="77"/>
      <c r="P2653" s="76"/>
      <c r="Q2653" s="76"/>
    </row>
    <row r="2654" spans="3:17" hidden="1" outlineLevel="5" x14ac:dyDescent="0.25">
      <c r="G2654" s="74" t="s">
        <v>200</v>
      </c>
      <c r="H2654" s="75"/>
      <c r="I2654" s="76"/>
      <c r="J2654" s="78">
        <f>HYPERLINK("#Структура!E1877",Структура!E1877)</f>
        <v>0.01</v>
      </c>
      <c r="K2654" s="114" t="str">
        <f>HYPERLINK("#Структура!G1877","")</f>
        <v/>
      </c>
      <c r="L2654" s="120">
        <f>HYPERLINK("#Покупные_изделия!D518",Покупные_изделия!D518)</f>
        <v>270</v>
      </c>
      <c r="M2654" s="76">
        <f>J2654*L2654</f>
        <v>2.7</v>
      </c>
      <c r="N2654" s="77"/>
      <c r="O2654" s="77"/>
      <c r="P2654" s="76"/>
      <c r="Q2654" s="76"/>
    </row>
    <row r="2655" spans="3:17" hidden="1" outlineLevel="5" x14ac:dyDescent="0.25">
      <c r="G2655" s="74" t="s">
        <v>215</v>
      </c>
      <c r="H2655" s="75"/>
      <c r="I2655" s="76"/>
      <c r="J2655" s="78">
        <f>HYPERLINK("#Структура!E1878",Структура!E1878)</f>
        <v>0.04</v>
      </c>
      <c r="K2655" s="114" t="str">
        <f>HYPERLINK("#Структура!G1878","")</f>
        <v/>
      </c>
      <c r="L2655" s="120">
        <f>HYPERLINK("#Покупные_изделия!D567",Покупные_изделия!D567)</f>
        <v>405.74399999999997</v>
      </c>
      <c r="M2655" s="76">
        <f>J2655*L2655</f>
        <v>16.229759999999999</v>
      </c>
      <c r="N2655" s="77"/>
      <c r="O2655" s="77"/>
      <c r="P2655" s="76"/>
      <c r="Q2655" s="76"/>
    </row>
    <row r="2656" spans="3:17" hidden="1" outlineLevel="4" collapsed="1" x14ac:dyDescent="0.25">
      <c r="F2656" s="84" t="s">
        <v>1206</v>
      </c>
      <c r="G2656" s="79"/>
      <c r="H2656" s="80"/>
      <c r="I2656" s="81"/>
      <c r="J2656" s="83">
        <f>HYPERLINK("#Структура!E1871",Структура!E1871)</f>
        <v>1</v>
      </c>
      <c r="K2656" s="115">
        <f>HYPERLINK("#Структура!G1871",Структура!G1871)</f>
        <v>2.3040000000000001E-2</v>
      </c>
      <c r="L2656" s="81">
        <f>M2656/J2656</f>
        <v>6.160000000000001</v>
      </c>
      <c r="M2656" s="81">
        <f>SUMIF(G2657,"*",M2657)*J2656</f>
        <v>6.160000000000001</v>
      </c>
      <c r="N2656" s="124">
        <f>HYPERLINK("#Трудозатраты!B501",Трудозатраты!B501+SUMIF(G2657,"*",O2657))</f>
        <v>3.5</v>
      </c>
      <c r="O2656" s="82">
        <f>N2656*J2656</f>
        <v>3.5</v>
      </c>
      <c r="P2656" s="81">
        <f>O2656/60*(1+запас_труд)*стоимость_трудочаса</f>
        <v>137.08333333333334</v>
      </c>
      <c r="Q2656" s="129">
        <f>M2656*(1+наценка_покупное)+P2656</f>
        <v>144.47533333333334</v>
      </c>
    </row>
    <row r="2657" spans="5:17" hidden="1" outlineLevel="5" x14ac:dyDescent="0.25">
      <c r="G2657" s="74" t="s">
        <v>142</v>
      </c>
      <c r="H2657" s="75"/>
      <c r="I2657" s="76"/>
      <c r="J2657" s="78">
        <f>HYPERLINK("#Структура!E1879",Структура!E1879)</f>
        <v>2.8000000000000001E-2</v>
      </c>
      <c r="K2657" s="114" t="str">
        <f>HYPERLINK("#Структура!G1879","")</f>
        <v/>
      </c>
      <c r="L2657" s="120">
        <f>HYPERLINK("#Покупные_изделия!D382",Покупные_изделия!D382)</f>
        <v>220.00000000000003</v>
      </c>
      <c r="M2657" s="76">
        <f>J2657*L2657</f>
        <v>6.160000000000001</v>
      </c>
      <c r="N2657" s="77"/>
      <c r="O2657" s="77"/>
      <c r="P2657" s="76"/>
      <c r="Q2657" s="76"/>
    </row>
    <row r="2658" spans="5:17" hidden="1" outlineLevel="4" x14ac:dyDescent="0.25">
      <c r="F2658" s="74" t="s">
        <v>1207</v>
      </c>
      <c r="G2658" s="74"/>
      <c r="H2658" s="75"/>
      <c r="I2658" s="76"/>
      <c r="J2658" s="78">
        <f>HYPERLINK("#Структура!E1872",Структура!E1872)</f>
        <v>2</v>
      </c>
      <c r="K2658" s="114">
        <f>HYPERLINK("#Структура!G1872",Структура!G1872)</f>
        <v>6.3E-3</v>
      </c>
      <c r="L2658" s="120">
        <f>HYPERLINK("#Покупные_изделия!D150",Покупные_изделия!D150)</f>
        <v>1.3860000000000001</v>
      </c>
      <c r="M2658" s="76">
        <f>J2658*L2658</f>
        <v>2.7720000000000002</v>
      </c>
      <c r="N2658" s="77"/>
      <c r="O2658" s="77"/>
      <c r="P2658" s="76"/>
      <c r="Q2658" s="76"/>
    </row>
    <row r="2659" spans="5:17" hidden="1" outlineLevel="4" x14ac:dyDescent="0.25">
      <c r="F2659" s="74" t="s">
        <v>169</v>
      </c>
      <c r="G2659" s="74"/>
      <c r="H2659" s="75"/>
      <c r="I2659" s="76"/>
      <c r="J2659" s="78">
        <f>HYPERLINK("#Структура!E1873",Структура!E1873)</f>
        <v>2</v>
      </c>
      <c r="K2659" s="114">
        <f>HYPERLINK("#Структура!G1873",Структура!G1873)</f>
        <v>8.8800000000000007E-3</v>
      </c>
      <c r="L2659" s="120">
        <f>HYPERLINK("#Покупные_изделия!D454",Покупные_изделия!D454)</f>
        <v>1.32</v>
      </c>
      <c r="M2659" s="76">
        <f>J2659*L2659</f>
        <v>2.64</v>
      </c>
      <c r="N2659" s="77"/>
      <c r="O2659" s="77"/>
      <c r="P2659" s="76"/>
      <c r="Q2659" s="76"/>
    </row>
    <row r="2660" spans="5:17" hidden="1" outlineLevel="3" collapsed="1" x14ac:dyDescent="0.25">
      <c r="E2660" s="96" t="s">
        <v>1183</v>
      </c>
      <c r="F2660" s="91"/>
      <c r="G2660" s="91"/>
      <c r="H2660" s="92"/>
      <c r="I2660" s="93"/>
      <c r="J2660" s="95">
        <f>HYPERLINK("#Структура!E2331",Структура!E2331)</f>
        <v>1</v>
      </c>
      <c r="K2660" s="116">
        <f>HYPERLINK("#Структура!G2331",Структура!G2331)</f>
        <v>2.0691999999999999</v>
      </c>
      <c r="L2660" s="93">
        <f>M2660/J2660</f>
        <v>352.28374039999994</v>
      </c>
      <c r="M2660" s="93">
        <f>SUMIF(F2661:F2740,"*",M2661:M2740)*J2660</f>
        <v>352.28374039999994</v>
      </c>
      <c r="N2660" s="125">
        <f>HYPERLINK("#Трудозатраты!B549",Трудозатраты!B549+SUMIF(F2661:F2740,"*",O2661:O2740))</f>
        <v>359.40000000000009</v>
      </c>
      <c r="O2660" s="94">
        <f>N2660*J2660</f>
        <v>359.40000000000009</v>
      </c>
      <c r="P2660" s="93">
        <f>O2660/60*(1+запас_труд)*стоимость_трудочаса</f>
        <v>14076.500000000002</v>
      </c>
      <c r="Q2660" s="130">
        <f>M2660*(1+наценка_покупное)+P2660</f>
        <v>14499.240488480002</v>
      </c>
    </row>
    <row r="2661" spans="5:17" hidden="1" outlineLevel="4" collapsed="1" x14ac:dyDescent="0.25">
      <c r="F2661" s="85" t="s">
        <v>1255</v>
      </c>
      <c r="G2661" s="86"/>
      <c r="H2661" s="87"/>
      <c r="I2661" s="88"/>
      <c r="J2661" s="90">
        <f>HYPERLINK("#Структура!E2046",Структура!E2046)</f>
        <v>1</v>
      </c>
      <c r="K2661" s="113">
        <f>HYPERLINK("#Структура!G2046",Структура!G2046)</f>
        <v>7.4910000000000004E-2</v>
      </c>
      <c r="L2661" s="88">
        <f>M2661/J2661</f>
        <v>13.8</v>
      </c>
      <c r="M2661" s="88">
        <f>SUMIF(G2662,"*",M2662)*J2661</f>
        <v>13.8</v>
      </c>
      <c r="N2661" s="123">
        <f>HYPERLINK("#Трудозатраты!B550",Трудозатраты!B550+SUMIF(G2662,"*",O2662))</f>
        <v>0.7</v>
      </c>
      <c r="O2661" s="89">
        <f>N2661*J2661</f>
        <v>0.7</v>
      </c>
      <c r="P2661" s="88">
        <f>O2661/60*(1+запас_труд)*стоимость_трудочаса</f>
        <v>27.416666666666664</v>
      </c>
      <c r="Q2661" s="128">
        <f>M2661*(1+наценка_покупное)+P2661</f>
        <v>43.976666666666659</v>
      </c>
    </row>
    <row r="2662" spans="5:17" hidden="1" outlineLevel="5" x14ac:dyDescent="0.25">
      <c r="G2662" s="74" t="s">
        <v>109</v>
      </c>
      <c r="H2662" s="75"/>
      <c r="I2662" s="76"/>
      <c r="J2662" s="78">
        <f>HYPERLINK("#Структура!E2069",Структура!E2069)</f>
        <v>0.115</v>
      </c>
      <c r="K2662" s="114" t="str">
        <f>HYPERLINK("#Структура!G2069","")</f>
        <v/>
      </c>
      <c r="L2662" s="120">
        <f>HYPERLINK("#Покупные_изделия!D281",Покупные_изделия!D281)</f>
        <v>120</v>
      </c>
      <c r="M2662" s="76">
        <f>J2662*L2662</f>
        <v>13.8</v>
      </c>
      <c r="N2662" s="77"/>
      <c r="O2662" s="77"/>
      <c r="P2662" s="76"/>
      <c r="Q2662" s="76"/>
    </row>
    <row r="2663" spans="5:17" hidden="1" outlineLevel="4" collapsed="1" x14ac:dyDescent="0.25">
      <c r="F2663" s="84" t="s">
        <v>1256</v>
      </c>
      <c r="G2663" s="79"/>
      <c r="H2663" s="80"/>
      <c r="I2663" s="81"/>
      <c r="J2663" s="83">
        <f>HYPERLINK("#Структура!E2047",Структура!E2047)</f>
        <v>3</v>
      </c>
      <c r="K2663" s="115">
        <f>HYPERLINK("#Структура!G2047",Структура!G2047)</f>
        <v>4.4080000000000001E-2</v>
      </c>
      <c r="L2663" s="81">
        <f>M2663/J2663</f>
        <v>5.155532</v>
      </c>
      <c r="M2663" s="81">
        <f>SUMIF(G2664:G2665,"*",M2664:M2665)*J2663</f>
        <v>15.466595999999999</v>
      </c>
      <c r="N2663" s="124">
        <f>HYPERLINK("#Трудозатраты!B551",Трудозатраты!B551+SUMIF(G2664:G2665,"*",O2664:O2665))</f>
        <v>9.8000000000000007</v>
      </c>
      <c r="O2663" s="82">
        <f>N2663*J2663</f>
        <v>29.400000000000002</v>
      </c>
      <c r="P2663" s="81">
        <f>O2663/60*(1+запас_труд)*стоимость_трудочаса</f>
        <v>1151.5</v>
      </c>
      <c r="Q2663" s="129">
        <f>M2663*(1+наценка_покупное)+P2663</f>
        <v>1170.0599152</v>
      </c>
    </row>
    <row r="2664" spans="5:17" hidden="1" outlineLevel="5" x14ac:dyDescent="0.25">
      <c r="G2664" s="74" t="s">
        <v>96</v>
      </c>
      <c r="H2664" s="75"/>
      <c r="I2664" s="76"/>
      <c r="J2664" s="78">
        <f>HYPERLINK("#Структура!E2070",Структура!E2070)</f>
        <v>0.05</v>
      </c>
      <c r="K2664" s="114" t="str">
        <f>HYPERLINK("#Структура!G2070","")</f>
        <v/>
      </c>
      <c r="L2664" s="120">
        <f>HYPERLINK("#Покупные_изделия!D265",Покупные_изделия!D265)</f>
        <v>100</v>
      </c>
      <c r="M2664" s="76">
        <f>J2664*L2664</f>
        <v>5</v>
      </c>
      <c r="N2664" s="77"/>
      <c r="O2664" s="77"/>
      <c r="P2664" s="76"/>
      <c r="Q2664" s="76"/>
    </row>
    <row r="2665" spans="5:17" hidden="1" outlineLevel="5" x14ac:dyDescent="0.25">
      <c r="G2665" s="74" t="s">
        <v>156</v>
      </c>
      <c r="H2665" s="75"/>
      <c r="I2665" s="76"/>
      <c r="J2665" s="78">
        <f>HYPERLINK("#Структура!E2071",Структура!E2071)</f>
        <v>1E-3</v>
      </c>
      <c r="K2665" s="114" t="str">
        <f>HYPERLINK("#Структура!G2071","")</f>
        <v/>
      </c>
      <c r="L2665" s="120">
        <f>HYPERLINK("#Покупные_изделия!D427",Покупные_изделия!D427)</f>
        <v>155.53200000000001</v>
      </c>
      <c r="M2665" s="76">
        <f>J2665*L2665</f>
        <v>0.155532</v>
      </c>
      <c r="N2665" s="77"/>
      <c r="O2665" s="77"/>
      <c r="P2665" s="76"/>
      <c r="Q2665" s="76"/>
    </row>
    <row r="2666" spans="5:17" hidden="1" outlineLevel="4" collapsed="1" x14ac:dyDescent="0.25">
      <c r="F2666" s="84" t="s">
        <v>1257</v>
      </c>
      <c r="G2666" s="79"/>
      <c r="H2666" s="80"/>
      <c r="I2666" s="81"/>
      <c r="J2666" s="83">
        <f>HYPERLINK("#Структура!E2048",Структура!E2048)</f>
        <v>2</v>
      </c>
      <c r="K2666" s="115">
        <f>HYPERLINK("#Структура!G2048",Структура!G2048)</f>
        <v>1.324E-2</v>
      </c>
      <c r="L2666" s="81">
        <f>M2666/J2666</f>
        <v>1.5555320000000001</v>
      </c>
      <c r="M2666" s="81">
        <f>SUMIF(G2667:G2668,"*",M2667:M2668)*J2666</f>
        <v>3.1110640000000003</v>
      </c>
      <c r="N2666" s="124">
        <f>HYPERLINK("#Трудозатраты!B552",Трудозатраты!B552+SUMIF(G2667:G2668,"*",O2667:O2668))</f>
        <v>8.8000000000000007</v>
      </c>
      <c r="O2666" s="82">
        <f>N2666*J2666</f>
        <v>17.600000000000001</v>
      </c>
      <c r="P2666" s="81">
        <f>O2666/60*(1+запас_труд)*стоимость_трудочаса</f>
        <v>689.33333333333337</v>
      </c>
      <c r="Q2666" s="129">
        <f>M2666*(1+наценка_покупное)+P2666</f>
        <v>693.06661013333337</v>
      </c>
    </row>
    <row r="2667" spans="5:17" hidden="1" outlineLevel="5" x14ac:dyDescent="0.25">
      <c r="G2667" s="74" t="s">
        <v>96</v>
      </c>
      <c r="H2667" s="75"/>
      <c r="I2667" s="76"/>
      <c r="J2667" s="78">
        <f>HYPERLINK("#Структура!E2072",Структура!E2072)</f>
        <v>1.4E-2</v>
      </c>
      <c r="K2667" s="114" t="str">
        <f>HYPERLINK("#Структура!G2072","")</f>
        <v/>
      </c>
      <c r="L2667" s="120">
        <f>HYPERLINK("#Покупные_изделия!D265",Покупные_изделия!D265)</f>
        <v>100</v>
      </c>
      <c r="M2667" s="76">
        <f>J2667*L2667</f>
        <v>1.4000000000000001</v>
      </c>
      <c r="N2667" s="77"/>
      <c r="O2667" s="77"/>
      <c r="P2667" s="76"/>
      <c r="Q2667" s="76"/>
    </row>
    <row r="2668" spans="5:17" hidden="1" outlineLevel="5" x14ac:dyDescent="0.25">
      <c r="G2668" s="74" t="s">
        <v>156</v>
      </c>
      <c r="H2668" s="75"/>
      <c r="I2668" s="76"/>
      <c r="J2668" s="78">
        <f>HYPERLINK("#Структура!E2073",Структура!E2073)</f>
        <v>1E-3</v>
      </c>
      <c r="K2668" s="114" t="str">
        <f>HYPERLINK("#Структура!G2073","")</f>
        <v/>
      </c>
      <c r="L2668" s="120">
        <f>HYPERLINK("#Покупные_изделия!D427",Покупные_изделия!D427)</f>
        <v>155.53200000000001</v>
      </c>
      <c r="M2668" s="76">
        <f>J2668*L2668</f>
        <v>0.155532</v>
      </c>
      <c r="N2668" s="77"/>
      <c r="O2668" s="77"/>
      <c r="P2668" s="76"/>
      <c r="Q2668" s="76"/>
    </row>
    <row r="2669" spans="5:17" hidden="1" outlineLevel="4" collapsed="1" x14ac:dyDescent="0.25">
      <c r="F2669" s="84" t="s">
        <v>1258</v>
      </c>
      <c r="G2669" s="79"/>
      <c r="H2669" s="80"/>
      <c r="I2669" s="81"/>
      <c r="J2669" s="83">
        <f>HYPERLINK("#Структура!E2049",Структура!E2049)</f>
        <v>1</v>
      </c>
      <c r="K2669" s="115">
        <f>HYPERLINK("#Структура!G2049",Структура!G2049)</f>
        <v>8.1750000000000003E-2</v>
      </c>
      <c r="L2669" s="81">
        <f>M2669/J2669</f>
        <v>9.1555320000000009</v>
      </c>
      <c r="M2669" s="81">
        <f>SUMIF(G2670:G2671,"*",M2670:M2671)*J2669</f>
        <v>9.1555320000000009</v>
      </c>
      <c r="N2669" s="124">
        <f>HYPERLINK("#Трудозатраты!B553",Трудозатраты!B553+SUMIF(G2670:G2671,"*",O2670:O2671))</f>
        <v>8.8000000000000007</v>
      </c>
      <c r="O2669" s="82">
        <f>N2669*J2669</f>
        <v>8.8000000000000007</v>
      </c>
      <c r="P2669" s="81">
        <f>O2669/60*(1+запас_труд)*стоимость_трудочаса</f>
        <v>344.66666666666669</v>
      </c>
      <c r="Q2669" s="129">
        <f>M2669*(1+наценка_покупное)+P2669</f>
        <v>355.65330506666669</v>
      </c>
    </row>
    <row r="2670" spans="5:17" hidden="1" outlineLevel="5" x14ac:dyDescent="0.25">
      <c r="G2670" s="74" t="s">
        <v>96</v>
      </c>
      <c r="H2670" s="75"/>
      <c r="I2670" s="76"/>
      <c r="J2670" s="78">
        <f>HYPERLINK("#Структура!E2074",Структура!E2074)</f>
        <v>0.09</v>
      </c>
      <c r="K2670" s="114" t="str">
        <f>HYPERLINK("#Структура!G2074","")</f>
        <v/>
      </c>
      <c r="L2670" s="120">
        <f>HYPERLINK("#Покупные_изделия!D265",Покупные_изделия!D265)</f>
        <v>100</v>
      </c>
      <c r="M2670" s="76">
        <f>J2670*L2670</f>
        <v>9</v>
      </c>
      <c r="N2670" s="77"/>
      <c r="O2670" s="77"/>
      <c r="P2670" s="76"/>
      <c r="Q2670" s="76"/>
    </row>
    <row r="2671" spans="5:17" hidden="1" outlineLevel="5" x14ac:dyDescent="0.25">
      <c r="G2671" s="74" t="s">
        <v>156</v>
      </c>
      <c r="H2671" s="75"/>
      <c r="I2671" s="76"/>
      <c r="J2671" s="78">
        <f>HYPERLINK("#Структура!E2075",Структура!E2075)</f>
        <v>1E-3</v>
      </c>
      <c r="K2671" s="114" t="str">
        <f>HYPERLINK("#Структура!G2075","")</f>
        <v/>
      </c>
      <c r="L2671" s="120">
        <f>HYPERLINK("#Покупные_изделия!D427",Покупные_изделия!D427)</f>
        <v>155.53200000000001</v>
      </c>
      <c r="M2671" s="76">
        <f>J2671*L2671</f>
        <v>0.155532</v>
      </c>
      <c r="N2671" s="77"/>
      <c r="O2671" s="77"/>
      <c r="P2671" s="76"/>
      <c r="Q2671" s="76"/>
    </row>
    <row r="2672" spans="5:17" hidden="1" outlineLevel="4" collapsed="1" x14ac:dyDescent="0.25">
      <c r="F2672" s="84" t="s">
        <v>1259</v>
      </c>
      <c r="G2672" s="79"/>
      <c r="H2672" s="80"/>
      <c r="I2672" s="81"/>
      <c r="J2672" s="83">
        <f>HYPERLINK("#Структура!E2050",Структура!E2050)</f>
        <v>5</v>
      </c>
      <c r="K2672" s="115">
        <f>HYPERLINK("#Структура!G2050",Структура!G2050)</f>
        <v>3.7220000000000003E-2</v>
      </c>
      <c r="L2672" s="81">
        <f>M2672/J2672</f>
        <v>2.155532</v>
      </c>
      <c r="M2672" s="81">
        <f>SUMIF(G2673:G2674,"*",M2673:M2674)*J2672</f>
        <v>10.777660000000001</v>
      </c>
      <c r="N2672" s="124">
        <f>HYPERLINK("#Трудозатраты!B554",Трудозатраты!B554+SUMIF(G2673:G2674,"*",O2673:O2674))</f>
        <v>8.8000000000000007</v>
      </c>
      <c r="O2672" s="82">
        <f>N2672*J2672</f>
        <v>44</v>
      </c>
      <c r="P2672" s="81">
        <f>O2672/60*(1+запас_труд)*стоимость_трудочаса</f>
        <v>1723.3333333333333</v>
      </c>
      <c r="Q2672" s="129">
        <f>M2672*(1+наценка_покупное)+P2672</f>
        <v>1736.2665253333332</v>
      </c>
    </row>
    <row r="2673" spans="6:17" hidden="1" outlineLevel="5" x14ac:dyDescent="0.25">
      <c r="G2673" s="74" t="s">
        <v>96</v>
      </c>
      <c r="H2673" s="75"/>
      <c r="I2673" s="76"/>
      <c r="J2673" s="78">
        <f>HYPERLINK("#Структура!E2076",Структура!E2076)</f>
        <v>0.02</v>
      </c>
      <c r="K2673" s="114" t="str">
        <f>HYPERLINK("#Структура!G2076","")</f>
        <v/>
      </c>
      <c r="L2673" s="120">
        <f>HYPERLINK("#Покупные_изделия!D265",Покупные_изделия!D265)</f>
        <v>100</v>
      </c>
      <c r="M2673" s="76">
        <f>J2673*L2673</f>
        <v>2</v>
      </c>
      <c r="N2673" s="77"/>
      <c r="O2673" s="77"/>
      <c r="P2673" s="76"/>
      <c r="Q2673" s="76"/>
    </row>
    <row r="2674" spans="6:17" hidden="1" outlineLevel="5" x14ac:dyDescent="0.25">
      <c r="G2674" s="74" t="s">
        <v>156</v>
      </c>
      <c r="H2674" s="75"/>
      <c r="I2674" s="76"/>
      <c r="J2674" s="78">
        <f>HYPERLINK("#Структура!E2077",Структура!E2077)</f>
        <v>1E-3</v>
      </c>
      <c r="K2674" s="114" t="str">
        <f>HYPERLINK("#Структура!G2077","")</f>
        <v/>
      </c>
      <c r="L2674" s="120">
        <f>HYPERLINK("#Покупные_изделия!D427",Покупные_изделия!D427)</f>
        <v>155.53200000000001</v>
      </c>
      <c r="M2674" s="76">
        <f>J2674*L2674</f>
        <v>0.155532</v>
      </c>
      <c r="N2674" s="77"/>
      <c r="O2674" s="77"/>
      <c r="P2674" s="76"/>
      <c r="Q2674" s="76"/>
    </row>
    <row r="2675" spans="6:17" hidden="1" outlineLevel="4" collapsed="1" x14ac:dyDescent="0.25">
      <c r="F2675" s="84" t="s">
        <v>1260</v>
      </c>
      <c r="G2675" s="79"/>
      <c r="H2675" s="80"/>
      <c r="I2675" s="81"/>
      <c r="J2675" s="83">
        <f>HYPERLINK("#Структура!E2051",Структура!E2051)</f>
        <v>1</v>
      </c>
      <c r="K2675" s="115">
        <f>HYPERLINK("#Структура!G2051",Структура!G2051)</f>
        <v>5.0630000000000001E-2</v>
      </c>
      <c r="L2675" s="81">
        <f>M2675/J2675</f>
        <v>7.0255532000000001</v>
      </c>
      <c r="M2675" s="81">
        <f>SUMIF(G2676:G2679,"*",M2676:M2679)*J2675</f>
        <v>7.0255532000000001</v>
      </c>
      <c r="N2675" s="124">
        <f>HYPERLINK("#Трудозатраты!B555",Трудозатраты!B555+SUMIF(G2676:G2679,"*",O2676:O2679))</f>
        <v>15.7</v>
      </c>
      <c r="O2675" s="82">
        <f>N2675*J2675</f>
        <v>15.7</v>
      </c>
      <c r="P2675" s="81">
        <f>O2675/60*(1+запас_труд)*стоимость_трудочаса</f>
        <v>614.91666666666663</v>
      </c>
      <c r="Q2675" s="129">
        <f>M2675*(1+наценка_покупное)+P2675</f>
        <v>623.34733050666659</v>
      </c>
    </row>
    <row r="2676" spans="6:17" hidden="1" outlineLevel="5" x14ac:dyDescent="0.25">
      <c r="G2676" s="74" t="s">
        <v>67</v>
      </c>
      <c r="H2676" s="75"/>
      <c r="I2676" s="76"/>
      <c r="J2676" s="78">
        <f>HYPERLINK("#Структура!E2078",Структура!E2078)</f>
        <v>1.7000000000000001E-2</v>
      </c>
      <c r="K2676" s="114" t="str">
        <f>HYPERLINK("#Структура!G2078","")</f>
        <v/>
      </c>
      <c r="L2676" s="120">
        <f>HYPERLINK("#Покупные_изделия!D203",Покупные_изделия!D203)</f>
        <v>30.003600000000002</v>
      </c>
      <c r="M2676" s="76">
        <f>J2676*L2676</f>
        <v>0.5100612000000001</v>
      </c>
      <c r="N2676" s="77"/>
      <c r="O2676" s="77"/>
      <c r="P2676" s="76"/>
      <c r="Q2676" s="76"/>
    </row>
    <row r="2677" spans="6:17" hidden="1" outlineLevel="5" x14ac:dyDescent="0.25">
      <c r="G2677" s="74" t="s">
        <v>96</v>
      </c>
      <c r="H2677" s="75"/>
      <c r="I2677" s="76"/>
      <c r="J2677" s="78">
        <f>HYPERLINK("#Структура!E2079",Структура!E2079)</f>
        <v>5.2999999999999999E-2</v>
      </c>
      <c r="K2677" s="114" t="str">
        <f>HYPERLINK("#Структура!G2079","")</f>
        <v/>
      </c>
      <c r="L2677" s="120">
        <f>HYPERLINK("#Покупные_изделия!D265",Покупные_изделия!D265)</f>
        <v>100</v>
      </c>
      <c r="M2677" s="76">
        <f>J2677*L2677</f>
        <v>5.3</v>
      </c>
      <c r="N2677" s="77"/>
      <c r="O2677" s="77"/>
      <c r="P2677" s="76"/>
      <c r="Q2677" s="76"/>
    </row>
    <row r="2678" spans="6:17" hidden="1" outlineLevel="5" x14ac:dyDescent="0.25">
      <c r="G2678" s="74" t="s">
        <v>146</v>
      </c>
      <c r="H2678" s="75"/>
      <c r="I2678" s="76"/>
      <c r="J2678" s="78">
        <f>HYPERLINK("#Структура!E2080",Структура!E2080)</f>
        <v>0.01</v>
      </c>
      <c r="K2678" s="114" t="str">
        <f>HYPERLINK("#Структура!G2080","")</f>
        <v/>
      </c>
      <c r="L2678" s="120">
        <f>HYPERLINK("#Покупные_изделия!D406",Покупные_изделия!D406)</f>
        <v>105.996</v>
      </c>
      <c r="M2678" s="76">
        <f>J2678*L2678</f>
        <v>1.05996</v>
      </c>
      <c r="N2678" s="77"/>
      <c r="O2678" s="77"/>
      <c r="P2678" s="76"/>
      <c r="Q2678" s="76"/>
    </row>
    <row r="2679" spans="6:17" hidden="1" outlineLevel="5" x14ac:dyDescent="0.25">
      <c r="G2679" s="74" t="s">
        <v>156</v>
      </c>
      <c r="H2679" s="75"/>
      <c r="I2679" s="76"/>
      <c r="J2679" s="78">
        <f>HYPERLINK("#Структура!E2081",Структура!E2081)</f>
        <v>1E-3</v>
      </c>
      <c r="K2679" s="114" t="str">
        <f>HYPERLINK("#Структура!G2081","")</f>
        <v/>
      </c>
      <c r="L2679" s="120">
        <f>HYPERLINK("#Покупные_изделия!D427",Покупные_изделия!D427)</f>
        <v>155.53200000000001</v>
      </c>
      <c r="M2679" s="76">
        <f>J2679*L2679</f>
        <v>0.155532</v>
      </c>
      <c r="N2679" s="77"/>
      <c r="O2679" s="77"/>
      <c r="P2679" s="76"/>
      <c r="Q2679" s="76"/>
    </row>
    <row r="2680" spans="6:17" hidden="1" outlineLevel="4" collapsed="1" x14ac:dyDescent="0.25">
      <c r="F2680" s="84" t="s">
        <v>1261</v>
      </c>
      <c r="G2680" s="79"/>
      <c r="H2680" s="80"/>
      <c r="I2680" s="81"/>
      <c r="J2680" s="83">
        <f>HYPERLINK("#Структура!E2052",Структура!E2052)</f>
        <v>1</v>
      </c>
      <c r="K2680" s="115">
        <f>HYPERLINK("#Структура!G2052",Структура!G2052)</f>
        <v>7.1069999999999994E-2</v>
      </c>
      <c r="L2680" s="81">
        <f>M2680/J2680</f>
        <v>9.2255532000000002</v>
      </c>
      <c r="M2680" s="81">
        <f>SUMIF(G2681:G2684,"*",M2681:M2684)*J2680</f>
        <v>9.2255532000000002</v>
      </c>
      <c r="N2680" s="124">
        <f>HYPERLINK("#Трудозатраты!B556",Трудозатраты!B556+SUMIF(G2681:G2684,"*",O2681:O2684))</f>
        <v>15.7</v>
      </c>
      <c r="O2680" s="82">
        <f>N2680*J2680</f>
        <v>15.7</v>
      </c>
      <c r="P2680" s="81">
        <f>O2680/60*(1+запас_труд)*стоимость_трудочаса</f>
        <v>614.91666666666663</v>
      </c>
      <c r="Q2680" s="129">
        <f>M2680*(1+наценка_покупное)+P2680</f>
        <v>625.98733050666658</v>
      </c>
    </row>
    <row r="2681" spans="6:17" hidden="1" outlineLevel="5" x14ac:dyDescent="0.25">
      <c r="G2681" s="74" t="s">
        <v>67</v>
      </c>
      <c r="H2681" s="75"/>
      <c r="I2681" s="76"/>
      <c r="J2681" s="78">
        <f>HYPERLINK("#Структура!E2082",Структура!E2082)</f>
        <v>1.7000000000000001E-2</v>
      </c>
      <c r="K2681" s="114" t="str">
        <f>HYPERLINK("#Структура!G2082","")</f>
        <v/>
      </c>
      <c r="L2681" s="120">
        <f>HYPERLINK("#Покупные_изделия!D203",Покупные_изделия!D203)</f>
        <v>30.003600000000002</v>
      </c>
      <c r="M2681" s="76">
        <f>J2681*L2681</f>
        <v>0.5100612000000001</v>
      </c>
      <c r="N2681" s="77"/>
      <c r="O2681" s="77"/>
      <c r="P2681" s="76"/>
      <c r="Q2681" s="76"/>
    </row>
    <row r="2682" spans="6:17" hidden="1" outlineLevel="5" x14ac:dyDescent="0.25">
      <c r="G2682" s="74" t="s">
        <v>96</v>
      </c>
      <c r="H2682" s="75"/>
      <c r="I2682" s="76"/>
      <c r="J2682" s="78">
        <f>HYPERLINK("#Структура!E2083",Структура!E2083)</f>
        <v>7.4999999999999997E-2</v>
      </c>
      <c r="K2682" s="114" t="str">
        <f>HYPERLINK("#Структура!G2083","")</f>
        <v/>
      </c>
      <c r="L2682" s="120">
        <f>HYPERLINK("#Покупные_изделия!D265",Покупные_изделия!D265)</f>
        <v>100</v>
      </c>
      <c r="M2682" s="76">
        <f>J2682*L2682</f>
        <v>7.5</v>
      </c>
      <c r="N2682" s="77"/>
      <c r="O2682" s="77"/>
      <c r="P2682" s="76"/>
      <c r="Q2682" s="76"/>
    </row>
    <row r="2683" spans="6:17" hidden="1" outlineLevel="5" x14ac:dyDescent="0.25">
      <c r="G2683" s="74" t="s">
        <v>146</v>
      </c>
      <c r="H2683" s="75"/>
      <c r="I2683" s="76"/>
      <c r="J2683" s="78">
        <f>HYPERLINK("#Структура!E2084",Структура!E2084)</f>
        <v>0.01</v>
      </c>
      <c r="K2683" s="114" t="str">
        <f>HYPERLINK("#Структура!G2084","")</f>
        <v/>
      </c>
      <c r="L2683" s="120">
        <f>HYPERLINK("#Покупные_изделия!D406",Покупные_изделия!D406)</f>
        <v>105.996</v>
      </c>
      <c r="M2683" s="76">
        <f>J2683*L2683</f>
        <v>1.05996</v>
      </c>
      <c r="N2683" s="77"/>
      <c r="O2683" s="77"/>
      <c r="P2683" s="76"/>
      <c r="Q2683" s="76"/>
    </row>
    <row r="2684" spans="6:17" hidden="1" outlineLevel="5" x14ac:dyDescent="0.25">
      <c r="G2684" s="74" t="s">
        <v>156</v>
      </c>
      <c r="H2684" s="75"/>
      <c r="I2684" s="76"/>
      <c r="J2684" s="78">
        <f>HYPERLINK("#Структура!E2085",Структура!E2085)</f>
        <v>1E-3</v>
      </c>
      <c r="K2684" s="114" t="str">
        <f>HYPERLINK("#Структура!G2085","")</f>
        <v/>
      </c>
      <c r="L2684" s="120">
        <f>HYPERLINK("#Покупные_изделия!D427",Покупные_изделия!D427)</f>
        <v>155.53200000000001</v>
      </c>
      <c r="M2684" s="76">
        <f>J2684*L2684</f>
        <v>0.155532</v>
      </c>
      <c r="N2684" s="77"/>
      <c r="O2684" s="77"/>
      <c r="P2684" s="76"/>
      <c r="Q2684" s="76"/>
    </row>
    <row r="2685" spans="6:17" hidden="1" outlineLevel="4" collapsed="1" x14ac:dyDescent="0.25">
      <c r="F2685" s="84" t="s">
        <v>1262</v>
      </c>
      <c r="G2685" s="79"/>
      <c r="H2685" s="80"/>
      <c r="I2685" s="81"/>
      <c r="J2685" s="83">
        <f>HYPERLINK("#Структура!E2053",Структура!E2053)</f>
        <v>1</v>
      </c>
      <c r="K2685" s="115">
        <f>HYPERLINK("#Структура!G2053",Структура!G2053)</f>
        <v>9.1200000000000003E-2</v>
      </c>
      <c r="L2685" s="81">
        <f>M2685/J2685</f>
        <v>11.7255532</v>
      </c>
      <c r="M2685" s="81">
        <f>SUMIF(G2686:G2689,"*",M2686:M2689)*J2685</f>
        <v>11.7255532</v>
      </c>
      <c r="N2685" s="124">
        <f>HYPERLINK("#Трудозатраты!B557",Трудозатраты!B557+SUMIF(G2686:G2689,"*",O2686:O2689))</f>
        <v>15.7</v>
      </c>
      <c r="O2685" s="82">
        <f>N2685*J2685</f>
        <v>15.7</v>
      </c>
      <c r="P2685" s="81">
        <f>O2685/60*(1+запас_труд)*стоимость_трудочаса</f>
        <v>614.91666666666663</v>
      </c>
      <c r="Q2685" s="129">
        <f>M2685*(1+наценка_покупное)+P2685</f>
        <v>628.98733050666658</v>
      </c>
    </row>
    <row r="2686" spans="6:17" hidden="1" outlineLevel="5" x14ac:dyDescent="0.25">
      <c r="G2686" s="74" t="s">
        <v>67</v>
      </c>
      <c r="H2686" s="75"/>
      <c r="I2686" s="76"/>
      <c r="J2686" s="78">
        <f>HYPERLINK("#Структура!E2086",Структура!E2086)</f>
        <v>1.7000000000000001E-2</v>
      </c>
      <c r="K2686" s="114" t="str">
        <f>HYPERLINK("#Структура!G2086","")</f>
        <v/>
      </c>
      <c r="L2686" s="120">
        <f>HYPERLINK("#Покупные_изделия!D203",Покупные_изделия!D203)</f>
        <v>30.003600000000002</v>
      </c>
      <c r="M2686" s="76">
        <f>J2686*L2686</f>
        <v>0.5100612000000001</v>
      </c>
      <c r="N2686" s="77"/>
      <c r="O2686" s="77"/>
      <c r="P2686" s="76"/>
      <c r="Q2686" s="76"/>
    </row>
    <row r="2687" spans="6:17" hidden="1" outlineLevel="5" x14ac:dyDescent="0.25">
      <c r="G2687" s="74" t="s">
        <v>96</v>
      </c>
      <c r="H2687" s="75"/>
      <c r="I2687" s="76"/>
      <c r="J2687" s="78">
        <f>HYPERLINK("#Структура!E2087",Структура!E2087)</f>
        <v>0.1</v>
      </c>
      <c r="K2687" s="114" t="str">
        <f>HYPERLINK("#Структура!G2087","")</f>
        <v/>
      </c>
      <c r="L2687" s="120">
        <f>HYPERLINK("#Покупные_изделия!D265",Покупные_изделия!D265)</f>
        <v>100</v>
      </c>
      <c r="M2687" s="76">
        <f>J2687*L2687</f>
        <v>10</v>
      </c>
      <c r="N2687" s="77"/>
      <c r="O2687" s="77"/>
      <c r="P2687" s="76"/>
      <c r="Q2687" s="76"/>
    </row>
    <row r="2688" spans="6:17" hidden="1" outlineLevel="5" x14ac:dyDescent="0.25">
      <c r="G2688" s="74" t="s">
        <v>146</v>
      </c>
      <c r="H2688" s="75"/>
      <c r="I2688" s="76"/>
      <c r="J2688" s="78">
        <f>HYPERLINK("#Структура!E2088",Структура!E2088)</f>
        <v>0.01</v>
      </c>
      <c r="K2688" s="114" t="str">
        <f>HYPERLINK("#Структура!G2088","")</f>
        <v/>
      </c>
      <c r="L2688" s="120">
        <f>HYPERLINK("#Покупные_изделия!D406",Покупные_изделия!D406)</f>
        <v>105.996</v>
      </c>
      <c r="M2688" s="76">
        <f>J2688*L2688</f>
        <v>1.05996</v>
      </c>
      <c r="N2688" s="77"/>
      <c r="O2688" s="77"/>
      <c r="P2688" s="76"/>
      <c r="Q2688" s="76"/>
    </row>
    <row r="2689" spans="6:17" hidden="1" outlineLevel="5" x14ac:dyDescent="0.25">
      <c r="G2689" s="74" t="s">
        <v>156</v>
      </c>
      <c r="H2689" s="75"/>
      <c r="I2689" s="76"/>
      <c r="J2689" s="78">
        <f>HYPERLINK("#Структура!E2089",Структура!E2089)</f>
        <v>1E-3</v>
      </c>
      <c r="K2689" s="114" t="str">
        <f>HYPERLINK("#Структура!G2089","")</f>
        <v/>
      </c>
      <c r="L2689" s="120">
        <f>HYPERLINK("#Покупные_изделия!D427",Покупные_изделия!D427)</f>
        <v>155.53200000000001</v>
      </c>
      <c r="M2689" s="76">
        <f>J2689*L2689</f>
        <v>0.155532</v>
      </c>
      <c r="N2689" s="77"/>
      <c r="O2689" s="77"/>
      <c r="P2689" s="76"/>
      <c r="Q2689" s="76"/>
    </row>
    <row r="2690" spans="6:17" hidden="1" outlineLevel="4" collapsed="1" x14ac:dyDescent="0.25">
      <c r="F2690" s="84" t="s">
        <v>1263</v>
      </c>
      <c r="G2690" s="79"/>
      <c r="H2690" s="80"/>
      <c r="I2690" s="81"/>
      <c r="J2690" s="83">
        <f>HYPERLINK("#Структура!E2054",Структура!E2054)</f>
        <v>1</v>
      </c>
      <c r="K2690" s="115">
        <f>HYPERLINK("#Структура!G2054",Структура!G2054)</f>
        <v>0.11194999999999999</v>
      </c>
      <c r="L2690" s="81">
        <f>M2690/J2690</f>
        <v>13.881085200000001</v>
      </c>
      <c r="M2690" s="81">
        <f>SUMIF(G2691:G2694,"*",M2691:M2694)*J2690</f>
        <v>13.881085200000001</v>
      </c>
      <c r="N2690" s="124">
        <f>HYPERLINK("#Трудозатраты!B558",Трудозатраты!B558+SUMIF(G2691:G2694,"*",O2691:O2694))</f>
        <v>16.399999999999999</v>
      </c>
      <c r="O2690" s="82">
        <f>N2690*J2690</f>
        <v>16.399999999999999</v>
      </c>
      <c r="P2690" s="81">
        <f>O2690/60*(1+запас_труд)*стоимость_трудочаса</f>
        <v>642.33333333333326</v>
      </c>
      <c r="Q2690" s="129">
        <f>M2690*(1+наценка_покупное)+P2690</f>
        <v>658.99063557333329</v>
      </c>
    </row>
    <row r="2691" spans="6:17" hidden="1" outlineLevel="5" x14ac:dyDescent="0.25">
      <c r="G2691" s="74" t="s">
        <v>67</v>
      </c>
      <c r="H2691" s="75"/>
      <c r="I2691" s="76"/>
      <c r="J2691" s="78">
        <f>HYPERLINK("#Структура!E2090",Структура!E2090)</f>
        <v>1.7000000000000001E-2</v>
      </c>
      <c r="K2691" s="114" t="str">
        <f>HYPERLINK("#Структура!G2090","")</f>
        <v/>
      </c>
      <c r="L2691" s="120">
        <f>HYPERLINK("#Покупные_изделия!D203",Покупные_изделия!D203)</f>
        <v>30.003600000000002</v>
      </c>
      <c r="M2691" s="76">
        <f>J2691*L2691</f>
        <v>0.5100612000000001</v>
      </c>
      <c r="N2691" s="77"/>
      <c r="O2691" s="77"/>
      <c r="P2691" s="76"/>
      <c r="Q2691" s="76"/>
    </row>
    <row r="2692" spans="6:17" hidden="1" outlineLevel="5" x14ac:dyDescent="0.25">
      <c r="G2692" s="74" t="s">
        <v>96</v>
      </c>
      <c r="H2692" s="75"/>
      <c r="I2692" s="76"/>
      <c r="J2692" s="78">
        <f>HYPERLINK("#Структура!E2091",Структура!E2091)</f>
        <v>0.12</v>
      </c>
      <c r="K2692" s="114" t="str">
        <f>HYPERLINK("#Структура!G2091","")</f>
        <v/>
      </c>
      <c r="L2692" s="120">
        <f>HYPERLINK("#Покупные_изделия!D265",Покупные_изделия!D265)</f>
        <v>100</v>
      </c>
      <c r="M2692" s="76">
        <f>J2692*L2692</f>
        <v>12</v>
      </c>
      <c r="N2692" s="77"/>
      <c r="O2692" s="77"/>
      <c r="P2692" s="76"/>
      <c r="Q2692" s="76"/>
    </row>
    <row r="2693" spans="6:17" hidden="1" outlineLevel="5" x14ac:dyDescent="0.25">
      <c r="G2693" s="74" t="s">
        <v>146</v>
      </c>
      <c r="H2693" s="75"/>
      <c r="I2693" s="76"/>
      <c r="J2693" s="78">
        <f>HYPERLINK("#Структура!E2092",Структура!E2092)</f>
        <v>0.01</v>
      </c>
      <c r="K2693" s="114" t="str">
        <f>HYPERLINK("#Структура!G2092","")</f>
        <v/>
      </c>
      <c r="L2693" s="120">
        <f>HYPERLINK("#Покупные_изделия!D406",Покупные_изделия!D406)</f>
        <v>105.996</v>
      </c>
      <c r="M2693" s="76">
        <f>J2693*L2693</f>
        <v>1.05996</v>
      </c>
      <c r="N2693" s="77"/>
      <c r="O2693" s="77"/>
      <c r="P2693" s="76"/>
      <c r="Q2693" s="76"/>
    </row>
    <row r="2694" spans="6:17" hidden="1" outlineLevel="5" x14ac:dyDescent="0.25">
      <c r="G2694" s="74" t="s">
        <v>156</v>
      </c>
      <c r="H2694" s="75"/>
      <c r="I2694" s="76"/>
      <c r="J2694" s="78">
        <f>HYPERLINK("#Структура!E2093",Структура!E2093)</f>
        <v>2E-3</v>
      </c>
      <c r="K2694" s="114" t="str">
        <f>HYPERLINK("#Структура!G2093","")</f>
        <v/>
      </c>
      <c r="L2694" s="120">
        <f>HYPERLINK("#Покупные_изделия!D427",Покупные_изделия!D427)</f>
        <v>155.53200000000001</v>
      </c>
      <c r="M2694" s="76">
        <f>J2694*L2694</f>
        <v>0.31106400000000001</v>
      </c>
      <c r="N2694" s="77"/>
      <c r="O2694" s="77"/>
      <c r="P2694" s="76"/>
      <c r="Q2694" s="76"/>
    </row>
    <row r="2695" spans="6:17" hidden="1" outlineLevel="4" collapsed="1" x14ac:dyDescent="0.25">
      <c r="F2695" s="84" t="s">
        <v>1264</v>
      </c>
      <c r="G2695" s="79"/>
      <c r="H2695" s="80"/>
      <c r="I2695" s="81"/>
      <c r="J2695" s="83">
        <f>HYPERLINK("#Структура!E2055",Структура!E2055)</f>
        <v>1</v>
      </c>
      <c r="K2695" s="115">
        <f>HYPERLINK("#Структура!G2055",Структура!G2055)</f>
        <v>0.13270000000000001</v>
      </c>
      <c r="L2695" s="81">
        <f>M2695/J2695</f>
        <v>15.881085200000003</v>
      </c>
      <c r="M2695" s="81">
        <f>SUMIF(G2696:G2699,"*",M2696:M2699)*J2695</f>
        <v>15.881085200000003</v>
      </c>
      <c r="N2695" s="124">
        <f>HYPERLINK("#Трудозатраты!B559",Трудозатраты!B559+SUMIF(G2696:G2699,"*",O2696:O2699))</f>
        <v>16.600000000000001</v>
      </c>
      <c r="O2695" s="82">
        <f>N2695*J2695</f>
        <v>16.600000000000001</v>
      </c>
      <c r="P2695" s="81">
        <f>O2695/60*(1+запас_труд)*стоимость_трудочаса</f>
        <v>650.16666666666663</v>
      </c>
      <c r="Q2695" s="129">
        <f>M2695*(1+наценка_покупное)+P2695</f>
        <v>669.22396890666664</v>
      </c>
    </row>
    <row r="2696" spans="6:17" hidden="1" outlineLevel="5" x14ac:dyDescent="0.25">
      <c r="G2696" s="74" t="s">
        <v>67</v>
      </c>
      <c r="H2696" s="75"/>
      <c r="I2696" s="76"/>
      <c r="J2696" s="78">
        <f>HYPERLINK("#Структура!E2094",Структура!E2094)</f>
        <v>1.7000000000000001E-2</v>
      </c>
      <c r="K2696" s="114" t="str">
        <f>HYPERLINK("#Структура!G2094","")</f>
        <v/>
      </c>
      <c r="L2696" s="120">
        <f>HYPERLINK("#Покупные_изделия!D203",Покупные_изделия!D203)</f>
        <v>30.003600000000002</v>
      </c>
      <c r="M2696" s="76">
        <f>J2696*L2696</f>
        <v>0.5100612000000001</v>
      </c>
      <c r="N2696" s="77"/>
      <c r="O2696" s="77"/>
      <c r="P2696" s="76"/>
      <c r="Q2696" s="76"/>
    </row>
    <row r="2697" spans="6:17" hidden="1" outlineLevel="5" x14ac:dyDescent="0.25">
      <c r="G2697" s="74" t="s">
        <v>96</v>
      </c>
      <c r="H2697" s="75"/>
      <c r="I2697" s="76"/>
      <c r="J2697" s="78">
        <f>HYPERLINK("#Структура!E2095",Структура!E2095)</f>
        <v>0.14000000000000001</v>
      </c>
      <c r="K2697" s="114" t="str">
        <f>HYPERLINK("#Структура!G2095","")</f>
        <v/>
      </c>
      <c r="L2697" s="120">
        <f>HYPERLINK("#Покупные_изделия!D265",Покупные_изделия!D265)</f>
        <v>100</v>
      </c>
      <c r="M2697" s="76">
        <f>J2697*L2697</f>
        <v>14.000000000000002</v>
      </c>
      <c r="N2697" s="77"/>
      <c r="O2697" s="77"/>
      <c r="P2697" s="76"/>
      <c r="Q2697" s="76"/>
    </row>
    <row r="2698" spans="6:17" hidden="1" outlineLevel="5" x14ac:dyDescent="0.25">
      <c r="G2698" s="74" t="s">
        <v>146</v>
      </c>
      <c r="H2698" s="75"/>
      <c r="I2698" s="76"/>
      <c r="J2698" s="78">
        <f>HYPERLINK("#Структура!E2096",Структура!E2096)</f>
        <v>0.01</v>
      </c>
      <c r="K2698" s="114" t="str">
        <f>HYPERLINK("#Структура!G2096","")</f>
        <v/>
      </c>
      <c r="L2698" s="120">
        <f>HYPERLINK("#Покупные_изделия!D406",Покупные_изделия!D406)</f>
        <v>105.996</v>
      </c>
      <c r="M2698" s="76">
        <f>J2698*L2698</f>
        <v>1.05996</v>
      </c>
      <c r="N2698" s="77"/>
      <c r="O2698" s="77"/>
      <c r="P2698" s="76"/>
      <c r="Q2698" s="76"/>
    </row>
    <row r="2699" spans="6:17" hidden="1" outlineLevel="5" x14ac:dyDescent="0.25">
      <c r="G2699" s="74" t="s">
        <v>156</v>
      </c>
      <c r="H2699" s="75"/>
      <c r="I2699" s="76"/>
      <c r="J2699" s="78">
        <f>HYPERLINK("#Структура!E2097",Структура!E2097)</f>
        <v>2E-3</v>
      </c>
      <c r="K2699" s="114" t="str">
        <f>HYPERLINK("#Структура!G2097","")</f>
        <v/>
      </c>
      <c r="L2699" s="120">
        <f>HYPERLINK("#Покупные_изделия!D427",Покупные_изделия!D427)</f>
        <v>155.53200000000001</v>
      </c>
      <c r="M2699" s="76">
        <f>J2699*L2699</f>
        <v>0.31106400000000001</v>
      </c>
      <c r="N2699" s="77"/>
      <c r="O2699" s="77"/>
      <c r="P2699" s="76"/>
      <c r="Q2699" s="76"/>
    </row>
    <row r="2700" spans="6:17" hidden="1" outlineLevel="4" collapsed="1" x14ac:dyDescent="0.25">
      <c r="F2700" s="84" t="s">
        <v>1265</v>
      </c>
      <c r="G2700" s="79"/>
      <c r="H2700" s="80"/>
      <c r="I2700" s="81"/>
      <c r="J2700" s="83">
        <f>HYPERLINK("#Структура!E2056",Структура!E2056)</f>
        <v>1</v>
      </c>
      <c r="K2700" s="115">
        <f>HYPERLINK("#Структура!G2056",Структура!G2056)</f>
        <v>0.15175</v>
      </c>
      <c r="L2700" s="81">
        <f>M2700/J2700</f>
        <v>17.881085200000001</v>
      </c>
      <c r="M2700" s="81">
        <f>SUMIF(G2701:G2704,"*",M2701:M2704)*J2700</f>
        <v>17.881085200000001</v>
      </c>
      <c r="N2700" s="124">
        <f>HYPERLINK("#Трудозатраты!B560",Трудозатраты!B560+SUMIF(G2701:G2704,"*",O2701:O2704))</f>
        <v>16.600000000000001</v>
      </c>
      <c r="O2700" s="82">
        <f>N2700*J2700</f>
        <v>16.600000000000001</v>
      </c>
      <c r="P2700" s="81">
        <f>O2700/60*(1+запас_труд)*стоимость_трудочаса</f>
        <v>650.16666666666663</v>
      </c>
      <c r="Q2700" s="129">
        <f>M2700*(1+наценка_покупное)+P2700</f>
        <v>671.62396890666662</v>
      </c>
    </row>
    <row r="2701" spans="6:17" hidden="1" outlineLevel="5" x14ac:dyDescent="0.25">
      <c r="G2701" s="74" t="s">
        <v>67</v>
      </c>
      <c r="H2701" s="75"/>
      <c r="I2701" s="76"/>
      <c r="J2701" s="78">
        <f>HYPERLINK("#Структура!E2098",Структура!E2098)</f>
        <v>1.7000000000000001E-2</v>
      </c>
      <c r="K2701" s="114" t="str">
        <f>HYPERLINK("#Структура!G2098","")</f>
        <v/>
      </c>
      <c r="L2701" s="120">
        <f>HYPERLINK("#Покупные_изделия!D203",Покупные_изделия!D203)</f>
        <v>30.003600000000002</v>
      </c>
      <c r="M2701" s="76">
        <f>J2701*L2701</f>
        <v>0.5100612000000001</v>
      </c>
      <c r="N2701" s="77"/>
      <c r="O2701" s="77"/>
      <c r="P2701" s="76"/>
      <c r="Q2701" s="76"/>
    </row>
    <row r="2702" spans="6:17" hidden="1" outlineLevel="5" x14ac:dyDescent="0.25">
      <c r="G2702" s="74" t="s">
        <v>96</v>
      </c>
      <c r="H2702" s="75"/>
      <c r="I2702" s="76"/>
      <c r="J2702" s="78">
        <f>HYPERLINK("#Структура!E2099",Структура!E2099)</f>
        <v>0.16</v>
      </c>
      <c r="K2702" s="114" t="str">
        <f>HYPERLINK("#Структура!G2099","")</f>
        <v/>
      </c>
      <c r="L2702" s="120">
        <f>HYPERLINK("#Покупные_изделия!D265",Покупные_изделия!D265)</f>
        <v>100</v>
      </c>
      <c r="M2702" s="76">
        <f>J2702*L2702</f>
        <v>16</v>
      </c>
      <c r="N2702" s="77"/>
      <c r="O2702" s="77"/>
      <c r="P2702" s="76"/>
      <c r="Q2702" s="76"/>
    </row>
    <row r="2703" spans="6:17" hidden="1" outlineLevel="5" x14ac:dyDescent="0.25">
      <c r="G2703" s="74" t="s">
        <v>146</v>
      </c>
      <c r="H2703" s="75"/>
      <c r="I2703" s="76"/>
      <c r="J2703" s="78">
        <f>HYPERLINK("#Структура!E2100",Структура!E2100)</f>
        <v>0.01</v>
      </c>
      <c r="K2703" s="114" t="str">
        <f>HYPERLINK("#Структура!G2100","")</f>
        <v/>
      </c>
      <c r="L2703" s="120">
        <f>HYPERLINK("#Покупные_изделия!D406",Покупные_изделия!D406)</f>
        <v>105.996</v>
      </c>
      <c r="M2703" s="76">
        <f>J2703*L2703</f>
        <v>1.05996</v>
      </c>
      <c r="N2703" s="77"/>
      <c r="O2703" s="77"/>
      <c r="P2703" s="76"/>
      <c r="Q2703" s="76"/>
    </row>
    <row r="2704" spans="6:17" hidden="1" outlineLevel="5" x14ac:dyDescent="0.25">
      <c r="G2704" s="74" t="s">
        <v>156</v>
      </c>
      <c r="H2704" s="75"/>
      <c r="I2704" s="76"/>
      <c r="J2704" s="78">
        <f>HYPERLINK("#Структура!E2101",Структура!E2101)</f>
        <v>2E-3</v>
      </c>
      <c r="K2704" s="114" t="str">
        <f>HYPERLINK("#Структура!G2101","")</f>
        <v/>
      </c>
      <c r="L2704" s="120">
        <f>HYPERLINK("#Покупные_изделия!D427",Покупные_изделия!D427)</f>
        <v>155.53200000000001</v>
      </c>
      <c r="M2704" s="76">
        <f>J2704*L2704</f>
        <v>0.31106400000000001</v>
      </c>
      <c r="N2704" s="77"/>
      <c r="O2704" s="77"/>
      <c r="P2704" s="76"/>
      <c r="Q2704" s="76"/>
    </row>
    <row r="2705" spans="6:17" hidden="1" outlineLevel="4" collapsed="1" x14ac:dyDescent="0.25">
      <c r="F2705" s="84" t="s">
        <v>1266</v>
      </c>
      <c r="G2705" s="79"/>
      <c r="H2705" s="80"/>
      <c r="I2705" s="81"/>
      <c r="J2705" s="83">
        <f>HYPERLINK("#Структура!E2057",Структура!E2057)</f>
        <v>1</v>
      </c>
      <c r="K2705" s="115">
        <f>HYPERLINK("#Структура!G2057",Структура!G2057)</f>
        <v>0.16536999999999999</v>
      </c>
      <c r="L2705" s="81">
        <f>M2705/J2705</f>
        <v>20.036617199999998</v>
      </c>
      <c r="M2705" s="81">
        <f>SUMIF(G2706:G2709,"*",M2706:M2709)*J2705</f>
        <v>20.036617199999998</v>
      </c>
      <c r="N2705" s="124">
        <f>HYPERLINK("#Трудозатраты!B561",Трудозатраты!B561+SUMIF(G2706:G2709,"*",O2706:O2709))</f>
        <v>16.8</v>
      </c>
      <c r="O2705" s="82">
        <f>N2705*J2705</f>
        <v>16.8</v>
      </c>
      <c r="P2705" s="81">
        <f>O2705/60*(1+запас_труд)*стоимость_трудочаса</f>
        <v>658.00000000000011</v>
      </c>
      <c r="Q2705" s="129">
        <f>M2705*(1+наценка_покупное)+P2705</f>
        <v>682.04394064000007</v>
      </c>
    </row>
    <row r="2706" spans="6:17" hidden="1" outlineLevel="5" x14ac:dyDescent="0.25">
      <c r="G2706" s="74" t="s">
        <v>67</v>
      </c>
      <c r="H2706" s="75"/>
      <c r="I2706" s="76"/>
      <c r="J2706" s="78">
        <f>HYPERLINK("#Структура!E2102",Структура!E2102)</f>
        <v>1.7000000000000001E-2</v>
      </c>
      <c r="K2706" s="114" t="str">
        <f>HYPERLINK("#Структура!G2102","")</f>
        <v/>
      </c>
      <c r="L2706" s="120">
        <f>HYPERLINK("#Покупные_изделия!D203",Покупные_изделия!D203)</f>
        <v>30.003600000000002</v>
      </c>
      <c r="M2706" s="76">
        <f>J2706*L2706</f>
        <v>0.5100612000000001</v>
      </c>
      <c r="N2706" s="77"/>
      <c r="O2706" s="77"/>
      <c r="P2706" s="76"/>
      <c r="Q2706" s="76"/>
    </row>
    <row r="2707" spans="6:17" hidden="1" outlineLevel="5" x14ac:dyDescent="0.25">
      <c r="G2707" s="74" t="s">
        <v>96</v>
      </c>
      <c r="H2707" s="75"/>
      <c r="I2707" s="76"/>
      <c r="J2707" s="78">
        <f>HYPERLINK("#Структура!E2103",Структура!E2103)</f>
        <v>0.18</v>
      </c>
      <c r="K2707" s="114" t="str">
        <f>HYPERLINK("#Структура!G2103","")</f>
        <v/>
      </c>
      <c r="L2707" s="120">
        <f>HYPERLINK("#Покупные_изделия!D265",Покупные_изделия!D265)</f>
        <v>100</v>
      </c>
      <c r="M2707" s="76">
        <f>J2707*L2707</f>
        <v>18</v>
      </c>
      <c r="N2707" s="77"/>
      <c r="O2707" s="77"/>
      <c r="P2707" s="76"/>
      <c r="Q2707" s="76"/>
    </row>
    <row r="2708" spans="6:17" hidden="1" outlineLevel="5" x14ac:dyDescent="0.25">
      <c r="G2708" s="74" t="s">
        <v>146</v>
      </c>
      <c r="H2708" s="75"/>
      <c r="I2708" s="76"/>
      <c r="J2708" s="78">
        <f>HYPERLINK("#Структура!E2104",Структура!E2104)</f>
        <v>0.01</v>
      </c>
      <c r="K2708" s="114" t="str">
        <f>HYPERLINK("#Структура!G2104","")</f>
        <v/>
      </c>
      <c r="L2708" s="120">
        <f>HYPERLINK("#Покупные_изделия!D406",Покупные_изделия!D406)</f>
        <v>105.996</v>
      </c>
      <c r="M2708" s="76">
        <f>J2708*L2708</f>
        <v>1.05996</v>
      </c>
      <c r="N2708" s="77"/>
      <c r="O2708" s="77"/>
      <c r="P2708" s="76"/>
      <c r="Q2708" s="76"/>
    </row>
    <row r="2709" spans="6:17" hidden="1" outlineLevel="5" x14ac:dyDescent="0.25">
      <c r="G2709" s="74" t="s">
        <v>156</v>
      </c>
      <c r="H2709" s="75"/>
      <c r="I2709" s="76"/>
      <c r="J2709" s="78">
        <f>HYPERLINK("#Структура!E2105",Структура!E2105)</f>
        <v>3.0000000000000001E-3</v>
      </c>
      <c r="K2709" s="114" t="str">
        <f>HYPERLINK("#Структура!G2105","")</f>
        <v/>
      </c>
      <c r="L2709" s="120">
        <f>HYPERLINK("#Покупные_изделия!D427",Покупные_изделия!D427)</f>
        <v>155.53200000000001</v>
      </c>
      <c r="M2709" s="76">
        <f>J2709*L2709</f>
        <v>0.46659600000000007</v>
      </c>
      <c r="N2709" s="77"/>
      <c r="O2709" s="77"/>
      <c r="P2709" s="76"/>
      <c r="Q2709" s="76"/>
    </row>
    <row r="2710" spans="6:17" hidden="1" outlineLevel="4" collapsed="1" x14ac:dyDescent="0.25">
      <c r="F2710" s="84" t="s">
        <v>1267</v>
      </c>
      <c r="G2710" s="79"/>
      <c r="H2710" s="80"/>
      <c r="I2710" s="81"/>
      <c r="J2710" s="83">
        <f>HYPERLINK("#Структура!E2058",Структура!E2058)</f>
        <v>1</v>
      </c>
      <c r="K2710" s="115">
        <f>HYPERLINK("#Структура!G2058",Структура!G2058)</f>
        <v>0.18024000000000001</v>
      </c>
      <c r="L2710" s="81">
        <f>M2710/J2710</f>
        <v>21.036617199999998</v>
      </c>
      <c r="M2710" s="81">
        <f>SUMIF(G2711:G2714,"*",M2711:M2714)*J2710</f>
        <v>21.036617199999998</v>
      </c>
      <c r="N2710" s="124">
        <f>HYPERLINK("#Трудозатраты!B562",Трудозатраты!B562+SUMIF(G2711:G2714,"*",O2711:O2714))</f>
        <v>16.8</v>
      </c>
      <c r="O2710" s="82">
        <f>N2710*J2710</f>
        <v>16.8</v>
      </c>
      <c r="P2710" s="81">
        <f>O2710/60*(1+запас_труд)*стоимость_трудочаса</f>
        <v>658.00000000000011</v>
      </c>
      <c r="Q2710" s="129">
        <f>M2710*(1+наценка_покупное)+P2710</f>
        <v>683.24394064000012</v>
      </c>
    </row>
    <row r="2711" spans="6:17" hidden="1" outlineLevel="5" x14ac:dyDescent="0.25">
      <c r="G2711" s="74" t="s">
        <v>67</v>
      </c>
      <c r="H2711" s="75"/>
      <c r="I2711" s="76"/>
      <c r="J2711" s="78">
        <f>HYPERLINK("#Структура!E2106",Структура!E2106)</f>
        <v>1.7000000000000001E-2</v>
      </c>
      <c r="K2711" s="114" t="str">
        <f>HYPERLINK("#Структура!G2106","")</f>
        <v/>
      </c>
      <c r="L2711" s="120">
        <f>HYPERLINK("#Покупные_изделия!D203",Покупные_изделия!D203)</f>
        <v>30.003600000000002</v>
      </c>
      <c r="M2711" s="76">
        <f>J2711*L2711</f>
        <v>0.5100612000000001</v>
      </c>
      <c r="N2711" s="77"/>
      <c r="O2711" s="77"/>
      <c r="P2711" s="76"/>
      <c r="Q2711" s="76"/>
    </row>
    <row r="2712" spans="6:17" hidden="1" outlineLevel="5" x14ac:dyDescent="0.25">
      <c r="G2712" s="74" t="s">
        <v>96</v>
      </c>
      <c r="H2712" s="75"/>
      <c r="I2712" s="76"/>
      <c r="J2712" s="78">
        <f>HYPERLINK("#Структура!E2107",Структура!E2107)</f>
        <v>0.19</v>
      </c>
      <c r="K2712" s="114" t="str">
        <f>HYPERLINK("#Структура!G2107","")</f>
        <v/>
      </c>
      <c r="L2712" s="120">
        <f>HYPERLINK("#Покупные_изделия!D265",Покупные_изделия!D265)</f>
        <v>100</v>
      </c>
      <c r="M2712" s="76">
        <f>J2712*L2712</f>
        <v>19</v>
      </c>
      <c r="N2712" s="77"/>
      <c r="O2712" s="77"/>
      <c r="P2712" s="76"/>
      <c r="Q2712" s="76"/>
    </row>
    <row r="2713" spans="6:17" hidden="1" outlineLevel="5" x14ac:dyDescent="0.25">
      <c r="G2713" s="74" t="s">
        <v>146</v>
      </c>
      <c r="H2713" s="75"/>
      <c r="I2713" s="76"/>
      <c r="J2713" s="78">
        <f>HYPERLINK("#Структура!E2108",Структура!E2108)</f>
        <v>0.01</v>
      </c>
      <c r="K2713" s="114" t="str">
        <f>HYPERLINK("#Структура!G2108","")</f>
        <v/>
      </c>
      <c r="L2713" s="120">
        <f>HYPERLINK("#Покупные_изделия!D406",Покупные_изделия!D406)</f>
        <v>105.996</v>
      </c>
      <c r="M2713" s="76">
        <f>J2713*L2713</f>
        <v>1.05996</v>
      </c>
      <c r="N2713" s="77"/>
      <c r="O2713" s="77"/>
      <c r="P2713" s="76"/>
      <c r="Q2713" s="76"/>
    </row>
    <row r="2714" spans="6:17" hidden="1" outlineLevel="5" x14ac:dyDescent="0.25">
      <c r="G2714" s="74" t="s">
        <v>156</v>
      </c>
      <c r="H2714" s="75"/>
      <c r="I2714" s="76"/>
      <c r="J2714" s="78">
        <f>HYPERLINK("#Структура!E2109",Структура!E2109)</f>
        <v>3.0000000000000001E-3</v>
      </c>
      <c r="K2714" s="114" t="str">
        <f>HYPERLINK("#Структура!G2109","")</f>
        <v/>
      </c>
      <c r="L2714" s="120">
        <f>HYPERLINK("#Покупные_изделия!D427",Покупные_изделия!D427)</f>
        <v>155.53200000000001</v>
      </c>
      <c r="M2714" s="76">
        <f>J2714*L2714</f>
        <v>0.46659600000000007</v>
      </c>
      <c r="N2714" s="77"/>
      <c r="O2714" s="77"/>
      <c r="P2714" s="76"/>
      <c r="Q2714" s="76"/>
    </row>
    <row r="2715" spans="6:17" hidden="1" outlineLevel="4" collapsed="1" x14ac:dyDescent="0.25">
      <c r="F2715" s="84" t="s">
        <v>1268</v>
      </c>
      <c r="G2715" s="79"/>
      <c r="H2715" s="80"/>
      <c r="I2715" s="81"/>
      <c r="J2715" s="83">
        <f>HYPERLINK("#Структура!E2059",Структура!E2059)</f>
        <v>1</v>
      </c>
      <c r="K2715" s="115">
        <f>HYPERLINK("#Структура!G2059",Структура!G2059)</f>
        <v>0.1951</v>
      </c>
      <c r="L2715" s="81">
        <f>M2715/J2715</f>
        <v>22.036617199999998</v>
      </c>
      <c r="M2715" s="81">
        <f>SUMIF(G2716:G2719,"*",M2716:M2719)*J2715</f>
        <v>22.036617199999998</v>
      </c>
      <c r="N2715" s="124">
        <f>HYPERLINK("#Трудозатраты!B563",Трудозатраты!B563+SUMIF(G2716:G2719,"*",O2716:O2719))</f>
        <v>16.8</v>
      </c>
      <c r="O2715" s="82">
        <f>N2715*J2715</f>
        <v>16.8</v>
      </c>
      <c r="P2715" s="81">
        <f>O2715/60*(1+запас_труд)*стоимость_трудочаса</f>
        <v>658.00000000000011</v>
      </c>
      <c r="Q2715" s="129">
        <f>M2715*(1+наценка_покупное)+P2715</f>
        <v>684.44394064000016</v>
      </c>
    </row>
    <row r="2716" spans="6:17" hidden="1" outlineLevel="5" x14ac:dyDescent="0.25">
      <c r="G2716" s="74" t="s">
        <v>67</v>
      </c>
      <c r="H2716" s="75"/>
      <c r="I2716" s="76"/>
      <c r="J2716" s="78">
        <f>HYPERLINK("#Структура!E2110",Структура!E2110)</f>
        <v>1.7000000000000001E-2</v>
      </c>
      <c r="K2716" s="114" t="str">
        <f>HYPERLINK("#Структура!G2110","")</f>
        <v/>
      </c>
      <c r="L2716" s="120">
        <f>HYPERLINK("#Покупные_изделия!D203",Покупные_изделия!D203)</f>
        <v>30.003600000000002</v>
      </c>
      <c r="M2716" s="76">
        <f>J2716*L2716</f>
        <v>0.5100612000000001</v>
      </c>
      <c r="N2716" s="77"/>
      <c r="O2716" s="77"/>
      <c r="P2716" s="76"/>
      <c r="Q2716" s="76"/>
    </row>
    <row r="2717" spans="6:17" hidden="1" outlineLevel="5" x14ac:dyDescent="0.25">
      <c r="G2717" s="74" t="s">
        <v>96</v>
      </c>
      <c r="H2717" s="75"/>
      <c r="I2717" s="76"/>
      <c r="J2717" s="78">
        <f>HYPERLINK("#Структура!E2111",Структура!E2111)</f>
        <v>0.2</v>
      </c>
      <c r="K2717" s="114" t="str">
        <f>HYPERLINK("#Структура!G2111","")</f>
        <v/>
      </c>
      <c r="L2717" s="120">
        <f>HYPERLINK("#Покупные_изделия!D265",Покупные_изделия!D265)</f>
        <v>100</v>
      </c>
      <c r="M2717" s="76">
        <f>J2717*L2717</f>
        <v>20</v>
      </c>
      <c r="N2717" s="77"/>
      <c r="O2717" s="77"/>
      <c r="P2717" s="76"/>
      <c r="Q2717" s="76"/>
    </row>
    <row r="2718" spans="6:17" hidden="1" outlineLevel="5" x14ac:dyDescent="0.25">
      <c r="G2718" s="74" t="s">
        <v>146</v>
      </c>
      <c r="H2718" s="75"/>
      <c r="I2718" s="76"/>
      <c r="J2718" s="78">
        <f>HYPERLINK("#Структура!E2112",Структура!E2112)</f>
        <v>0.01</v>
      </c>
      <c r="K2718" s="114" t="str">
        <f>HYPERLINK("#Структура!G2112","")</f>
        <v/>
      </c>
      <c r="L2718" s="120">
        <f>HYPERLINK("#Покупные_изделия!D406",Покупные_изделия!D406)</f>
        <v>105.996</v>
      </c>
      <c r="M2718" s="76">
        <f>J2718*L2718</f>
        <v>1.05996</v>
      </c>
      <c r="N2718" s="77"/>
      <c r="O2718" s="77"/>
      <c r="P2718" s="76"/>
      <c r="Q2718" s="76"/>
    </row>
    <row r="2719" spans="6:17" hidden="1" outlineLevel="5" x14ac:dyDescent="0.25">
      <c r="G2719" s="74" t="s">
        <v>156</v>
      </c>
      <c r="H2719" s="75"/>
      <c r="I2719" s="76"/>
      <c r="J2719" s="78">
        <f>HYPERLINK("#Структура!E2113",Структура!E2113)</f>
        <v>3.0000000000000001E-3</v>
      </c>
      <c r="K2719" s="114" t="str">
        <f>HYPERLINK("#Структура!G2113","")</f>
        <v/>
      </c>
      <c r="L2719" s="120">
        <f>HYPERLINK("#Покупные_изделия!D427",Покупные_изделия!D427)</f>
        <v>155.53200000000001</v>
      </c>
      <c r="M2719" s="76">
        <f>J2719*L2719</f>
        <v>0.46659600000000007</v>
      </c>
      <c r="N2719" s="77"/>
      <c r="O2719" s="77"/>
      <c r="P2719" s="76"/>
      <c r="Q2719" s="76"/>
    </row>
    <row r="2720" spans="6:17" hidden="1" outlineLevel="4" collapsed="1" x14ac:dyDescent="0.25">
      <c r="F2720" s="84" t="s">
        <v>1269</v>
      </c>
      <c r="G2720" s="79"/>
      <c r="H2720" s="80"/>
      <c r="I2720" s="81"/>
      <c r="J2720" s="83">
        <f>HYPERLINK("#Структура!E2060",Структура!E2060)</f>
        <v>1</v>
      </c>
      <c r="K2720" s="115">
        <f>HYPERLINK("#Структура!G2060",Структура!G2060)</f>
        <v>0.21027999999999999</v>
      </c>
      <c r="L2720" s="81">
        <f>M2720/J2720</f>
        <v>24.036617199999998</v>
      </c>
      <c r="M2720" s="81">
        <f>SUMIF(G2721:G2724,"*",M2721:M2724)*J2720</f>
        <v>24.036617199999998</v>
      </c>
      <c r="N2720" s="124">
        <f>HYPERLINK("#Трудозатраты!B564",Трудозатраты!B564+SUMIF(G2721:G2724,"*",O2721:O2724))</f>
        <v>17</v>
      </c>
      <c r="O2720" s="82">
        <f>N2720*J2720</f>
        <v>17</v>
      </c>
      <c r="P2720" s="81">
        <f>O2720/60*(1+запас_труд)*стоимость_трудочаса</f>
        <v>665.83333333333337</v>
      </c>
      <c r="Q2720" s="129">
        <f>M2720*(1+наценка_покупное)+P2720</f>
        <v>694.6772739733334</v>
      </c>
    </row>
    <row r="2721" spans="6:17" hidden="1" outlineLevel="5" x14ac:dyDescent="0.25">
      <c r="G2721" s="74" t="s">
        <v>67</v>
      </c>
      <c r="H2721" s="75"/>
      <c r="I2721" s="76"/>
      <c r="J2721" s="78">
        <f>HYPERLINK("#Структура!E2114",Структура!E2114)</f>
        <v>1.7000000000000001E-2</v>
      </c>
      <c r="K2721" s="114" t="str">
        <f>HYPERLINK("#Структура!G2114","")</f>
        <v/>
      </c>
      <c r="L2721" s="120">
        <f>HYPERLINK("#Покупные_изделия!D203",Покупные_изделия!D203)</f>
        <v>30.003600000000002</v>
      </c>
      <c r="M2721" s="76">
        <f>J2721*L2721</f>
        <v>0.5100612000000001</v>
      </c>
      <c r="N2721" s="77"/>
      <c r="O2721" s="77"/>
      <c r="P2721" s="76"/>
      <c r="Q2721" s="76"/>
    </row>
    <row r="2722" spans="6:17" hidden="1" outlineLevel="5" x14ac:dyDescent="0.25">
      <c r="G2722" s="74" t="s">
        <v>96</v>
      </c>
      <c r="H2722" s="75"/>
      <c r="I2722" s="76"/>
      <c r="J2722" s="78">
        <f>HYPERLINK("#Структура!E2115",Структура!E2115)</f>
        <v>0.22</v>
      </c>
      <c r="K2722" s="114" t="str">
        <f>HYPERLINK("#Структура!G2115","")</f>
        <v/>
      </c>
      <c r="L2722" s="120">
        <f>HYPERLINK("#Покупные_изделия!D265",Покупные_изделия!D265)</f>
        <v>100</v>
      </c>
      <c r="M2722" s="76">
        <f>J2722*L2722</f>
        <v>22</v>
      </c>
      <c r="N2722" s="77"/>
      <c r="O2722" s="77"/>
      <c r="P2722" s="76"/>
      <c r="Q2722" s="76"/>
    </row>
    <row r="2723" spans="6:17" hidden="1" outlineLevel="5" x14ac:dyDescent="0.25">
      <c r="G2723" s="74" t="s">
        <v>146</v>
      </c>
      <c r="H2723" s="75"/>
      <c r="I2723" s="76"/>
      <c r="J2723" s="78">
        <f>HYPERLINK("#Структура!E2116",Структура!E2116)</f>
        <v>0.01</v>
      </c>
      <c r="K2723" s="114" t="str">
        <f>HYPERLINK("#Структура!G2116","")</f>
        <v/>
      </c>
      <c r="L2723" s="120">
        <f>HYPERLINK("#Покупные_изделия!D406",Покупные_изделия!D406)</f>
        <v>105.996</v>
      </c>
      <c r="M2723" s="76">
        <f>J2723*L2723</f>
        <v>1.05996</v>
      </c>
      <c r="N2723" s="77"/>
      <c r="O2723" s="77"/>
      <c r="P2723" s="76"/>
      <c r="Q2723" s="76"/>
    </row>
    <row r="2724" spans="6:17" hidden="1" outlineLevel="5" x14ac:dyDescent="0.25">
      <c r="G2724" s="74" t="s">
        <v>156</v>
      </c>
      <c r="H2724" s="75"/>
      <c r="I2724" s="76"/>
      <c r="J2724" s="78">
        <f>HYPERLINK("#Структура!E2117",Структура!E2117)</f>
        <v>3.0000000000000001E-3</v>
      </c>
      <c r="K2724" s="114" t="str">
        <f>HYPERLINK("#Структура!G2117","")</f>
        <v/>
      </c>
      <c r="L2724" s="120">
        <f>HYPERLINK("#Покупные_изделия!D427",Покупные_изделия!D427)</f>
        <v>155.53200000000001</v>
      </c>
      <c r="M2724" s="76">
        <f>J2724*L2724</f>
        <v>0.46659600000000007</v>
      </c>
      <c r="N2724" s="77"/>
      <c r="O2724" s="77"/>
      <c r="P2724" s="76"/>
      <c r="Q2724" s="76"/>
    </row>
    <row r="2725" spans="6:17" hidden="1" outlineLevel="4" collapsed="1" x14ac:dyDescent="0.25">
      <c r="F2725" s="84" t="s">
        <v>1270</v>
      </c>
      <c r="G2725" s="79"/>
      <c r="H2725" s="80"/>
      <c r="I2725" s="81"/>
      <c r="J2725" s="83">
        <f>HYPERLINK("#Структура!E2061",Структура!E2061)</f>
        <v>1</v>
      </c>
      <c r="K2725" s="115">
        <f>HYPERLINK("#Структура!G2061",Структура!G2061)</f>
        <v>0.22453000000000001</v>
      </c>
      <c r="L2725" s="81">
        <f>M2725/J2725</f>
        <v>26.036617199999998</v>
      </c>
      <c r="M2725" s="81">
        <f>SUMIF(G2726:G2729,"*",M2726:M2729)*J2725</f>
        <v>26.036617199999998</v>
      </c>
      <c r="N2725" s="124">
        <f>HYPERLINK("#Трудозатраты!B565",Трудозатраты!B565+SUMIF(G2726:G2729,"*",O2726:O2729))</f>
        <v>17.600000000000001</v>
      </c>
      <c r="O2725" s="82">
        <f>N2725*J2725</f>
        <v>17.600000000000001</v>
      </c>
      <c r="P2725" s="81">
        <f>O2725/60*(1+запас_труд)*стоимость_трудочаса</f>
        <v>689.33333333333337</v>
      </c>
      <c r="Q2725" s="129">
        <f>M2725*(1+наценка_покупное)+P2725</f>
        <v>720.57727397333338</v>
      </c>
    </row>
    <row r="2726" spans="6:17" hidden="1" outlineLevel="5" x14ac:dyDescent="0.25">
      <c r="G2726" s="74" t="s">
        <v>67</v>
      </c>
      <c r="H2726" s="75"/>
      <c r="I2726" s="76"/>
      <c r="J2726" s="78">
        <f>HYPERLINK("#Структура!E2118",Структура!E2118)</f>
        <v>1.7000000000000001E-2</v>
      </c>
      <c r="K2726" s="114" t="str">
        <f>HYPERLINK("#Структура!G2118","")</f>
        <v/>
      </c>
      <c r="L2726" s="120">
        <f>HYPERLINK("#Покупные_изделия!D203",Покупные_изделия!D203)</f>
        <v>30.003600000000002</v>
      </c>
      <c r="M2726" s="76">
        <f>J2726*L2726</f>
        <v>0.5100612000000001</v>
      </c>
      <c r="N2726" s="77"/>
      <c r="O2726" s="77"/>
      <c r="P2726" s="76"/>
      <c r="Q2726" s="76"/>
    </row>
    <row r="2727" spans="6:17" hidden="1" outlineLevel="5" x14ac:dyDescent="0.25">
      <c r="G2727" s="74" t="s">
        <v>96</v>
      </c>
      <c r="H2727" s="75"/>
      <c r="I2727" s="76"/>
      <c r="J2727" s="78">
        <f>HYPERLINK("#Структура!E2119",Структура!E2119)</f>
        <v>0.24</v>
      </c>
      <c r="K2727" s="114" t="str">
        <f>HYPERLINK("#Структура!G2119","")</f>
        <v/>
      </c>
      <c r="L2727" s="120">
        <f>HYPERLINK("#Покупные_изделия!D265",Покупные_изделия!D265)</f>
        <v>100</v>
      </c>
      <c r="M2727" s="76">
        <f>J2727*L2727</f>
        <v>24</v>
      </c>
      <c r="N2727" s="77"/>
      <c r="O2727" s="77"/>
      <c r="P2727" s="76"/>
      <c r="Q2727" s="76"/>
    </row>
    <row r="2728" spans="6:17" hidden="1" outlineLevel="5" x14ac:dyDescent="0.25">
      <c r="G2728" s="74" t="s">
        <v>146</v>
      </c>
      <c r="H2728" s="75"/>
      <c r="I2728" s="76"/>
      <c r="J2728" s="78">
        <f>HYPERLINK("#Структура!E2120",Структура!E2120)</f>
        <v>0.01</v>
      </c>
      <c r="K2728" s="114" t="str">
        <f>HYPERLINK("#Структура!G2120","")</f>
        <v/>
      </c>
      <c r="L2728" s="120">
        <f>HYPERLINK("#Покупные_изделия!D406",Покупные_изделия!D406)</f>
        <v>105.996</v>
      </c>
      <c r="M2728" s="76">
        <f>J2728*L2728</f>
        <v>1.05996</v>
      </c>
      <c r="N2728" s="77"/>
      <c r="O2728" s="77"/>
      <c r="P2728" s="76"/>
      <c r="Q2728" s="76"/>
    </row>
    <row r="2729" spans="6:17" hidden="1" outlineLevel="5" x14ac:dyDescent="0.25">
      <c r="G2729" s="74" t="s">
        <v>156</v>
      </c>
      <c r="H2729" s="75"/>
      <c r="I2729" s="76"/>
      <c r="J2729" s="78">
        <f>HYPERLINK("#Структура!E2121",Структура!E2121)</f>
        <v>3.0000000000000001E-3</v>
      </c>
      <c r="K2729" s="114" t="str">
        <f>HYPERLINK("#Структура!G2121","")</f>
        <v/>
      </c>
      <c r="L2729" s="120">
        <f>HYPERLINK("#Покупные_изделия!D427",Покупные_изделия!D427)</f>
        <v>155.53200000000001</v>
      </c>
      <c r="M2729" s="76">
        <f>J2729*L2729</f>
        <v>0.46659600000000007</v>
      </c>
      <c r="N2729" s="77"/>
      <c r="O2729" s="77"/>
      <c r="P2729" s="76"/>
      <c r="Q2729" s="76"/>
    </row>
    <row r="2730" spans="6:17" hidden="1" outlineLevel="4" collapsed="1" x14ac:dyDescent="0.25">
      <c r="F2730" s="84" t="s">
        <v>1271</v>
      </c>
      <c r="G2730" s="79"/>
      <c r="H2730" s="80"/>
      <c r="I2730" s="81"/>
      <c r="J2730" s="83">
        <f>HYPERLINK("#Структура!E2062",Структура!E2062)</f>
        <v>2</v>
      </c>
      <c r="K2730" s="115">
        <f>HYPERLINK("#Структура!G2062",Структура!G2062)</f>
        <v>3.7699999999999997E-2</v>
      </c>
      <c r="L2730" s="81">
        <f>M2730/J2730</f>
        <v>4.2555320000000005</v>
      </c>
      <c r="M2730" s="81">
        <f>SUMIF(G2731:G2732,"*",M2731:M2732)*J2730</f>
        <v>8.5110640000000011</v>
      </c>
      <c r="N2730" s="124">
        <f>HYPERLINK("#Трудозатраты!B566",Трудозатраты!B566+SUMIF(G2731:G2732,"*",O2731:O2732))</f>
        <v>9.8000000000000007</v>
      </c>
      <c r="O2730" s="82">
        <f>N2730*J2730</f>
        <v>19.600000000000001</v>
      </c>
      <c r="P2730" s="81">
        <f>O2730/60*(1+запас_труд)*стоимость_трудочаса</f>
        <v>767.66666666666674</v>
      </c>
      <c r="Q2730" s="129">
        <f>M2730*(1+наценка_покупное)+P2730</f>
        <v>777.87994346666676</v>
      </c>
    </row>
    <row r="2731" spans="6:17" hidden="1" outlineLevel="5" x14ac:dyDescent="0.25">
      <c r="G2731" s="74" t="s">
        <v>96</v>
      </c>
      <c r="H2731" s="75"/>
      <c r="I2731" s="76"/>
      <c r="J2731" s="78">
        <f>HYPERLINK("#Структура!E2122",Структура!E2122)</f>
        <v>4.1000000000000002E-2</v>
      </c>
      <c r="K2731" s="114" t="str">
        <f>HYPERLINK("#Структура!G2122","")</f>
        <v/>
      </c>
      <c r="L2731" s="120">
        <f>HYPERLINK("#Покупные_изделия!D265",Покупные_изделия!D265)</f>
        <v>100</v>
      </c>
      <c r="M2731" s="76">
        <f>J2731*L2731</f>
        <v>4.1000000000000005</v>
      </c>
      <c r="N2731" s="77"/>
      <c r="O2731" s="77"/>
      <c r="P2731" s="76"/>
      <c r="Q2731" s="76"/>
    </row>
    <row r="2732" spans="6:17" hidden="1" outlineLevel="5" x14ac:dyDescent="0.25">
      <c r="G2732" s="74" t="s">
        <v>156</v>
      </c>
      <c r="H2732" s="75"/>
      <c r="I2732" s="76"/>
      <c r="J2732" s="78">
        <f>HYPERLINK("#Структура!E2123",Структура!E2123)</f>
        <v>1E-3</v>
      </c>
      <c r="K2732" s="114" t="str">
        <f>HYPERLINK("#Структура!G2123","")</f>
        <v/>
      </c>
      <c r="L2732" s="120">
        <f>HYPERLINK("#Покупные_изделия!D427",Покупные_изделия!D427)</f>
        <v>155.53200000000001</v>
      </c>
      <c r="M2732" s="76">
        <f>J2732*L2732</f>
        <v>0.155532</v>
      </c>
      <c r="N2732" s="77"/>
      <c r="O2732" s="77"/>
      <c r="P2732" s="76"/>
      <c r="Q2732" s="76"/>
    </row>
    <row r="2733" spans="6:17" hidden="1" outlineLevel="4" collapsed="1" x14ac:dyDescent="0.25">
      <c r="F2733" s="84" t="s">
        <v>1272</v>
      </c>
      <c r="G2733" s="79"/>
      <c r="H2733" s="80"/>
      <c r="I2733" s="81"/>
      <c r="J2733" s="83">
        <f>HYPERLINK("#Структура!E2063",Структура!E2063)</f>
        <v>2</v>
      </c>
      <c r="K2733" s="115">
        <f>HYPERLINK("#Структура!G2063",Структура!G2063)</f>
        <v>3.7769999999999998E-2</v>
      </c>
      <c r="L2733" s="81">
        <f>M2733/J2733</f>
        <v>4.2555320000000005</v>
      </c>
      <c r="M2733" s="81">
        <f>SUMIF(G2734:G2735,"*",M2734:M2735)*J2733</f>
        <v>8.5110640000000011</v>
      </c>
      <c r="N2733" s="124">
        <f>HYPERLINK("#Трудозатраты!B567",Трудозатраты!B567+SUMIF(G2734:G2735,"*",O2734:O2735))</f>
        <v>9.8000000000000007</v>
      </c>
      <c r="O2733" s="82">
        <f>N2733*J2733</f>
        <v>19.600000000000001</v>
      </c>
      <c r="P2733" s="81">
        <f>O2733/60*(1+запас_труд)*стоимость_трудочаса</f>
        <v>767.66666666666674</v>
      </c>
      <c r="Q2733" s="129">
        <f>M2733*(1+наценка_покупное)+P2733</f>
        <v>777.87994346666676</v>
      </c>
    </row>
    <row r="2734" spans="6:17" hidden="1" outlineLevel="5" x14ac:dyDescent="0.25">
      <c r="G2734" s="74" t="s">
        <v>96</v>
      </c>
      <c r="H2734" s="75"/>
      <c r="I2734" s="76"/>
      <c r="J2734" s="78">
        <f>HYPERLINK("#Структура!E2124",Структура!E2124)</f>
        <v>4.1000000000000002E-2</v>
      </c>
      <c r="K2734" s="114" t="str">
        <f>HYPERLINK("#Структура!G2124","")</f>
        <v/>
      </c>
      <c r="L2734" s="120">
        <f>HYPERLINK("#Покупные_изделия!D265",Покупные_изделия!D265)</f>
        <v>100</v>
      </c>
      <c r="M2734" s="76">
        <f t="shared" ref="M2734:M2740" si="103">J2734*L2734</f>
        <v>4.1000000000000005</v>
      </c>
      <c r="N2734" s="77"/>
      <c r="O2734" s="77"/>
      <c r="P2734" s="76"/>
      <c r="Q2734" s="76"/>
    </row>
    <row r="2735" spans="6:17" hidden="1" outlineLevel="5" x14ac:dyDescent="0.25">
      <c r="G2735" s="74" t="s">
        <v>156</v>
      </c>
      <c r="H2735" s="75"/>
      <c r="I2735" s="76"/>
      <c r="J2735" s="78">
        <f>HYPERLINK("#Структура!E2125",Структура!E2125)</f>
        <v>1E-3</v>
      </c>
      <c r="K2735" s="114" t="str">
        <f>HYPERLINK("#Структура!G2125","")</f>
        <v/>
      </c>
      <c r="L2735" s="120">
        <f>HYPERLINK("#Покупные_изделия!D427",Покупные_изделия!D427)</f>
        <v>155.53200000000001</v>
      </c>
      <c r="M2735" s="76">
        <f t="shared" si="103"/>
        <v>0.155532</v>
      </c>
      <c r="N2735" s="77"/>
      <c r="O2735" s="77"/>
      <c r="P2735" s="76"/>
      <c r="Q2735" s="76"/>
    </row>
    <row r="2736" spans="6:17" hidden="1" outlineLevel="4" x14ac:dyDescent="0.25">
      <c r="F2736" s="74" t="s">
        <v>64</v>
      </c>
      <c r="G2736" s="74"/>
      <c r="H2736" s="75"/>
      <c r="I2736" s="76"/>
      <c r="J2736" s="78">
        <f>HYPERLINK("#Структура!E2064",Структура!E2064)</f>
        <v>0.24</v>
      </c>
      <c r="K2736" s="114" t="str">
        <f>HYPERLINK("#Структура!G2064","")</f>
        <v/>
      </c>
      <c r="L2736" s="120">
        <f>HYPERLINK("#Покупные_изделия!D196",Покупные_изделия!D196)</f>
        <v>187.92840000000001</v>
      </c>
      <c r="M2736" s="76">
        <f t="shared" si="103"/>
        <v>45.102816000000004</v>
      </c>
      <c r="N2736" s="77"/>
      <c r="O2736" s="77"/>
      <c r="P2736" s="76"/>
      <c r="Q2736" s="76"/>
    </row>
    <row r="2737" spans="5:17" hidden="1" outlineLevel="4" x14ac:dyDescent="0.25">
      <c r="F2737" s="74" t="s">
        <v>67</v>
      </c>
      <c r="G2737" s="74"/>
      <c r="H2737" s="75"/>
      <c r="I2737" s="76"/>
      <c r="J2737" s="78">
        <f>HYPERLINK("#Структура!E2065",Структура!E2065)</f>
        <v>0.25600000000000001</v>
      </c>
      <c r="K2737" s="114" t="str">
        <f>HYPERLINK("#Структура!G2065","")</f>
        <v/>
      </c>
      <c r="L2737" s="120">
        <f>HYPERLINK("#Покупные_изделия!D203",Покупные_изделия!D203)</f>
        <v>30.003600000000002</v>
      </c>
      <c r="M2737" s="76">
        <f t="shared" si="103"/>
        <v>7.6809216000000005</v>
      </c>
      <c r="N2737" s="77"/>
      <c r="O2737" s="77"/>
      <c r="P2737" s="76"/>
      <c r="Q2737" s="76"/>
    </row>
    <row r="2738" spans="5:17" hidden="1" outlineLevel="4" x14ac:dyDescent="0.25">
      <c r="F2738" s="74" t="s">
        <v>139</v>
      </c>
      <c r="G2738" s="74"/>
      <c r="H2738" s="75"/>
      <c r="I2738" s="76"/>
      <c r="J2738" s="78">
        <f>HYPERLINK("#Структура!E2066",Структура!E2066)</f>
        <v>4.8000000000000001E-2</v>
      </c>
      <c r="K2738" s="114" t="str">
        <f>HYPERLINK("#Структура!G2066","")</f>
        <v/>
      </c>
      <c r="L2738" s="120">
        <f>HYPERLINK("#Покупные_изделия!D360",Покупные_изделия!D360)</f>
        <v>171.87720000000002</v>
      </c>
      <c r="M2738" s="76">
        <f t="shared" si="103"/>
        <v>8.2501056000000013</v>
      </c>
      <c r="N2738" s="77"/>
      <c r="O2738" s="77"/>
      <c r="P2738" s="76"/>
      <c r="Q2738" s="76"/>
    </row>
    <row r="2739" spans="5:17" hidden="1" outlineLevel="4" x14ac:dyDescent="0.25">
      <c r="F2739" s="74" t="s">
        <v>146</v>
      </c>
      <c r="G2739" s="74"/>
      <c r="H2739" s="75"/>
      <c r="I2739" s="76"/>
      <c r="J2739" s="78">
        <f>HYPERLINK("#Структура!E2067",Структура!E2067)</f>
        <v>0.151</v>
      </c>
      <c r="K2739" s="114" t="str">
        <f>HYPERLINK("#Структура!G2067","")</f>
        <v/>
      </c>
      <c r="L2739" s="120">
        <f>HYPERLINK("#Покупные_изделия!D406",Покупные_изделия!D406)</f>
        <v>105.996</v>
      </c>
      <c r="M2739" s="76">
        <f t="shared" si="103"/>
        <v>16.005395999999998</v>
      </c>
      <c r="N2739" s="77"/>
      <c r="O2739" s="77"/>
      <c r="P2739" s="76"/>
      <c r="Q2739" s="76"/>
    </row>
    <row r="2740" spans="5:17" hidden="1" outlineLevel="4" x14ac:dyDescent="0.25">
      <c r="F2740" s="74" t="s">
        <v>156</v>
      </c>
      <c r="G2740" s="74"/>
      <c r="H2740" s="75"/>
      <c r="I2740" s="76"/>
      <c r="J2740" s="78">
        <f>HYPERLINK("#Структура!E2068",Структура!E2068)</f>
        <v>0.11</v>
      </c>
      <c r="K2740" s="114" t="str">
        <f>HYPERLINK("#Структура!G2068","")</f>
        <v/>
      </c>
      <c r="L2740" s="120">
        <f>HYPERLINK("#Покупные_изделия!D427",Покупные_изделия!D427)</f>
        <v>155.53200000000001</v>
      </c>
      <c r="M2740" s="76">
        <f t="shared" si="103"/>
        <v>17.108520000000002</v>
      </c>
      <c r="N2740" s="77"/>
      <c r="O2740" s="77"/>
      <c r="P2740" s="76"/>
      <c r="Q2740" s="76"/>
    </row>
    <row r="2741" spans="5:17" hidden="1" outlineLevel="3" collapsed="1" x14ac:dyDescent="0.25">
      <c r="E2741" s="96" t="s">
        <v>1186</v>
      </c>
      <c r="F2741" s="91"/>
      <c r="G2741" s="91"/>
      <c r="H2741" s="92"/>
      <c r="I2741" s="93"/>
      <c r="J2741" s="95">
        <f>HYPERLINK("#Структура!E2332",Структура!E2332)</f>
        <v>2</v>
      </c>
      <c r="K2741" s="116">
        <f>HYPERLINK("#Структура!G2332",Структура!G2332)</f>
        <v>9.4101900000000001</v>
      </c>
      <c r="L2741" s="93">
        <f>M2741/J2741</f>
        <v>4044.5011427999993</v>
      </c>
      <c r="M2741" s="93">
        <f>SUMIF(F2742:F2755,"*",M2742:M2755)*J2741</f>
        <v>8089.0022855999987</v>
      </c>
      <c r="N2741" s="125">
        <f>HYPERLINK("#Трудозатраты!B572",Трудозатраты!B572+SUMIF(F2742:F2755,"*",O2742:O2755))</f>
        <v>202.82999999999998</v>
      </c>
      <c r="O2741" s="94">
        <f>N2741*J2741</f>
        <v>405.65999999999997</v>
      </c>
      <c r="P2741" s="93">
        <f>O2741/60*(1+запас_труд)*стоимость_трудочаса</f>
        <v>15888.349999999999</v>
      </c>
      <c r="Q2741" s="130">
        <f>M2741*(1+наценка_покупное)+P2741</f>
        <v>25595.152742719998</v>
      </c>
    </row>
    <row r="2742" spans="5:17" hidden="1" outlineLevel="4" collapsed="1" x14ac:dyDescent="0.25">
      <c r="F2742" s="85" t="s">
        <v>1275</v>
      </c>
      <c r="G2742" s="86"/>
      <c r="H2742" s="87"/>
      <c r="I2742" s="88"/>
      <c r="J2742" s="90">
        <f>HYPERLINK("#Структура!E2144",Структура!E2144)</f>
        <v>1</v>
      </c>
      <c r="K2742" s="113">
        <f>HYPERLINK("#Структура!G2144",Структура!G2144)</f>
        <v>2.7799200000000002</v>
      </c>
      <c r="L2742" s="88">
        <f>M2742/J2742</f>
        <v>1538.4</v>
      </c>
      <c r="M2742" s="88">
        <f>SUMIF(G2743,"*",M2743)*J2742</f>
        <v>1538.4</v>
      </c>
      <c r="N2742" s="123">
        <f>HYPERLINK("#Трудозатраты!B573",Трудозатраты!B573+SUMIF(G2743,"*",O2743))</f>
        <v>25.8</v>
      </c>
      <c r="O2742" s="89">
        <f>N2742*J2742</f>
        <v>25.8</v>
      </c>
      <c r="P2742" s="88">
        <f>O2742/60*(1+запас_труд)*стоимость_трудочаса</f>
        <v>1010.5</v>
      </c>
      <c r="Q2742" s="128">
        <f>M2742*(1+наценка_покупное)+P2742</f>
        <v>2856.58</v>
      </c>
    </row>
    <row r="2743" spans="5:17" hidden="1" outlineLevel="5" x14ac:dyDescent="0.25">
      <c r="G2743" s="74" t="s">
        <v>113</v>
      </c>
      <c r="H2743" s="75"/>
      <c r="I2743" s="76"/>
      <c r="J2743" s="78">
        <f>HYPERLINK("#Структура!E2153",Структура!E2153)</f>
        <v>12.82</v>
      </c>
      <c r="K2743" s="114" t="str">
        <f>HYPERLINK("#Структура!G2153","")</f>
        <v/>
      </c>
      <c r="L2743" s="120">
        <f>HYPERLINK("#Покупные_изделия!D286",Покупные_изделия!D286)</f>
        <v>120</v>
      </c>
      <c r="M2743" s="76">
        <f>J2743*L2743</f>
        <v>1538.4</v>
      </c>
      <c r="N2743" s="77"/>
      <c r="O2743" s="77"/>
      <c r="P2743" s="76"/>
      <c r="Q2743" s="76"/>
    </row>
    <row r="2744" spans="5:17" hidden="1" outlineLevel="4" collapsed="1" x14ac:dyDescent="0.25">
      <c r="F2744" s="84" t="s">
        <v>1276</v>
      </c>
      <c r="G2744" s="79"/>
      <c r="H2744" s="80"/>
      <c r="I2744" s="81"/>
      <c r="J2744" s="83">
        <f>HYPERLINK("#Структура!E2145",Структура!E2145)</f>
        <v>1</v>
      </c>
      <c r="K2744" s="115">
        <f>HYPERLINK("#Структура!G2145",Структура!G2145)</f>
        <v>5.9174699999999998</v>
      </c>
      <c r="L2744" s="81">
        <f>M2744/J2744</f>
        <v>2093.9100635999998</v>
      </c>
      <c r="M2744" s="81">
        <f>SUMIF(G2745:G2747,"*",M2745:M2747)*J2744</f>
        <v>2093.9100635999998</v>
      </c>
      <c r="N2744" s="124">
        <f>HYPERLINK("#Трудозатраты!B574",Трудозатраты!B574+SUMIF(G2745:G2747,"*",O2745:O2747))</f>
        <v>19.5</v>
      </c>
      <c r="O2744" s="82">
        <f>N2744*J2744</f>
        <v>19.5</v>
      </c>
      <c r="P2744" s="81">
        <f>O2744/60*(1+запас_труд)*стоимость_трудочаса</f>
        <v>763.75</v>
      </c>
      <c r="Q2744" s="129">
        <f>M2744*(1+наценка_покупное)+P2744</f>
        <v>3276.4420763199996</v>
      </c>
    </row>
    <row r="2745" spans="5:17" hidden="1" outlineLevel="5" x14ac:dyDescent="0.25">
      <c r="G2745" s="74" t="s">
        <v>67</v>
      </c>
      <c r="H2745" s="75"/>
      <c r="I2745" s="76"/>
      <c r="J2745" s="78">
        <f>HYPERLINK("#Структура!E2154",Структура!E2154)</f>
        <v>5.0999999999999997E-2</v>
      </c>
      <c r="K2745" s="114" t="str">
        <f>HYPERLINK("#Структура!G2154","")</f>
        <v/>
      </c>
      <c r="L2745" s="120">
        <f>HYPERLINK("#Покупные_изделия!D203",Покупные_изделия!D203)</f>
        <v>30.003600000000002</v>
      </c>
      <c r="M2745" s="76">
        <f>J2745*L2745</f>
        <v>1.5301836</v>
      </c>
      <c r="N2745" s="77"/>
      <c r="O2745" s="77"/>
      <c r="P2745" s="76"/>
      <c r="Q2745" s="76"/>
    </row>
    <row r="2746" spans="5:17" hidden="1" outlineLevel="5" x14ac:dyDescent="0.25">
      <c r="G2746" s="74" t="s">
        <v>113</v>
      </c>
      <c r="H2746" s="75"/>
      <c r="I2746" s="76"/>
      <c r="J2746" s="78">
        <f>HYPERLINK("#Структура!E2155",Структура!E2155)</f>
        <v>17.41</v>
      </c>
      <c r="K2746" s="114" t="str">
        <f>HYPERLINK("#Структура!G2155","")</f>
        <v/>
      </c>
      <c r="L2746" s="120">
        <f>HYPERLINK("#Покупные_изделия!D286",Покупные_изделия!D286)</f>
        <v>120</v>
      </c>
      <c r="M2746" s="76">
        <f>J2746*L2746</f>
        <v>2089.1999999999998</v>
      </c>
      <c r="N2746" s="77"/>
      <c r="O2746" s="77"/>
      <c r="P2746" s="76"/>
      <c r="Q2746" s="76"/>
    </row>
    <row r="2747" spans="5:17" hidden="1" outlineLevel="5" x14ac:dyDescent="0.25">
      <c r="G2747" s="74" t="s">
        <v>146</v>
      </c>
      <c r="H2747" s="75"/>
      <c r="I2747" s="76"/>
      <c r="J2747" s="78">
        <f>HYPERLINK("#Структура!E2156",Структура!E2156)</f>
        <v>0.03</v>
      </c>
      <c r="K2747" s="114" t="str">
        <f>HYPERLINK("#Структура!G2156","")</f>
        <v/>
      </c>
      <c r="L2747" s="120">
        <f>HYPERLINK("#Покупные_изделия!D406",Покупные_изделия!D406)</f>
        <v>105.996</v>
      </c>
      <c r="M2747" s="76">
        <f>J2747*L2747</f>
        <v>3.1798799999999998</v>
      </c>
      <c r="N2747" s="77"/>
      <c r="O2747" s="77"/>
      <c r="P2747" s="76"/>
      <c r="Q2747" s="76"/>
    </row>
    <row r="2748" spans="5:17" hidden="1" outlineLevel="4" collapsed="1" x14ac:dyDescent="0.25">
      <c r="F2748" s="84" t="s">
        <v>1277</v>
      </c>
      <c r="G2748" s="79"/>
      <c r="H2748" s="80"/>
      <c r="I2748" s="81"/>
      <c r="J2748" s="83">
        <f>HYPERLINK("#Структура!E2146",Структура!E2146)</f>
        <v>1</v>
      </c>
      <c r="K2748" s="115">
        <f>HYPERLINK("#Структура!G2146",Структура!G2146)</f>
        <v>0.71279999999999999</v>
      </c>
      <c r="L2748" s="81">
        <f>M2748/J2748</f>
        <v>102.24</v>
      </c>
      <c r="M2748" s="81">
        <f>SUMIF(G2749,"*",M2749)*J2748</f>
        <v>102.24</v>
      </c>
      <c r="N2748" s="124">
        <f>HYPERLINK("#Трудозатраты!B575",Трудозатраты!B575+SUMIF(G2749,"*",O2749))</f>
        <v>24.53</v>
      </c>
      <c r="O2748" s="82">
        <f>N2748*J2748</f>
        <v>24.53</v>
      </c>
      <c r="P2748" s="81">
        <f>O2748/60*(1+запас_труд)*стоимость_трудочаса</f>
        <v>960.75833333333333</v>
      </c>
      <c r="Q2748" s="129">
        <f>M2748*(1+наценка_покупное)+P2748</f>
        <v>1083.4463333333333</v>
      </c>
    </row>
    <row r="2749" spans="5:17" hidden="1" outlineLevel="5" x14ac:dyDescent="0.25">
      <c r="G2749" s="74" t="s">
        <v>113</v>
      </c>
      <c r="H2749" s="75"/>
      <c r="I2749" s="76"/>
      <c r="J2749" s="78">
        <f>HYPERLINK("#Структура!E2157",Структура!E2157)</f>
        <v>0.85199999999999998</v>
      </c>
      <c r="K2749" s="114" t="str">
        <f>HYPERLINK("#Структура!G2157","")</f>
        <v/>
      </c>
      <c r="L2749" s="120">
        <f>HYPERLINK("#Покупные_изделия!D286",Покупные_изделия!D286)</f>
        <v>120</v>
      </c>
      <c r="M2749" s="76">
        <f t="shared" ref="M2749:M2755" si="104">J2749*L2749</f>
        <v>102.24</v>
      </c>
      <c r="N2749" s="77"/>
      <c r="O2749" s="77"/>
      <c r="P2749" s="76"/>
      <c r="Q2749" s="76"/>
    </row>
    <row r="2750" spans="5:17" hidden="1" outlineLevel="4" x14ac:dyDescent="0.25">
      <c r="F2750" s="74" t="s">
        <v>65</v>
      </c>
      <c r="G2750" s="74"/>
      <c r="H2750" s="75"/>
      <c r="I2750" s="76"/>
      <c r="J2750" s="78">
        <f>HYPERLINK("#Структура!E2147",Структура!E2147)</f>
        <v>0.15</v>
      </c>
      <c r="K2750" s="114" t="str">
        <f>HYPERLINK("#Структура!G2147","")</f>
        <v/>
      </c>
      <c r="L2750" s="120">
        <f>HYPERLINK("#Покупные_изделия!D197",Покупные_изделия!D197)</f>
        <v>264.50399999999996</v>
      </c>
      <c r="M2750" s="76">
        <f t="shared" si="104"/>
        <v>39.675599999999996</v>
      </c>
      <c r="N2750" s="77"/>
      <c r="O2750" s="77"/>
      <c r="P2750" s="76"/>
      <c r="Q2750" s="76"/>
    </row>
    <row r="2751" spans="5:17" hidden="1" outlineLevel="4" x14ac:dyDescent="0.25">
      <c r="F2751" s="74" t="s">
        <v>67</v>
      </c>
      <c r="G2751" s="74"/>
      <c r="H2751" s="75"/>
      <c r="I2751" s="76"/>
      <c r="J2751" s="78">
        <f>HYPERLINK("#Структура!E2148",Структура!E2148)</f>
        <v>0.86199999999999999</v>
      </c>
      <c r="K2751" s="114" t="str">
        <f>HYPERLINK("#Структура!G2148","")</f>
        <v/>
      </c>
      <c r="L2751" s="120">
        <f>HYPERLINK("#Покупные_изделия!D203",Покупные_изделия!D203)</f>
        <v>30.003600000000002</v>
      </c>
      <c r="M2751" s="76">
        <f t="shared" si="104"/>
        <v>25.863103200000001</v>
      </c>
      <c r="N2751" s="77"/>
      <c r="O2751" s="77"/>
      <c r="P2751" s="76"/>
      <c r="Q2751" s="76"/>
    </row>
    <row r="2752" spans="5:17" hidden="1" outlineLevel="4" x14ac:dyDescent="0.25">
      <c r="F2752" s="74" t="s">
        <v>146</v>
      </c>
      <c r="G2752" s="74"/>
      <c r="H2752" s="75"/>
      <c r="I2752" s="76"/>
      <c r="J2752" s="78">
        <f>HYPERLINK("#Структура!E2149",Структура!E2149)</f>
        <v>0.50600000000000001</v>
      </c>
      <c r="K2752" s="114" t="str">
        <f>HYPERLINK("#Структура!G2149","")</f>
        <v/>
      </c>
      <c r="L2752" s="120">
        <f>HYPERLINK("#Покупные_изделия!D406",Покупные_изделия!D406)</f>
        <v>105.996</v>
      </c>
      <c r="M2752" s="76">
        <f t="shared" si="104"/>
        <v>53.633975999999997</v>
      </c>
      <c r="N2752" s="77"/>
      <c r="O2752" s="77"/>
      <c r="P2752" s="76"/>
      <c r="Q2752" s="76"/>
    </row>
    <row r="2753" spans="5:17" hidden="1" outlineLevel="4" x14ac:dyDescent="0.25">
      <c r="F2753" s="74" t="s">
        <v>155</v>
      </c>
      <c r="G2753" s="74"/>
      <c r="H2753" s="75"/>
      <c r="I2753" s="76"/>
      <c r="J2753" s="78">
        <f>HYPERLINK("#Структура!E2150",Структура!E2150)</f>
        <v>0.09</v>
      </c>
      <c r="K2753" s="114" t="str">
        <f>HYPERLINK("#Структура!G2150","")</f>
        <v/>
      </c>
      <c r="L2753" s="120">
        <f>HYPERLINK("#Покупные_изделия!D423",Покупные_изделия!D423)</f>
        <v>218.28</v>
      </c>
      <c r="M2753" s="76">
        <f t="shared" si="104"/>
        <v>19.645199999999999</v>
      </c>
      <c r="N2753" s="77"/>
      <c r="O2753" s="77"/>
      <c r="P2753" s="76"/>
      <c r="Q2753" s="76"/>
    </row>
    <row r="2754" spans="5:17" hidden="1" outlineLevel="4" x14ac:dyDescent="0.25">
      <c r="F2754" s="74" t="s">
        <v>200</v>
      </c>
      <c r="G2754" s="74"/>
      <c r="H2754" s="75"/>
      <c r="I2754" s="76"/>
      <c r="J2754" s="78">
        <f>HYPERLINK("#Структура!E2151",Структура!E2151)</f>
        <v>0.183</v>
      </c>
      <c r="K2754" s="114" t="str">
        <f>HYPERLINK("#Структура!G2151","")</f>
        <v/>
      </c>
      <c r="L2754" s="120">
        <f>HYPERLINK("#Покупные_изделия!D518",Покупные_изделия!D518)</f>
        <v>270</v>
      </c>
      <c r="M2754" s="76">
        <f t="shared" si="104"/>
        <v>49.41</v>
      </c>
      <c r="N2754" s="77"/>
      <c r="O2754" s="77"/>
      <c r="P2754" s="76"/>
      <c r="Q2754" s="76"/>
    </row>
    <row r="2755" spans="5:17" hidden="1" outlineLevel="4" x14ac:dyDescent="0.25">
      <c r="F2755" s="74" t="s">
        <v>215</v>
      </c>
      <c r="G2755" s="74"/>
      <c r="H2755" s="75"/>
      <c r="I2755" s="76"/>
      <c r="J2755" s="78">
        <f>HYPERLINK("#Структура!E2152",Структура!E2152)</f>
        <v>0.3</v>
      </c>
      <c r="K2755" s="114" t="str">
        <f>HYPERLINK("#Структура!G2152","")</f>
        <v/>
      </c>
      <c r="L2755" s="120">
        <f>HYPERLINK("#Покупные_изделия!D567",Покупные_изделия!D567)</f>
        <v>405.74399999999997</v>
      </c>
      <c r="M2755" s="76">
        <f t="shared" si="104"/>
        <v>121.72319999999999</v>
      </c>
      <c r="N2755" s="77"/>
      <c r="O2755" s="77"/>
      <c r="P2755" s="76"/>
      <c r="Q2755" s="76"/>
    </row>
    <row r="2756" spans="5:17" hidden="1" outlineLevel="3" collapsed="1" x14ac:dyDescent="0.25">
      <c r="E2756" s="96" t="s">
        <v>1279</v>
      </c>
      <c r="F2756" s="91"/>
      <c r="G2756" s="91"/>
      <c r="H2756" s="92"/>
      <c r="I2756" s="93"/>
      <c r="J2756" s="95">
        <f>HYPERLINK("#Структура!E2333",Структура!E2333)</f>
        <v>1</v>
      </c>
      <c r="K2756" s="116">
        <f>HYPERLINK("#Структура!G2333",Структура!G2333)</f>
        <v>97.594430000000003</v>
      </c>
      <c r="L2756" s="93">
        <f>M2756/J2756</f>
        <v>20998.244106000002</v>
      </c>
      <c r="M2756" s="93">
        <f>SUMIF(F2757:F2795,"*",M2757:M2795)*J2756</f>
        <v>20998.244106000002</v>
      </c>
      <c r="N2756" s="125">
        <f>HYPERLINK("#Трудозатраты!B581",Трудозатраты!B581+SUMIF(F2757:F2795,"*",O2757:O2795))</f>
        <v>636.20000000000005</v>
      </c>
      <c r="O2756" s="94">
        <f>N2756*J2756</f>
        <v>636.20000000000005</v>
      </c>
      <c r="P2756" s="93">
        <f>O2756/60*(1+запас_труд)*стоимость_трудочаса</f>
        <v>24917.833333333332</v>
      </c>
      <c r="Q2756" s="130">
        <f>M2756*(1+наценка_покупное)+P2756</f>
        <v>50115.726260533338</v>
      </c>
    </row>
    <row r="2757" spans="5:17" hidden="1" outlineLevel="4" collapsed="1" x14ac:dyDescent="0.25">
      <c r="F2757" s="97" t="s">
        <v>1208</v>
      </c>
      <c r="G2757" s="98"/>
      <c r="H2757" s="99"/>
      <c r="I2757" s="100"/>
      <c r="J2757" s="102">
        <f>HYPERLINK("#Структура!E2224",Структура!E2224)</f>
        <v>1</v>
      </c>
      <c r="K2757" s="112">
        <f>HYPERLINK("#Структура!G2224",Структура!G2224)</f>
        <v>7.9344000000000001</v>
      </c>
      <c r="L2757" s="100">
        <f>M2757/J2757</f>
        <v>1958.1646200000002</v>
      </c>
      <c r="M2757" s="100">
        <f>SUMIF(G2758:G2768,"*",M2758:M2768)*J2757</f>
        <v>1958.1646200000002</v>
      </c>
      <c r="N2757" s="122">
        <f>HYPERLINK("#Трудозатраты!B507",Трудозатраты!B507+SUMIF(G2758:G2768,"*",O2758:O2768))</f>
        <v>48</v>
      </c>
      <c r="O2757" s="101">
        <f>N2757*J2757</f>
        <v>48</v>
      </c>
      <c r="P2757" s="100">
        <f>O2757/60*(1+запас_труд)*стоимость_трудочаса</f>
        <v>1880</v>
      </c>
      <c r="Q2757" s="127">
        <f>M2757*(1+наценка_покупное)+P2757</f>
        <v>4229.797544</v>
      </c>
    </row>
    <row r="2758" spans="5:17" hidden="1" outlineLevel="5" collapsed="1" x14ac:dyDescent="0.25">
      <c r="G2758" s="85" t="s">
        <v>1215</v>
      </c>
      <c r="H2758" s="87"/>
      <c r="I2758" s="88"/>
      <c r="J2758" s="90">
        <f>HYPERLINK("#Структура!E1903",Структура!E1903)</f>
        <v>1</v>
      </c>
      <c r="K2758" s="113">
        <f>HYPERLINK("#Структура!G1903",Структура!G1903)</f>
        <v>7.4728300000000001</v>
      </c>
      <c r="L2758" s="88">
        <f>M2758/J2758</f>
        <v>1852.8</v>
      </c>
      <c r="M2758" s="88">
        <f>SUMIF(H2759,"*",M2759)*J2758</f>
        <v>1852.8</v>
      </c>
      <c r="N2758" s="123">
        <f>HYPERLINK("#Трудозатраты!B508",Трудозатраты!B508+SUMIF(H2759,"*",O2759))</f>
        <v>8.5</v>
      </c>
      <c r="O2758" s="89">
        <f>N2758*J2758</f>
        <v>8.5</v>
      </c>
      <c r="P2758" s="88">
        <f>O2758/60*(1+запас_труд)*стоимость_трудочаса</f>
        <v>332.91666666666669</v>
      </c>
      <c r="Q2758" s="128">
        <f>M2758*(1+наценка_покупное)+P2758</f>
        <v>2556.2766666666662</v>
      </c>
    </row>
    <row r="2759" spans="5:17" hidden="1" outlineLevel="6" x14ac:dyDescent="0.25">
      <c r="H2759" s="75" t="s">
        <v>113</v>
      </c>
      <c r="I2759" s="76"/>
      <c r="J2759" s="78">
        <f>HYPERLINK("#Структура!E1912",Структура!E1912)</f>
        <v>15.44</v>
      </c>
      <c r="K2759" s="114" t="str">
        <f>HYPERLINK("#Структура!G1912","")</f>
        <v/>
      </c>
      <c r="L2759" s="120">
        <f>HYPERLINK("#Покупные_изделия!D286",Покупные_изделия!D286)</f>
        <v>120</v>
      </c>
      <c r="M2759" s="76">
        <f>J2759*L2759</f>
        <v>1852.8</v>
      </c>
      <c r="N2759" s="77"/>
      <c r="O2759" s="77"/>
      <c r="P2759" s="76"/>
      <c r="Q2759" s="76"/>
    </row>
    <row r="2760" spans="5:17" hidden="1" outlineLevel="5" collapsed="1" x14ac:dyDescent="0.25">
      <c r="G2760" s="84" t="s">
        <v>1216</v>
      </c>
      <c r="H2760" s="80"/>
      <c r="I2760" s="81"/>
      <c r="J2760" s="83">
        <f>HYPERLINK("#Структура!E1904",Структура!E1904)</f>
        <v>1</v>
      </c>
      <c r="K2760" s="115">
        <f>HYPERLINK("#Структура!G1904",Структура!G1904)</f>
        <v>0.40887000000000001</v>
      </c>
      <c r="L2760" s="81">
        <f>M2760/J2760</f>
        <v>62.400000000000006</v>
      </c>
      <c r="M2760" s="81">
        <f>SUMIF(H2761,"*",M2761)*J2760</f>
        <v>62.400000000000006</v>
      </c>
      <c r="N2760" s="124">
        <f>HYPERLINK("#Трудозатраты!B509",Трудозатраты!B509+SUMIF(H2761,"*",O2761))</f>
        <v>2.2999999999999998</v>
      </c>
      <c r="O2760" s="82">
        <f>N2760*J2760</f>
        <v>2.2999999999999998</v>
      </c>
      <c r="P2760" s="81">
        <f>O2760/60*(1+запас_труд)*стоимость_трудочаса</f>
        <v>90.083333333333329</v>
      </c>
      <c r="Q2760" s="129">
        <f>M2760*(1+наценка_покупное)+P2760</f>
        <v>164.96333333333334</v>
      </c>
    </row>
    <row r="2761" spans="5:17" hidden="1" outlineLevel="6" x14ac:dyDescent="0.25">
      <c r="H2761" s="75" t="s">
        <v>113</v>
      </c>
      <c r="I2761" s="76"/>
      <c r="J2761" s="78">
        <f>HYPERLINK("#Структура!E1913",Структура!E1913)</f>
        <v>0.52</v>
      </c>
      <c r="K2761" s="114" t="str">
        <f>HYPERLINK("#Структура!G1913","")</f>
        <v/>
      </c>
      <c r="L2761" s="120">
        <f>HYPERLINK("#Покупные_изделия!D286",Покупные_изделия!D286)</f>
        <v>120</v>
      </c>
      <c r="M2761" s="76">
        <f t="shared" ref="M2761:M2768" si="105">J2761*L2761</f>
        <v>62.400000000000006</v>
      </c>
      <c r="N2761" s="77"/>
      <c r="O2761" s="77"/>
      <c r="P2761" s="76"/>
      <c r="Q2761" s="76"/>
    </row>
    <row r="2762" spans="5:17" hidden="1" outlineLevel="5" x14ac:dyDescent="0.25">
      <c r="G2762" s="74" t="s">
        <v>966</v>
      </c>
      <c r="H2762" s="75"/>
      <c r="I2762" s="76"/>
      <c r="J2762" s="78">
        <f>HYPERLINK("#Структура!E1905",Структура!E1905)</f>
        <v>10</v>
      </c>
      <c r="K2762" s="114">
        <f>HYPERLINK("#Структура!G1905",Структура!G1905)</f>
        <v>5.2700000000000004E-3</v>
      </c>
      <c r="L2762" s="120">
        <f>HYPERLINK("#Покупные_изделия!D170",Покупные_изделия!D170)</f>
        <v>1.3728</v>
      </c>
      <c r="M2762" s="76">
        <f t="shared" si="105"/>
        <v>13.728</v>
      </c>
      <c r="N2762" s="77"/>
      <c r="O2762" s="77"/>
      <c r="P2762" s="76"/>
      <c r="Q2762" s="76"/>
    </row>
    <row r="2763" spans="5:17" hidden="1" outlineLevel="5" x14ac:dyDescent="0.25">
      <c r="G2763" s="74" t="s">
        <v>65</v>
      </c>
      <c r="H2763" s="75"/>
      <c r="I2763" s="76"/>
      <c r="J2763" s="78">
        <f>HYPERLINK("#Структура!E1906",Структура!E1906)</f>
        <v>1.6E-2</v>
      </c>
      <c r="K2763" s="114" t="str">
        <f>HYPERLINK("#Структура!G1906","")</f>
        <v/>
      </c>
      <c r="L2763" s="120">
        <f>HYPERLINK("#Покупные_изделия!D197",Покупные_изделия!D197)</f>
        <v>264.50399999999996</v>
      </c>
      <c r="M2763" s="76">
        <f t="shared" si="105"/>
        <v>4.2320639999999994</v>
      </c>
      <c r="N2763" s="77"/>
      <c r="O2763" s="77"/>
      <c r="P2763" s="76"/>
      <c r="Q2763" s="76"/>
    </row>
    <row r="2764" spans="5:17" hidden="1" outlineLevel="5" x14ac:dyDescent="0.25">
      <c r="G2764" s="74" t="s">
        <v>67</v>
      </c>
      <c r="H2764" s="75"/>
      <c r="I2764" s="76"/>
      <c r="J2764" s="78">
        <f>HYPERLINK("#Структура!E1907",Структура!E1907)</f>
        <v>0.06</v>
      </c>
      <c r="K2764" s="114" t="str">
        <f>HYPERLINK("#Структура!G1907","")</f>
        <v/>
      </c>
      <c r="L2764" s="120">
        <f>HYPERLINK("#Покупные_изделия!D203",Покупные_изделия!D203)</f>
        <v>30.003600000000002</v>
      </c>
      <c r="M2764" s="76">
        <f t="shared" si="105"/>
        <v>1.800216</v>
      </c>
      <c r="N2764" s="77"/>
      <c r="O2764" s="77"/>
      <c r="P2764" s="76"/>
      <c r="Q2764" s="76"/>
    </row>
    <row r="2765" spans="5:17" hidden="1" outlineLevel="5" x14ac:dyDescent="0.25">
      <c r="G2765" s="74" t="s">
        <v>146</v>
      </c>
      <c r="H2765" s="75"/>
      <c r="I2765" s="76"/>
      <c r="J2765" s="78">
        <f>HYPERLINK("#Структура!E1908",Структура!E1908)</f>
        <v>3.5000000000000003E-2</v>
      </c>
      <c r="K2765" s="114" t="str">
        <f>HYPERLINK("#Структура!G1908","")</f>
        <v/>
      </c>
      <c r="L2765" s="120">
        <f>HYPERLINK("#Покупные_изделия!D406",Покупные_изделия!D406)</f>
        <v>105.996</v>
      </c>
      <c r="M2765" s="76">
        <f t="shared" si="105"/>
        <v>3.7098600000000004</v>
      </c>
      <c r="N2765" s="77"/>
      <c r="O2765" s="77"/>
      <c r="P2765" s="76"/>
      <c r="Q2765" s="76"/>
    </row>
    <row r="2766" spans="5:17" hidden="1" outlineLevel="5" x14ac:dyDescent="0.25">
      <c r="G2766" s="74" t="s">
        <v>155</v>
      </c>
      <c r="H2766" s="75"/>
      <c r="I2766" s="76"/>
      <c r="J2766" s="78">
        <f>HYPERLINK("#Структура!E1909",Структура!E1909)</f>
        <v>0.01</v>
      </c>
      <c r="K2766" s="114" t="str">
        <f>HYPERLINK("#Структура!G1909","")</f>
        <v/>
      </c>
      <c r="L2766" s="120">
        <f>HYPERLINK("#Покупные_изделия!D423",Покупные_изделия!D423)</f>
        <v>218.28</v>
      </c>
      <c r="M2766" s="76">
        <f t="shared" si="105"/>
        <v>2.1827999999999999</v>
      </c>
      <c r="N2766" s="77"/>
      <c r="O2766" s="77"/>
      <c r="P2766" s="76"/>
      <c r="Q2766" s="76"/>
    </row>
    <row r="2767" spans="5:17" hidden="1" outlineLevel="5" x14ac:dyDescent="0.25">
      <c r="G2767" s="74" t="s">
        <v>156</v>
      </c>
      <c r="H2767" s="75"/>
      <c r="I2767" s="76"/>
      <c r="J2767" s="78">
        <f>HYPERLINK("#Структура!E1910",Структура!E1910)</f>
        <v>0.02</v>
      </c>
      <c r="K2767" s="114" t="str">
        <f>HYPERLINK("#Структура!G1910","")</f>
        <v/>
      </c>
      <c r="L2767" s="120">
        <f>HYPERLINK("#Покупные_изделия!D427",Покупные_изделия!D427)</f>
        <v>155.53200000000001</v>
      </c>
      <c r="M2767" s="76">
        <f t="shared" si="105"/>
        <v>3.1106400000000001</v>
      </c>
      <c r="N2767" s="77"/>
      <c r="O2767" s="77"/>
      <c r="P2767" s="76"/>
      <c r="Q2767" s="76"/>
    </row>
    <row r="2768" spans="5:17" hidden="1" outlineLevel="5" x14ac:dyDescent="0.25">
      <c r="G2768" s="74" t="s">
        <v>215</v>
      </c>
      <c r="H2768" s="75"/>
      <c r="I2768" s="76"/>
      <c r="J2768" s="78">
        <f>HYPERLINK("#Структура!E1911",Структура!E1911)</f>
        <v>3.5000000000000003E-2</v>
      </c>
      <c r="K2768" s="114" t="str">
        <f>HYPERLINK("#Структура!G1911","")</f>
        <v/>
      </c>
      <c r="L2768" s="120">
        <f>HYPERLINK("#Покупные_изделия!D567",Покупные_изделия!D567)</f>
        <v>405.74399999999997</v>
      </c>
      <c r="M2768" s="76">
        <f t="shared" si="105"/>
        <v>14.201040000000001</v>
      </c>
      <c r="N2768" s="77"/>
      <c r="O2768" s="77"/>
      <c r="P2768" s="76"/>
      <c r="Q2768" s="76"/>
    </row>
    <row r="2769" spans="6:17" hidden="1" outlineLevel="4" collapsed="1" x14ac:dyDescent="0.25">
      <c r="F2769" s="96" t="s">
        <v>1209</v>
      </c>
      <c r="G2769" s="91"/>
      <c r="H2769" s="92"/>
      <c r="I2769" s="93"/>
      <c r="J2769" s="95">
        <f>HYPERLINK("#Структура!E2225",Структура!E2225)</f>
        <v>1</v>
      </c>
      <c r="K2769" s="116">
        <f>HYPERLINK("#Структура!G2225",Структура!G2225)</f>
        <v>1.51356</v>
      </c>
      <c r="L2769" s="93">
        <f>M2769/J2769</f>
        <v>162.61640960000003</v>
      </c>
      <c r="M2769" s="93">
        <f>SUMIF(G2770:G2774,"*",M2770:M2774)*J2769</f>
        <v>162.61640960000003</v>
      </c>
      <c r="N2769" s="125">
        <f>HYPERLINK("#Трудозатраты!B510",Трудозатраты!B510+SUMIF(G2770:G2774,"*",O2770:O2774))</f>
        <v>14.7</v>
      </c>
      <c r="O2769" s="94">
        <f>N2769*J2769</f>
        <v>14.7</v>
      </c>
      <c r="P2769" s="93">
        <f>O2769/60*(1+запас_труд)*стоимость_трудочаса</f>
        <v>575.75</v>
      </c>
      <c r="Q2769" s="130">
        <f>M2769*(1+наценка_покупное)+P2769</f>
        <v>770.88969152000004</v>
      </c>
    </row>
    <row r="2770" spans="6:17" hidden="1" outlineLevel="5" collapsed="1" x14ac:dyDescent="0.25">
      <c r="G2770" s="85" t="s">
        <v>1217</v>
      </c>
      <c r="H2770" s="87"/>
      <c r="I2770" s="88"/>
      <c r="J2770" s="90">
        <f>HYPERLINK("#Структура!E1914",Структура!E1914)</f>
        <v>1</v>
      </c>
      <c r="K2770" s="113">
        <f>HYPERLINK("#Структура!G1914",Структура!G1914)</f>
        <v>1.4977499999999999</v>
      </c>
      <c r="L2770" s="88">
        <f>M2770/J2770</f>
        <v>158</v>
      </c>
      <c r="M2770" s="88">
        <f>SUMIF(H2771,"*",M2771)*J2770</f>
        <v>158</v>
      </c>
      <c r="N2770" s="123">
        <f>HYPERLINK("#Трудозатраты!B511",Трудозатраты!B511+SUMIF(H2771,"*",O2771))</f>
        <v>8.6999999999999993</v>
      </c>
      <c r="O2770" s="89">
        <f>N2770*J2770</f>
        <v>8.6999999999999993</v>
      </c>
      <c r="P2770" s="88">
        <f>O2770/60*(1+запас_труд)*стоимость_трудочаса</f>
        <v>340.75</v>
      </c>
      <c r="Q2770" s="128">
        <f>M2770*(1+наценка_покупное)+P2770</f>
        <v>530.35</v>
      </c>
    </row>
    <row r="2771" spans="6:17" hidden="1" outlineLevel="6" x14ac:dyDescent="0.25">
      <c r="H2771" s="75" t="s">
        <v>186</v>
      </c>
      <c r="I2771" s="76"/>
      <c r="J2771" s="78">
        <f>HYPERLINK("#Структура!E1918",Структура!E1918)</f>
        <v>1.58</v>
      </c>
      <c r="K2771" s="114" t="str">
        <f>HYPERLINK("#Структура!G1918","")</f>
        <v/>
      </c>
      <c r="L2771" s="120">
        <f>HYPERLINK("#Покупные_изделия!D499",Покупные_изделия!D499)</f>
        <v>100</v>
      </c>
      <c r="M2771" s="76">
        <f>J2771*L2771</f>
        <v>158</v>
      </c>
      <c r="N2771" s="77"/>
      <c r="O2771" s="77"/>
      <c r="P2771" s="76"/>
      <c r="Q2771" s="76"/>
    </row>
    <row r="2772" spans="6:17" hidden="1" outlineLevel="5" x14ac:dyDescent="0.25">
      <c r="G2772" s="74" t="s">
        <v>966</v>
      </c>
      <c r="H2772" s="75"/>
      <c r="I2772" s="76"/>
      <c r="J2772" s="78">
        <f>HYPERLINK("#Структура!E1915",Структура!E1915)</f>
        <v>3</v>
      </c>
      <c r="K2772" s="114">
        <f>HYPERLINK("#Структура!G1915",Структура!G1915)</f>
        <v>5.2700000000000004E-3</v>
      </c>
      <c r="L2772" s="120">
        <f>HYPERLINK("#Покупные_изделия!D170",Покупные_изделия!D170)</f>
        <v>1.3728</v>
      </c>
      <c r="M2772" s="76">
        <f>J2772*L2772</f>
        <v>4.1184000000000003</v>
      </c>
      <c r="N2772" s="77"/>
      <c r="O2772" s="77"/>
      <c r="P2772" s="76"/>
      <c r="Q2772" s="76"/>
    </row>
    <row r="2773" spans="6:17" hidden="1" outlineLevel="5" x14ac:dyDescent="0.25">
      <c r="G2773" s="74" t="s">
        <v>67</v>
      </c>
      <c r="H2773" s="75"/>
      <c r="I2773" s="76"/>
      <c r="J2773" s="78">
        <f>HYPERLINK("#Структура!E1916",Структура!E1916)</f>
        <v>6.0000000000000001E-3</v>
      </c>
      <c r="K2773" s="114" t="str">
        <f>HYPERLINK("#Структура!G1916","")</f>
        <v/>
      </c>
      <c r="L2773" s="120">
        <f>HYPERLINK("#Покупные_изделия!D203",Покупные_изделия!D203)</f>
        <v>30.003600000000002</v>
      </c>
      <c r="M2773" s="76">
        <f>J2773*L2773</f>
        <v>0.1800216</v>
      </c>
      <c r="N2773" s="77"/>
      <c r="O2773" s="77"/>
      <c r="P2773" s="76"/>
      <c r="Q2773" s="76"/>
    </row>
    <row r="2774" spans="6:17" hidden="1" outlineLevel="5" x14ac:dyDescent="0.25">
      <c r="G2774" s="74" t="s">
        <v>146</v>
      </c>
      <c r="H2774" s="75"/>
      <c r="I2774" s="76"/>
      <c r="J2774" s="78">
        <f>HYPERLINK("#Структура!E1917",Структура!E1917)</f>
        <v>3.0000000000000001E-3</v>
      </c>
      <c r="K2774" s="114" t="str">
        <f>HYPERLINK("#Структура!G1917","")</f>
        <v/>
      </c>
      <c r="L2774" s="120">
        <f>HYPERLINK("#Покупные_изделия!D406",Покупные_изделия!D406)</f>
        <v>105.996</v>
      </c>
      <c r="M2774" s="76">
        <f>J2774*L2774</f>
        <v>0.31798799999999999</v>
      </c>
      <c r="N2774" s="77"/>
      <c r="O2774" s="77"/>
      <c r="P2774" s="76"/>
      <c r="Q2774" s="76"/>
    </row>
    <row r="2775" spans="6:17" hidden="1" outlineLevel="4" collapsed="1" x14ac:dyDescent="0.25">
      <c r="F2775" s="84" t="s">
        <v>1212</v>
      </c>
      <c r="G2775" s="79"/>
      <c r="H2775" s="80"/>
      <c r="I2775" s="81"/>
      <c r="J2775" s="83">
        <f>HYPERLINK("#Структура!E2226",Структура!E2226)</f>
        <v>1</v>
      </c>
      <c r="K2775" s="115">
        <f>HYPERLINK("#Структура!G2226",Структура!G2226)</f>
        <v>43.787379999999999</v>
      </c>
      <c r="L2775" s="81">
        <f>M2775/J2775</f>
        <v>6944.2821839999997</v>
      </c>
      <c r="M2775" s="81">
        <f>SUMIF(G2776:G2778,"*",M2776:M2778)*J2775</f>
        <v>6944.2821839999997</v>
      </c>
      <c r="N2775" s="124">
        <f>HYPERLINK("#Трудозатраты!B505",Трудозатраты!B505+SUMIF(G2776:G2778,"*",O2776:O2778))</f>
        <v>50.5</v>
      </c>
      <c r="O2775" s="82">
        <f>N2775*J2775</f>
        <v>50.5</v>
      </c>
      <c r="P2775" s="81">
        <f>O2775/60*(1+запас_труд)*стоимость_трудочаса</f>
        <v>1977.9166666666667</v>
      </c>
      <c r="Q2775" s="129">
        <f>M2775*(1+наценка_покупное)+P2775</f>
        <v>10311.055287466665</v>
      </c>
    </row>
    <row r="2776" spans="6:17" hidden="1" outlineLevel="5" x14ac:dyDescent="0.25">
      <c r="G2776" s="74" t="s">
        <v>46</v>
      </c>
      <c r="H2776" s="75"/>
      <c r="I2776" s="76"/>
      <c r="J2776" s="78">
        <f>HYPERLINK("#Структура!E1899",Структура!E1899)</f>
        <v>72.66</v>
      </c>
      <c r="K2776" s="114" t="str">
        <f>HYPERLINK("#Структура!G1899","")</f>
        <v/>
      </c>
      <c r="L2776" s="120">
        <f>HYPERLINK("#Покупные_изделия!D68",Покупные_изделия!D68)</f>
        <v>0.21</v>
      </c>
      <c r="M2776" s="76">
        <f>J2776*L2776</f>
        <v>15.258599999999999</v>
      </c>
      <c r="N2776" s="77"/>
      <c r="O2776" s="77"/>
      <c r="P2776" s="76"/>
      <c r="Q2776" s="76"/>
    </row>
    <row r="2777" spans="6:17" hidden="1" outlineLevel="5" x14ac:dyDescent="0.25">
      <c r="G2777" s="74" t="s">
        <v>113</v>
      </c>
      <c r="H2777" s="75"/>
      <c r="I2777" s="76"/>
      <c r="J2777" s="78">
        <f>HYPERLINK("#Структура!E1900",Структура!E1900)</f>
        <v>57.65</v>
      </c>
      <c r="K2777" s="114" t="str">
        <f>HYPERLINK("#Структура!G1900","")</f>
        <v/>
      </c>
      <c r="L2777" s="120">
        <f>HYPERLINK("#Покупные_изделия!D286",Покупные_изделия!D286)</f>
        <v>120</v>
      </c>
      <c r="M2777" s="76">
        <f>J2777*L2777</f>
        <v>6918</v>
      </c>
      <c r="N2777" s="77"/>
      <c r="O2777" s="77"/>
      <c r="P2777" s="76"/>
      <c r="Q2777" s="76"/>
    </row>
    <row r="2778" spans="6:17" hidden="1" outlineLevel="5" x14ac:dyDescent="0.25">
      <c r="G2778" s="74" t="s">
        <v>146</v>
      </c>
      <c r="H2778" s="75"/>
      <c r="I2778" s="76"/>
      <c r="J2778" s="78">
        <f>HYPERLINK("#Структура!E1901",Структура!E1901)</f>
        <v>0.104</v>
      </c>
      <c r="K2778" s="114" t="str">
        <f>HYPERLINK("#Структура!G1901","")</f>
        <v/>
      </c>
      <c r="L2778" s="120">
        <f>HYPERLINK("#Покупные_изделия!D406",Покупные_изделия!D406)</f>
        <v>105.996</v>
      </c>
      <c r="M2778" s="76">
        <f>J2778*L2778</f>
        <v>11.023584</v>
      </c>
      <c r="N2778" s="77"/>
      <c r="O2778" s="77"/>
      <c r="P2778" s="76"/>
      <c r="Q2778" s="76"/>
    </row>
    <row r="2779" spans="6:17" hidden="1" outlineLevel="4" collapsed="1" x14ac:dyDescent="0.25">
      <c r="F2779" s="84" t="s">
        <v>1213</v>
      </c>
      <c r="G2779" s="79"/>
      <c r="H2779" s="80"/>
      <c r="I2779" s="81"/>
      <c r="J2779" s="83">
        <f>HYPERLINK("#Структура!E2227",Структура!E2227)</f>
        <v>4</v>
      </c>
      <c r="K2779" s="115">
        <f>HYPERLINK("#Структура!G2227",Структура!G2227)</f>
        <v>2.6890000000000001E-2</v>
      </c>
      <c r="L2779" s="81">
        <f>M2779/J2779</f>
        <v>5.3999999999999995</v>
      </c>
      <c r="M2779" s="81">
        <f>SUMIF(G2780,"*",M2780)*J2779</f>
        <v>21.599999999999998</v>
      </c>
      <c r="N2779" s="124">
        <f>HYPERLINK("#Трудозатраты!B506",Трудозатраты!B506+SUMIF(G2780,"*",O2780))</f>
        <v>0.5</v>
      </c>
      <c r="O2779" s="82">
        <f>N2779*J2779</f>
        <v>2</v>
      </c>
      <c r="P2779" s="81">
        <f>O2779/60*(1+запас_труд)*стоимость_трудочаса</f>
        <v>78.333333333333329</v>
      </c>
      <c r="Q2779" s="129">
        <f>M2779*(1+наценка_покупное)+P2779</f>
        <v>104.25333333333333</v>
      </c>
    </row>
    <row r="2780" spans="6:17" hidden="1" outlineLevel="5" x14ac:dyDescent="0.25">
      <c r="G2780" s="74" t="s">
        <v>115</v>
      </c>
      <c r="H2780" s="75"/>
      <c r="I2780" s="76"/>
      <c r="J2780" s="78">
        <f>HYPERLINK("#Структура!E1902",Структура!E1902)</f>
        <v>4.4999999999999998E-2</v>
      </c>
      <c r="K2780" s="114" t="str">
        <f>HYPERLINK("#Структура!G1902","")</f>
        <v/>
      </c>
      <c r="L2780" s="120">
        <f>HYPERLINK("#Покупные_изделия!D289",Покупные_изделия!D289)</f>
        <v>120</v>
      </c>
      <c r="M2780" s="76">
        <f>J2780*L2780</f>
        <v>5.3999999999999995</v>
      </c>
      <c r="N2780" s="77"/>
      <c r="O2780" s="77"/>
      <c r="P2780" s="76"/>
      <c r="Q2780" s="76"/>
    </row>
    <row r="2781" spans="6:17" hidden="1" outlineLevel="4" collapsed="1" x14ac:dyDescent="0.25">
      <c r="F2781" s="84" t="s">
        <v>1295</v>
      </c>
      <c r="G2781" s="79"/>
      <c r="H2781" s="80"/>
      <c r="I2781" s="81"/>
      <c r="J2781" s="83">
        <f>HYPERLINK("#Структура!E2228",Структура!E2228)</f>
        <v>1</v>
      </c>
      <c r="K2781" s="115">
        <f>HYPERLINK("#Структура!G2228",Структура!G2228)</f>
        <v>21.544409999999999</v>
      </c>
      <c r="L2781" s="81">
        <f>M2781/J2781</f>
        <v>4729.2</v>
      </c>
      <c r="M2781" s="81">
        <f>SUMIF(G2782,"*",M2782)*J2781</f>
        <v>4729.2</v>
      </c>
      <c r="N2781" s="124">
        <f>HYPERLINK("#Трудозатраты!B582",Трудозатраты!B582+SUMIF(G2782,"*",O2782))</f>
        <v>26</v>
      </c>
      <c r="O2781" s="82">
        <f>N2781*J2781</f>
        <v>26</v>
      </c>
      <c r="P2781" s="81">
        <f>O2781/60*(1+запас_труд)*стоимость_трудочаса</f>
        <v>1018.3333333333334</v>
      </c>
      <c r="Q2781" s="129">
        <f>M2781*(1+наценка_покупное)+P2781</f>
        <v>6693.373333333333</v>
      </c>
    </row>
    <row r="2782" spans="6:17" hidden="1" outlineLevel="5" x14ac:dyDescent="0.25">
      <c r="G2782" s="74" t="s">
        <v>115</v>
      </c>
      <c r="H2782" s="75"/>
      <c r="I2782" s="76"/>
      <c r="J2782" s="78">
        <f>HYPERLINK("#Структура!E2241",Структура!E2241)</f>
        <v>39.409999999999997</v>
      </c>
      <c r="K2782" s="114" t="str">
        <f>HYPERLINK("#Структура!G2241","")</f>
        <v/>
      </c>
      <c r="L2782" s="120">
        <f>HYPERLINK("#Покупные_изделия!D289",Покупные_изделия!D289)</f>
        <v>120</v>
      </c>
      <c r="M2782" s="76">
        <f>J2782*L2782</f>
        <v>4729.2</v>
      </c>
      <c r="N2782" s="77"/>
      <c r="O2782" s="77"/>
      <c r="P2782" s="76"/>
      <c r="Q2782" s="76"/>
    </row>
    <row r="2783" spans="6:17" hidden="1" outlineLevel="4" collapsed="1" x14ac:dyDescent="0.25">
      <c r="F2783" s="84" t="s">
        <v>1296</v>
      </c>
      <c r="G2783" s="79"/>
      <c r="H2783" s="80"/>
      <c r="I2783" s="81"/>
      <c r="J2783" s="83">
        <f>HYPERLINK("#Структура!E2229",Структура!E2229)</f>
        <v>1</v>
      </c>
      <c r="K2783" s="115">
        <f>HYPERLINK("#Структура!G2229",Структура!G2229)</f>
        <v>21.544409999999999</v>
      </c>
      <c r="L2783" s="81">
        <f>M2783/J2783</f>
        <v>4729.2</v>
      </c>
      <c r="M2783" s="81">
        <f>SUMIF(G2784,"*",M2784)*J2783</f>
        <v>4729.2</v>
      </c>
      <c r="N2783" s="124">
        <f>HYPERLINK("#Трудозатраты!B583",Трудозатраты!B583+SUMIF(G2784,"*",O2784))</f>
        <v>26</v>
      </c>
      <c r="O2783" s="82">
        <f>N2783*J2783</f>
        <v>26</v>
      </c>
      <c r="P2783" s="81">
        <f>O2783/60*(1+запас_труд)*стоимость_трудочаса</f>
        <v>1018.3333333333334</v>
      </c>
      <c r="Q2783" s="129">
        <f>M2783*(1+наценка_покупное)+P2783</f>
        <v>6693.373333333333</v>
      </c>
    </row>
    <row r="2784" spans="6:17" hidden="1" outlineLevel="5" x14ac:dyDescent="0.25">
      <c r="G2784" s="74" t="s">
        <v>115</v>
      </c>
      <c r="H2784" s="75"/>
      <c r="I2784" s="76"/>
      <c r="J2784" s="78">
        <f>HYPERLINK("#Структура!E2242",Структура!E2242)</f>
        <v>39.409999999999997</v>
      </c>
      <c r="K2784" s="114" t="str">
        <f>HYPERLINK("#Структура!G2242","")</f>
        <v/>
      </c>
      <c r="L2784" s="120">
        <f>HYPERLINK("#Покупные_изделия!D289",Покупные_изделия!D289)</f>
        <v>120</v>
      </c>
      <c r="M2784" s="76">
        <f t="shared" ref="M2784:M2795" si="106">J2784*L2784</f>
        <v>4729.2</v>
      </c>
      <c r="N2784" s="77"/>
      <c r="O2784" s="77"/>
      <c r="P2784" s="76"/>
      <c r="Q2784" s="76"/>
    </row>
    <row r="2785" spans="5:17" hidden="1" outlineLevel="4" x14ac:dyDescent="0.25">
      <c r="F2785" s="74" t="s">
        <v>1214</v>
      </c>
      <c r="G2785" s="74"/>
      <c r="H2785" s="75"/>
      <c r="I2785" s="76"/>
      <c r="J2785" s="78">
        <f>HYPERLINK("#Структура!E2230",Структура!E2230)</f>
        <v>4</v>
      </c>
      <c r="K2785" s="114">
        <f>HYPERLINK("#Структура!G2230",Структура!G2230)</f>
        <v>9.5999999999999992E-3</v>
      </c>
      <c r="L2785" s="120">
        <f>HYPERLINK("#Покупные_изделия!D169",Покупные_изделия!D169)</f>
        <v>10.92</v>
      </c>
      <c r="M2785" s="76">
        <f t="shared" si="106"/>
        <v>43.68</v>
      </c>
      <c r="N2785" s="77"/>
      <c r="O2785" s="77"/>
      <c r="P2785" s="76"/>
      <c r="Q2785" s="76"/>
    </row>
    <row r="2786" spans="5:17" hidden="1" outlineLevel="4" x14ac:dyDescent="0.25">
      <c r="F2786" s="74" t="s">
        <v>966</v>
      </c>
      <c r="G2786" s="74"/>
      <c r="H2786" s="75"/>
      <c r="I2786" s="76"/>
      <c r="J2786" s="78">
        <f>HYPERLINK("#Структура!E2231",Структура!E2231)</f>
        <v>46</v>
      </c>
      <c r="K2786" s="114">
        <f>HYPERLINK("#Структура!G2231",Структура!G2231)</f>
        <v>5.2700000000000004E-3</v>
      </c>
      <c r="L2786" s="120">
        <f>HYPERLINK("#Покупные_изделия!D170",Покупные_изделия!D170)</f>
        <v>1.3728</v>
      </c>
      <c r="M2786" s="76">
        <f t="shared" si="106"/>
        <v>63.148800000000001</v>
      </c>
      <c r="N2786" s="77"/>
      <c r="O2786" s="77"/>
      <c r="P2786" s="76"/>
      <c r="Q2786" s="76"/>
    </row>
    <row r="2787" spans="5:17" hidden="1" outlineLevel="4" x14ac:dyDescent="0.25">
      <c r="F2787" s="74" t="s">
        <v>106</v>
      </c>
      <c r="G2787" s="74"/>
      <c r="H2787" s="75"/>
      <c r="I2787" s="76"/>
      <c r="J2787" s="78">
        <f>HYPERLINK("#Структура!E2232",Структура!E2232)</f>
        <v>3.5</v>
      </c>
      <c r="K2787" s="114" t="str">
        <f>HYPERLINK("#Структура!G2232","")</f>
        <v/>
      </c>
      <c r="L2787" s="120">
        <f>HYPERLINK("#Покупные_изделия!D278",Покупные_изделия!D278)</f>
        <v>6.1644000000000005</v>
      </c>
      <c r="M2787" s="76">
        <f t="shared" si="106"/>
        <v>21.575400000000002</v>
      </c>
      <c r="N2787" s="77"/>
      <c r="O2787" s="77"/>
      <c r="P2787" s="76"/>
      <c r="Q2787" s="76"/>
    </row>
    <row r="2788" spans="5:17" hidden="1" outlineLevel="4" x14ac:dyDescent="0.25">
      <c r="F2788" s="74" t="s">
        <v>137</v>
      </c>
      <c r="G2788" s="74"/>
      <c r="H2788" s="75"/>
      <c r="I2788" s="76"/>
      <c r="J2788" s="78">
        <f>HYPERLINK("#Структура!E2233",Структура!E2233)</f>
        <v>1</v>
      </c>
      <c r="K2788" s="114" t="str">
        <f>HYPERLINK("#Структура!G2233","")</f>
        <v/>
      </c>
      <c r="L2788" s="120">
        <f>HYPERLINK("#Покупные_изделия!D332",Покупные_изделия!D332)</f>
        <v>110.00000000000001</v>
      </c>
      <c r="M2788" s="76">
        <f t="shared" si="106"/>
        <v>110.00000000000001</v>
      </c>
      <c r="N2788" s="77"/>
      <c r="O2788" s="77"/>
      <c r="P2788" s="76"/>
      <c r="Q2788" s="76"/>
    </row>
    <row r="2789" spans="5:17" hidden="1" outlineLevel="4" x14ac:dyDescent="0.25">
      <c r="F2789" s="74" t="s">
        <v>138</v>
      </c>
      <c r="G2789" s="74"/>
      <c r="H2789" s="75"/>
      <c r="I2789" s="76"/>
      <c r="J2789" s="78">
        <f>HYPERLINK("#Структура!E2234",Структура!E2234)</f>
        <v>1</v>
      </c>
      <c r="K2789" s="114" t="str">
        <f>HYPERLINK("#Структура!G2234","")</f>
        <v/>
      </c>
      <c r="L2789" s="120">
        <f>HYPERLINK("#Покупные_изделия!D333",Покупные_изделия!D333)</f>
        <v>110.00000000000001</v>
      </c>
      <c r="M2789" s="76">
        <f t="shared" si="106"/>
        <v>110.00000000000001</v>
      </c>
      <c r="N2789" s="77"/>
      <c r="O2789" s="77"/>
      <c r="P2789" s="76"/>
      <c r="Q2789" s="76"/>
    </row>
    <row r="2790" spans="5:17" hidden="1" outlineLevel="4" x14ac:dyDescent="0.25">
      <c r="F2790" s="74" t="s">
        <v>65</v>
      </c>
      <c r="G2790" s="74"/>
      <c r="H2790" s="75"/>
      <c r="I2790" s="76"/>
      <c r="J2790" s="78">
        <f>HYPERLINK("#Структура!E2235",Структура!E2235)</f>
        <v>1.28</v>
      </c>
      <c r="K2790" s="114" t="str">
        <f>HYPERLINK("#Структура!G2235","")</f>
        <v/>
      </c>
      <c r="L2790" s="120">
        <f>HYPERLINK("#Покупные_изделия!D197",Покупные_изделия!D197)</f>
        <v>264.50399999999996</v>
      </c>
      <c r="M2790" s="76">
        <f t="shared" si="106"/>
        <v>338.56511999999998</v>
      </c>
      <c r="N2790" s="77"/>
      <c r="O2790" s="77"/>
      <c r="P2790" s="76"/>
      <c r="Q2790" s="76"/>
    </row>
    <row r="2791" spans="5:17" hidden="1" outlineLevel="4" x14ac:dyDescent="0.25">
      <c r="F2791" s="74" t="s">
        <v>67</v>
      </c>
      <c r="G2791" s="74"/>
      <c r="H2791" s="75"/>
      <c r="I2791" s="76"/>
      <c r="J2791" s="78">
        <f>HYPERLINK("#Структура!E2236",Структура!E2236)</f>
        <v>2.3290000000000002</v>
      </c>
      <c r="K2791" s="114" t="str">
        <f>HYPERLINK("#Структура!G2236","")</f>
        <v/>
      </c>
      <c r="L2791" s="120">
        <f>HYPERLINK("#Покупные_изделия!D203",Покупные_изделия!D203)</f>
        <v>30.003600000000002</v>
      </c>
      <c r="M2791" s="76">
        <f t="shared" si="106"/>
        <v>69.878384400000016</v>
      </c>
      <c r="N2791" s="77"/>
      <c r="O2791" s="77"/>
      <c r="P2791" s="76"/>
      <c r="Q2791" s="76"/>
    </row>
    <row r="2792" spans="5:17" hidden="1" outlineLevel="4" x14ac:dyDescent="0.25">
      <c r="F2792" s="74" t="s">
        <v>146</v>
      </c>
      <c r="G2792" s="74"/>
      <c r="H2792" s="75"/>
      <c r="I2792" s="76"/>
      <c r="J2792" s="78">
        <f>HYPERLINK("#Структура!E2237",Структура!E2237)</f>
        <v>1.371</v>
      </c>
      <c r="K2792" s="114" t="str">
        <f>HYPERLINK("#Структура!G2237","")</f>
        <v/>
      </c>
      <c r="L2792" s="120">
        <f>HYPERLINK("#Покупные_изделия!D406",Покупные_изделия!D406)</f>
        <v>105.996</v>
      </c>
      <c r="M2792" s="76">
        <f t="shared" si="106"/>
        <v>145.320516</v>
      </c>
      <c r="N2792" s="77"/>
      <c r="O2792" s="77"/>
      <c r="P2792" s="76"/>
      <c r="Q2792" s="76"/>
    </row>
    <row r="2793" spans="5:17" hidden="1" outlineLevel="4" x14ac:dyDescent="0.25">
      <c r="F2793" s="74" t="s">
        <v>155</v>
      </c>
      <c r="G2793" s="74"/>
      <c r="H2793" s="75"/>
      <c r="I2793" s="76"/>
      <c r="J2793" s="78">
        <f>HYPERLINK("#Структура!E2238",Структура!E2238)</f>
        <v>0.38400000000000001</v>
      </c>
      <c r="K2793" s="114" t="str">
        <f>HYPERLINK("#Структура!G2238","")</f>
        <v/>
      </c>
      <c r="L2793" s="120">
        <f>HYPERLINK("#Покупные_изделия!D423",Покупные_изделия!D423)</f>
        <v>218.28</v>
      </c>
      <c r="M2793" s="76">
        <f t="shared" si="106"/>
        <v>83.819519999999997</v>
      </c>
      <c r="N2793" s="77"/>
      <c r="O2793" s="77"/>
      <c r="P2793" s="76"/>
      <c r="Q2793" s="76"/>
    </row>
    <row r="2794" spans="5:17" hidden="1" outlineLevel="4" x14ac:dyDescent="0.25">
      <c r="F2794" s="74" t="s">
        <v>200</v>
      </c>
      <c r="G2794" s="74"/>
      <c r="H2794" s="75"/>
      <c r="I2794" s="76"/>
      <c r="J2794" s="78">
        <f>HYPERLINK("#Структура!E2239",Структура!E2239)</f>
        <v>1.59</v>
      </c>
      <c r="K2794" s="114" t="str">
        <f>HYPERLINK("#Структура!G2239","")</f>
        <v/>
      </c>
      <c r="L2794" s="120">
        <f>HYPERLINK("#Покупные_изделия!D518",Покупные_изделия!D518)</f>
        <v>270</v>
      </c>
      <c r="M2794" s="76">
        <f t="shared" si="106"/>
        <v>429.3</v>
      </c>
      <c r="N2794" s="77"/>
      <c r="O2794" s="77"/>
      <c r="P2794" s="76"/>
      <c r="Q2794" s="76"/>
    </row>
    <row r="2795" spans="5:17" hidden="1" outlineLevel="4" x14ac:dyDescent="0.25">
      <c r="F2795" s="74" t="s">
        <v>215</v>
      </c>
      <c r="G2795" s="74"/>
      <c r="H2795" s="75"/>
      <c r="I2795" s="76"/>
      <c r="J2795" s="78">
        <f>HYPERLINK("#Структура!E2240",Структура!E2240)</f>
        <v>2.5579999999999998</v>
      </c>
      <c r="K2795" s="114" t="str">
        <f>HYPERLINK("#Структура!G2240","")</f>
        <v/>
      </c>
      <c r="L2795" s="120">
        <f>HYPERLINK("#Покупные_изделия!D567",Покупные_изделия!D567)</f>
        <v>405.74399999999997</v>
      </c>
      <c r="M2795" s="76">
        <f t="shared" si="106"/>
        <v>1037.8931519999999</v>
      </c>
      <c r="N2795" s="77"/>
      <c r="O2795" s="77"/>
      <c r="P2795" s="76"/>
      <c r="Q2795" s="76"/>
    </row>
    <row r="2796" spans="5:17" hidden="1" outlineLevel="3" collapsed="1" x14ac:dyDescent="0.25">
      <c r="E2796" s="96" t="s">
        <v>1280</v>
      </c>
      <c r="F2796" s="91"/>
      <c r="G2796" s="91"/>
      <c r="H2796" s="92"/>
      <c r="I2796" s="93"/>
      <c r="J2796" s="95">
        <f>HYPERLINK("#Структура!E2334",Структура!E2334)</f>
        <v>1</v>
      </c>
      <c r="K2796" s="116">
        <f>HYPERLINK("#Структура!G2334",Структура!G2334)</f>
        <v>21.91086</v>
      </c>
      <c r="L2796" s="93">
        <f>M2796/J2796</f>
        <v>3887.8279715999997</v>
      </c>
      <c r="M2796" s="93">
        <f>SUMIF(F2797:F2830,"*",M2797:M2830)*J2796</f>
        <v>3887.8279715999997</v>
      </c>
      <c r="N2796" s="125">
        <f>HYPERLINK("#Трудозатраты!B584",Трудозатраты!B584+SUMIF(F2797:F2830,"*",O2797:O2830))</f>
        <v>103.10000000000001</v>
      </c>
      <c r="O2796" s="94">
        <f>N2796*J2796</f>
        <v>103.10000000000001</v>
      </c>
      <c r="P2796" s="93">
        <f>O2796/60*(1+запас_труд)*стоимость_трудочаса</f>
        <v>4038.0833333333335</v>
      </c>
      <c r="Q2796" s="130">
        <f>M2796*(1+наценка_покупное)+P2796</f>
        <v>8703.4768992533336</v>
      </c>
    </row>
    <row r="2797" spans="5:17" hidden="1" outlineLevel="4" collapsed="1" x14ac:dyDescent="0.25">
      <c r="F2797" s="97" t="s">
        <v>1218</v>
      </c>
      <c r="G2797" s="98"/>
      <c r="H2797" s="99"/>
      <c r="I2797" s="100"/>
      <c r="J2797" s="102">
        <f>HYPERLINK("#Структура!E2243",Структура!E2243)</f>
        <v>1</v>
      </c>
      <c r="K2797" s="112">
        <f>HYPERLINK("#Структура!G2243",Структура!G2243)</f>
        <v>17.11318</v>
      </c>
      <c r="L2797" s="100">
        <f>M2797/J2797</f>
        <v>2603.6978808000003</v>
      </c>
      <c r="M2797" s="100">
        <f>SUMIF(G2798:G2809,"*",M2798:M2809)*J2797</f>
        <v>2603.6978808000003</v>
      </c>
      <c r="N2797" s="122">
        <f>HYPERLINK("#Трудозатраты!B514",Трудозатраты!B514+SUMIF(G2798:G2809,"*",O2798:O2809))</f>
        <v>63.5</v>
      </c>
      <c r="O2797" s="101">
        <f>N2797*J2797</f>
        <v>63.5</v>
      </c>
      <c r="P2797" s="100">
        <f>O2797/60*(1+запас_труд)*стоимость_трудочаса</f>
        <v>2487.0833333333335</v>
      </c>
      <c r="Q2797" s="127">
        <f>M2797*(1+наценка_покупное)+P2797</f>
        <v>5611.5207902933344</v>
      </c>
    </row>
    <row r="2798" spans="5:17" hidden="1" outlineLevel="5" collapsed="1" x14ac:dyDescent="0.25">
      <c r="G2798" s="85" t="s">
        <v>1222</v>
      </c>
      <c r="H2798" s="87"/>
      <c r="I2798" s="88"/>
      <c r="J2798" s="90">
        <f>HYPERLINK("#Структура!E1929",Структура!E1929)</f>
        <v>2</v>
      </c>
      <c r="K2798" s="113">
        <f>HYPERLINK("#Структура!G1929",Структура!G1929)</f>
        <v>7.1966000000000001</v>
      </c>
      <c r="L2798" s="88">
        <f>M2798/J2798</f>
        <v>1044</v>
      </c>
      <c r="M2798" s="88">
        <f>SUMIF(H2799,"*",M2799)*J2798</f>
        <v>2088</v>
      </c>
      <c r="N2798" s="123">
        <f>HYPERLINK("#Трудозатраты!B515",Трудозатраты!B515+SUMIF(H2799,"*",O2799))</f>
        <v>9.9</v>
      </c>
      <c r="O2798" s="89">
        <f>N2798*J2798</f>
        <v>19.8</v>
      </c>
      <c r="P2798" s="88">
        <f>O2798/60*(1+запас_труд)*стоимость_трудочаса</f>
        <v>775.5</v>
      </c>
      <c r="Q2798" s="128">
        <f>M2798*(1+наценка_покупное)+P2798</f>
        <v>3281.1</v>
      </c>
    </row>
    <row r="2799" spans="5:17" hidden="1" outlineLevel="6" x14ac:dyDescent="0.25">
      <c r="H2799" s="75" t="s">
        <v>111</v>
      </c>
      <c r="I2799" s="76"/>
      <c r="J2799" s="78">
        <f>HYPERLINK("#Структура!E1938",Структура!E1938)</f>
        <v>8.6999999999999993</v>
      </c>
      <c r="K2799" s="114" t="str">
        <f>HYPERLINK("#Структура!G1938","")</f>
        <v/>
      </c>
      <c r="L2799" s="120">
        <f>HYPERLINK("#Покупные_изделия!D283",Покупные_изделия!D283)</f>
        <v>120</v>
      </c>
      <c r="M2799" s="76">
        <f>J2799*L2799</f>
        <v>1044</v>
      </c>
      <c r="N2799" s="77"/>
      <c r="O2799" s="77"/>
      <c r="P2799" s="76"/>
      <c r="Q2799" s="76"/>
    </row>
    <row r="2800" spans="5:17" hidden="1" outlineLevel="5" collapsed="1" x14ac:dyDescent="0.25">
      <c r="G2800" s="84" t="s">
        <v>1223</v>
      </c>
      <c r="H2800" s="80"/>
      <c r="I2800" s="81"/>
      <c r="J2800" s="83">
        <f>HYPERLINK("#Структура!E1930",Структура!E1930)</f>
        <v>2</v>
      </c>
      <c r="K2800" s="115">
        <f>HYPERLINK("#Структура!G1930",Структура!G1930)</f>
        <v>1.0219</v>
      </c>
      <c r="L2800" s="81">
        <f>M2800/J2800</f>
        <v>150</v>
      </c>
      <c r="M2800" s="81">
        <f>SUMIF(H2801,"*",M2801)*J2800</f>
        <v>300</v>
      </c>
      <c r="N2800" s="124">
        <f>HYPERLINK("#Трудозатраты!B516",Трудозатраты!B516+SUMIF(H2801,"*",O2801))</f>
        <v>2</v>
      </c>
      <c r="O2800" s="82">
        <f>N2800*J2800</f>
        <v>4</v>
      </c>
      <c r="P2800" s="81">
        <f>O2800/60*(1+запас_труд)*стоимость_трудочаса</f>
        <v>156.66666666666666</v>
      </c>
      <c r="Q2800" s="129">
        <f>M2800*(1+наценка_покупное)+P2800</f>
        <v>516.66666666666663</v>
      </c>
    </row>
    <row r="2801" spans="6:17" hidden="1" outlineLevel="6" x14ac:dyDescent="0.25">
      <c r="H2801" s="75" t="s">
        <v>117</v>
      </c>
      <c r="I2801" s="76"/>
      <c r="J2801" s="78">
        <f>HYPERLINK("#Структура!E1939",Структура!E1939)</f>
        <v>1.25</v>
      </c>
      <c r="K2801" s="114" t="str">
        <f>HYPERLINK("#Структура!G1939","")</f>
        <v/>
      </c>
      <c r="L2801" s="120">
        <f>HYPERLINK("#Покупные_изделия!D292",Покупные_изделия!D292)</f>
        <v>120</v>
      </c>
      <c r="M2801" s="76">
        <f>J2801*L2801</f>
        <v>150</v>
      </c>
      <c r="N2801" s="77"/>
      <c r="O2801" s="77"/>
      <c r="P2801" s="76"/>
      <c r="Q2801" s="76"/>
    </row>
    <row r="2802" spans="6:17" hidden="1" outlineLevel="5" collapsed="1" x14ac:dyDescent="0.25">
      <c r="G2802" s="84" t="s">
        <v>1224</v>
      </c>
      <c r="H2802" s="80"/>
      <c r="I2802" s="81"/>
      <c r="J2802" s="83">
        <f>HYPERLINK("#Структура!E1931",Структура!E1931)</f>
        <v>4</v>
      </c>
      <c r="K2802" s="115">
        <f>HYPERLINK("#Структура!G1931",Структура!G1931)</f>
        <v>0.16904</v>
      </c>
      <c r="L2802" s="81">
        <f>M2802/J2802</f>
        <v>25.2</v>
      </c>
      <c r="M2802" s="81">
        <f>SUMIF(H2803,"*",M2803)*J2802</f>
        <v>100.8</v>
      </c>
      <c r="N2802" s="124">
        <f>HYPERLINK("#Трудозатраты!B517",Трудозатраты!B517+SUMIF(H2803,"*",O2803))</f>
        <v>0.8</v>
      </c>
      <c r="O2802" s="82">
        <f>N2802*J2802</f>
        <v>3.2</v>
      </c>
      <c r="P2802" s="81">
        <f>O2802/60*(1+запас_труд)*стоимость_трудочаса</f>
        <v>125.33333333333334</v>
      </c>
      <c r="Q2802" s="129">
        <f>M2802*(1+наценка_покупное)+P2802</f>
        <v>246.29333333333335</v>
      </c>
    </row>
    <row r="2803" spans="6:17" hidden="1" outlineLevel="6" x14ac:dyDescent="0.25">
      <c r="H2803" s="75" t="s">
        <v>117</v>
      </c>
      <c r="I2803" s="76"/>
      <c r="J2803" s="78">
        <f>HYPERLINK("#Структура!E1940",Структура!E1940)</f>
        <v>0.21</v>
      </c>
      <c r="K2803" s="114" t="str">
        <f>HYPERLINK("#Структура!G1940","")</f>
        <v/>
      </c>
      <c r="L2803" s="120">
        <f>HYPERLINK("#Покупные_изделия!D292",Покупные_изделия!D292)</f>
        <v>120</v>
      </c>
      <c r="M2803" s="76">
        <f t="shared" ref="M2803:M2809" si="107">J2803*L2803</f>
        <v>25.2</v>
      </c>
      <c r="N2803" s="77"/>
      <c r="O2803" s="77"/>
      <c r="P2803" s="76"/>
      <c r="Q2803" s="76"/>
    </row>
    <row r="2804" spans="6:17" hidden="1" outlineLevel="5" x14ac:dyDescent="0.25">
      <c r="G2804" s="74" t="s">
        <v>65</v>
      </c>
      <c r="H2804" s="75"/>
      <c r="I2804" s="76"/>
      <c r="J2804" s="78">
        <f>HYPERLINK("#Структура!E1932",Структура!E1932)</f>
        <v>0.06</v>
      </c>
      <c r="K2804" s="114" t="str">
        <f>HYPERLINK("#Структура!G1932","")</f>
        <v/>
      </c>
      <c r="L2804" s="120">
        <f>HYPERLINK("#Покупные_изделия!D197",Покупные_изделия!D197)</f>
        <v>264.50399999999996</v>
      </c>
      <c r="M2804" s="76">
        <f t="shared" si="107"/>
        <v>15.870239999999997</v>
      </c>
      <c r="N2804" s="77"/>
      <c r="O2804" s="77"/>
      <c r="P2804" s="76"/>
      <c r="Q2804" s="76"/>
    </row>
    <row r="2805" spans="6:17" hidden="1" outlineLevel="5" x14ac:dyDescent="0.25">
      <c r="G2805" s="74" t="s">
        <v>67</v>
      </c>
      <c r="H2805" s="75"/>
      <c r="I2805" s="76"/>
      <c r="J2805" s="78">
        <f>HYPERLINK("#Структура!E1933",Структура!E1933)</f>
        <v>0.22800000000000001</v>
      </c>
      <c r="K2805" s="114" t="str">
        <f>HYPERLINK("#Структура!G1933","")</f>
        <v/>
      </c>
      <c r="L2805" s="120">
        <f>HYPERLINK("#Покупные_изделия!D203",Покупные_изделия!D203)</f>
        <v>30.003600000000002</v>
      </c>
      <c r="M2805" s="76">
        <f t="shared" si="107"/>
        <v>6.8408208000000004</v>
      </c>
      <c r="N2805" s="77"/>
      <c r="O2805" s="77"/>
      <c r="P2805" s="76"/>
      <c r="Q2805" s="76"/>
    </row>
    <row r="2806" spans="6:17" hidden="1" outlineLevel="5" x14ac:dyDescent="0.25">
      <c r="G2806" s="74" t="s">
        <v>146</v>
      </c>
      <c r="H2806" s="75"/>
      <c r="I2806" s="76"/>
      <c r="J2806" s="78">
        <f>HYPERLINK("#Структура!E1934",Структура!E1934)</f>
        <v>0.13500000000000001</v>
      </c>
      <c r="K2806" s="114" t="str">
        <f>HYPERLINK("#Структура!G1934","")</f>
        <v/>
      </c>
      <c r="L2806" s="120">
        <f>HYPERLINK("#Покупные_изделия!D406",Покупные_изделия!D406)</f>
        <v>105.996</v>
      </c>
      <c r="M2806" s="76">
        <f t="shared" si="107"/>
        <v>14.30946</v>
      </c>
      <c r="N2806" s="77"/>
      <c r="O2806" s="77"/>
      <c r="P2806" s="76"/>
      <c r="Q2806" s="76"/>
    </row>
    <row r="2807" spans="6:17" hidden="1" outlineLevel="5" x14ac:dyDescent="0.25">
      <c r="G2807" s="74" t="s">
        <v>155</v>
      </c>
      <c r="H2807" s="75"/>
      <c r="I2807" s="76"/>
      <c r="J2807" s="78">
        <f>HYPERLINK("#Структура!E1935",Структура!E1935)</f>
        <v>3.5999999999999997E-2</v>
      </c>
      <c r="K2807" s="114" t="str">
        <f>HYPERLINK("#Структура!G1935","")</f>
        <v/>
      </c>
      <c r="L2807" s="120">
        <f>HYPERLINK("#Покупные_изделия!D423",Покупные_изделия!D423)</f>
        <v>218.28</v>
      </c>
      <c r="M2807" s="76">
        <f t="shared" si="107"/>
        <v>7.8580799999999993</v>
      </c>
      <c r="N2807" s="77"/>
      <c r="O2807" s="77"/>
      <c r="P2807" s="76"/>
      <c r="Q2807" s="76"/>
    </row>
    <row r="2808" spans="6:17" hidden="1" outlineLevel="5" x14ac:dyDescent="0.25">
      <c r="G2808" s="74" t="s">
        <v>200</v>
      </c>
      <c r="H2808" s="75"/>
      <c r="I2808" s="76"/>
      <c r="J2808" s="78">
        <f>HYPERLINK("#Структура!E1936",Структура!E1936)</f>
        <v>7.9000000000000001E-2</v>
      </c>
      <c r="K2808" s="114" t="str">
        <f>HYPERLINK("#Структура!G1936","")</f>
        <v/>
      </c>
      <c r="L2808" s="120">
        <f>HYPERLINK("#Покупные_изделия!D518",Покупные_изделия!D518)</f>
        <v>270</v>
      </c>
      <c r="M2808" s="76">
        <f t="shared" si="107"/>
        <v>21.330000000000002</v>
      </c>
      <c r="N2808" s="77"/>
      <c r="O2808" s="77"/>
      <c r="P2808" s="76"/>
      <c r="Q2808" s="76"/>
    </row>
    <row r="2809" spans="6:17" hidden="1" outlineLevel="5" x14ac:dyDescent="0.25">
      <c r="G2809" s="74" t="s">
        <v>215</v>
      </c>
      <c r="H2809" s="75"/>
      <c r="I2809" s="76"/>
      <c r="J2809" s="78">
        <f>HYPERLINK("#Структура!E1937",Структура!E1937)</f>
        <v>0.12</v>
      </c>
      <c r="K2809" s="114" t="str">
        <f>HYPERLINK("#Структура!G1937","")</f>
        <v/>
      </c>
      <c r="L2809" s="120">
        <f>HYPERLINK("#Покупные_изделия!D567",Покупные_изделия!D567)</f>
        <v>405.74399999999997</v>
      </c>
      <c r="M2809" s="76">
        <f t="shared" si="107"/>
        <v>48.689279999999997</v>
      </c>
      <c r="N2809" s="77"/>
      <c r="O2809" s="77"/>
      <c r="P2809" s="76"/>
      <c r="Q2809" s="76"/>
    </row>
    <row r="2810" spans="6:17" hidden="1" outlineLevel="4" collapsed="1" x14ac:dyDescent="0.25">
      <c r="F2810" s="96" t="s">
        <v>1219</v>
      </c>
      <c r="G2810" s="91"/>
      <c r="H2810" s="92"/>
      <c r="I2810" s="93"/>
      <c r="J2810" s="95">
        <f>HYPERLINK("#Структура!E2244",Структура!E2244)</f>
        <v>1</v>
      </c>
      <c r="K2810" s="116">
        <f>HYPERLINK("#Структура!G2244",Структура!G2244)</f>
        <v>3.5596100000000002</v>
      </c>
      <c r="L2810" s="93">
        <f>M2810/J2810</f>
        <v>689.3275547999998</v>
      </c>
      <c r="M2810" s="93">
        <f>SUMIF(G2811:G2822,"*",M2811:M2822)*J2810</f>
        <v>689.3275547999998</v>
      </c>
      <c r="N2810" s="125">
        <f>HYPERLINK("#Трудозатраты!B518",Трудозатраты!B518+SUMIF(G2811:G2822,"*",O2811:O2822))</f>
        <v>22.200000000000003</v>
      </c>
      <c r="O2810" s="94">
        <f>N2810*J2810</f>
        <v>22.200000000000003</v>
      </c>
      <c r="P2810" s="93">
        <f>O2810/60*(1+запас_труд)*стоимость_трудочаса</f>
        <v>869.50000000000011</v>
      </c>
      <c r="Q2810" s="130">
        <f>M2810*(1+наценка_покупное)+P2810</f>
        <v>1696.6930657599999</v>
      </c>
    </row>
    <row r="2811" spans="6:17" hidden="1" outlineLevel="5" collapsed="1" x14ac:dyDescent="0.25">
      <c r="G2811" s="85" t="s">
        <v>1225</v>
      </c>
      <c r="H2811" s="87"/>
      <c r="I2811" s="88"/>
      <c r="J2811" s="90">
        <f>HYPERLINK("#Структура!E1941",Структура!E1941)</f>
        <v>1</v>
      </c>
      <c r="K2811" s="113">
        <f>HYPERLINK("#Структура!G1941",Структура!G1941)</f>
        <v>2.1058500000000002</v>
      </c>
      <c r="L2811" s="88">
        <f>M2811/J2811</f>
        <v>315.59999999999997</v>
      </c>
      <c r="M2811" s="88">
        <f>SUMIF(H2812,"*",M2812)*J2811</f>
        <v>315.59999999999997</v>
      </c>
      <c r="N2811" s="123">
        <f>HYPERLINK("#Трудозатраты!B519",Трудозатраты!B519+SUMIF(H2812,"*",O2812))</f>
        <v>3.8</v>
      </c>
      <c r="O2811" s="89">
        <f>N2811*J2811</f>
        <v>3.8</v>
      </c>
      <c r="P2811" s="88">
        <f>O2811/60*(1+запас_труд)*стоимость_трудочаса</f>
        <v>148.83333333333331</v>
      </c>
      <c r="Q2811" s="128">
        <f>M2811*(1+наценка_покупное)+P2811</f>
        <v>527.55333333333328</v>
      </c>
    </row>
    <row r="2812" spans="6:17" hidden="1" outlineLevel="6" x14ac:dyDescent="0.25">
      <c r="H2812" s="75" t="s">
        <v>111</v>
      </c>
      <c r="I2812" s="76"/>
      <c r="J2812" s="78">
        <f>HYPERLINK("#Структура!E1950",Структура!E1950)</f>
        <v>2.63</v>
      </c>
      <c r="K2812" s="114" t="str">
        <f>HYPERLINK("#Структура!G1950","")</f>
        <v/>
      </c>
      <c r="L2812" s="120">
        <f>HYPERLINK("#Покупные_изделия!D283",Покупные_изделия!D283)</f>
        <v>120</v>
      </c>
      <c r="M2812" s="76">
        <f>J2812*L2812</f>
        <v>315.59999999999997</v>
      </c>
      <c r="N2812" s="77"/>
      <c r="O2812" s="77"/>
      <c r="P2812" s="76"/>
      <c r="Q2812" s="76"/>
    </row>
    <row r="2813" spans="6:17" hidden="1" outlineLevel="5" collapsed="1" x14ac:dyDescent="0.25">
      <c r="G2813" s="84" t="s">
        <v>1226</v>
      </c>
      <c r="H2813" s="80"/>
      <c r="I2813" s="81"/>
      <c r="J2813" s="83">
        <f>HYPERLINK("#Структура!E1942",Структура!E1942)</f>
        <v>1</v>
      </c>
      <c r="K2813" s="115">
        <f>HYPERLINK("#Структура!G1942",Структура!G1942)</f>
        <v>0.73148999999999997</v>
      </c>
      <c r="L2813" s="81">
        <f>M2813/J2813</f>
        <v>108</v>
      </c>
      <c r="M2813" s="81">
        <f>SUMIF(H2814,"*",M2814)*J2813</f>
        <v>108</v>
      </c>
      <c r="N2813" s="124">
        <f>HYPERLINK("#Трудозатраты!B520",Трудозатраты!B520+SUMIF(H2814,"*",O2814))</f>
        <v>1.1000000000000001</v>
      </c>
      <c r="O2813" s="82">
        <f>N2813*J2813</f>
        <v>1.1000000000000001</v>
      </c>
      <c r="P2813" s="81">
        <f>O2813/60*(1+запас_труд)*стоимость_трудочаса</f>
        <v>43.083333333333336</v>
      </c>
      <c r="Q2813" s="129">
        <f>M2813*(1+наценка_покупное)+P2813</f>
        <v>172.68333333333334</v>
      </c>
    </row>
    <row r="2814" spans="6:17" hidden="1" outlineLevel="6" x14ac:dyDescent="0.25">
      <c r="H2814" s="75" t="s">
        <v>121</v>
      </c>
      <c r="I2814" s="76"/>
      <c r="J2814" s="78">
        <f>HYPERLINK("#Структура!E1951",Структура!E1951)</f>
        <v>0.9</v>
      </c>
      <c r="K2814" s="114" t="str">
        <f>HYPERLINK("#Структура!G1951","")</f>
        <v/>
      </c>
      <c r="L2814" s="120">
        <f>HYPERLINK("#Покупные_изделия!D296",Покупные_изделия!D296)</f>
        <v>120</v>
      </c>
      <c r="M2814" s="76">
        <f>J2814*L2814</f>
        <v>108</v>
      </c>
      <c r="N2814" s="77"/>
      <c r="O2814" s="77"/>
      <c r="P2814" s="76"/>
      <c r="Q2814" s="76"/>
    </row>
    <row r="2815" spans="6:17" hidden="1" outlineLevel="5" collapsed="1" x14ac:dyDescent="0.25">
      <c r="G2815" s="84" t="s">
        <v>1227</v>
      </c>
      <c r="H2815" s="80"/>
      <c r="I2815" s="81"/>
      <c r="J2815" s="83">
        <f>HYPERLINK("#Структура!E1943",Структура!E1943)</f>
        <v>2</v>
      </c>
      <c r="K2815" s="115">
        <f>HYPERLINK("#Структура!G1943",Структура!G1943)</f>
        <v>0.36113000000000001</v>
      </c>
      <c r="L2815" s="81">
        <f>M2815/J2815</f>
        <v>54</v>
      </c>
      <c r="M2815" s="81">
        <f>SUMIF(H2816,"*",M2816)*J2815</f>
        <v>108</v>
      </c>
      <c r="N2815" s="124">
        <f>HYPERLINK("#Трудозатраты!B521",Трудозатраты!B521+SUMIF(H2816,"*",O2816))</f>
        <v>0.6</v>
      </c>
      <c r="O2815" s="82">
        <f>N2815*J2815</f>
        <v>1.2</v>
      </c>
      <c r="P2815" s="81">
        <f>O2815/60*(1+запас_труд)*стоимость_трудочаса</f>
        <v>47</v>
      </c>
      <c r="Q2815" s="129">
        <f>M2815*(1+наценка_покупное)+P2815</f>
        <v>176.6</v>
      </c>
    </row>
    <row r="2816" spans="6:17" hidden="1" outlineLevel="6" x14ac:dyDescent="0.25">
      <c r="H2816" s="75" t="s">
        <v>121</v>
      </c>
      <c r="I2816" s="76"/>
      <c r="J2816" s="78">
        <f>HYPERLINK("#Структура!E1952",Структура!E1952)</f>
        <v>0.45</v>
      </c>
      <c r="K2816" s="114" t="str">
        <f>HYPERLINK("#Структура!G1952","")</f>
        <v/>
      </c>
      <c r="L2816" s="120">
        <f>HYPERLINK("#Покупные_изделия!D296",Покупные_изделия!D296)</f>
        <v>120</v>
      </c>
      <c r="M2816" s="76">
        <f t="shared" ref="M2816:M2822" si="108">J2816*L2816</f>
        <v>54</v>
      </c>
      <c r="N2816" s="77"/>
      <c r="O2816" s="77"/>
      <c r="P2816" s="76"/>
      <c r="Q2816" s="76"/>
    </row>
    <row r="2817" spans="5:17" hidden="1" outlineLevel="5" x14ac:dyDescent="0.25">
      <c r="G2817" s="74" t="s">
        <v>65</v>
      </c>
      <c r="H2817" s="75"/>
      <c r="I2817" s="76"/>
      <c r="J2817" s="78">
        <f>HYPERLINK("#Структура!E1944",Структура!E1944)</f>
        <v>1.2E-2</v>
      </c>
      <c r="K2817" s="114" t="str">
        <f>HYPERLINK("#Структура!G1944","")</f>
        <v/>
      </c>
      <c r="L2817" s="120">
        <f>HYPERLINK("#Покупные_изделия!D197",Покупные_изделия!D197)</f>
        <v>264.50399999999996</v>
      </c>
      <c r="M2817" s="76">
        <f t="shared" si="108"/>
        <v>3.1740479999999995</v>
      </c>
      <c r="N2817" s="77"/>
      <c r="O2817" s="77"/>
      <c r="P2817" s="76"/>
      <c r="Q2817" s="76"/>
    </row>
    <row r="2818" spans="5:17" hidden="1" outlineLevel="5" x14ac:dyDescent="0.25">
      <c r="G2818" s="74" t="s">
        <v>67</v>
      </c>
      <c r="H2818" s="75"/>
      <c r="I2818" s="76"/>
      <c r="J2818" s="78">
        <f>HYPERLINK("#Структура!E1945",Структура!E1945)</f>
        <v>1.073</v>
      </c>
      <c r="K2818" s="114" t="str">
        <f>HYPERLINK("#Структура!G1945","")</f>
        <v/>
      </c>
      <c r="L2818" s="120">
        <f>HYPERLINK("#Покупные_изделия!D203",Покупные_изделия!D203)</f>
        <v>30.003600000000002</v>
      </c>
      <c r="M2818" s="76">
        <f t="shared" si="108"/>
        <v>32.193862799999998</v>
      </c>
      <c r="N2818" s="77"/>
      <c r="O2818" s="77"/>
      <c r="P2818" s="76"/>
      <c r="Q2818" s="76"/>
    </row>
    <row r="2819" spans="5:17" hidden="1" outlineLevel="5" x14ac:dyDescent="0.25">
      <c r="G2819" s="74" t="s">
        <v>146</v>
      </c>
      <c r="H2819" s="75"/>
      <c r="I2819" s="76"/>
      <c r="J2819" s="78">
        <f>HYPERLINK("#Структура!E1946",Структура!E1946)</f>
        <v>1.0429999999999999</v>
      </c>
      <c r="K2819" s="114" t="str">
        <f>HYPERLINK("#Структура!G1946","")</f>
        <v/>
      </c>
      <c r="L2819" s="120">
        <f>HYPERLINK("#Покупные_изделия!D406",Покупные_изделия!D406)</f>
        <v>105.996</v>
      </c>
      <c r="M2819" s="76">
        <f t="shared" si="108"/>
        <v>110.55382799999998</v>
      </c>
      <c r="N2819" s="77"/>
      <c r="O2819" s="77"/>
      <c r="P2819" s="76"/>
      <c r="Q2819" s="76"/>
    </row>
    <row r="2820" spans="5:17" hidden="1" outlineLevel="5" x14ac:dyDescent="0.25">
      <c r="G2820" s="74" t="s">
        <v>155</v>
      </c>
      <c r="H2820" s="75"/>
      <c r="I2820" s="76"/>
      <c r="J2820" s="78">
        <f>HYPERLINK("#Структура!E1947",Структура!E1947)</f>
        <v>7.0000000000000001E-3</v>
      </c>
      <c r="K2820" s="114" t="str">
        <f>HYPERLINK("#Структура!G1947","")</f>
        <v/>
      </c>
      <c r="L2820" s="120">
        <f>HYPERLINK("#Покупные_изделия!D423",Покупные_изделия!D423)</f>
        <v>218.28</v>
      </c>
      <c r="M2820" s="76">
        <f t="shared" si="108"/>
        <v>1.52796</v>
      </c>
      <c r="N2820" s="77"/>
      <c r="O2820" s="77"/>
      <c r="P2820" s="76"/>
      <c r="Q2820" s="76"/>
    </row>
    <row r="2821" spans="5:17" hidden="1" outlineLevel="5" x14ac:dyDescent="0.25">
      <c r="G2821" s="74" t="s">
        <v>200</v>
      </c>
      <c r="H2821" s="75"/>
      <c r="I2821" s="76"/>
      <c r="J2821" s="78">
        <f>HYPERLINK("#Структура!E1948",Структура!E1948)</f>
        <v>2E-3</v>
      </c>
      <c r="K2821" s="114" t="str">
        <f>HYPERLINK("#Структура!G1948","")</f>
        <v/>
      </c>
      <c r="L2821" s="120">
        <f>HYPERLINK("#Покупные_изделия!D518",Покупные_изделия!D518)</f>
        <v>270</v>
      </c>
      <c r="M2821" s="76">
        <f t="shared" si="108"/>
        <v>0.54</v>
      </c>
      <c r="N2821" s="77"/>
      <c r="O2821" s="77"/>
      <c r="P2821" s="76"/>
      <c r="Q2821" s="76"/>
    </row>
    <row r="2822" spans="5:17" hidden="1" outlineLevel="5" x14ac:dyDescent="0.25">
      <c r="G2822" s="74" t="s">
        <v>215</v>
      </c>
      <c r="H2822" s="75"/>
      <c r="I2822" s="76"/>
      <c r="J2822" s="78">
        <f>HYPERLINK("#Структура!E1949",Структура!E1949)</f>
        <v>2.4E-2</v>
      </c>
      <c r="K2822" s="114" t="str">
        <f>HYPERLINK("#Структура!G1949","")</f>
        <v/>
      </c>
      <c r="L2822" s="120">
        <f>HYPERLINK("#Покупные_изделия!D567",Покупные_изделия!D567)</f>
        <v>405.74399999999997</v>
      </c>
      <c r="M2822" s="76">
        <f t="shared" si="108"/>
        <v>9.737855999999999</v>
      </c>
      <c r="N2822" s="77"/>
      <c r="O2822" s="77"/>
      <c r="P2822" s="76"/>
      <c r="Q2822" s="76"/>
    </row>
    <row r="2823" spans="5:17" hidden="1" outlineLevel="4" collapsed="1" x14ac:dyDescent="0.25">
      <c r="F2823" s="84" t="s">
        <v>1220</v>
      </c>
      <c r="G2823" s="79"/>
      <c r="H2823" s="80"/>
      <c r="I2823" s="81"/>
      <c r="J2823" s="83">
        <f>HYPERLINK("#Структура!E2245",Структура!E2245)</f>
        <v>1</v>
      </c>
      <c r="K2823" s="115">
        <f>HYPERLINK("#Структура!G2245",Структура!G2245)</f>
        <v>1.11426</v>
      </c>
      <c r="L2823" s="81">
        <f>M2823/J2823</f>
        <v>206.40506400000001</v>
      </c>
      <c r="M2823" s="81">
        <f>SUMIF(G2824:G2827,"*",M2824:M2827)*J2823</f>
        <v>206.40506400000001</v>
      </c>
      <c r="N2823" s="124">
        <f>HYPERLINK("#Трудозатраты!B513",Трудозатраты!B513+SUMIF(G2824:G2827,"*",O2824:O2827))</f>
        <v>7.4</v>
      </c>
      <c r="O2823" s="82">
        <f>N2823*J2823</f>
        <v>7.4</v>
      </c>
      <c r="P2823" s="81">
        <f>O2823/60*(1+запас_труд)*стоимость_трудочаса</f>
        <v>289.83333333333331</v>
      </c>
      <c r="Q2823" s="129">
        <f>M2823*(1+наценка_покупное)+P2823</f>
        <v>537.51941013333328</v>
      </c>
    </row>
    <row r="2824" spans="5:17" hidden="1" outlineLevel="5" x14ac:dyDescent="0.25">
      <c r="G2824" s="74" t="s">
        <v>65</v>
      </c>
      <c r="H2824" s="75"/>
      <c r="I2824" s="76"/>
      <c r="J2824" s="78">
        <f>HYPERLINK("#Структура!E1925",Структура!E1925)</f>
        <v>7.0000000000000001E-3</v>
      </c>
      <c r="K2824" s="114" t="str">
        <f>HYPERLINK("#Структура!G1925","")</f>
        <v/>
      </c>
      <c r="L2824" s="120">
        <f>HYPERLINK("#Покупные_изделия!D197",Покупные_изделия!D197)</f>
        <v>264.50399999999996</v>
      </c>
      <c r="M2824" s="76">
        <f t="shared" ref="M2824:M2830" si="109">J2824*L2824</f>
        <v>1.8515279999999998</v>
      </c>
      <c r="N2824" s="77"/>
      <c r="O2824" s="77"/>
      <c r="P2824" s="76"/>
      <c r="Q2824" s="76"/>
    </row>
    <row r="2825" spans="5:17" hidden="1" outlineLevel="5" x14ac:dyDescent="0.25">
      <c r="G2825" s="74" t="s">
        <v>119</v>
      </c>
      <c r="H2825" s="75"/>
      <c r="I2825" s="76"/>
      <c r="J2825" s="78">
        <f>HYPERLINK("#Структура!E1926",Структура!E1926)</f>
        <v>1.65</v>
      </c>
      <c r="K2825" s="114" t="str">
        <f>HYPERLINK("#Структура!G1926","")</f>
        <v/>
      </c>
      <c r="L2825" s="120">
        <f>HYPERLINK("#Покупные_изделия!D294",Покупные_изделия!D294)</f>
        <v>120</v>
      </c>
      <c r="M2825" s="76">
        <f t="shared" si="109"/>
        <v>198</v>
      </c>
      <c r="N2825" s="77"/>
      <c r="O2825" s="77"/>
      <c r="P2825" s="76"/>
      <c r="Q2825" s="76"/>
    </row>
    <row r="2826" spans="5:17" hidden="1" outlineLevel="5" x14ac:dyDescent="0.25">
      <c r="G2826" s="74" t="s">
        <v>155</v>
      </c>
      <c r="H2826" s="75"/>
      <c r="I2826" s="76"/>
      <c r="J2826" s="78">
        <f>HYPERLINK("#Структура!E1927",Структура!E1927)</f>
        <v>4.0000000000000001E-3</v>
      </c>
      <c r="K2826" s="114" t="str">
        <f>HYPERLINK("#Структура!G1927","")</f>
        <v/>
      </c>
      <c r="L2826" s="120">
        <f>HYPERLINK("#Покупные_изделия!D423",Покупные_изделия!D423)</f>
        <v>218.28</v>
      </c>
      <c r="M2826" s="76">
        <f t="shared" si="109"/>
        <v>0.87312000000000001</v>
      </c>
      <c r="N2826" s="77"/>
      <c r="O2826" s="77"/>
      <c r="P2826" s="76"/>
      <c r="Q2826" s="76"/>
    </row>
    <row r="2827" spans="5:17" hidden="1" outlineLevel="5" x14ac:dyDescent="0.25">
      <c r="G2827" s="74" t="s">
        <v>215</v>
      </c>
      <c r="H2827" s="75"/>
      <c r="I2827" s="76"/>
      <c r="J2827" s="78">
        <f>HYPERLINK("#Структура!E1928",Структура!E1928)</f>
        <v>1.4E-2</v>
      </c>
      <c r="K2827" s="114" t="str">
        <f>HYPERLINK("#Структура!G1928","")</f>
        <v/>
      </c>
      <c r="L2827" s="120">
        <f>HYPERLINK("#Покупные_изделия!D567",Покупные_изделия!D567)</f>
        <v>405.74399999999997</v>
      </c>
      <c r="M2827" s="76">
        <f t="shared" si="109"/>
        <v>5.6804160000000001</v>
      </c>
      <c r="N2827" s="77"/>
      <c r="O2827" s="77"/>
      <c r="P2827" s="76"/>
      <c r="Q2827" s="76"/>
    </row>
    <row r="2828" spans="5:17" hidden="1" outlineLevel="4" x14ac:dyDescent="0.25">
      <c r="F2828" s="74" t="s">
        <v>1221</v>
      </c>
      <c r="G2828" s="74"/>
      <c r="H2828" s="75"/>
      <c r="I2828" s="76"/>
      <c r="J2828" s="78">
        <f>HYPERLINK("#Структура!E2246",Структура!E2246)</f>
        <v>4</v>
      </c>
      <c r="K2828" s="114">
        <f>HYPERLINK("#Структура!G2246",Структура!G2246)</f>
        <v>6.9500000000000006E-2</v>
      </c>
      <c r="L2828" s="120">
        <f>HYPERLINK("#Покупные_изделия!D78",Покупные_изделия!D78)</f>
        <v>92.13600000000001</v>
      </c>
      <c r="M2828" s="76">
        <f t="shared" si="109"/>
        <v>368.54400000000004</v>
      </c>
      <c r="N2828" s="77"/>
      <c r="O2828" s="77"/>
      <c r="P2828" s="76"/>
      <c r="Q2828" s="76"/>
    </row>
    <row r="2829" spans="5:17" hidden="1" outlineLevel="4" x14ac:dyDescent="0.25">
      <c r="F2829" s="74" t="s">
        <v>864</v>
      </c>
      <c r="G2829" s="74"/>
      <c r="H2829" s="75"/>
      <c r="I2829" s="76"/>
      <c r="J2829" s="78">
        <f>HYPERLINK("#Структура!E2247",Структура!E2247)</f>
        <v>4</v>
      </c>
      <c r="K2829" s="114">
        <f>HYPERLINK("#Структура!G2247",Структура!G2247)</f>
        <v>1.567E-2</v>
      </c>
      <c r="L2829" s="120">
        <f>HYPERLINK("#Покупные_изделия!D175",Покупные_изделия!D175)</f>
        <v>3.3659999999999997</v>
      </c>
      <c r="M2829" s="76">
        <f t="shared" si="109"/>
        <v>13.463999999999999</v>
      </c>
      <c r="N2829" s="77"/>
      <c r="O2829" s="77"/>
      <c r="P2829" s="76"/>
      <c r="Q2829" s="76"/>
    </row>
    <row r="2830" spans="5:17" hidden="1" outlineLevel="4" x14ac:dyDescent="0.25">
      <c r="F2830" s="74" t="s">
        <v>865</v>
      </c>
      <c r="G2830" s="74"/>
      <c r="H2830" s="75"/>
      <c r="I2830" s="76"/>
      <c r="J2830" s="78">
        <f>HYPERLINK("#Структура!E2248",Структура!E2248)</f>
        <v>4</v>
      </c>
      <c r="K2830" s="114">
        <f>HYPERLINK("#Структура!G2248",Структура!G2248)</f>
        <v>3.4499999999999999E-3</v>
      </c>
      <c r="L2830" s="120">
        <f>HYPERLINK("#Покупные_изделия!D523",Покупные_изделия!D523)</f>
        <v>1.5973680000000001</v>
      </c>
      <c r="M2830" s="76">
        <f t="shared" si="109"/>
        <v>6.3894720000000005</v>
      </c>
      <c r="N2830" s="77"/>
      <c r="O2830" s="77"/>
      <c r="P2830" s="76"/>
      <c r="Q2830" s="76"/>
    </row>
    <row r="2831" spans="5:17" hidden="1" outlineLevel="3" collapsed="1" x14ac:dyDescent="0.25">
      <c r="E2831" s="96" t="s">
        <v>1310</v>
      </c>
      <c r="F2831" s="91"/>
      <c r="G2831" s="91"/>
      <c r="H2831" s="92"/>
      <c r="I2831" s="93"/>
      <c r="J2831" s="95">
        <f>HYPERLINK("#Структура!E2335",Структура!E2335)</f>
        <v>1</v>
      </c>
      <c r="K2831" s="116">
        <f>HYPERLINK("#Структура!G2335",Структура!G2335)</f>
        <v>35.78528</v>
      </c>
      <c r="L2831" s="93">
        <f>M2831/J2831</f>
        <v>5977.0037875999997</v>
      </c>
      <c r="M2831" s="93">
        <f>SUMIF(F2832:F2872,"*",M2832:M2872)*J2831</f>
        <v>5977.0037875999997</v>
      </c>
      <c r="N2831" s="125">
        <f>HYPERLINK("#Трудозатраты!B606",Трудозатраты!B606+SUMIF(F2832:F2872,"*",O2832:O2872))</f>
        <v>212.93</v>
      </c>
      <c r="O2831" s="94">
        <f>N2831*J2831</f>
        <v>212.93</v>
      </c>
      <c r="P2831" s="93">
        <f>O2831/60*(1+запас_труд)*стоимость_трудочаса</f>
        <v>8339.7583333333332</v>
      </c>
      <c r="Q2831" s="130">
        <f>M2831*(1+наценка_покупное)+P2831</f>
        <v>15512.162878453331</v>
      </c>
    </row>
    <row r="2832" spans="5:17" hidden="1" outlineLevel="4" collapsed="1" x14ac:dyDescent="0.25">
      <c r="F2832" s="97" t="s">
        <v>1228</v>
      </c>
      <c r="G2832" s="98"/>
      <c r="H2832" s="99"/>
      <c r="I2832" s="100"/>
      <c r="J2832" s="102">
        <f>HYPERLINK("#Структура!E2388",Структура!E2388)</f>
        <v>1</v>
      </c>
      <c r="K2832" s="112">
        <f>HYPERLINK("#Структура!G2388",Структура!G2388)</f>
        <v>4.0158199999999997</v>
      </c>
      <c r="L2832" s="100">
        <f>M2832/J2832</f>
        <v>675.75006119999989</v>
      </c>
      <c r="M2832" s="100">
        <f>SUMIF(G2833:G2844,"*",M2833:M2844)*J2832</f>
        <v>675.75006119999989</v>
      </c>
      <c r="N2832" s="122">
        <f>HYPERLINK("#Трудозатраты!B524",Трудозатраты!B524+SUMIF(G2833:G2844,"*",O2833:O2844))</f>
        <v>30.299999999999997</v>
      </c>
      <c r="O2832" s="101">
        <f>N2832*J2832</f>
        <v>30.299999999999997</v>
      </c>
      <c r="P2832" s="100">
        <f>O2832/60*(1+запас_труд)*стоимость_трудочаса</f>
        <v>1186.75</v>
      </c>
      <c r="Q2832" s="127">
        <f>M2832*(1+наценка_покупное)+P2832</f>
        <v>1997.6500734399997</v>
      </c>
    </row>
    <row r="2833" spans="6:17" hidden="1" outlineLevel="5" collapsed="1" x14ac:dyDescent="0.25">
      <c r="G2833" s="85" t="s">
        <v>1225</v>
      </c>
      <c r="H2833" s="87"/>
      <c r="I2833" s="88"/>
      <c r="J2833" s="90">
        <f>HYPERLINK("#Структура!E1963",Структура!E1963)</f>
        <v>1</v>
      </c>
      <c r="K2833" s="113">
        <f>HYPERLINK("#Структура!G1963",Структура!G1963)</f>
        <v>2.1058500000000002</v>
      </c>
      <c r="L2833" s="88">
        <f>M2833/J2833</f>
        <v>315.59999999999997</v>
      </c>
      <c r="M2833" s="88">
        <f>SUMIF(H2834,"*",M2834)*J2833</f>
        <v>315.59999999999997</v>
      </c>
      <c r="N2833" s="123">
        <f>HYPERLINK("#Трудозатраты!B519",Трудозатраты!B519+SUMIF(H2834,"*",O2834))</f>
        <v>3.8</v>
      </c>
      <c r="O2833" s="89">
        <f>N2833*J2833</f>
        <v>3.8</v>
      </c>
      <c r="P2833" s="88">
        <f>O2833/60*(1+запас_труд)*стоимость_трудочаса</f>
        <v>148.83333333333331</v>
      </c>
      <c r="Q2833" s="128">
        <f>M2833*(1+наценка_покупное)+P2833</f>
        <v>527.55333333333328</v>
      </c>
    </row>
    <row r="2834" spans="6:17" hidden="1" outlineLevel="6" x14ac:dyDescent="0.25">
      <c r="H2834" s="75" t="s">
        <v>111</v>
      </c>
      <c r="I2834" s="76"/>
      <c r="J2834" s="78">
        <f>HYPERLINK("#Структура!E1950",Структура!E1950)</f>
        <v>2.63</v>
      </c>
      <c r="K2834" s="114" t="str">
        <f>HYPERLINK("#Структура!G1950","")</f>
        <v/>
      </c>
      <c r="L2834" s="120">
        <f>HYPERLINK("#Покупные_изделия!D283",Покупные_изделия!D283)</f>
        <v>120</v>
      </c>
      <c r="M2834" s="76">
        <f>J2834*L2834</f>
        <v>315.59999999999997</v>
      </c>
      <c r="N2834" s="77"/>
      <c r="O2834" s="77"/>
      <c r="P2834" s="76"/>
      <c r="Q2834" s="76"/>
    </row>
    <row r="2835" spans="6:17" hidden="1" outlineLevel="5" collapsed="1" x14ac:dyDescent="0.25">
      <c r="G2835" s="84" t="s">
        <v>1232</v>
      </c>
      <c r="H2835" s="80"/>
      <c r="I2835" s="81"/>
      <c r="J2835" s="83">
        <f>HYPERLINK("#Структура!E1964",Структура!E1964)</f>
        <v>1</v>
      </c>
      <c r="K2835" s="115">
        <f>HYPERLINK("#Структура!G1964",Структура!G1964)</f>
        <v>0.73148999999999997</v>
      </c>
      <c r="L2835" s="81">
        <f>M2835/J2835</f>
        <v>105.6</v>
      </c>
      <c r="M2835" s="81">
        <f>SUMIF(H2836,"*",M2836)*J2835</f>
        <v>105.6</v>
      </c>
      <c r="N2835" s="124">
        <f>HYPERLINK("#Трудозатраты!B525",Трудозатраты!B525+SUMIF(H2836,"*",O2836))</f>
        <v>1.9</v>
      </c>
      <c r="O2835" s="82">
        <f>N2835*J2835</f>
        <v>1.9</v>
      </c>
      <c r="P2835" s="81">
        <f>O2835/60*(1+запас_труд)*стоимость_трудочаса</f>
        <v>74.416666666666657</v>
      </c>
      <c r="Q2835" s="129">
        <f>M2835*(1+наценка_покупное)+P2835</f>
        <v>201.13666666666666</v>
      </c>
    </row>
    <row r="2836" spans="6:17" hidden="1" outlineLevel="6" x14ac:dyDescent="0.25">
      <c r="H2836" s="75" t="s">
        <v>121</v>
      </c>
      <c r="I2836" s="76"/>
      <c r="J2836" s="78">
        <f>HYPERLINK("#Структура!E1972",Структура!E1972)</f>
        <v>0.88</v>
      </c>
      <c r="K2836" s="114" t="str">
        <f>HYPERLINK("#Структура!G1972","")</f>
        <v/>
      </c>
      <c r="L2836" s="120">
        <f>HYPERLINK("#Покупные_изделия!D296",Покупные_изделия!D296)</f>
        <v>120</v>
      </c>
      <c r="M2836" s="76">
        <f>J2836*L2836</f>
        <v>105.6</v>
      </c>
      <c r="N2836" s="77"/>
      <c r="O2836" s="77"/>
      <c r="P2836" s="76"/>
      <c r="Q2836" s="76"/>
    </row>
    <row r="2837" spans="6:17" hidden="1" outlineLevel="5" collapsed="1" x14ac:dyDescent="0.25">
      <c r="G2837" s="84" t="s">
        <v>1233</v>
      </c>
      <c r="H2837" s="80"/>
      <c r="I2837" s="81"/>
      <c r="J2837" s="83">
        <f>HYPERLINK("#Структура!E1965",Структура!E1965)</f>
        <v>2</v>
      </c>
      <c r="K2837" s="115">
        <f>HYPERLINK("#Структура!G1965",Структура!G1965)</f>
        <v>0.58923999999999999</v>
      </c>
      <c r="L2837" s="81">
        <f>M2837/J2837</f>
        <v>115.19999999999999</v>
      </c>
      <c r="M2837" s="81">
        <f>SUMIF(H2838,"*",M2838)*J2837</f>
        <v>230.39999999999998</v>
      </c>
      <c r="N2837" s="124">
        <f>HYPERLINK("#Трудозатраты!B526",Трудозатраты!B526+SUMIF(H2838,"*",O2838))</f>
        <v>1.3</v>
      </c>
      <c r="O2837" s="82">
        <f>N2837*J2837</f>
        <v>2.6</v>
      </c>
      <c r="P2837" s="81">
        <f>O2837/60*(1+запас_труд)*стоимость_трудочаса</f>
        <v>101.83333333333334</v>
      </c>
      <c r="Q2837" s="129">
        <f>M2837*(1+наценка_покупное)+P2837</f>
        <v>378.31333333333328</v>
      </c>
    </row>
    <row r="2838" spans="6:17" hidden="1" outlineLevel="6" x14ac:dyDescent="0.25">
      <c r="H2838" s="75" t="s">
        <v>121</v>
      </c>
      <c r="I2838" s="76"/>
      <c r="J2838" s="78">
        <f>HYPERLINK("#Структура!E1973",Структура!E1973)</f>
        <v>0.96</v>
      </c>
      <c r="K2838" s="114" t="str">
        <f>HYPERLINK("#Структура!G1973","")</f>
        <v/>
      </c>
      <c r="L2838" s="120">
        <f>HYPERLINK("#Покупные_изделия!D296",Покупные_изделия!D296)</f>
        <v>120</v>
      </c>
      <c r="M2838" s="76">
        <f t="shared" ref="M2838:M2844" si="110">J2838*L2838</f>
        <v>115.19999999999999</v>
      </c>
      <c r="N2838" s="77"/>
      <c r="O2838" s="77"/>
      <c r="P2838" s="76"/>
      <c r="Q2838" s="76"/>
    </row>
    <row r="2839" spans="6:17" hidden="1" outlineLevel="5" x14ac:dyDescent="0.25">
      <c r="G2839" s="74" t="s">
        <v>65</v>
      </c>
      <c r="H2839" s="75"/>
      <c r="I2839" s="76"/>
      <c r="J2839" s="78">
        <f>HYPERLINK("#Структура!E1966",Структура!E1966)</f>
        <v>1.2999999999999999E-2</v>
      </c>
      <c r="K2839" s="114" t="str">
        <f>HYPERLINK("#Структура!G1966","")</f>
        <v/>
      </c>
      <c r="L2839" s="120">
        <f>HYPERLINK("#Покупные_изделия!D197",Покупные_изделия!D197)</f>
        <v>264.50399999999996</v>
      </c>
      <c r="M2839" s="76">
        <f t="shared" si="110"/>
        <v>3.4385519999999992</v>
      </c>
      <c r="N2839" s="77"/>
      <c r="O2839" s="77"/>
      <c r="P2839" s="76"/>
      <c r="Q2839" s="76"/>
    </row>
    <row r="2840" spans="6:17" hidden="1" outlineLevel="5" x14ac:dyDescent="0.25">
      <c r="G2840" s="74" t="s">
        <v>67</v>
      </c>
      <c r="H2840" s="75"/>
      <c r="I2840" s="76"/>
      <c r="J2840" s="78">
        <f>HYPERLINK("#Структура!E1967",Структура!E1967)</f>
        <v>4.7E-2</v>
      </c>
      <c r="K2840" s="114" t="str">
        <f>HYPERLINK("#Структура!G1967","")</f>
        <v/>
      </c>
      <c r="L2840" s="120">
        <f>HYPERLINK("#Покупные_изделия!D203",Покупные_изделия!D203)</f>
        <v>30.003600000000002</v>
      </c>
      <c r="M2840" s="76">
        <f t="shared" si="110"/>
        <v>1.4101692000000001</v>
      </c>
      <c r="N2840" s="77"/>
      <c r="O2840" s="77"/>
      <c r="P2840" s="76"/>
      <c r="Q2840" s="76"/>
    </row>
    <row r="2841" spans="6:17" hidden="1" outlineLevel="5" x14ac:dyDescent="0.25">
      <c r="G2841" s="74" t="s">
        <v>146</v>
      </c>
      <c r="H2841" s="75"/>
      <c r="I2841" s="76"/>
      <c r="J2841" s="78">
        <f>HYPERLINK("#Структура!E1968",Структура!E1968)</f>
        <v>6.0999999999999999E-2</v>
      </c>
      <c r="K2841" s="114" t="str">
        <f>HYPERLINK("#Структура!G1968","")</f>
        <v/>
      </c>
      <c r="L2841" s="120">
        <f>HYPERLINK("#Покупные_изделия!D406",Покупные_изделия!D406)</f>
        <v>105.996</v>
      </c>
      <c r="M2841" s="76">
        <f t="shared" si="110"/>
        <v>6.4657559999999998</v>
      </c>
      <c r="N2841" s="77"/>
      <c r="O2841" s="77"/>
      <c r="P2841" s="76"/>
      <c r="Q2841" s="76"/>
    </row>
    <row r="2842" spans="6:17" hidden="1" outlineLevel="5" x14ac:dyDescent="0.25">
      <c r="G2842" s="74" t="s">
        <v>155</v>
      </c>
      <c r="H2842" s="75"/>
      <c r="I2842" s="76"/>
      <c r="J2842" s="78">
        <f>HYPERLINK("#Структура!E1969",Структура!E1969)</f>
        <v>8.0000000000000002E-3</v>
      </c>
      <c r="K2842" s="114" t="str">
        <f>HYPERLINK("#Структура!G1969","")</f>
        <v/>
      </c>
      <c r="L2842" s="120">
        <f>HYPERLINK("#Покупные_изделия!D423",Покупные_изделия!D423)</f>
        <v>218.28</v>
      </c>
      <c r="M2842" s="76">
        <f t="shared" si="110"/>
        <v>1.74624</v>
      </c>
      <c r="N2842" s="77"/>
      <c r="O2842" s="77"/>
      <c r="P2842" s="76"/>
      <c r="Q2842" s="76"/>
    </row>
    <row r="2843" spans="6:17" hidden="1" outlineLevel="5" x14ac:dyDescent="0.25">
      <c r="G2843" s="74" t="s">
        <v>200</v>
      </c>
      <c r="H2843" s="75"/>
      <c r="I2843" s="76"/>
      <c r="J2843" s="78">
        <f>HYPERLINK("#Структура!E1970",Структура!E1970)</f>
        <v>2E-3</v>
      </c>
      <c r="K2843" s="114" t="str">
        <f>HYPERLINK("#Структура!G1970","")</f>
        <v/>
      </c>
      <c r="L2843" s="120">
        <f>HYPERLINK("#Покупные_изделия!D518",Покупные_изделия!D518)</f>
        <v>270</v>
      </c>
      <c r="M2843" s="76">
        <f t="shared" si="110"/>
        <v>0.54</v>
      </c>
      <c r="N2843" s="77"/>
      <c r="O2843" s="77"/>
      <c r="P2843" s="76"/>
      <c r="Q2843" s="76"/>
    </row>
    <row r="2844" spans="6:17" hidden="1" outlineLevel="5" x14ac:dyDescent="0.25">
      <c r="G2844" s="74" t="s">
        <v>215</v>
      </c>
      <c r="H2844" s="75"/>
      <c r="I2844" s="76"/>
      <c r="J2844" s="78">
        <f>HYPERLINK("#Структура!E1971",Структура!E1971)</f>
        <v>2.5999999999999999E-2</v>
      </c>
      <c r="K2844" s="114" t="str">
        <f>HYPERLINK("#Структура!G1971","")</f>
        <v/>
      </c>
      <c r="L2844" s="120">
        <f>HYPERLINK("#Покупные_изделия!D567",Покупные_изделия!D567)</f>
        <v>405.74399999999997</v>
      </c>
      <c r="M2844" s="76">
        <f t="shared" si="110"/>
        <v>10.549344</v>
      </c>
      <c r="N2844" s="77"/>
      <c r="O2844" s="77"/>
      <c r="P2844" s="76"/>
      <c r="Q2844" s="76"/>
    </row>
    <row r="2845" spans="6:17" hidden="1" outlineLevel="4" collapsed="1" x14ac:dyDescent="0.25">
      <c r="F2845" s="96" t="s">
        <v>1321</v>
      </c>
      <c r="G2845" s="91"/>
      <c r="H2845" s="92"/>
      <c r="I2845" s="93"/>
      <c r="J2845" s="95">
        <f>HYPERLINK("#Структура!E2389",Структура!E2389)</f>
        <v>1</v>
      </c>
      <c r="K2845" s="116">
        <f>HYPERLINK("#Структура!G2389",Структура!G2389)</f>
        <v>31.64564</v>
      </c>
      <c r="L2845" s="93">
        <f>M2845/J2845</f>
        <v>4912.8562544000006</v>
      </c>
      <c r="M2845" s="93">
        <f>SUMIF(G2846:G2869,"*",M2846:M2869)*J2845</f>
        <v>4912.8562544000006</v>
      </c>
      <c r="N2845" s="125">
        <f>HYPERLINK("#Трудозатраты!B607",Трудозатраты!B607+SUMIF(G2846:G2869,"*",O2846:O2869))</f>
        <v>172.63</v>
      </c>
      <c r="O2845" s="94">
        <f>N2845*J2845</f>
        <v>172.63</v>
      </c>
      <c r="P2845" s="93">
        <f>O2845/60*(1+запас_труд)*стоимость_трудочаса</f>
        <v>6761.3416666666662</v>
      </c>
      <c r="Q2845" s="130">
        <f>M2845*(1+наценка_покупное)+P2845</f>
        <v>12656.769171946667</v>
      </c>
    </row>
    <row r="2846" spans="6:17" hidden="1" outlineLevel="5" collapsed="1" x14ac:dyDescent="0.25">
      <c r="G2846" s="97" t="s">
        <v>1231</v>
      </c>
      <c r="H2846" s="99"/>
      <c r="I2846" s="100"/>
      <c r="J2846" s="102">
        <f>HYPERLINK("#Структура!E2393",Структура!E2393)</f>
        <v>1</v>
      </c>
      <c r="K2846" s="112">
        <f>HYPERLINK("#Структура!G2393",Структура!G2393)</f>
        <v>17.11318</v>
      </c>
      <c r="L2846" s="100">
        <f>M2846/J2846</f>
        <v>2504.1982092000003</v>
      </c>
      <c r="M2846" s="100">
        <f>SUMIF(H2847:H2854,"*",M2847:M2854)*J2846</f>
        <v>2504.1982092000003</v>
      </c>
      <c r="N2846" s="122">
        <f>HYPERLINK("#Трудозатраты!B523",Трудозатраты!B523+SUMIF(H2847:H2854,"*",O2847:O2854))</f>
        <v>54</v>
      </c>
      <c r="O2846" s="101">
        <f>N2846*J2846</f>
        <v>54</v>
      </c>
      <c r="P2846" s="100">
        <f>O2846/60*(1+запас_труд)*стоимость_трудочаса</f>
        <v>2115</v>
      </c>
      <c r="Q2846" s="127">
        <f>M2846*(1+наценка_покупное)+P2846</f>
        <v>5120.0378510400005</v>
      </c>
    </row>
    <row r="2847" spans="6:17" hidden="1" outlineLevel="6" collapsed="1" x14ac:dyDescent="0.25">
      <c r="H2847" s="104" t="s">
        <v>1222</v>
      </c>
      <c r="I2847" s="88"/>
      <c r="J2847" s="90">
        <f>HYPERLINK("#Структура!E1958",Структура!E1958)</f>
        <v>2</v>
      </c>
      <c r="K2847" s="113">
        <f>HYPERLINK("#Структура!G1958",Структура!G1958)</f>
        <v>7.1966000000000001</v>
      </c>
      <c r="L2847" s="88">
        <f>M2847/J2847</f>
        <v>1044</v>
      </c>
      <c r="M2847" s="88">
        <f>SUMIF(I2848,"*",M2848)*J2847</f>
        <v>2088</v>
      </c>
      <c r="N2847" s="123">
        <f>HYPERLINK("#Трудозатраты!B515",Трудозатраты!B515+SUMIF(I2848,"*",O2848))</f>
        <v>9.9</v>
      </c>
      <c r="O2847" s="89">
        <f>N2847*J2847</f>
        <v>19.8</v>
      </c>
      <c r="P2847" s="88">
        <f>O2847/60*(1+запас_труд)*стоимость_трудочаса</f>
        <v>775.5</v>
      </c>
      <c r="Q2847" s="128">
        <f>M2847*(1+наценка_покупное)+P2847</f>
        <v>3281.1</v>
      </c>
    </row>
    <row r="2848" spans="6:17" hidden="1" outlineLevel="7" x14ac:dyDescent="0.25">
      <c r="I2848" s="76" t="s">
        <v>111</v>
      </c>
      <c r="J2848" s="78">
        <f>HYPERLINK("#Структура!E1938",Структура!E1938)</f>
        <v>8.6999999999999993</v>
      </c>
      <c r="K2848" s="114" t="str">
        <f>HYPERLINK("#Структура!G1938","")</f>
        <v/>
      </c>
      <c r="L2848" s="120">
        <f>HYPERLINK("#Покупные_изделия!D283",Покупные_изделия!D283)</f>
        <v>120</v>
      </c>
      <c r="M2848" s="76">
        <f>J2848*L2848</f>
        <v>1044</v>
      </c>
      <c r="N2848" s="77"/>
      <c r="O2848" s="77"/>
      <c r="P2848" s="76"/>
      <c r="Q2848" s="76"/>
    </row>
    <row r="2849" spans="7:17" hidden="1" outlineLevel="6" collapsed="1" x14ac:dyDescent="0.25">
      <c r="H2849" s="103" t="s">
        <v>1223</v>
      </c>
      <c r="I2849" s="81"/>
      <c r="J2849" s="83">
        <f>HYPERLINK("#Структура!E1959",Структура!E1959)</f>
        <v>2</v>
      </c>
      <c r="K2849" s="115">
        <f>HYPERLINK("#Структура!G1959",Структура!G1959)</f>
        <v>1.0219</v>
      </c>
      <c r="L2849" s="81">
        <f>M2849/J2849</f>
        <v>150</v>
      </c>
      <c r="M2849" s="81">
        <f>SUMIF(I2850,"*",M2850)*J2849</f>
        <v>300</v>
      </c>
      <c r="N2849" s="124">
        <f>HYPERLINK("#Трудозатраты!B516",Трудозатраты!B516+SUMIF(I2850,"*",O2850))</f>
        <v>2</v>
      </c>
      <c r="O2849" s="82">
        <f>N2849*J2849</f>
        <v>4</v>
      </c>
      <c r="P2849" s="81">
        <f>O2849/60*(1+запас_труд)*стоимость_трудочаса</f>
        <v>156.66666666666666</v>
      </c>
      <c r="Q2849" s="129">
        <f>M2849*(1+наценка_покупное)+P2849</f>
        <v>516.66666666666663</v>
      </c>
    </row>
    <row r="2850" spans="7:17" hidden="1" outlineLevel="7" x14ac:dyDescent="0.25">
      <c r="I2850" s="76" t="s">
        <v>117</v>
      </c>
      <c r="J2850" s="78">
        <f>HYPERLINK("#Структура!E1939",Структура!E1939)</f>
        <v>1.25</v>
      </c>
      <c r="K2850" s="114" t="str">
        <f>HYPERLINK("#Структура!G1939","")</f>
        <v/>
      </c>
      <c r="L2850" s="120">
        <f>HYPERLINK("#Покупные_изделия!D292",Покупные_изделия!D292)</f>
        <v>120</v>
      </c>
      <c r="M2850" s="76">
        <f>J2850*L2850</f>
        <v>150</v>
      </c>
      <c r="N2850" s="77"/>
      <c r="O2850" s="77"/>
      <c r="P2850" s="76"/>
      <c r="Q2850" s="76"/>
    </row>
    <row r="2851" spans="7:17" hidden="1" outlineLevel="6" collapsed="1" x14ac:dyDescent="0.25">
      <c r="H2851" s="103" t="s">
        <v>1224</v>
      </c>
      <c r="I2851" s="81"/>
      <c r="J2851" s="83">
        <f>HYPERLINK("#Структура!E1960",Структура!E1960)</f>
        <v>4</v>
      </c>
      <c r="K2851" s="115">
        <f>HYPERLINK("#Структура!G1960",Структура!G1960)</f>
        <v>0.16904</v>
      </c>
      <c r="L2851" s="81">
        <f>M2851/J2851</f>
        <v>25.2</v>
      </c>
      <c r="M2851" s="81">
        <f>SUMIF(I2852,"*",M2852)*J2851</f>
        <v>100.8</v>
      </c>
      <c r="N2851" s="124">
        <f>HYPERLINK("#Трудозатраты!B517",Трудозатраты!B517+SUMIF(I2852,"*",O2852))</f>
        <v>0.8</v>
      </c>
      <c r="O2851" s="82">
        <f>N2851*J2851</f>
        <v>3.2</v>
      </c>
      <c r="P2851" s="81">
        <f>O2851/60*(1+запас_труд)*стоимость_трудочаса</f>
        <v>125.33333333333334</v>
      </c>
      <c r="Q2851" s="129">
        <f>M2851*(1+наценка_покупное)+P2851</f>
        <v>246.29333333333335</v>
      </c>
    </row>
    <row r="2852" spans="7:17" hidden="1" outlineLevel="7" x14ac:dyDescent="0.25">
      <c r="I2852" s="76" t="s">
        <v>117</v>
      </c>
      <c r="J2852" s="78">
        <f>HYPERLINK("#Структура!E1940",Структура!E1940)</f>
        <v>0.21</v>
      </c>
      <c r="K2852" s="114" t="str">
        <f>HYPERLINK("#Структура!G1940","")</f>
        <v/>
      </c>
      <c r="L2852" s="120">
        <f>HYPERLINK("#Покупные_изделия!D292",Покупные_изделия!D292)</f>
        <v>120</v>
      </c>
      <c r="M2852" s="76">
        <f>J2852*L2852</f>
        <v>25.2</v>
      </c>
      <c r="N2852" s="77"/>
      <c r="O2852" s="77"/>
      <c r="P2852" s="76"/>
      <c r="Q2852" s="76"/>
    </row>
    <row r="2853" spans="7:17" hidden="1" outlineLevel="6" x14ac:dyDescent="0.25">
      <c r="H2853" s="75" t="s">
        <v>67</v>
      </c>
      <c r="I2853" s="76"/>
      <c r="J2853" s="78">
        <f>HYPERLINK("#Структура!E1961",Структура!E1961)</f>
        <v>0.16700000000000001</v>
      </c>
      <c r="K2853" s="114" t="str">
        <f>HYPERLINK("#Структура!G1961","")</f>
        <v/>
      </c>
      <c r="L2853" s="120">
        <f>HYPERLINK("#Покупные_изделия!D203",Покупные_изделия!D203)</f>
        <v>30.003600000000002</v>
      </c>
      <c r="M2853" s="76">
        <f>J2853*L2853</f>
        <v>5.0106012000000009</v>
      </c>
      <c r="N2853" s="77"/>
      <c r="O2853" s="77"/>
      <c r="P2853" s="76"/>
      <c r="Q2853" s="76"/>
    </row>
    <row r="2854" spans="7:17" hidden="1" outlineLevel="6" x14ac:dyDescent="0.25">
      <c r="H2854" s="75" t="s">
        <v>146</v>
      </c>
      <c r="I2854" s="76"/>
      <c r="J2854" s="78">
        <f>HYPERLINK("#Структура!E1962",Структура!E1962)</f>
        <v>9.8000000000000004E-2</v>
      </c>
      <c r="K2854" s="114" t="str">
        <f>HYPERLINK("#Структура!G1962","")</f>
        <v/>
      </c>
      <c r="L2854" s="120">
        <f>HYPERLINK("#Покупные_изделия!D406",Покупные_изделия!D406)</f>
        <v>105.996</v>
      </c>
      <c r="M2854" s="76">
        <f>J2854*L2854</f>
        <v>10.387608</v>
      </c>
      <c r="N2854" s="77"/>
      <c r="O2854" s="77"/>
      <c r="P2854" s="76"/>
      <c r="Q2854" s="76"/>
    </row>
    <row r="2855" spans="7:17" hidden="1" outlineLevel="5" collapsed="1" x14ac:dyDescent="0.25">
      <c r="G2855" s="84" t="s">
        <v>1235</v>
      </c>
      <c r="H2855" s="80"/>
      <c r="I2855" s="81"/>
      <c r="J2855" s="83">
        <f>HYPERLINK("#Структура!E2394",Структура!E2394)</f>
        <v>2</v>
      </c>
      <c r="K2855" s="115">
        <f>HYPERLINK("#Структура!G2394",Структура!G2394)</f>
        <v>1.7407699999999999</v>
      </c>
      <c r="L2855" s="81">
        <f>M2855/J2855</f>
        <v>169.2</v>
      </c>
      <c r="M2855" s="81">
        <f>SUMIF(H2856,"*",M2856)*J2855</f>
        <v>338.4</v>
      </c>
      <c r="N2855" s="124">
        <f>HYPERLINK("#Трудозатраты!B529",Трудозатраты!B529+SUMIF(H2856,"*",O2856))</f>
        <v>22</v>
      </c>
      <c r="O2855" s="82">
        <f>N2855*J2855</f>
        <v>44</v>
      </c>
      <c r="P2855" s="81">
        <f>O2855/60*(1+запас_труд)*стоимость_трудочаса</f>
        <v>1723.3333333333333</v>
      </c>
      <c r="Q2855" s="129">
        <f>M2855*(1+наценка_покупное)+P2855</f>
        <v>2129.4133333333334</v>
      </c>
    </row>
    <row r="2856" spans="7:17" hidden="1" outlineLevel="6" x14ac:dyDescent="0.25">
      <c r="H2856" s="75" t="s">
        <v>178</v>
      </c>
      <c r="I2856" s="76"/>
      <c r="J2856" s="78">
        <f>HYPERLINK("#Структура!E1988",Структура!E1988)</f>
        <v>1.41</v>
      </c>
      <c r="K2856" s="114" t="str">
        <f>HYPERLINK("#Структура!G1988","")</f>
        <v/>
      </c>
      <c r="L2856" s="120">
        <f>HYPERLINK("#Покупные_изделия!D489",Покупные_изделия!D489)</f>
        <v>120</v>
      </c>
      <c r="M2856" s="76">
        <f>J2856*L2856</f>
        <v>169.2</v>
      </c>
      <c r="N2856" s="77"/>
      <c r="O2856" s="77"/>
      <c r="P2856" s="76"/>
      <c r="Q2856" s="76"/>
    </row>
    <row r="2857" spans="7:17" hidden="1" outlineLevel="5" collapsed="1" x14ac:dyDescent="0.25">
      <c r="G2857" s="84" t="s">
        <v>1236</v>
      </c>
      <c r="H2857" s="80"/>
      <c r="I2857" s="81"/>
      <c r="J2857" s="83">
        <f>HYPERLINK("#Структура!E2395",Структура!E2395)</f>
        <v>1</v>
      </c>
      <c r="K2857" s="115">
        <f>HYPERLINK("#Структура!G2395",Структура!G2395)</f>
        <v>1.03599</v>
      </c>
      <c r="L2857" s="81">
        <f>M2857/J2857</f>
        <v>110.00000000000001</v>
      </c>
      <c r="M2857" s="81">
        <f>SUMIF(H2858,"*",M2858)*J2857</f>
        <v>110.00000000000001</v>
      </c>
      <c r="N2857" s="124">
        <f>HYPERLINK("#Трудозатраты!B530",Трудозатраты!B530+SUMIF(H2858,"*",O2858))</f>
        <v>4</v>
      </c>
      <c r="O2857" s="82">
        <f>N2857*J2857</f>
        <v>4</v>
      </c>
      <c r="P2857" s="81">
        <f>O2857/60*(1+запас_труд)*стоимость_трудочаса</f>
        <v>156.66666666666666</v>
      </c>
      <c r="Q2857" s="129">
        <f>M2857*(1+наценка_покупное)+P2857</f>
        <v>288.66666666666663</v>
      </c>
    </row>
    <row r="2858" spans="7:17" hidden="1" outlineLevel="6" x14ac:dyDescent="0.25">
      <c r="H2858" s="75" t="s">
        <v>190</v>
      </c>
      <c r="I2858" s="76"/>
      <c r="J2858" s="78">
        <f>HYPERLINK("#Структура!E1989",Структура!E1989)</f>
        <v>1.1000000000000001</v>
      </c>
      <c r="K2858" s="114" t="str">
        <f>HYPERLINK("#Структура!G1989","")</f>
        <v/>
      </c>
      <c r="L2858" s="120">
        <f>HYPERLINK("#Покупные_изделия!D503",Покупные_изделия!D503)</f>
        <v>100</v>
      </c>
      <c r="M2858" s="76">
        <f>J2858*L2858</f>
        <v>110.00000000000001</v>
      </c>
      <c r="N2858" s="77"/>
      <c r="O2858" s="77"/>
      <c r="P2858" s="76"/>
      <c r="Q2858" s="76"/>
    </row>
    <row r="2859" spans="7:17" hidden="1" outlineLevel="5" collapsed="1" x14ac:dyDescent="0.25">
      <c r="G2859" s="84" t="s">
        <v>1238</v>
      </c>
      <c r="H2859" s="80"/>
      <c r="I2859" s="81"/>
      <c r="J2859" s="83">
        <f>HYPERLINK("#Структура!E2396",Структура!E2396)</f>
        <v>1</v>
      </c>
      <c r="K2859" s="115">
        <f>HYPERLINK("#Структура!G2396",Структура!G2396)</f>
        <v>0.48792000000000002</v>
      </c>
      <c r="L2859" s="81">
        <f>M2859/J2859</f>
        <v>72</v>
      </c>
      <c r="M2859" s="81">
        <f>SUMIF(H2860,"*",M2860)*J2859</f>
        <v>72</v>
      </c>
      <c r="N2859" s="124">
        <f>HYPERLINK("#Трудозатраты!B532",Трудозатраты!B532+SUMIF(H2860,"*",O2860))</f>
        <v>1.4</v>
      </c>
      <c r="O2859" s="82">
        <f>N2859*J2859</f>
        <v>1.4</v>
      </c>
      <c r="P2859" s="81">
        <f>O2859/60*(1+запас_труд)*стоимость_трудочаса</f>
        <v>54.833333333333329</v>
      </c>
      <c r="Q2859" s="129">
        <f>M2859*(1+наценка_покупное)+P2859</f>
        <v>141.23333333333332</v>
      </c>
    </row>
    <row r="2860" spans="7:17" hidden="1" outlineLevel="6" x14ac:dyDescent="0.25">
      <c r="H2860" s="75" t="s">
        <v>117</v>
      </c>
      <c r="I2860" s="76"/>
      <c r="J2860" s="78">
        <f>HYPERLINK("#Структура!E1991",Структура!E1991)</f>
        <v>0.6</v>
      </c>
      <c r="K2860" s="114" t="str">
        <f>HYPERLINK("#Структура!G1991","")</f>
        <v/>
      </c>
      <c r="L2860" s="120">
        <f>HYPERLINK("#Покупные_изделия!D292",Покупные_изделия!D292)</f>
        <v>120</v>
      </c>
      <c r="M2860" s="76">
        <f>J2860*L2860</f>
        <v>72</v>
      </c>
      <c r="N2860" s="77"/>
      <c r="O2860" s="77"/>
      <c r="P2860" s="76"/>
      <c r="Q2860" s="76"/>
    </row>
    <row r="2861" spans="7:17" hidden="1" outlineLevel="5" collapsed="1" x14ac:dyDescent="0.25">
      <c r="G2861" s="84" t="s">
        <v>1322</v>
      </c>
      <c r="H2861" s="80"/>
      <c r="I2861" s="81"/>
      <c r="J2861" s="83">
        <f>HYPERLINK("#Структура!E2397",Структура!E2397)</f>
        <v>1</v>
      </c>
      <c r="K2861" s="115">
        <f>HYPERLINK("#Структура!G2397",Структура!G2397)</f>
        <v>9.5217399999999994</v>
      </c>
      <c r="L2861" s="81">
        <f>M2861/J2861</f>
        <v>1647.6000000000001</v>
      </c>
      <c r="M2861" s="81">
        <f>SUMIF(H2862,"*",M2862)*J2861</f>
        <v>1647.6000000000001</v>
      </c>
      <c r="N2861" s="124">
        <f>HYPERLINK("#Трудозатраты!B608",Трудозатраты!B608+SUMIF(H2862,"*",O2862))</f>
        <v>9.23</v>
      </c>
      <c r="O2861" s="82">
        <f>N2861*J2861</f>
        <v>9.23</v>
      </c>
      <c r="P2861" s="81">
        <f>O2861/60*(1+запас_труд)*стоимость_трудочаса</f>
        <v>361.50833333333338</v>
      </c>
      <c r="Q2861" s="129">
        <f>M2861*(1+наценка_покупное)+P2861</f>
        <v>2338.6283333333336</v>
      </c>
    </row>
    <row r="2862" spans="7:17" hidden="1" outlineLevel="6" x14ac:dyDescent="0.25">
      <c r="H2862" s="75" t="s">
        <v>120</v>
      </c>
      <c r="I2862" s="76"/>
      <c r="J2862" s="78">
        <f>HYPERLINK("#Структура!E2405",Структура!E2405)</f>
        <v>13.73</v>
      </c>
      <c r="K2862" s="114" t="str">
        <f>HYPERLINK("#Структура!G2405","")</f>
        <v/>
      </c>
      <c r="L2862" s="120">
        <f>HYPERLINK("#Покупные_изделия!D295",Покупные_изделия!D295)</f>
        <v>120</v>
      </c>
      <c r="M2862" s="76">
        <f t="shared" ref="M2862:M2872" si="111">J2862*L2862</f>
        <v>1647.6000000000001</v>
      </c>
      <c r="N2862" s="77"/>
      <c r="O2862" s="77"/>
      <c r="P2862" s="76"/>
      <c r="Q2862" s="76"/>
    </row>
    <row r="2863" spans="7:17" hidden="1" outlineLevel="5" x14ac:dyDescent="0.25">
      <c r="G2863" s="74" t="s">
        <v>966</v>
      </c>
      <c r="H2863" s="75"/>
      <c r="I2863" s="76"/>
      <c r="J2863" s="78">
        <f>HYPERLINK("#Структура!E2398",Структура!E2398)</f>
        <v>1</v>
      </c>
      <c r="K2863" s="114">
        <f>HYPERLINK("#Структура!G2398",Структура!G2398)</f>
        <v>5.2700000000000004E-3</v>
      </c>
      <c r="L2863" s="120">
        <f>HYPERLINK("#Покупные_изделия!D170",Покупные_изделия!D170)</f>
        <v>1.3728</v>
      </c>
      <c r="M2863" s="76">
        <f t="shared" si="111"/>
        <v>1.3728</v>
      </c>
      <c r="N2863" s="77"/>
      <c r="O2863" s="77"/>
      <c r="P2863" s="76"/>
      <c r="Q2863" s="76"/>
    </row>
    <row r="2864" spans="7:17" hidden="1" outlineLevel="5" x14ac:dyDescent="0.25">
      <c r="G2864" s="74" t="s">
        <v>65</v>
      </c>
      <c r="H2864" s="75"/>
      <c r="I2864" s="76"/>
      <c r="J2864" s="78">
        <f>HYPERLINK("#Структура!E2399",Структура!E2399)</f>
        <v>0.13</v>
      </c>
      <c r="K2864" s="114" t="str">
        <f>HYPERLINK("#Структура!G2399","")</f>
        <v/>
      </c>
      <c r="L2864" s="120">
        <f>HYPERLINK("#Покупные_изделия!D197",Покупные_изделия!D197)</f>
        <v>264.50399999999996</v>
      </c>
      <c r="M2864" s="76">
        <f t="shared" si="111"/>
        <v>34.38552</v>
      </c>
      <c r="N2864" s="77"/>
      <c r="O2864" s="77"/>
      <c r="P2864" s="76"/>
      <c r="Q2864" s="76"/>
    </row>
    <row r="2865" spans="5:17" hidden="1" outlineLevel="5" x14ac:dyDescent="0.25">
      <c r="G2865" s="74" t="s">
        <v>67</v>
      </c>
      <c r="H2865" s="75"/>
      <c r="I2865" s="76"/>
      <c r="J2865" s="78">
        <f>HYPERLINK("#Структура!E2400",Структура!E2400)</f>
        <v>0.35699999999999998</v>
      </c>
      <c r="K2865" s="114" t="str">
        <f>HYPERLINK("#Структура!G2400","")</f>
        <v/>
      </c>
      <c r="L2865" s="120">
        <f>HYPERLINK("#Покупные_изделия!D203",Покупные_изделия!D203)</f>
        <v>30.003600000000002</v>
      </c>
      <c r="M2865" s="76">
        <f t="shared" si="111"/>
        <v>10.711285200000001</v>
      </c>
      <c r="N2865" s="77"/>
      <c r="O2865" s="77"/>
      <c r="P2865" s="76"/>
      <c r="Q2865" s="76"/>
    </row>
    <row r="2866" spans="5:17" hidden="1" outlineLevel="5" x14ac:dyDescent="0.25">
      <c r="G2866" s="74" t="s">
        <v>146</v>
      </c>
      <c r="H2866" s="75"/>
      <c r="I2866" s="76"/>
      <c r="J2866" s="78">
        <f>HYPERLINK("#Структура!E2401",Структура!E2401)</f>
        <v>0.21</v>
      </c>
      <c r="K2866" s="114" t="str">
        <f>HYPERLINK("#Структура!G2401","")</f>
        <v/>
      </c>
      <c r="L2866" s="120">
        <f>HYPERLINK("#Покупные_изделия!D406",Покупные_изделия!D406)</f>
        <v>105.996</v>
      </c>
      <c r="M2866" s="76">
        <f t="shared" si="111"/>
        <v>22.259159999999998</v>
      </c>
      <c r="N2866" s="77"/>
      <c r="O2866" s="77"/>
      <c r="P2866" s="76"/>
      <c r="Q2866" s="76"/>
    </row>
    <row r="2867" spans="5:17" hidden="1" outlineLevel="5" x14ac:dyDescent="0.25">
      <c r="G2867" s="74" t="s">
        <v>155</v>
      </c>
      <c r="H2867" s="75"/>
      <c r="I2867" s="76"/>
      <c r="J2867" s="78">
        <f>HYPERLINK("#Структура!E2402",Структура!E2402)</f>
        <v>7.8E-2</v>
      </c>
      <c r="K2867" s="114" t="str">
        <f>HYPERLINK("#Структура!G2402","")</f>
        <v/>
      </c>
      <c r="L2867" s="120">
        <f>HYPERLINK("#Покупные_изделия!D423",Покупные_изделия!D423)</f>
        <v>218.28</v>
      </c>
      <c r="M2867" s="76">
        <f t="shared" si="111"/>
        <v>17.025839999999999</v>
      </c>
      <c r="N2867" s="77"/>
      <c r="O2867" s="77"/>
      <c r="P2867" s="76"/>
      <c r="Q2867" s="76"/>
    </row>
    <row r="2868" spans="5:17" hidden="1" outlineLevel="5" x14ac:dyDescent="0.25">
      <c r="G2868" s="74" t="s">
        <v>200</v>
      </c>
      <c r="H2868" s="75"/>
      <c r="I2868" s="76"/>
      <c r="J2868" s="78">
        <f>HYPERLINK("#Структура!E2403",Структура!E2403)</f>
        <v>0.183</v>
      </c>
      <c r="K2868" s="114" t="str">
        <f>HYPERLINK("#Структура!G2403","")</f>
        <v/>
      </c>
      <c r="L2868" s="120">
        <f>HYPERLINK("#Покупные_изделия!D518",Покупные_изделия!D518)</f>
        <v>270</v>
      </c>
      <c r="M2868" s="76">
        <f t="shared" si="111"/>
        <v>49.41</v>
      </c>
      <c r="N2868" s="77"/>
      <c r="O2868" s="77"/>
      <c r="P2868" s="76"/>
      <c r="Q2868" s="76"/>
    </row>
    <row r="2869" spans="5:17" hidden="1" outlineLevel="5" x14ac:dyDescent="0.25">
      <c r="G2869" s="74" t="s">
        <v>215</v>
      </c>
      <c r="H2869" s="75"/>
      <c r="I2869" s="76"/>
      <c r="J2869" s="78">
        <f>HYPERLINK("#Структура!E2404",Структура!E2404)</f>
        <v>0.26</v>
      </c>
      <c r="K2869" s="114" t="str">
        <f>HYPERLINK("#Структура!G2404","")</f>
        <v/>
      </c>
      <c r="L2869" s="120">
        <f>HYPERLINK("#Покупные_изделия!D567",Покупные_изделия!D567)</f>
        <v>405.74399999999997</v>
      </c>
      <c r="M2869" s="76">
        <f t="shared" si="111"/>
        <v>105.49343999999999</v>
      </c>
      <c r="N2869" s="77"/>
      <c r="O2869" s="77"/>
      <c r="P2869" s="76"/>
      <c r="Q2869" s="76"/>
    </row>
    <row r="2870" spans="5:17" hidden="1" outlineLevel="4" x14ac:dyDescent="0.25">
      <c r="F2870" s="74" t="s">
        <v>1221</v>
      </c>
      <c r="G2870" s="74"/>
      <c r="H2870" s="75"/>
      <c r="I2870" s="76"/>
      <c r="J2870" s="78">
        <f>HYPERLINK("#Структура!E2390",Структура!E2390)</f>
        <v>4</v>
      </c>
      <c r="K2870" s="114">
        <f>HYPERLINK("#Структура!G2390",Структура!G2390)</f>
        <v>6.9500000000000006E-2</v>
      </c>
      <c r="L2870" s="120">
        <f>HYPERLINK("#Покупные_изделия!D78",Покупные_изделия!D78)</f>
        <v>92.13600000000001</v>
      </c>
      <c r="M2870" s="76">
        <f t="shared" si="111"/>
        <v>368.54400000000004</v>
      </c>
      <c r="N2870" s="77"/>
      <c r="O2870" s="77"/>
      <c r="P2870" s="76"/>
      <c r="Q2870" s="76"/>
    </row>
    <row r="2871" spans="5:17" hidden="1" outlineLevel="4" x14ac:dyDescent="0.25">
      <c r="F2871" s="74" t="s">
        <v>864</v>
      </c>
      <c r="G2871" s="74"/>
      <c r="H2871" s="75"/>
      <c r="I2871" s="76"/>
      <c r="J2871" s="78">
        <f>HYPERLINK("#Структура!E2391",Структура!E2391)</f>
        <v>4</v>
      </c>
      <c r="K2871" s="114">
        <f>HYPERLINK("#Структура!G2391",Структура!G2391)</f>
        <v>1.567E-2</v>
      </c>
      <c r="L2871" s="120">
        <f>HYPERLINK("#Покупные_изделия!D175",Покупные_изделия!D175)</f>
        <v>3.3659999999999997</v>
      </c>
      <c r="M2871" s="76">
        <f t="shared" si="111"/>
        <v>13.463999999999999</v>
      </c>
      <c r="N2871" s="77"/>
      <c r="O2871" s="77"/>
      <c r="P2871" s="76"/>
      <c r="Q2871" s="76"/>
    </row>
    <row r="2872" spans="5:17" hidden="1" outlineLevel="4" x14ac:dyDescent="0.25">
      <c r="F2872" s="74" t="s">
        <v>865</v>
      </c>
      <c r="G2872" s="74"/>
      <c r="H2872" s="75"/>
      <c r="I2872" s="76"/>
      <c r="J2872" s="78">
        <f>HYPERLINK("#Структура!E2392",Структура!E2392)</f>
        <v>4</v>
      </c>
      <c r="K2872" s="114">
        <f>HYPERLINK("#Структура!G2392",Структура!G2392)</f>
        <v>3.4499999999999999E-3</v>
      </c>
      <c r="L2872" s="120">
        <f>HYPERLINK("#Покупные_изделия!D523",Покупные_изделия!D523)</f>
        <v>1.5973680000000001</v>
      </c>
      <c r="M2872" s="76">
        <f t="shared" si="111"/>
        <v>6.3894720000000005</v>
      </c>
      <c r="N2872" s="77"/>
      <c r="O2872" s="77"/>
      <c r="P2872" s="76"/>
      <c r="Q2872" s="76"/>
    </row>
    <row r="2873" spans="5:17" hidden="1" outlineLevel="3" collapsed="1" x14ac:dyDescent="0.25">
      <c r="E2873" s="96" t="s">
        <v>1311</v>
      </c>
      <c r="F2873" s="91"/>
      <c r="G2873" s="91"/>
      <c r="H2873" s="92"/>
      <c r="I2873" s="93"/>
      <c r="J2873" s="95">
        <f>HYPERLINK("#Структура!E2336",Структура!E2336)</f>
        <v>1</v>
      </c>
      <c r="K2873" s="116">
        <f>HYPERLINK("#Структура!G2336",Структура!G2336)</f>
        <v>108.23519</v>
      </c>
      <c r="L2873" s="93">
        <f>M2873/J2873</f>
        <v>32046.170722800001</v>
      </c>
      <c r="M2873" s="93">
        <f>SUMIF(F2874:F2927,"*",M2874:M2927)*J2873</f>
        <v>32046.170722800001</v>
      </c>
      <c r="N2873" s="125">
        <f>HYPERLINK("#Трудозатраты!B609",Трудозатраты!B609+SUMIF(F2874:F2927,"*",O2874:O2927))</f>
        <v>1838.89</v>
      </c>
      <c r="O2873" s="94">
        <f>N2873*J2873</f>
        <v>1838.89</v>
      </c>
      <c r="P2873" s="93">
        <f>O2873/60*(1+запас_труд)*стоимость_трудочаса</f>
        <v>72023.191666666666</v>
      </c>
      <c r="Q2873" s="130">
        <f>M2873*(1+наценка_покупное)+P2873</f>
        <v>110478.59653402667</v>
      </c>
    </row>
    <row r="2874" spans="5:17" hidden="1" outlineLevel="4" collapsed="1" x14ac:dyDescent="0.25">
      <c r="F2874" s="97" t="s">
        <v>1323</v>
      </c>
      <c r="G2874" s="98"/>
      <c r="H2874" s="99"/>
      <c r="I2874" s="100"/>
      <c r="J2874" s="102">
        <f>HYPERLINK("#Структура!E2406",Структура!E2406)</f>
        <v>1</v>
      </c>
      <c r="K2874" s="112">
        <f>HYPERLINK("#Структура!G2406",Структура!G2406)</f>
        <v>99.895510000000002</v>
      </c>
      <c r="L2874" s="100">
        <f>M2874/J2874</f>
        <v>20571.172863600001</v>
      </c>
      <c r="M2874" s="100">
        <f>SUMIF(G2875:G2918,"*",M2875:M2918)*J2874</f>
        <v>20571.172863600001</v>
      </c>
      <c r="N2874" s="122">
        <f>HYPERLINK("#Трудозатраты!B614",Трудозатраты!B614+SUMIF(G2875:G2918,"*",O2875:O2918))</f>
        <v>1503.72</v>
      </c>
      <c r="O2874" s="101">
        <f>N2874*J2874</f>
        <v>1503.72</v>
      </c>
      <c r="P2874" s="100">
        <f>O2874/60*(1+запас_труд)*стоимость_трудочаса</f>
        <v>58895.700000000004</v>
      </c>
      <c r="Q2874" s="127">
        <f>M2874*(1+наценка_покупное)+P2874</f>
        <v>83581.107436320002</v>
      </c>
    </row>
    <row r="2875" spans="5:17" hidden="1" outlineLevel="5" collapsed="1" x14ac:dyDescent="0.25">
      <c r="G2875" s="97" t="s">
        <v>1248</v>
      </c>
      <c r="H2875" s="99"/>
      <c r="I2875" s="100"/>
      <c r="J2875" s="102">
        <f>HYPERLINK("#Структура!E2431",Структура!E2431)</f>
        <v>2</v>
      </c>
      <c r="K2875" s="112">
        <f>HYPERLINK("#Структура!G2431",Структура!G2431)</f>
        <v>6.5386100000000003</v>
      </c>
      <c r="L2875" s="100">
        <f>M2875/J2875</f>
        <v>1559.8201272000001</v>
      </c>
      <c r="M2875" s="100">
        <f>SUMIF(H2876:H2881,"*",M2876:M2881)*J2875</f>
        <v>3119.6402544000002</v>
      </c>
      <c r="N2875" s="122">
        <f>HYPERLINK("#Трудозатраты!B540",Трудозатраты!B540+SUMIF(H2876:H2881,"*",O2876:O2881))</f>
        <v>115.85</v>
      </c>
      <c r="O2875" s="101">
        <f>N2875*J2875</f>
        <v>231.7</v>
      </c>
      <c r="P2875" s="100">
        <f>O2875/60*(1+запас_труд)*стоимость_трудочаса</f>
        <v>9074.9166666666661</v>
      </c>
      <c r="Q2875" s="127">
        <f>M2875*(1+наценка_покупное)+P2875</f>
        <v>12818.484971946666</v>
      </c>
    </row>
    <row r="2876" spans="5:17" hidden="1" outlineLevel="6" collapsed="1" x14ac:dyDescent="0.25">
      <c r="H2876" s="104" t="s">
        <v>1247</v>
      </c>
      <c r="I2876" s="88"/>
      <c r="J2876" s="90">
        <f>HYPERLINK("#Структура!E2017",Структура!E2017)</f>
        <v>1</v>
      </c>
      <c r="K2876" s="113">
        <f>HYPERLINK("#Структура!G2017",Структура!G2017)</f>
        <v>1.5668500000000001</v>
      </c>
      <c r="L2876" s="88">
        <f>M2876/J2876</f>
        <v>420</v>
      </c>
      <c r="M2876" s="88">
        <f>SUMIF(I2877,"*",M2877)*J2876</f>
        <v>420</v>
      </c>
      <c r="N2876" s="123">
        <f>HYPERLINK("#Трудозатраты!B541",Трудозатраты!B541+SUMIF(I2877,"*",O2877))</f>
        <v>79</v>
      </c>
      <c r="O2876" s="89">
        <f>N2876*J2876</f>
        <v>79</v>
      </c>
      <c r="P2876" s="88">
        <f>O2876/60*(1+запас_труд)*стоимость_трудочаса</f>
        <v>3094.1666666666665</v>
      </c>
      <c r="Q2876" s="128">
        <f>M2876*(1+наценка_покупное)+P2876</f>
        <v>3598.1666666666665</v>
      </c>
    </row>
    <row r="2877" spans="5:17" hidden="1" outlineLevel="7" x14ac:dyDescent="0.25">
      <c r="I2877" s="76" t="s">
        <v>79</v>
      </c>
      <c r="J2877" s="78">
        <f>HYPERLINK("#Структура!E2021",Структура!E2021)</f>
        <v>4.2</v>
      </c>
      <c r="K2877" s="114" t="str">
        <f>HYPERLINK("#Структура!G2021","")</f>
        <v/>
      </c>
      <c r="L2877" s="120">
        <f>HYPERLINK("#Покупные_изделия!D248",Покупные_изделия!D248)</f>
        <v>100</v>
      </c>
      <c r="M2877" s="76">
        <f>J2877*L2877</f>
        <v>420</v>
      </c>
      <c r="N2877" s="77"/>
      <c r="O2877" s="77"/>
      <c r="P2877" s="76"/>
      <c r="Q2877" s="76"/>
    </row>
    <row r="2878" spans="5:17" hidden="1" outlineLevel="6" collapsed="1" x14ac:dyDescent="0.25">
      <c r="H2878" s="103" t="s">
        <v>1249</v>
      </c>
      <c r="I2878" s="81"/>
      <c r="J2878" s="83">
        <f>HYPERLINK("#Структура!E2018",Структура!E2018)</f>
        <v>1</v>
      </c>
      <c r="K2878" s="115">
        <f>HYPERLINK("#Структура!G2018",Структура!G2018)</f>
        <v>4.9717599999999997</v>
      </c>
      <c r="L2878" s="81">
        <f>M2878/J2878</f>
        <v>1130.4000000000001</v>
      </c>
      <c r="M2878" s="81">
        <f>SUMIF(I2879,"*",M2879)*J2878</f>
        <v>1130.4000000000001</v>
      </c>
      <c r="N2878" s="124">
        <f>HYPERLINK("#Трудозатраты!B542",Трудозатраты!B542+SUMIF(I2879,"*",O2879))</f>
        <v>26.85</v>
      </c>
      <c r="O2878" s="82">
        <f>N2878*J2878</f>
        <v>26.85</v>
      </c>
      <c r="P2878" s="81">
        <f>O2878/60*(1+запас_труд)*стоимость_трудочаса</f>
        <v>1051.625</v>
      </c>
      <c r="Q2878" s="129">
        <f>M2878*(1+наценка_покупное)+P2878</f>
        <v>2408.105</v>
      </c>
    </row>
    <row r="2879" spans="5:17" hidden="1" outlineLevel="7" x14ac:dyDescent="0.25">
      <c r="I2879" s="76" t="s">
        <v>811</v>
      </c>
      <c r="J2879" s="78">
        <f>HYPERLINK("#Структура!E2022",Структура!E2022)</f>
        <v>9.42</v>
      </c>
      <c r="K2879" s="114" t="str">
        <f>HYPERLINK("#Структура!G2022","")</f>
        <v/>
      </c>
      <c r="L2879" s="120">
        <f>HYPERLINK("#Покупные_изделия!D284",Покупные_изделия!D284)</f>
        <v>120</v>
      </c>
      <c r="M2879" s="76">
        <f>J2879*L2879</f>
        <v>1130.4000000000001</v>
      </c>
      <c r="N2879" s="77"/>
      <c r="O2879" s="77"/>
      <c r="P2879" s="76"/>
      <c r="Q2879" s="76"/>
    </row>
    <row r="2880" spans="5:17" hidden="1" outlineLevel="6" x14ac:dyDescent="0.25">
      <c r="H2880" s="75" t="s">
        <v>67</v>
      </c>
      <c r="I2880" s="76"/>
      <c r="J2880" s="78">
        <f>HYPERLINK("#Структура!E2019",Структура!E2019)</f>
        <v>0.10199999999999999</v>
      </c>
      <c r="K2880" s="114" t="str">
        <f>HYPERLINK("#Структура!G2019","")</f>
        <v/>
      </c>
      <c r="L2880" s="120">
        <f>HYPERLINK("#Покупные_изделия!D203",Покупные_изделия!D203)</f>
        <v>30.003600000000002</v>
      </c>
      <c r="M2880" s="76">
        <f>J2880*L2880</f>
        <v>3.0603672</v>
      </c>
      <c r="N2880" s="77"/>
      <c r="O2880" s="77"/>
      <c r="P2880" s="76"/>
      <c r="Q2880" s="76"/>
    </row>
    <row r="2881" spans="7:17" hidden="1" outlineLevel="6" x14ac:dyDescent="0.25">
      <c r="H2881" s="75" t="s">
        <v>146</v>
      </c>
      <c r="I2881" s="76"/>
      <c r="J2881" s="78">
        <f>HYPERLINK("#Структура!E2020",Структура!E2020)</f>
        <v>0.06</v>
      </c>
      <c r="K2881" s="114" t="str">
        <f>HYPERLINK("#Структура!G2020","")</f>
        <v/>
      </c>
      <c r="L2881" s="120">
        <f>HYPERLINK("#Покупные_изделия!D406",Покупные_изделия!D406)</f>
        <v>105.996</v>
      </c>
      <c r="M2881" s="76">
        <f>J2881*L2881</f>
        <v>6.3597599999999996</v>
      </c>
      <c r="N2881" s="77"/>
      <c r="O2881" s="77"/>
      <c r="P2881" s="76"/>
      <c r="Q2881" s="76"/>
    </row>
    <row r="2882" spans="7:17" hidden="1" outlineLevel="5" collapsed="1" x14ac:dyDescent="0.25">
      <c r="G2882" s="96" t="s">
        <v>1324</v>
      </c>
      <c r="H2882" s="92"/>
      <c r="I2882" s="93"/>
      <c r="J2882" s="95">
        <f>HYPERLINK("#Структура!E2432",Структура!E2432)</f>
        <v>1</v>
      </c>
      <c r="K2882" s="116">
        <f>HYPERLINK("#Структура!G2432",Структура!G2432)</f>
        <v>30.367719999999998</v>
      </c>
      <c r="L2882" s="93">
        <f>M2882/J2882</f>
        <v>6452.9240292000004</v>
      </c>
      <c r="M2882" s="93">
        <f>SUMIF(H2883:H2894,"*",M2883:M2894)*J2882</f>
        <v>6452.9240292000004</v>
      </c>
      <c r="N2882" s="125">
        <f>HYPERLINK("#Трудозатраты!B610",Трудозатраты!B610+SUMIF(H2883:H2894,"*",O2883:O2894))</f>
        <v>396.01</v>
      </c>
      <c r="O2882" s="94">
        <f>N2882*J2882</f>
        <v>396.01</v>
      </c>
      <c r="P2882" s="93">
        <f>O2882/60*(1+запас_труд)*стоимость_трудочаса</f>
        <v>15510.391666666666</v>
      </c>
      <c r="Q2882" s="130">
        <f>M2882*(1+наценка_покупное)+P2882</f>
        <v>23253.900501706667</v>
      </c>
    </row>
    <row r="2883" spans="7:17" hidden="1" outlineLevel="6" collapsed="1" x14ac:dyDescent="0.25">
      <c r="H2883" s="104" t="s">
        <v>1241</v>
      </c>
      <c r="I2883" s="88"/>
      <c r="J2883" s="90">
        <f>HYPERLINK("#Структура!E2415",Структура!E2415)</f>
        <v>1</v>
      </c>
      <c r="K2883" s="113">
        <f>HYPERLINK("#Структура!G2415",Структура!G2415)</f>
        <v>16.82422</v>
      </c>
      <c r="L2883" s="88">
        <f>M2883/J2883</f>
        <v>3182.4</v>
      </c>
      <c r="M2883" s="88">
        <f>SUMIF(I2884,"*",M2884)*J2883</f>
        <v>3182.4</v>
      </c>
      <c r="N2883" s="123">
        <f>HYPERLINK("#Трудозатраты!B536",Трудозатраты!B536+SUMIF(I2884,"*",O2884))</f>
        <v>41.7</v>
      </c>
      <c r="O2883" s="89">
        <f>N2883*J2883</f>
        <v>41.7</v>
      </c>
      <c r="P2883" s="88">
        <f>O2883/60*(1+запас_труд)*стоимость_трудочаса</f>
        <v>1633.2500000000002</v>
      </c>
      <c r="Q2883" s="128">
        <f>M2883*(1+наценка_покупное)+P2883</f>
        <v>5452.13</v>
      </c>
    </row>
    <row r="2884" spans="7:17" hidden="1" outlineLevel="7" x14ac:dyDescent="0.25">
      <c r="I2884" s="76" t="s">
        <v>119</v>
      </c>
      <c r="J2884" s="78">
        <f>HYPERLINK("#Структура!E2013",Структура!E2013)</f>
        <v>26.52</v>
      </c>
      <c r="K2884" s="114" t="str">
        <f>HYPERLINK("#Структура!G2013","")</f>
        <v/>
      </c>
      <c r="L2884" s="120">
        <f>HYPERLINK("#Покупные_изделия!D294",Покупные_изделия!D294)</f>
        <v>120</v>
      </c>
      <c r="M2884" s="76">
        <f>J2884*L2884</f>
        <v>3182.4</v>
      </c>
      <c r="N2884" s="77"/>
      <c r="O2884" s="77"/>
      <c r="P2884" s="76"/>
      <c r="Q2884" s="76"/>
    </row>
    <row r="2885" spans="7:17" hidden="1" outlineLevel="6" collapsed="1" x14ac:dyDescent="0.25">
      <c r="H2885" s="103" t="s">
        <v>1243</v>
      </c>
      <c r="I2885" s="81"/>
      <c r="J2885" s="83">
        <f>HYPERLINK("#Структура!E2416",Структура!E2416)</f>
        <v>1</v>
      </c>
      <c r="K2885" s="115">
        <f>HYPERLINK("#Структура!G2416",Структура!G2416)</f>
        <v>3.9093</v>
      </c>
      <c r="L2885" s="81">
        <f>M2885/J2885</f>
        <v>1591.2</v>
      </c>
      <c r="M2885" s="81">
        <f>SUMIF(I2886,"*",M2886)*J2885</f>
        <v>1591.2</v>
      </c>
      <c r="N2885" s="124">
        <f>HYPERLINK("#Трудозатраты!B537",Трудозатраты!B537+SUMIF(I2886,"*",O2886))</f>
        <v>19.7</v>
      </c>
      <c r="O2885" s="82">
        <f>N2885*J2885</f>
        <v>19.7</v>
      </c>
      <c r="P2885" s="81">
        <f>O2885/60*(1+запас_труд)*стоимость_трудочаса</f>
        <v>771.58333333333326</v>
      </c>
      <c r="Q2885" s="129">
        <f>M2885*(1+наценка_покупное)+P2885</f>
        <v>2681.0233333333335</v>
      </c>
    </row>
    <row r="2886" spans="7:17" hidden="1" outlineLevel="7" x14ac:dyDescent="0.25">
      <c r="I2886" s="76" t="s">
        <v>115</v>
      </c>
      <c r="J2886" s="78">
        <f>HYPERLINK("#Структура!E2014",Структура!E2014)</f>
        <v>13.26</v>
      </c>
      <c r="K2886" s="114" t="str">
        <f>HYPERLINK("#Структура!G2014","")</f>
        <v/>
      </c>
      <c r="L2886" s="120">
        <f>HYPERLINK("#Покупные_изделия!D289",Покупные_изделия!D289)</f>
        <v>120</v>
      </c>
      <c r="M2886" s="76">
        <f>J2886*L2886</f>
        <v>1591.2</v>
      </c>
      <c r="N2886" s="77"/>
      <c r="O2886" s="77"/>
      <c r="P2886" s="76"/>
      <c r="Q2886" s="76"/>
    </row>
    <row r="2887" spans="7:17" hidden="1" outlineLevel="6" collapsed="1" x14ac:dyDescent="0.25">
      <c r="H2887" s="103" t="s">
        <v>1245</v>
      </c>
      <c r="I2887" s="81"/>
      <c r="J2887" s="83">
        <f>HYPERLINK("#Структура!E2417",Структура!E2417)</f>
        <v>1</v>
      </c>
      <c r="K2887" s="115">
        <f>HYPERLINK("#Структура!G2417",Структура!G2417)</f>
        <v>0.50365000000000004</v>
      </c>
      <c r="L2887" s="81">
        <f>M2887/J2887</f>
        <v>72.526799999999994</v>
      </c>
      <c r="M2887" s="81">
        <f>SUMIF(I2888,"*",M2888)*J2887</f>
        <v>72.526799999999994</v>
      </c>
      <c r="N2887" s="124">
        <f>HYPERLINK("#Трудозатраты!B539",Трудозатраты!B539+SUMIF(I2888,"*",O2888))</f>
        <v>12.8</v>
      </c>
      <c r="O2887" s="82">
        <f>N2887*J2887</f>
        <v>12.8</v>
      </c>
      <c r="P2887" s="81">
        <f>O2887/60*(1+запас_труд)*стоимость_трудочаса</f>
        <v>501.33333333333337</v>
      </c>
      <c r="Q2887" s="129">
        <f>M2887*(1+наценка_покупное)+P2887</f>
        <v>588.36549333333335</v>
      </c>
    </row>
    <row r="2888" spans="7:17" hidden="1" outlineLevel="7" x14ac:dyDescent="0.25">
      <c r="I2888" s="76" t="s">
        <v>113</v>
      </c>
      <c r="J2888" s="78">
        <f>HYPERLINK("#Структура!E2016",Структура!E2016)</f>
        <v>0.60438999999999998</v>
      </c>
      <c r="K2888" s="114" t="str">
        <f>HYPERLINK("#Структура!G2016","")</f>
        <v/>
      </c>
      <c r="L2888" s="120">
        <f>HYPERLINK("#Покупные_изделия!D286",Покупные_изделия!D286)</f>
        <v>120</v>
      </c>
      <c r="M2888" s="76">
        <f>J2888*L2888</f>
        <v>72.526799999999994</v>
      </c>
      <c r="N2888" s="77"/>
      <c r="O2888" s="77"/>
      <c r="P2888" s="76"/>
      <c r="Q2888" s="76"/>
    </row>
    <row r="2889" spans="7:17" hidden="1" outlineLevel="6" collapsed="1" x14ac:dyDescent="0.25">
      <c r="H2889" s="103" t="s">
        <v>1325</v>
      </c>
      <c r="I2889" s="81"/>
      <c r="J2889" s="83">
        <f>HYPERLINK("#Структура!E2418",Структура!E2418)</f>
        <v>12</v>
      </c>
      <c r="K2889" s="115">
        <f>HYPERLINK("#Структура!G2418",Структура!G2418)</f>
        <v>0.69537000000000004</v>
      </c>
      <c r="L2889" s="81">
        <f>M2889/J2889</f>
        <v>118.8</v>
      </c>
      <c r="M2889" s="81">
        <f>SUMIF(I2890,"*",M2890)*J2889</f>
        <v>1425.6</v>
      </c>
      <c r="N2889" s="124">
        <f>HYPERLINK("#Трудозатраты!B612",Трудозатраты!B612+SUMIF(I2890,"*",O2890))</f>
        <v>16.899999999999999</v>
      </c>
      <c r="O2889" s="82">
        <f>N2889*J2889</f>
        <v>202.79999999999998</v>
      </c>
      <c r="P2889" s="81">
        <f>O2889/60*(1+запас_труд)*стоимость_трудочаса</f>
        <v>7943</v>
      </c>
      <c r="Q2889" s="129">
        <f>M2889*(1+наценка_покупное)+P2889</f>
        <v>9653.7199999999993</v>
      </c>
    </row>
    <row r="2890" spans="7:17" hidden="1" outlineLevel="7" x14ac:dyDescent="0.25">
      <c r="I2890" s="76" t="s">
        <v>115</v>
      </c>
      <c r="J2890" s="78">
        <f>HYPERLINK("#Структура!E2429",Структура!E2429)</f>
        <v>0.99</v>
      </c>
      <c r="K2890" s="114" t="str">
        <f>HYPERLINK("#Структура!G2429","")</f>
        <v/>
      </c>
      <c r="L2890" s="120">
        <f>HYPERLINK("#Покупные_изделия!D289",Покупные_изделия!D289)</f>
        <v>120</v>
      </c>
      <c r="M2890" s="76">
        <f>J2890*L2890</f>
        <v>118.8</v>
      </c>
      <c r="N2890" s="77"/>
      <c r="O2890" s="77"/>
      <c r="P2890" s="76"/>
      <c r="Q2890" s="76"/>
    </row>
    <row r="2891" spans="7:17" hidden="1" outlineLevel="6" collapsed="1" x14ac:dyDescent="0.25">
      <c r="H2891" s="103" t="s">
        <v>1326</v>
      </c>
      <c r="I2891" s="81"/>
      <c r="J2891" s="83">
        <f>HYPERLINK("#Структура!E2419",Структура!E2419)</f>
        <v>3</v>
      </c>
      <c r="K2891" s="115">
        <f>HYPERLINK("#Структура!G2419",Структура!G2419)</f>
        <v>0.26204</v>
      </c>
      <c r="L2891" s="81">
        <f>M2891/J2891</f>
        <v>30</v>
      </c>
      <c r="M2891" s="81">
        <f>SUMIF(I2892,"*",M2892)*J2891</f>
        <v>90</v>
      </c>
      <c r="N2891" s="124">
        <f>HYPERLINK("#Трудозатраты!B613",Трудозатраты!B613+SUMIF(I2892,"*",O2892))</f>
        <v>4.67</v>
      </c>
      <c r="O2891" s="82">
        <f>N2891*J2891</f>
        <v>14.01</v>
      </c>
      <c r="P2891" s="81">
        <f>O2891/60*(1+запас_труд)*стоимость_трудочаса</f>
        <v>548.72499999999991</v>
      </c>
      <c r="Q2891" s="129">
        <f>M2891*(1+наценка_покупное)+P2891</f>
        <v>656.72499999999991</v>
      </c>
    </row>
    <row r="2892" spans="7:17" hidden="1" outlineLevel="7" x14ac:dyDescent="0.25">
      <c r="I2892" s="76" t="s">
        <v>78</v>
      </c>
      <c r="J2892" s="78">
        <f>HYPERLINK("#Структура!E2430",Структура!E2430)</f>
        <v>0.3</v>
      </c>
      <c r="K2892" s="114" t="str">
        <f>HYPERLINK("#Структура!G2430","")</f>
        <v/>
      </c>
      <c r="L2892" s="120">
        <f>HYPERLINK("#Покупные_изделия!D247",Покупные_изделия!D247)</f>
        <v>100</v>
      </c>
      <c r="M2892" s="76">
        <f>J2892*L2892</f>
        <v>30</v>
      </c>
      <c r="N2892" s="77"/>
      <c r="O2892" s="77"/>
      <c r="P2892" s="76"/>
      <c r="Q2892" s="76"/>
    </row>
    <row r="2893" spans="7:17" hidden="1" outlineLevel="6" x14ac:dyDescent="0.25">
      <c r="H2893" s="75" t="s">
        <v>67</v>
      </c>
      <c r="I2893" s="76"/>
      <c r="J2893" s="78">
        <f>HYPERLINK("#Структура!E2420",Структура!E2420)</f>
        <v>0.98699999999999999</v>
      </c>
      <c r="K2893" s="114" t="str">
        <f>HYPERLINK("#Структура!G2420","")</f>
        <v/>
      </c>
      <c r="L2893" s="120">
        <f>HYPERLINK("#Покупные_изделия!D203",Покупные_изделия!D203)</f>
        <v>30.003600000000002</v>
      </c>
      <c r="M2893" s="76">
        <f>J2893*L2893</f>
        <v>29.613553200000002</v>
      </c>
      <c r="N2893" s="77"/>
      <c r="O2893" s="77"/>
      <c r="P2893" s="76"/>
      <c r="Q2893" s="76"/>
    </row>
    <row r="2894" spans="7:17" hidden="1" outlineLevel="6" x14ac:dyDescent="0.25">
      <c r="H2894" s="75" t="s">
        <v>146</v>
      </c>
      <c r="I2894" s="76"/>
      <c r="J2894" s="78">
        <f>HYPERLINK("#Структура!E2421",Структура!E2421)</f>
        <v>0.58099999999999996</v>
      </c>
      <c r="K2894" s="114" t="str">
        <f>HYPERLINK("#Структура!G2421","")</f>
        <v/>
      </c>
      <c r="L2894" s="120">
        <f>HYPERLINK("#Покупные_изделия!D406",Покупные_изделия!D406)</f>
        <v>105.996</v>
      </c>
      <c r="M2894" s="76">
        <f>J2894*L2894</f>
        <v>61.58367599999999</v>
      </c>
      <c r="N2894" s="77"/>
      <c r="O2894" s="77"/>
      <c r="P2894" s="76"/>
      <c r="Q2894" s="76"/>
    </row>
    <row r="2895" spans="7:17" hidden="1" outlineLevel="5" collapsed="1" x14ac:dyDescent="0.25">
      <c r="G2895" s="96" t="s">
        <v>1327</v>
      </c>
      <c r="H2895" s="92"/>
      <c r="I2895" s="93"/>
      <c r="J2895" s="95">
        <f>HYPERLINK("#Структура!E2433",Структура!E2433)</f>
        <v>1</v>
      </c>
      <c r="K2895" s="116">
        <f>HYPERLINK("#Структура!G2433",Структура!G2433)</f>
        <v>30.367719999999998</v>
      </c>
      <c r="L2895" s="93">
        <f>M2895/J2895</f>
        <v>6449.5279728000005</v>
      </c>
      <c r="M2895" s="93">
        <f>SUMIF(H2896:H2907,"*",M2896:M2907)*J2895</f>
        <v>6449.5279728000005</v>
      </c>
      <c r="N2895" s="125">
        <f>HYPERLINK("#Трудозатраты!B611",Трудозатраты!B611+SUMIF(H2896:H2907,"*",O2896:O2907))</f>
        <v>396.01</v>
      </c>
      <c r="O2895" s="94">
        <f>N2895*J2895</f>
        <v>396.01</v>
      </c>
      <c r="P2895" s="93">
        <f>O2895/60*(1+запас_труд)*стоимость_трудочаса</f>
        <v>15510.391666666666</v>
      </c>
      <c r="Q2895" s="130">
        <f>M2895*(1+наценка_покупное)+P2895</f>
        <v>23249.825234026666</v>
      </c>
    </row>
    <row r="2896" spans="7:17" hidden="1" outlineLevel="6" collapsed="1" x14ac:dyDescent="0.25">
      <c r="H2896" s="104" t="s">
        <v>1241</v>
      </c>
      <c r="I2896" s="88"/>
      <c r="J2896" s="90">
        <f>HYPERLINK("#Структура!E2422",Структура!E2422)</f>
        <v>1</v>
      </c>
      <c r="K2896" s="113">
        <f>HYPERLINK("#Структура!G2422",Структура!G2422)</f>
        <v>16.82422</v>
      </c>
      <c r="L2896" s="88">
        <f>M2896/J2896</f>
        <v>3182.4</v>
      </c>
      <c r="M2896" s="88">
        <f>SUMIF(I2897,"*",M2897)*J2896</f>
        <v>3182.4</v>
      </c>
      <c r="N2896" s="123">
        <f>HYPERLINK("#Трудозатраты!B536",Трудозатраты!B536+SUMIF(I2897,"*",O2897))</f>
        <v>41.7</v>
      </c>
      <c r="O2896" s="89">
        <f>N2896*J2896</f>
        <v>41.7</v>
      </c>
      <c r="P2896" s="88">
        <f>O2896/60*(1+запас_труд)*стоимость_трудочаса</f>
        <v>1633.2500000000002</v>
      </c>
      <c r="Q2896" s="128">
        <f>M2896*(1+наценка_покупное)+P2896</f>
        <v>5452.13</v>
      </c>
    </row>
    <row r="2897" spans="7:17" hidden="1" outlineLevel="7" x14ac:dyDescent="0.25">
      <c r="I2897" s="76" t="s">
        <v>119</v>
      </c>
      <c r="J2897" s="78">
        <f>HYPERLINK("#Структура!E2013",Структура!E2013)</f>
        <v>26.52</v>
      </c>
      <c r="K2897" s="114" t="str">
        <f>HYPERLINK("#Структура!G2013","")</f>
        <v/>
      </c>
      <c r="L2897" s="120">
        <f>HYPERLINK("#Покупные_изделия!D294",Покупные_изделия!D294)</f>
        <v>120</v>
      </c>
      <c r="M2897" s="76">
        <f>J2897*L2897</f>
        <v>3182.4</v>
      </c>
      <c r="N2897" s="77"/>
      <c r="O2897" s="77"/>
      <c r="P2897" s="76"/>
      <c r="Q2897" s="76"/>
    </row>
    <row r="2898" spans="7:17" hidden="1" outlineLevel="6" collapsed="1" x14ac:dyDescent="0.25">
      <c r="H2898" s="103" t="s">
        <v>1243</v>
      </c>
      <c r="I2898" s="81"/>
      <c r="J2898" s="83">
        <f>HYPERLINK("#Структура!E2423",Структура!E2423)</f>
        <v>1</v>
      </c>
      <c r="K2898" s="115">
        <f>HYPERLINK("#Структура!G2423",Структура!G2423)</f>
        <v>3.9093</v>
      </c>
      <c r="L2898" s="81">
        <f>M2898/J2898</f>
        <v>1591.2</v>
      </c>
      <c r="M2898" s="81">
        <f>SUMIF(I2899,"*",M2899)*J2898</f>
        <v>1591.2</v>
      </c>
      <c r="N2898" s="124">
        <f>HYPERLINK("#Трудозатраты!B537",Трудозатраты!B537+SUMIF(I2899,"*",O2899))</f>
        <v>19.7</v>
      </c>
      <c r="O2898" s="82">
        <f>N2898*J2898</f>
        <v>19.7</v>
      </c>
      <c r="P2898" s="81">
        <f>O2898/60*(1+запас_труд)*стоимость_трудочаса</f>
        <v>771.58333333333326</v>
      </c>
      <c r="Q2898" s="129">
        <f>M2898*(1+наценка_покупное)+P2898</f>
        <v>2681.0233333333335</v>
      </c>
    </row>
    <row r="2899" spans="7:17" hidden="1" outlineLevel="7" x14ac:dyDescent="0.25">
      <c r="I2899" s="76" t="s">
        <v>115</v>
      </c>
      <c r="J2899" s="78">
        <f>HYPERLINK("#Структура!E2014",Структура!E2014)</f>
        <v>13.26</v>
      </c>
      <c r="K2899" s="114" t="str">
        <f>HYPERLINK("#Структура!G2014","")</f>
        <v/>
      </c>
      <c r="L2899" s="120">
        <f>HYPERLINK("#Покупные_изделия!D289",Покупные_изделия!D289)</f>
        <v>120</v>
      </c>
      <c r="M2899" s="76">
        <f>J2899*L2899</f>
        <v>1591.2</v>
      </c>
      <c r="N2899" s="77"/>
      <c r="O2899" s="77"/>
      <c r="P2899" s="76"/>
      <c r="Q2899" s="76"/>
    </row>
    <row r="2900" spans="7:17" hidden="1" outlineLevel="6" collapsed="1" x14ac:dyDescent="0.25">
      <c r="H2900" s="103" t="s">
        <v>1245</v>
      </c>
      <c r="I2900" s="81"/>
      <c r="J2900" s="83">
        <f>HYPERLINK("#Структура!E2424",Структура!E2424)</f>
        <v>1</v>
      </c>
      <c r="K2900" s="115">
        <f>HYPERLINK("#Структура!G2424",Структура!G2424)</f>
        <v>0.50365000000000004</v>
      </c>
      <c r="L2900" s="81">
        <f>M2900/J2900</f>
        <v>72.526799999999994</v>
      </c>
      <c r="M2900" s="81">
        <f>SUMIF(I2901,"*",M2901)*J2900</f>
        <v>72.526799999999994</v>
      </c>
      <c r="N2900" s="124">
        <f>HYPERLINK("#Трудозатраты!B539",Трудозатраты!B539+SUMIF(I2901,"*",O2901))</f>
        <v>12.8</v>
      </c>
      <c r="O2900" s="82">
        <f>N2900*J2900</f>
        <v>12.8</v>
      </c>
      <c r="P2900" s="81">
        <f>O2900/60*(1+запас_труд)*стоимость_трудочаса</f>
        <v>501.33333333333337</v>
      </c>
      <c r="Q2900" s="129">
        <f>M2900*(1+наценка_покупное)+P2900</f>
        <v>588.36549333333335</v>
      </c>
    </row>
    <row r="2901" spans="7:17" hidden="1" outlineLevel="7" x14ac:dyDescent="0.25">
      <c r="I2901" s="76" t="s">
        <v>113</v>
      </c>
      <c r="J2901" s="78">
        <f>HYPERLINK("#Структура!E2016",Структура!E2016)</f>
        <v>0.60438999999999998</v>
      </c>
      <c r="K2901" s="114" t="str">
        <f>HYPERLINK("#Структура!G2016","")</f>
        <v/>
      </c>
      <c r="L2901" s="120">
        <f>HYPERLINK("#Покупные_изделия!D286",Покупные_изделия!D286)</f>
        <v>120</v>
      </c>
      <c r="M2901" s="76">
        <f>J2901*L2901</f>
        <v>72.526799999999994</v>
      </c>
      <c r="N2901" s="77"/>
      <c r="O2901" s="77"/>
      <c r="P2901" s="76"/>
      <c r="Q2901" s="76"/>
    </row>
    <row r="2902" spans="7:17" hidden="1" outlineLevel="6" collapsed="1" x14ac:dyDescent="0.25">
      <c r="H2902" s="103" t="s">
        <v>1325</v>
      </c>
      <c r="I2902" s="81"/>
      <c r="J2902" s="83">
        <f>HYPERLINK("#Структура!E2425",Структура!E2425)</f>
        <v>12</v>
      </c>
      <c r="K2902" s="115">
        <f>HYPERLINK("#Структура!G2425",Структура!G2425)</f>
        <v>0.69537000000000004</v>
      </c>
      <c r="L2902" s="81">
        <f>M2902/J2902</f>
        <v>118.8</v>
      </c>
      <c r="M2902" s="81">
        <f>SUMIF(I2903,"*",M2903)*J2902</f>
        <v>1425.6</v>
      </c>
      <c r="N2902" s="124">
        <f>HYPERLINK("#Трудозатраты!B612",Трудозатраты!B612+SUMIF(I2903,"*",O2903))</f>
        <v>16.899999999999999</v>
      </c>
      <c r="O2902" s="82">
        <f>N2902*J2902</f>
        <v>202.79999999999998</v>
      </c>
      <c r="P2902" s="81">
        <f>O2902/60*(1+запас_труд)*стоимость_трудочаса</f>
        <v>7943</v>
      </c>
      <c r="Q2902" s="129">
        <f>M2902*(1+наценка_покупное)+P2902</f>
        <v>9653.7199999999993</v>
      </c>
    </row>
    <row r="2903" spans="7:17" hidden="1" outlineLevel="7" x14ac:dyDescent="0.25">
      <c r="I2903" s="76" t="s">
        <v>115</v>
      </c>
      <c r="J2903" s="78">
        <f>HYPERLINK("#Структура!E2429",Структура!E2429)</f>
        <v>0.99</v>
      </c>
      <c r="K2903" s="114" t="str">
        <f>HYPERLINK("#Структура!G2429","")</f>
        <v/>
      </c>
      <c r="L2903" s="120">
        <f>HYPERLINK("#Покупные_изделия!D289",Покупные_изделия!D289)</f>
        <v>120</v>
      </c>
      <c r="M2903" s="76">
        <f>J2903*L2903</f>
        <v>118.8</v>
      </c>
      <c r="N2903" s="77"/>
      <c r="O2903" s="77"/>
      <c r="P2903" s="76"/>
      <c r="Q2903" s="76"/>
    </row>
    <row r="2904" spans="7:17" hidden="1" outlineLevel="6" collapsed="1" x14ac:dyDescent="0.25">
      <c r="H2904" s="103" t="s">
        <v>1326</v>
      </c>
      <c r="I2904" s="81"/>
      <c r="J2904" s="83">
        <f>HYPERLINK("#Структура!E2426",Структура!E2426)</f>
        <v>3</v>
      </c>
      <c r="K2904" s="115">
        <f>HYPERLINK("#Структура!G2426",Структура!G2426)</f>
        <v>0.26204</v>
      </c>
      <c r="L2904" s="81">
        <f>M2904/J2904</f>
        <v>30</v>
      </c>
      <c r="M2904" s="81">
        <f>SUMIF(I2905,"*",M2905)*J2904</f>
        <v>90</v>
      </c>
      <c r="N2904" s="124">
        <f>HYPERLINK("#Трудозатраты!B613",Трудозатраты!B613+SUMIF(I2905,"*",O2905))</f>
        <v>4.67</v>
      </c>
      <c r="O2904" s="82">
        <f>N2904*J2904</f>
        <v>14.01</v>
      </c>
      <c r="P2904" s="81">
        <f>O2904/60*(1+запас_труд)*стоимость_трудочаса</f>
        <v>548.72499999999991</v>
      </c>
      <c r="Q2904" s="129">
        <f>M2904*(1+наценка_покупное)+P2904</f>
        <v>656.72499999999991</v>
      </c>
    </row>
    <row r="2905" spans="7:17" hidden="1" outlineLevel="7" x14ac:dyDescent="0.25">
      <c r="I2905" s="76" t="s">
        <v>78</v>
      </c>
      <c r="J2905" s="78">
        <f>HYPERLINK("#Структура!E2430",Структура!E2430)</f>
        <v>0.3</v>
      </c>
      <c r="K2905" s="114" t="str">
        <f>HYPERLINK("#Структура!G2430","")</f>
        <v/>
      </c>
      <c r="L2905" s="120">
        <f>HYPERLINK("#Покупные_изделия!D247",Покупные_изделия!D247)</f>
        <v>100</v>
      </c>
      <c r="M2905" s="76">
        <f>J2905*L2905</f>
        <v>30</v>
      </c>
      <c r="N2905" s="77"/>
      <c r="O2905" s="77"/>
      <c r="P2905" s="76"/>
      <c r="Q2905" s="76"/>
    </row>
    <row r="2906" spans="7:17" hidden="1" outlineLevel="6" x14ac:dyDescent="0.25">
      <c r="H2906" s="75" t="s">
        <v>67</v>
      </c>
      <c r="I2906" s="76"/>
      <c r="J2906" s="78">
        <f>HYPERLINK("#Структура!E2427",Структура!E2427)</f>
        <v>0.94799999999999995</v>
      </c>
      <c r="K2906" s="114" t="str">
        <f>HYPERLINK("#Структура!G2427","")</f>
        <v/>
      </c>
      <c r="L2906" s="120">
        <f>HYPERLINK("#Покупные_изделия!D203",Покупные_изделия!D203)</f>
        <v>30.003600000000002</v>
      </c>
      <c r="M2906" s="76">
        <f>J2906*L2906</f>
        <v>28.443412800000001</v>
      </c>
      <c r="N2906" s="77"/>
      <c r="O2906" s="77"/>
      <c r="P2906" s="76"/>
      <c r="Q2906" s="76"/>
    </row>
    <row r="2907" spans="7:17" hidden="1" outlineLevel="6" x14ac:dyDescent="0.25">
      <c r="H2907" s="75" t="s">
        <v>146</v>
      </c>
      <c r="I2907" s="76"/>
      <c r="J2907" s="78">
        <f>HYPERLINK("#Структура!E2428",Структура!E2428)</f>
        <v>0.56000000000000005</v>
      </c>
      <c r="K2907" s="114" t="str">
        <f>HYPERLINK("#Структура!G2428","")</f>
        <v/>
      </c>
      <c r="L2907" s="120">
        <f>HYPERLINK("#Покупные_изделия!D406",Покупные_изделия!D406)</f>
        <v>105.996</v>
      </c>
      <c r="M2907" s="76">
        <f>J2907*L2907</f>
        <v>59.357760000000006</v>
      </c>
      <c r="N2907" s="77"/>
      <c r="O2907" s="77"/>
      <c r="P2907" s="76"/>
      <c r="Q2907" s="76"/>
    </row>
    <row r="2908" spans="7:17" hidden="1" outlineLevel="5" collapsed="1" x14ac:dyDescent="0.25">
      <c r="G2908" s="84" t="s">
        <v>1251</v>
      </c>
      <c r="H2908" s="80"/>
      <c r="I2908" s="81"/>
      <c r="J2908" s="83">
        <f>HYPERLINK("#Структура!E2434",Структура!E2434)</f>
        <v>2</v>
      </c>
      <c r="K2908" s="115">
        <f>HYPERLINK("#Структура!G2434",Структура!G2434)</f>
        <v>1.5804</v>
      </c>
      <c r="L2908" s="81">
        <f>M2908/J2908</f>
        <v>653</v>
      </c>
      <c r="M2908" s="81">
        <f>SUMIF(H2909,"*",M2909)*J2908</f>
        <v>1306</v>
      </c>
      <c r="N2908" s="124">
        <f>HYPERLINK("#Трудозатраты!B545",Трудозатраты!B545+SUMIF(H2909,"*",O2909))</f>
        <v>110</v>
      </c>
      <c r="O2908" s="82">
        <f>N2908*J2908</f>
        <v>220</v>
      </c>
      <c r="P2908" s="81">
        <f>O2908/60*(1+запас_труд)*стоимость_трудочаса</f>
        <v>8616.6666666666661</v>
      </c>
      <c r="Q2908" s="129">
        <f>M2908*(1+наценка_покупное)+P2908</f>
        <v>10183.866666666667</v>
      </c>
    </row>
    <row r="2909" spans="7:17" hidden="1" outlineLevel="6" x14ac:dyDescent="0.25">
      <c r="H2909" s="75" t="s">
        <v>80</v>
      </c>
      <c r="I2909" s="76"/>
      <c r="J2909" s="78">
        <f>HYPERLINK("#Структура!E2035",Структура!E2035)</f>
        <v>6.53</v>
      </c>
      <c r="K2909" s="114" t="str">
        <f>HYPERLINK("#Структура!G2035","")</f>
        <v/>
      </c>
      <c r="L2909" s="120">
        <f>HYPERLINK("#Покупные_изделия!D249",Покупные_изделия!D249)</f>
        <v>100</v>
      </c>
      <c r="M2909" s="76">
        <f>J2909*L2909</f>
        <v>653</v>
      </c>
      <c r="N2909" s="77"/>
      <c r="O2909" s="77"/>
      <c r="P2909" s="76"/>
      <c r="Q2909" s="76"/>
    </row>
    <row r="2910" spans="7:17" hidden="1" outlineLevel="5" collapsed="1" x14ac:dyDescent="0.25">
      <c r="G2910" s="84" t="s">
        <v>1328</v>
      </c>
      <c r="H2910" s="80"/>
      <c r="I2910" s="81"/>
      <c r="J2910" s="83">
        <f>HYPERLINK("#Структура!E2435",Структура!E2435)</f>
        <v>1</v>
      </c>
      <c r="K2910" s="115">
        <f>HYPERLINK("#Структура!G2435",Структура!G2435)</f>
        <v>22.470580000000002</v>
      </c>
      <c r="L2910" s="81">
        <f>M2910/J2910</f>
        <v>2900</v>
      </c>
      <c r="M2910" s="81">
        <f>SUMIF(H2911,"*",M2911)*J2910</f>
        <v>2900</v>
      </c>
      <c r="N2910" s="124">
        <f>HYPERLINK("#Трудозатраты!B615",Трудозатраты!B615+SUMIF(H2911,"*",O2911))</f>
        <v>107</v>
      </c>
      <c r="O2910" s="82">
        <f>N2910*J2910</f>
        <v>107</v>
      </c>
      <c r="P2910" s="81">
        <f>O2910/60*(1+запас_труд)*стоимость_трудочаса</f>
        <v>4190.8333333333339</v>
      </c>
      <c r="Q2910" s="129">
        <f>M2910*(1+наценка_покупное)+P2910</f>
        <v>7670.8333333333339</v>
      </c>
    </row>
    <row r="2911" spans="7:17" hidden="1" outlineLevel="6" x14ac:dyDescent="0.25">
      <c r="H2911" s="75" t="s">
        <v>100</v>
      </c>
      <c r="I2911" s="76"/>
      <c r="J2911" s="78">
        <f>HYPERLINK("#Структура!E2442",Структура!E2442)</f>
        <v>29</v>
      </c>
      <c r="K2911" s="114" t="str">
        <f>HYPERLINK("#Структура!G2442","")</f>
        <v/>
      </c>
      <c r="L2911" s="120">
        <f>HYPERLINK("#Покупные_изделия!D269",Покупные_изделия!D269)</f>
        <v>100</v>
      </c>
      <c r="M2911" s="76">
        <f>J2911*L2911</f>
        <v>2900</v>
      </c>
      <c r="N2911" s="77"/>
      <c r="O2911" s="77"/>
      <c r="P2911" s="76"/>
      <c r="Q2911" s="76"/>
    </row>
    <row r="2912" spans="7:17" hidden="1" outlineLevel="5" collapsed="1" x14ac:dyDescent="0.25">
      <c r="G2912" s="84" t="s">
        <v>705</v>
      </c>
      <c r="H2912" s="80"/>
      <c r="I2912" s="81"/>
      <c r="J2912" s="83">
        <f>HYPERLINK("#Структура!E2436",Структура!E2436)</f>
        <v>2</v>
      </c>
      <c r="K2912" s="115">
        <f>HYPERLINK("#Структура!G2436",Структура!G2436)</f>
        <v>7.4569999999999997E-2</v>
      </c>
      <c r="L2912" s="81">
        <f>M2912/J2912</f>
        <v>97.332206400000018</v>
      </c>
      <c r="M2912" s="81">
        <f>SUMIF(H2913,"*",M2913)*J2912</f>
        <v>194.66441280000004</v>
      </c>
      <c r="N2912" s="124">
        <f>HYPERLINK("#Трудозатраты!B883",Трудозатраты!B883+SUMIF(H2913,"*",O2913))</f>
        <v>5.5</v>
      </c>
      <c r="O2912" s="82">
        <f>N2912*J2912</f>
        <v>11</v>
      </c>
      <c r="P2912" s="81">
        <f>O2912/60*(1+запас_труд)*стоимость_трудочаса</f>
        <v>430.83333333333331</v>
      </c>
      <c r="Q2912" s="129">
        <f>M2912*(1+наценка_покупное)+P2912</f>
        <v>664.43062869333335</v>
      </c>
    </row>
    <row r="2913" spans="5:17" hidden="1" outlineLevel="6" x14ac:dyDescent="0.25">
      <c r="H2913" s="75" t="s">
        <v>166</v>
      </c>
      <c r="I2913" s="76"/>
      <c r="J2913" s="78">
        <f>HYPERLINK("#Структура!E3754",Структура!E3754)</f>
        <v>6.6000000000000003E-2</v>
      </c>
      <c r="K2913" s="114" t="str">
        <f>HYPERLINK("#Структура!G3754","")</f>
        <v/>
      </c>
      <c r="L2913" s="120">
        <f>HYPERLINK("#Покупные_изделия!D451",Покупные_изделия!D451)</f>
        <v>1474.7304000000001</v>
      </c>
      <c r="M2913" s="76">
        <f t="shared" ref="M2913:M2918" si="112">J2913*L2913</f>
        <v>97.332206400000018</v>
      </c>
      <c r="N2913" s="77"/>
      <c r="O2913" s="77"/>
      <c r="P2913" s="76"/>
      <c r="Q2913" s="76"/>
    </row>
    <row r="2914" spans="5:17" hidden="1" outlineLevel="5" x14ac:dyDescent="0.25">
      <c r="G2914" s="74" t="s">
        <v>761</v>
      </c>
      <c r="H2914" s="75"/>
      <c r="I2914" s="76"/>
      <c r="J2914" s="78">
        <f>HYPERLINK("#Структура!E2437",Структура!E2437)</f>
        <v>8</v>
      </c>
      <c r="K2914" s="114">
        <f>HYPERLINK("#Структура!G2437",Структура!G2437)</f>
        <v>3.696E-2</v>
      </c>
      <c r="L2914" s="120">
        <f>HYPERLINK("#Покупные_изделия!D91",Покупные_изделия!D91)</f>
        <v>13.452</v>
      </c>
      <c r="M2914" s="76">
        <f t="shared" si="112"/>
        <v>107.616</v>
      </c>
      <c r="N2914" s="77"/>
      <c r="O2914" s="77"/>
      <c r="P2914" s="76"/>
      <c r="Q2914" s="76"/>
    </row>
    <row r="2915" spans="5:17" hidden="1" outlineLevel="5" x14ac:dyDescent="0.25">
      <c r="G2915" s="74" t="s">
        <v>767</v>
      </c>
      <c r="H2915" s="75"/>
      <c r="I2915" s="76"/>
      <c r="J2915" s="78">
        <f>HYPERLINK("#Структура!E2438",Структура!E2438)</f>
        <v>8</v>
      </c>
      <c r="K2915" s="114">
        <f>HYPERLINK("#Структура!G2438",Структура!G2438)</f>
        <v>2.0100000000000001E-3</v>
      </c>
      <c r="L2915" s="120">
        <f>HYPERLINK("#Покупные_изделия!D522",Покупные_изделия!D522)</f>
        <v>1.6500000000000001</v>
      </c>
      <c r="M2915" s="76">
        <f t="shared" si="112"/>
        <v>13.200000000000001</v>
      </c>
      <c r="N2915" s="77"/>
      <c r="O2915" s="77"/>
      <c r="P2915" s="76"/>
      <c r="Q2915" s="76"/>
    </row>
    <row r="2916" spans="5:17" hidden="1" outlineLevel="5" x14ac:dyDescent="0.25">
      <c r="G2916" s="74" t="s">
        <v>768</v>
      </c>
      <c r="H2916" s="75"/>
      <c r="I2916" s="76"/>
      <c r="J2916" s="78">
        <f>HYPERLINK("#Структура!E2439",Структура!E2439)</f>
        <v>8</v>
      </c>
      <c r="K2916" s="114">
        <f>HYPERLINK("#Структура!G2439",Структура!G2439)</f>
        <v>3.4399999999999999E-3</v>
      </c>
      <c r="L2916" s="120">
        <f>HYPERLINK("#Покупные_изделия!D538",Покупные_изделия!D538)</f>
        <v>1.68</v>
      </c>
      <c r="M2916" s="76">
        <f t="shared" si="112"/>
        <v>13.44</v>
      </c>
      <c r="N2916" s="77"/>
      <c r="O2916" s="77"/>
      <c r="P2916" s="76"/>
      <c r="Q2916" s="76"/>
    </row>
    <row r="2917" spans="5:17" hidden="1" outlineLevel="5" x14ac:dyDescent="0.25">
      <c r="G2917" s="74" t="s">
        <v>67</v>
      </c>
      <c r="H2917" s="75"/>
      <c r="I2917" s="76"/>
      <c r="J2917" s="78">
        <f>HYPERLINK("#Структура!E2440",Структура!E2440)</f>
        <v>0.154</v>
      </c>
      <c r="K2917" s="114" t="str">
        <f>HYPERLINK("#Структура!G2440","")</f>
        <v/>
      </c>
      <c r="L2917" s="120">
        <f>HYPERLINK("#Покупные_изделия!D203",Покупные_изделия!D203)</f>
        <v>30.003600000000002</v>
      </c>
      <c r="M2917" s="76">
        <f t="shared" si="112"/>
        <v>4.6205544000000005</v>
      </c>
      <c r="N2917" s="77"/>
      <c r="O2917" s="77"/>
      <c r="P2917" s="76"/>
      <c r="Q2917" s="76"/>
    </row>
    <row r="2918" spans="5:17" hidden="1" outlineLevel="5" x14ac:dyDescent="0.25">
      <c r="G2918" s="74" t="s">
        <v>146</v>
      </c>
      <c r="H2918" s="75"/>
      <c r="I2918" s="76"/>
      <c r="J2918" s="78">
        <f>HYPERLINK("#Структура!E2441",Структура!E2441)</f>
        <v>0.09</v>
      </c>
      <c r="K2918" s="114" t="str">
        <f>HYPERLINK("#Структура!G2441","")</f>
        <v/>
      </c>
      <c r="L2918" s="120">
        <f>HYPERLINK("#Покупные_изделия!D406",Покупные_изделия!D406)</f>
        <v>105.996</v>
      </c>
      <c r="M2918" s="76">
        <f t="shared" si="112"/>
        <v>9.5396399999999986</v>
      </c>
      <c r="N2918" s="77"/>
      <c r="O2918" s="77"/>
      <c r="P2918" s="76"/>
      <c r="Q2918" s="76"/>
    </row>
    <row r="2919" spans="5:17" hidden="1" outlineLevel="4" collapsed="1" x14ac:dyDescent="0.25">
      <c r="F2919" s="84" t="s">
        <v>1240</v>
      </c>
      <c r="G2919" s="79"/>
      <c r="H2919" s="80"/>
      <c r="I2919" s="81"/>
      <c r="J2919" s="83">
        <f>HYPERLINK("#Структура!E2407",Структура!E2407)</f>
        <v>1</v>
      </c>
      <c r="K2919" s="115">
        <f>HYPERLINK("#Структура!G2407",Структура!G2407)</f>
        <v>5.2200000000000003E-2</v>
      </c>
      <c r="L2919" s="81">
        <f>M2919/J2919</f>
        <v>70.787059200000002</v>
      </c>
      <c r="M2919" s="81">
        <f>SUMIF(G2920,"*",M2920)*J2919</f>
        <v>70.787059200000002</v>
      </c>
      <c r="N2919" s="124">
        <f>HYPERLINK("#Трудозатраты!B882",Трудозатраты!B882+SUMIF(G2920,"*",O2920))</f>
        <v>5.67</v>
      </c>
      <c r="O2919" s="82">
        <f>N2919*J2919</f>
        <v>5.67</v>
      </c>
      <c r="P2919" s="81">
        <f>O2919/60*(1+запас_труд)*стоимость_трудочаса</f>
        <v>222.07499999999999</v>
      </c>
      <c r="Q2919" s="129">
        <f>M2919*(1+наценка_покупное)+P2919</f>
        <v>307.01947103999998</v>
      </c>
    </row>
    <row r="2920" spans="5:17" hidden="1" outlineLevel="5" x14ac:dyDescent="0.25">
      <c r="G2920" s="74" t="s">
        <v>166</v>
      </c>
      <c r="H2920" s="75"/>
      <c r="I2920" s="76"/>
      <c r="J2920" s="78">
        <f>HYPERLINK("#Структура!E3753",Структура!E3753)</f>
        <v>4.8000000000000001E-2</v>
      </c>
      <c r="K2920" s="114" t="str">
        <f>HYPERLINK("#Структура!G3753","")</f>
        <v/>
      </c>
      <c r="L2920" s="120">
        <f>HYPERLINK("#Покупные_изделия!D451",Покупные_изделия!D451)</f>
        <v>1474.7304000000001</v>
      </c>
      <c r="M2920" s="76">
        <f t="shared" ref="M2920:M2927" si="113">J2920*L2920</f>
        <v>70.787059200000002</v>
      </c>
      <c r="N2920" s="77"/>
      <c r="O2920" s="77"/>
      <c r="P2920" s="76"/>
      <c r="Q2920" s="76"/>
    </row>
    <row r="2921" spans="5:17" hidden="1" outlineLevel="4" x14ac:dyDescent="0.25">
      <c r="F2921" s="74" t="s">
        <v>24</v>
      </c>
      <c r="G2921" s="74"/>
      <c r="H2921" s="75"/>
      <c r="I2921" s="76"/>
      <c r="J2921" s="78">
        <f>HYPERLINK("#Структура!E2408",Структура!E2408)</f>
        <v>1</v>
      </c>
      <c r="K2921" s="114">
        <f>HYPERLINK("#Структура!G2408",Структура!G2408)</f>
        <v>0.96411999999999998</v>
      </c>
      <c r="L2921" s="120">
        <f>HYPERLINK("#Покупные_изделия!D33",Покупные_изделия!D33)</f>
        <v>730.76400000000001</v>
      </c>
      <c r="M2921" s="76">
        <f t="shared" si="113"/>
        <v>730.76400000000001</v>
      </c>
      <c r="N2921" s="77"/>
      <c r="O2921" s="77"/>
      <c r="P2921" s="76"/>
      <c r="Q2921" s="76"/>
    </row>
    <row r="2922" spans="5:17" hidden="1" outlineLevel="4" x14ac:dyDescent="0.25">
      <c r="F2922" s="74" t="s">
        <v>549</v>
      </c>
      <c r="G2922" s="74"/>
      <c r="H2922" s="75"/>
      <c r="I2922" s="76"/>
      <c r="J2922" s="78">
        <f>HYPERLINK("#Структура!E2409",Структура!E2409)</f>
        <v>1</v>
      </c>
      <c r="K2922" s="114">
        <f>HYPERLINK("#Структура!G2409",Структура!G2409)</f>
        <v>7.3233600000000001</v>
      </c>
      <c r="L2922" s="120">
        <f>HYPERLINK("#Покупные_изделия!D40",Покупные_изделия!D40)</f>
        <v>3688.0919999999996</v>
      </c>
      <c r="M2922" s="76">
        <f t="shared" si="113"/>
        <v>3688.0919999999996</v>
      </c>
      <c r="N2922" s="77"/>
      <c r="O2922" s="77"/>
      <c r="P2922" s="76"/>
      <c r="Q2922" s="76"/>
    </row>
    <row r="2923" spans="5:17" hidden="1" outlineLevel="4" x14ac:dyDescent="0.25">
      <c r="F2923" s="74" t="s">
        <v>40</v>
      </c>
      <c r="G2923" s="74"/>
      <c r="H2923" s="75"/>
      <c r="I2923" s="76"/>
      <c r="J2923" s="78">
        <f>HYPERLINK("#Структура!E2410",Структура!E2410)</f>
        <v>2</v>
      </c>
      <c r="K2923" s="114">
        <f>HYPERLINK("#Структура!G2410",Структура!G2410)</f>
        <v>3.7</v>
      </c>
      <c r="L2923" s="120">
        <f>HYPERLINK("#Покупные_изделия!D51",Покупные_изделия!D51)</f>
        <v>3122.1564000000003</v>
      </c>
      <c r="M2923" s="76">
        <f t="shared" si="113"/>
        <v>6244.3128000000006</v>
      </c>
      <c r="N2923" s="77"/>
      <c r="O2923" s="77"/>
      <c r="P2923" s="76"/>
      <c r="Q2923" s="76"/>
    </row>
    <row r="2924" spans="5:17" hidden="1" outlineLevel="4" x14ac:dyDescent="0.25">
      <c r="F2924" s="74" t="s">
        <v>65</v>
      </c>
      <c r="G2924" s="74"/>
      <c r="H2924" s="75"/>
      <c r="I2924" s="76"/>
      <c r="J2924" s="78">
        <f>HYPERLINK("#Структура!E2411",Структура!E2411)</f>
        <v>0.45</v>
      </c>
      <c r="K2924" s="114" t="str">
        <f>HYPERLINK("#Структура!G2411","")</f>
        <v/>
      </c>
      <c r="L2924" s="120">
        <f>HYPERLINK("#Покупные_изделия!D197",Покупные_изделия!D197)</f>
        <v>264.50399999999996</v>
      </c>
      <c r="M2924" s="76">
        <f t="shared" si="113"/>
        <v>119.02679999999998</v>
      </c>
      <c r="N2924" s="77"/>
      <c r="O2924" s="77"/>
      <c r="P2924" s="76"/>
      <c r="Q2924" s="76"/>
    </row>
    <row r="2925" spans="5:17" hidden="1" outlineLevel="4" x14ac:dyDescent="0.25">
      <c r="F2925" s="74" t="s">
        <v>155</v>
      </c>
      <c r="G2925" s="74"/>
      <c r="H2925" s="75"/>
      <c r="I2925" s="76"/>
      <c r="J2925" s="78">
        <f>HYPERLINK("#Структура!E2412",Структура!E2412)</f>
        <v>0.27</v>
      </c>
      <c r="K2925" s="114" t="str">
        <f>HYPERLINK("#Структура!G2412","")</f>
        <v/>
      </c>
      <c r="L2925" s="120">
        <f>HYPERLINK("#Покупные_изделия!D423",Покупные_изделия!D423)</f>
        <v>218.28</v>
      </c>
      <c r="M2925" s="76">
        <f t="shared" si="113"/>
        <v>58.935600000000001</v>
      </c>
      <c r="N2925" s="77"/>
      <c r="O2925" s="77"/>
      <c r="P2925" s="76"/>
      <c r="Q2925" s="76"/>
    </row>
    <row r="2926" spans="5:17" hidden="1" outlineLevel="4" x14ac:dyDescent="0.25">
      <c r="F2926" s="74" t="s">
        <v>200</v>
      </c>
      <c r="G2926" s="74"/>
      <c r="H2926" s="75"/>
      <c r="I2926" s="76"/>
      <c r="J2926" s="78">
        <f>HYPERLINK("#Структура!E2413",Структура!E2413)</f>
        <v>0.73299999999999998</v>
      </c>
      <c r="K2926" s="114" t="str">
        <f>HYPERLINK("#Структура!G2413","")</f>
        <v/>
      </c>
      <c r="L2926" s="120">
        <f>HYPERLINK("#Покупные_изделия!D518",Покупные_изделия!D518)</f>
        <v>270</v>
      </c>
      <c r="M2926" s="76">
        <f t="shared" si="113"/>
        <v>197.91</v>
      </c>
      <c r="N2926" s="77"/>
      <c r="O2926" s="77"/>
      <c r="P2926" s="76"/>
      <c r="Q2926" s="76"/>
    </row>
    <row r="2927" spans="5:17" hidden="1" outlineLevel="4" x14ac:dyDescent="0.25">
      <c r="F2927" s="74" t="s">
        <v>215</v>
      </c>
      <c r="G2927" s="74"/>
      <c r="H2927" s="75"/>
      <c r="I2927" s="76"/>
      <c r="J2927" s="78">
        <f>HYPERLINK("#Структура!E2414",Структура!E2414)</f>
        <v>0.9</v>
      </c>
      <c r="K2927" s="114" t="str">
        <f>HYPERLINK("#Структура!G2414","")</f>
        <v/>
      </c>
      <c r="L2927" s="120">
        <f>HYPERLINK("#Покупные_изделия!D567",Покупные_изделия!D567)</f>
        <v>405.74399999999997</v>
      </c>
      <c r="M2927" s="76">
        <f t="shared" si="113"/>
        <v>365.1696</v>
      </c>
      <c r="N2927" s="77"/>
      <c r="O2927" s="77"/>
      <c r="P2927" s="76"/>
      <c r="Q2927" s="76"/>
    </row>
    <row r="2928" spans="5:17" hidden="1" outlineLevel="3" collapsed="1" x14ac:dyDescent="0.25">
      <c r="E2928" s="96" t="s">
        <v>1312</v>
      </c>
      <c r="F2928" s="91"/>
      <c r="G2928" s="91"/>
      <c r="H2928" s="92"/>
      <c r="I2928" s="93"/>
      <c r="J2928" s="95">
        <f>HYPERLINK("#Структура!E2337",Структура!E2337)</f>
        <v>1</v>
      </c>
      <c r="K2928" s="116">
        <f>HYPERLINK("#Структура!G2337",Структура!G2337)</f>
        <v>11.979810000000001</v>
      </c>
      <c r="L2928" s="93">
        <f>M2928/J2928</f>
        <v>1523.7865728000002</v>
      </c>
      <c r="M2928" s="93">
        <f>SUMIF(F2929:F2938,"*",M2929:M2938)*J2928</f>
        <v>1523.7865728000002</v>
      </c>
      <c r="N2928" s="125">
        <f>HYPERLINK("#Трудозатраты!B616",Трудозатраты!B616+SUMIF(F2929:F2938,"*",O2929:O2938))</f>
        <v>111.98</v>
      </c>
      <c r="O2928" s="94">
        <f>N2928*J2928</f>
        <v>111.98</v>
      </c>
      <c r="P2928" s="93">
        <f>O2928/60*(1+запас_труд)*стоимость_трудочаса</f>
        <v>4385.8833333333332</v>
      </c>
      <c r="Q2928" s="130">
        <f>M2928*(1+наценка_покупное)+P2928</f>
        <v>6214.4272206933329</v>
      </c>
    </row>
    <row r="2929" spans="5:17" hidden="1" outlineLevel="4" collapsed="1" x14ac:dyDescent="0.25">
      <c r="F2929" s="85" t="s">
        <v>1306</v>
      </c>
      <c r="G2929" s="86"/>
      <c r="H2929" s="87"/>
      <c r="I2929" s="88"/>
      <c r="J2929" s="90">
        <f>HYPERLINK("#Структура!E2443",Структура!E2443)</f>
        <v>4</v>
      </c>
      <c r="K2929" s="113">
        <f>HYPERLINK("#Структура!G2443",Структура!G2443)</f>
        <v>0.28660000000000002</v>
      </c>
      <c r="L2929" s="88">
        <f>M2929/J2929</f>
        <v>35.984999999999999</v>
      </c>
      <c r="M2929" s="88">
        <f>SUMIF(G2930,"*",M2930)*J2929</f>
        <v>143.94</v>
      </c>
      <c r="N2929" s="123">
        <f>HYPERLINK("#Трудозатраты!B597",Трудозатраты!B597+SUMIF(G2930,"*",O2930))</f>
        <v>22.67</v>
      </c>
      <c r="O2929" s="89">
        <f>N2929*J2929</f>
        <v>90.68</v>
      </c>
      <c r="P2929" s="88">
        <f>O2929/60*(1+запас_труд)*стоимость_трудочаса</f>
        <v>3551.6333333333337</v>
      </c>
      <c r="Q2929" s="128">
        <f>M2929*(1+наценка_покупное)+P2929</f>
        <v>3724.3613333333337</v>
      </c>
    </row>
    <row r="2930" spans="5:17" hidden="1" outlineLevel="5" x14ac:dyDescent="0.25">
      <c r="G2930" s="74" t="s">
        <v>1254</v>
      </c>
      <c r="H2930" s="75"/>
      <c r="I2930" s="76"/>
      <c r="J2930" s="78">
        <f>HYPERLINK("#Структура!E2311",Структура!E2311)</f>
        <v>0.125</v>
      </c>
      <c r="K2930" s="114" t="str">
        <f>HYPERLINK("#Структура!G2311","")</f>
        <v/>
      </c>
      <c r="L2930" s="120">
        <f>HYPERLINK("#Покупные_изделия!D560",Покупные_изделия!D560)</f>
        <v>287.88</v>
      </c>
      <c r="M2930" s="76">
        <f>J2930*L2930</f>
        <v>35.984999999999999</v>
      </c>
      <c r="N2930" s="77"/>
      <c r="O2930" s="77"/>
      <c r="P2930" s="76"/>
      <c r="Q2930" s="76"/>
    </row>
    <row r="2931" spans="5:17" hidden="1" outlineLevel="4" collapsed="1" x14ac:dyDescent="0.25">
      <c r="F2931" s="84" t="s">
        <v>1329</v>
      </c>
      <c r="G2931" s="79"/>
      <c r="H2931" s="80"/>
      <c r="I2931" s="81"/>
      <c r="J2931" s="83">
        <f>HYPERLINK("#Структура!E2444",Структура!E2444)</f>
        <v>1</v>
      </c>
      <c r="K2931" s="115">
        <f>HYPERLINK("#Структура!G2444",Структура!G2444)</f>
        <v>10.833410000000001</v>
      </c>
      <c r="L2931" s="81">
        <f>M2931/J2931</f>
        <v>1320</v>
      </c>
      <c r="M2931" s="81">
        <f>SUMIF(G2932,"*",M2932)*J2931</f>
        <v>1320</v>
      </c>
      <c r="N2931" s="124">
        <f>HYPERLINK("#Трудозатраты!B617",Трудозатраты!B617+SUMIF(G2932,"*",O2932))</f>
        <v>11.8</v>
      </c>
      <c r="O2931" s="82">
        <f>N2931*J2931</f>
        <v>11.8</v>
      </c>
      <c r="P2931" s="81">
        <f>O2931/60*(1+запас_труд)*стоимость_трудочаса</f>
        <v>462.16666666666669</v>
      </c>
      <c r="Q2931" s="129">
        <f>M2931*(1+наценка_покупное)+P2931</f>
        <v>2046.1666666666667</v>
      </c>
    </row>
    <row r="2932" spans="5:17" hidden="1" outlineLevel="5" x14ac:dyDescent="0.25">
      <c r="G2932" s="74" t="s">
        <v>110</v>
      </c>
      <c r="H2932" s="75"/>
      <c r="I2932" s="76"/>
      <c r="J2932" s="78">
        <f>HYPERLINK("#Структура!E2451",Структура!E2451)</f>
        <v>11</v>
      </c>
      <c r="K2932" s="114" t="str">
        <f>HYPERLINK("#Структура!G2451","")</f>
        <v/>
      </c>
      <c r="L2932" s="120">
        <f>HYPERLINK("#Покупные_изделия!D282",Покупные_изделия!D282)</f>
        <v>120</v>
      </c>
      <c r="M2932" s="76">
        <f t="shared" ref="M2932:M2938" si="114">J2932*L2932</f>
        <v>1320</v>
      </c>
      <c r="N2932" s="77"/>
      <c r="O2932" s="77"/>
      <c r="P2932" s="76"/>
      <c r="Q2932" s="76"/>
    </row>
    <row r="2933" spans="5:17" hidden="1" outlineLevel="4" x14ac:dyDescent="0.25">
      <c r="F2933" s="74" t="s">
        <v>65</v>
      </c>
      <c r="G2933" s="74"/>
      <c r="H2933" s="75"/>
      <c r="I2933" s="76"/>
      <c r="J2933" s="78">
        <f>HYPERLINK("#Структура!E2445",Структура!E2445)</f>
        <v>0.04</v>
      </c>
      <c r="K2933" s="114" t="str">
        <f>HYPERLINK("#Структура!G2445","")</f>
        <v/>
      </c>
      <c r="L2933" s="120">
        <f>HYPERLINK("#Покупные_изделия!D197",Покупные_изделия!D197)</f>
        <v>264.50399999999996</v>
      </c>
      <c r="M2933" s="76">
        <f t="shared" si="114"/>
        <v>10.580159999999999</v>
      </c>
      <c r="N2933" s="77"/>
      <c r="O2933" s="77"/>
      <c r="P2933" s="76"/>
      <c r="Q2933" s="76"/>
    </row>
    <row r="2934" spans="5:17" hidden="1" outlineLevel="4" x14ac:dyDescent="0.25">
      <c r="F2934" s="74" t="s">
        <v>67</v>
      </c>
      <c r="G2934" s="74"/>
      <c r="H2934" s="75"/>
      <c r="I2934" s="76"/>
      <c r="J2934" s="78">
        <f>HYPERLINK("#Структура!E2446",Структура!E2446)</f>
        <v>6.8000000000000005E-2</v>
      </c>
      <c r="K2934" s="114" t="str">
        <f>HYPERLINK("#Структура!G2446","")</f>
        <v/>
      </c>
      <c r="L2934" s="120">
        <f>HYPERLINK("#Покупные_изделия!D203",Покупные_изделия!D203)</f>
        <v>30.003600000000002</v>
      </c>
      <c r="M2934" s="76">
        <f t="shared" si="114"/>
        <v>2.0402448000000004</v>
      </c>
      <c r="N2934" s="77"/>
      <c r="O2934" s="77"/>
      <c r="P2934" s="76"/>
      <c r="Q2934" s="76"/>
    </row>
    <row r="2935" spans="5:17" hidden="1" outlineLevel="4" x14ac:dyDescent="0.25">
      <c r="F2935" s="74" t="s">
        <v>146</v>
      </c>
      <c r="G2935" s="74"/>
      <c r="H2935" s="75"/>
      <c r="I2935" s="76"/>
      <c r="J2935" s="78">
        <f>HYPERLINK("#Структура!E2447",Структура!E2447)</f>
        <v>0.04</v>
      </c>
      <c r="K2935" s="114" t="str">
        <f>HYPERLINK("#Структура!G2447","")</f>
        <v/>
      </c>
      <c r="L2935" s="120">
        <f>HYPERLINK("#Покупные_изделия!D406",Покупные_изделия!D406)</f>
        <v>105.996</v>
      </c>
      <c r="M2935" s="76">
        <f t="shared" si="114"/>
        <v>4.2398400000000001</v>
      </c>
      <c r="N2935" s="77"/>
      <c r="O2935" s="77"/>
      <c r="P2935" s="76"/>
      <c r="Q2935" s="76"/>
    </row>
    <row r="2936" spans="5:17" hidden="1" outlineLevel="4" x14ac:dyDescent="0.25">
      <c r="F2936" s="74" t="s">
        <v>155</v>
      </c>
      <c r="G2936" s="74"/>
      <c r="H2936" s="75"/>
      <c r="I2936" s="76"/>
      <c r="J2936" s="78">
        <f>HYPERLINK("#Структура!E2448",Структура!E2448)</f>
        <v>2.4E-2</v>
      </c>
      <c r="K2936" s="114" t="str">
        <f>HYPERLINK("#Структура!G2448","")</f>
        <v/>
      </c>
      <c r="L2936" s="120">
        <f>HYPERLINK("#Покупные_изделия!D423",Покупные_изделия!D423)</f>
        <v>218.28</v>
      </c>
      <c r="M2936" s="76">
        <f t="shared" si="114"/>
        <v>5.2387199999999998</v>
      </c>
      <c r="N2936" s="77"/>
      <c r="O2936" s="77"/>
      <c r="P2936" s="76"/>
      <c r="Q2936" s="76"/>
    </row>
    <row r="2937" spans="5:17" hidden="1" outlineLevel="4" x14ac:dyDescent="0.25">
      <c r="F2937" s="74" t="s">
        <v>156</v>
      </c>
      <c r="G2937" s="74"/>
      <c r="H2937" s="75"/>
      <c r="I2937" s="76"/>
      <c r="J2937" s="78">
        <f>HYPERLINK("#Структура!E2449",Структура!E2449)</f>
        <v>3.4000000000000002E-2</v>
      </c>
      <c r="K2937" s="114" t="str">
        <f>HYPERLINK("#Структура!G2449","")</f>
        <v/>
      </c>
      <c r="L2937" s="120">
        <f>HYPERLINK("#Покупные_изделия!D427",Покупные_изделия!D427)</f>
        <v>155.53200000000001</v>
      </c>
      <c r="M2937" s="76">
        <f t="shared" si="114"/>
        <v>5.288088000000001</v>
      </c>
      <c r="N2937" s="77"/>
      <c r="O2937" s="77"/>
      <c r="P2937" s="76"/>
      <c r="Q2937" s="76"/>
    </row>
    <row r="2938" spans="5:17" hidden="1" outlineLevel="4" x14ac:dyDescent="0.25">
      <c r="F2938" s="74" t="s">
        <v>215</v>
      </c>
      <c r="G2938" s="74"/>
      <c r="H2938" s="75"/>
      <c r="I2938" s="76"/>
      <c r="J2938" s="78">
        <f>HYPERLINK("#Структура!E2450",Структура!E2450)</f>
        <v>0.08</v>
      </c>
      <c r="K2938" s="114" t="str">
        <f>HYPERLINK("#Структура!G2450","")</f>
        <v/>
      </c>
      <c r="L2938" s="120">
        <f>HYPERLINK("#Покупные_изделия!D567",Покупные_изделия!D567)</f>
        <v>405.74399999999997</v>
      </c>
      <c r="M2938" s="76">
        <f t="shared" si="114"/>
        <v>32.459519999999998</v>
      </c>
      <c r="N2938" s="77"/>
      <c r="O2938" s="77"/>
      <c r="P2938" s="76"/>
      <c r="Q2938" s="76"/>
    </row>
    <row r="2939" spans="5:17" hidden="1" outlineLevel="3" collapsed="1" x14ac:dyDescent="0.25">
      <c r="E2939" s="96" t="s">
        <v>1313</v>
      </c>
      <c r="F2939" s="91"/>
      <c r="G2939" s="91"/>
      <c r="H2939" s="92"/>
      <c r="I2939" s="93"/>
      <c r="J2939" s="95">
        <f>HYPERLINK("#Структура!E2338",Структура!E2338)</f>
        <v>1</v>
      </c>
      <c r="K2939" s="116">
        <f>HYPERLINK("#Структура!G2338",Структура!G2338)</f>
        <v>15.919790000000001</v>
      </c>
      <c r="L2939" s="93">
        <f>M2939/J2939</f>
        <v>2892.9112211999995</v>
      </c>
      <c r="M2939" s="93">
        <f>SUMIF(F2940:F2948,"*",M2940:M2948)*J2939</f>
        <v>2892.9112211999995</v>
      </c>
      <c r="N2939" s="125">
        <f>HYPERLINK("#Трудозатраты!B618",Трудозатраты!B618+SUMIF(F2940:F2948,"*",O2940:O2948))</f>
        <v>62</v>
      </c>
      <c r="O2939" s="94">
        <f>N2939*J2939</f>
        <v>62</v>
      </c>
      <c r="P2939" s="93">
        <f>O2939/60*(1+запас_труд)*стоимость_трудочаса</f>
        <v>2428.3333333333335</v>
      </c>
      <c r="Q2939" s="130">
        <f>M2939*(1+наценка_покупное)+P2939</f>
        <v>5899.8267987733325</v>
      </c>
    </row>
    <row r="2940" spans="5:17" hidden="1" outlineLevel="4" collapsed="1" x14ac:dyDescent="0.25">
      <c r="F2940" s="85" t="s">
        <v>1330</v>
      </c>
      <c r="G2940" s="86"/>
      <c r="H2940" s="87"/>
      <c r="I2940" s="88"/>
      <c r="J2940" s="90">
        <f>HYPERLINK("#Структура!E2452",Структура!E2452)</f>
        <v>1</v>
      </c>
      <c r="K2940" s="113">
        <f>HYPERLINK("#Структура!G2452",Структура!G2452)</f>
        <v>15.87236</v>
      </c>
      <c r="L2940" s="88">
        <f>M2940/J2940</f>
        <v>2347.1999999999998</v>
      </c>
      <c r="M2940" s="88">
        <f>SUMIF(G2941,"*",M2941)*J2940</f>
        <v>2347.1999999999998</v>
      </c>
      <c r="N2940" s="123">
        <f>HYPERLINK("#Трудозатраты!B619",Трудозатраты!B619+SUMIF(G2941,"*",O2941))</f>
        <v>6.5</v>
      </c>
      <c r="O2940" s="89">
        <f>N2940*J2940</f>
        <v>6.5</v>
      </c>
      <c r="P2940" s="88">
        <f>O2940/60*(1+запас_труд)*стоимость_трудочаса</f>
        <v>254.58333333333334</v>
      </c>
      <c r="Q2940" s="128">
        <f>M2940*(1+наценка_покупное)+P2940</f>
        <v>3071.2233333333334</v>
      </c>
    </row>
    <row r="2941" spans="5:17" hidden="1" outlineLevel="5" x14ac:dyDescent="0.25">
      <c r="G2941" s="74" t="s">
        <v>109</v>
      </c>
      <c r="H2941" s="75"/>
      <c r="I2941" s="76"/>
      <c r="J2941" s="78">
        <f>HYPERLINK("#Структура!E2460",Структура!E2460)</f>
        <v>19.559999999999999</v>
      </c>
      <c r="K2941" s="114" t="str">
        <f>HYPERLINK("#Структура!G2460","")</f>
        <v/>
      </c>
      <c r="L2941" s="120">
        <f>HYPERLINK("#Покупные_изделия!D281",Покупные_изделия!D281)</f>
        <v>120</v>
      </c>
      <c r="M2941" s="76">
        <f t="shared" ref="M2941:M2948" si="115">J2941*L2941</f>
        <v>2347.1999999999998</v>
      </c>
      <c r="N2941" s="77"/>
      <c r="O2941" s="77"/>
      <c r="P2941" s="76"/>
      <c r="Q2941" s="76"/>
    </row>
    <row r="2942" spans="5:17" hidden="1" outlineLevel="4" x14ac:dyDescent="0.25">
      <c r="F2942" s="74" t="s">
        <v>966</v>
      </c>
      <c r="G2942" s="74"/>
      <c r="H2942" s="75"/>
      <c r="I2942" s="76"/>
      <c r="J2942" s="78">
        <f>HYPERLINK("#Структура!E2453",Структура!E2453)</f>
        <v>9</v>
      </c>
      <c r="K2942" s="114">
        <f>HYPERLINK("#Структура!G2453",Структура!G2453)</f>
        <v>5.2700000000000004E-3</v>
      </c>
      <c r="L2942" s="120">
        <f>HYPERLINK("#Покупные_изделия!D170",Покупные_изделия!D170)</f>
        <v>1.3728</v>
      </c>
      <c r="M2942" s="76">
        <f t="shared" si="115"/>
        <v>12.3552</v>
      </c>
      <c r="N2942" s="77"/>
      <c r="O2942" s="77"/>
      <c r="P2942" s="76"/>
      <c r="Q2942" s="76"/>
    </row>
    <row r="2943" spans="5:17" hidden="1" outlineLevel="4" x14ac:dyDescent="0.25">
      <c r="F2943" s="74" t="s">
        <v>65</v>
      </c>
      <c r="G2943" s="74"/>
      <c r="H2943" s="75"/>
      <c r="I2943" s="76"/>
      <c r="J2943" s="78">
        <f>HYPERLINK("#Структура!E2454",Структура!E2454)</f>
        <v>0.35</v>
      </c>
      <c r="K2943" s="114" t="str">
        <f>HYPERLINK("#Структура!G2454","")</f>
        <v/>
      </c>
      <c r="L2943" s="120">
        <f>HYPERLINK("#Покупные_изделия!D197",Покупные_изделия!D197)</f>
        <v>264.50399999999996</v>
      </c>
      <c r="M2943" s="76">
        <f t="shared" si="115"/>
        <v>92.576399999999978</v>
      </c>
      <c r="N2943" s="77"/>
      <c r="O2943" s="77"/>
      <c r="P2943" s="76"/>
      <c r="Q2943" s="76"/>
    </row>
    <row r="2944" spans="5:17" hidden="1" outlineLevel="4" x14ac:dyDescent="0.25">
      <c r="F2944" s="74" t="s">
        <v>67</v>
      </c>
      <c r="G2944" s="74"/>
      <c r="H2944" s="75"/>
      <c r="I2944" s="76"/>
      <c r="J2944" s="78">
        <f>HYPERLINK("#Структура!E2455",Структура!E2455)</f>
        <v>1.7000000000000001E-2</v>
      </c>
      <c r="K2944" s="114" t="str">
        <f>HYPERLINK("#Структура!G2455","")</f>
        <v/>
      </c>
      <c r="L2944" s="120">
        <f>HYPERLINK("#Покупные_изделия!D203",Покупные_изделия!D203)</f>
        <v>30.003600000000002</v>
      </c>
      <c r="M2944" s="76">
        <f t="shared" si="115"/>
        <v>0.5100612000000001</v>
      </c>
      <c r="N2944" s="77"/>
      <c r="O2944" s="77"/>
      <c r="P2944" s="76"/>
      <c r="Q2944" s="76"/>
    </row>
    <row r="2945" spans="5:17" hidden="1" outlineLevel="4" x14ac:dyDescent="0.25">
      <c r="F2945" s="74" t="s">
        <v>146</v>
      </c>
      <c r="G2945" s="74"/>
      <c r="H2945" s="75"/>
      <c r="I2945" s="76"/>
      <c r="J2945" s="78">
        <f>HYPERLINK("#Структура!E2456",Структура!E2456)</f>
        <v>0.01</v>
      </c>
      <c r="K2945" s="114" t="str">
        <f>HYPERLINK("#Структура!G2456","")</f>
        <v/>
      </c>
      <c r="L2945" s="120">
        <f>HYPERLINK("#Покупные_изделия!D406",Покупные_изделия!D406)</f>
        <v>105.996</v>
      </c>
      <c r="M2945" s="76">
        <f t="shared" si="115"/>
        <v>1.05996</v>
      </c>
      <c r="N2945" s="77"/>
      <c r="O2945" s="77"/>
      <c r="P2945" s="76"/>
      <c r="Q2945" s="76"/>
    </row>
    <row r="2946" spans="5:17" hidden="1" outlineLevel="4" x14ac:dyDescent="0.25">
      <c r="F2946" s="74" t="s">
        <v>155</v>
      </c>
      <c r="G2946" s="74"/>
      <c r="H2946" s="75"/>
      <c r="I2946" s="76"/>
      <c r="J2946" s="78">
        <f>HYPERLINK("#Структура!E2457",Структура!E2457)</f>
        <v>0.21</v>
      </c>
      <c r="K2946" s="114" t="str">
        <f>HYPERLINK("#Структура!G2457","")</f>
        <v/>
      </c>
      <c r="L2946" s="120">
        <f>HYPERLINK("#Покупные_изделия!D423",Покупные_изделия!D423)</f>
        <v>218.28</v>
      </c>
      <c r="M2946" s="76">
        <f t="shared" si="115"/>
        <v>45.838799999999999</v>
      </c>
      <c r="N2946" s="77"/>
      <c r="O2946" s="77"/>
      <c r="P2946" s="76"/>
      <c r="Q2946" s="76"/>
    </row>
    <row r="2947" spans="5:17" hidden="1" outlineLevel="4" x14ac:dyDescent="0.25">
      <c r="F2947" s="74" t="s">
        <v>200</v>
      </c>
      <c r="G2947" s="74"/>
      <c r="H2947" s="75"/>
      <c r="I2947" s="76"/>
      <c r="J2947" s="78">
        <f>HYPERLINK("#Структура!E2458",Структура!E2458)</f>
        <v>0.40500000000000003</v>
      </c>
      <c r="K2947" s="114" t="str">
        <f>HYPERLINK("#Структура!G2458","")</f>
        <v/>
      </c>
      <c r="L2947" s="120">
        <f>HYPERLINK("#Покупные_изделия!D518",Покупные_изделия!D518)</f>
        <v>270</v>
      </c>
      <c r="M2947" s="76">
        <f t="shared" si="115"/>
        <v>109.35000000000001</v>
      </c>
      <c r="N2947" s="77"/>
      <c r="O2947" s="77"/>
      <c r="P2947" s="76"/>
      <c r="Q2947" s="76"/>
    </row>
    <row r="2948" spans="5:17" hidden="1" outlineLevel="4" x14ac:dyDescent="0.25">
      <c r="F2948" s="74" t="s">
        <v>215</v>
      </c>
      <c r="G2948" s="74"/>
      <c r="H2948" s="75"/>
      <c r="I2948" s="76"/>
      <c r="J2948" s="78">
        <f>HYPERLINK("#Структура!E2459",Структура!E2459)</f>
        <v>0.7</v>
      </c>
      <c r="K2948" s="114" t="str">
        <f>HYPERLINK("#Структура!G2459","")</f>
        <v/>
      </c>
      <c r="L2948" s="120">
        <f>HYPERLINK("#Покупные_изделия!D567",Покупные_изделия!D567)</f>
        <v>405.74399999999997</v>
      </c>
      <c r="M2948" s="76">
        <f t="shared" si="115"/>
        <v>284.02079999999995</v>
      </c>
      <c r="N2948" s="77"/>
      <c r="O2948" s="77"/>
      <c r="P2948" s="76"/>
      <c r="Q2948" s="76"/>
    </row>
    <row r="2949" spans="5:17" hidden="1" outlineLevel="3" collapsed="1" x14ac:dyDescent="0.25">
      <c r="E2949" s="96" t="s">
        <v>1314</v>
      </c>
      <c r="F2949" s="91"/>
      <c r="G2949" s="91"/>
      <c r="H2949" s="92"/>
      <c r="I2949" s="93"/>
      <c r="J2949" s="95">
        <f>HYPERLINK("#Структура!E2339",Структура!E2339)</f>
        <v>1</v>
      </c>
      <c r="K2949" s="116">
        <f>HYPERLINK("#Структура!G2339",Структура!G2339)</f>
        <v>0.78769999999999996</v>
      </c>
      <c r="L2949" s="93">
        <f>M2949/J2949</f>
        <v>132.45981360000002</v>
      </c>
      <c r="M2949" s="93">
        <f>SUMIF(F2950:F2958,"*",M2950:M2958)*J2949</f>
        <v>132.45981360000002</v>
      </c>
      <c r="N2949" s="125">
        <f>HYPERLINK("#Трудозатраты!B620",Трудозатраты!B620+SUMIF(F2950:F2958,"*",O2950:O2958))</f>
        <v>9.1</v>
      </c>
      <c r="O2949" s="94">
        <f>N2949*J2949</f>
        <v>9.1</v>
      </c>
      <c r="P2949" s="93">
        <f>O2949/60*(1+запас_труд)*стоимость_трудочаса</f>
        <v>356.41666666666669</v>
      </c>
      <c r="Q2949" s="130">
        <f>M2949*(1+наценка_покупное)+P2949</f>
        <v>515.36844298666665</v>
      </c>
    </row>
    <row r="2950" spans="5:17" hidden="1" outlineLevel="4" collapsed="1" x14ac:dyDescent="0.25">
      <c r="F2950" s="85" t="s">
        <v>1331</v>
      </c>
      <c r="G2950" s="86"/>
      <c r="H2950" s="87"/>
      <c r="I2950" s="88"/>
      <c r="J2950" s="90">
        <f>HYPERLINK("#Структура!E2461",Структура!E2461)</f>
        <v>1</v>
      </c>
      <c r="K2950" s="113">
        <f>HYPERLINK("#Структура!G2461",Структура!G2461)</f>
        <v>0.76551000000000002</v>
      </c>
      <c r="L2950" s="88">
        <f>M2950/J2950</f>
        <v>111.60000000000001</v>
      </c>
      <c r="M2950" s="88">
        <f>SUMIF(G2951,"*",M2951)*J2950</f>
        <v>111.60000000000001</v>
      </c>
      <c r="N2950" s="123">
        <f>HYPERLINK("#Трудозатраты!B621",Трудозатраты!B621+SUMIF(G2951,"*",O2951))</f>
        <v>2</v>
      </c>
      <c r="O2950" s="89">
        <f>N2950*J2950</f>
        <v>2</v>
      </c>
      <c r="P2950" s="88">
        <f>O2950/60*(1+запас_труд)*стоимость_трудочаса</f>
        <v>78.333333333333329</v>
      </c>
      <c r="Q2950" s="128">
        <f>M2950*(1+наценка_покупное)+P2950</f>
        <v>212.25333333333333</v>
      </c>
    </row>
    <row r="2951" spans="5:17" hidden="1" outlineLevel="5" x14ac:dyDescent="0.25">
      <c r="G2951" s="74" t="s">
        <v>115</v>
      </c>
      <c r="H2951" s="75"/>
      <c r="I2951" s="76"/>
      <c r="J2951" s="78">
        <f>HYPERLINK("#Структура!E2469",Структура!E2469)</f>
        <v>0.93</v>
      </c>
      <c r="K2951" s="114" t="str">
        <f>HYPERLINK("#Структура!G2469","")</f>
        <v/>
      </c>
      <c r="L2951" s="120">
        <f>HYPERLINK("#Покупные_изделия!D289",Покупные_изделия!D289)</f>
        <v>120</v>
      </c>
      <c r="M2951" s="76">
        <f t="shared" ref="M2951:M2958" si="116">J2951*L2951</f>
        <v>111.60000000000001</v>
      </c>
      <c r="N2951" s="77"/>
      <c r="O2951" s="77"/>
      <c r="P2951" s="76"/>
      <c r="Q2951" s="76"/>
    </row>
    <row r="2952" spans="5:17" hidden="1" outlineLevel="4" x14ac:dyDescent="0.25">
      <c r="F2952" s="74" t="s">
        <v>746</v>
      </c>
      <c r="G2952" s="74"/>
      <c r="H2952" s="75"/>
      <c r="I2952" s="76"/>
      <c r="J2952" s="78">
        <f>HYPERLINK("#Структура!E2462",Структура!E2462)</f>
        <v>4</v>
      </c>
      <c r="K2952" s="114">
        <f>HYPERLINK("#Структура!G2462",Структура!G2462)</f>
        <v>5.5500000000000002E-3</v>
      </c>
      <c r="L2952" s="120">
        <f>HYPERLINK("#Покупные_изделия!D192",Покупные_изделия!D192)</f>
        <v>1.9799999999999998</v>
      </c>
      <c r="M2952" s="76">
        <f t="shared" si="116"/>
        <v>7.919999999999999</v>
      </c>
      <c r="N2952" s="77"/>
      <c r="O2952" s="77"/>
      <c r="P2952" s="76"/>
      <c r="Q2952" s="76"/>
    </row>
    <row r="2953" spans="5:17" hidden="1" outlineLevel="4" x14ac:dyDescent="0.25">
      <c r="F2953" s="74" t="s">
        <v>65</v>
      </c>
      <c r="G2953" s="74"/>
      <c r="H2953" s="75"/>
      <c r="I2953" s="76"/>
      <c r="J2953" s="78">
        <f>HYPERLINK("#Структура!E2463",Структура!E2463)</f>
        <v>8.0000000000000002E-3</v>
      </c>
      <c r="K2953" s="114" t="str">
        <f>HYPERLINK("#Структура!G2463","")</f>
        <v/>
      </c>
      <c r="L2953" s="120">
        <f>HYPERLINK("#Покупные_изделия!D197",Покупные_изделия!D197)</f>
        <v>264.50399999999996</v>
      </c>
      <c r="M2953" s="76">
        <f t="shared" si="116"/>
        <v>2.1160319999999997</v>
      </c>
      <c r="N2953" s="77"/>
      <c r="O2953" s="77"/>
      <c r="P2953" s="76"/>
      <c r="Q2953" s="76"/>
    </row>
    <row r="2954" spans="5:17" hidden="1" outlineLevel="4" x14ac:dyDescent="0.25">
      <c r="F2954" s="74" t="s">
        <v>67</v>
      </c>
      <c r="G2954" s="74"/>
      <c r="H2954" s="75"/>
      <c r="I2954" s="76"/>
      <c r="J2954" s="78">
        <f>HYPERLINK("#Структура!E2464",Структура!E2464)</f>
        <v>2.5999999999999999E-2</v>
      </c>
      <c r="K2954" s="114" t="str">
        <f>HYPERLINK("#Структура!G2464","")</f>
        <v/>
      </c>
      <c r="L2954" s="120">
        <f>HYPERLINK("#Покупные_изделия!D203",Покупные_изделия!D203)</f>
        <v>30.003600000000002</v>
      </c>
      <c r="M2954" s="76">
        <f t="shared" si="116"/>
        <v>0.78009360000000005</v>
      </c>
      <c r="N2954" s="77"/>
      <c r="O2954" s="77"/>
      <c r="P2954" s="76"/>
      <c r="Q2954" s="76"/>
    </row>
    <row r="2955" spans="5:17" hidden="1" outlineLevel="4" x14ac:dyDescent="0.25">
      <c r="F2955" s="74" t="s">
        <v>146</v>
      </c>
      <c r="G2955" s="74"/>
      <c r="H2955" s="75"/>
      <c r="I2955" s="76"/>
      <c r="J2955" s="78">
        <f>HYPERLINK("#Структура!E2465",Структура!E2465)</f>
        <v>1.4999999999999999E-2</v>
      </c>
      <c r="K2955" s="114" t="str">
        <f>HYPERLINK("#Структура!G2465","")</f>
        <v/>
      </c>
      <c r="L2955" s="120">
        <f>HYPERLINK("#Покупные_изделия!D406",Покупные_изделия!D406)</f>
        <v>105.996</v>
      </c>
      <c r="M2955" s="76">
        <f t="shared" si="116"/>
        <v>1.5899399999999999</v>
      </c>
      <c r="N2955" s="77"/>
      <c r="O2955" s="77"/>
      <c r="P2955" s="76"/>
      <c r="Q2955" s="76"/>
    </row>
    <row r="2956" spans="5:17" hidden="1" outlineLevel="4" x14ac:dyDescent="0.25">
      <c r="F2956" s="74" t="s">
        <v>155</v>
      </c>
      <c r="G2956" s="74"/>
      <c r="H2956" s="75"/>
      <c r="I2956" s="76"/>
      <c r="J2956" s="78">
        <f>HYPERLINK("#Структура!E2466",Структура!E2466)</f>
        <v>4.0000000000000001E-3</v>
      </c>
      <c r="K2956" s="114" t="str">
        <f>HYPERLINK("#Структура!G2466","")</f>
        <v/>
      </c>
      <c r="L2956" s="120">
        <f>HYPERLINK("#Покупные_изделия!D423",Покупные_изделия!D423)</f>
        <v>218.28</v>
      </c>
      <c r="M2956" s="76">
        <f t="shared" si="116"/>
        <v>0.87312000000000001</v>
      </c>
      <c r="N2956" s="77"/>
      <c r="O2956" s="77"/>
      <c r="P2956" s="76"/>
      <c r="Q2956" s="76"/>
    </row>
    <row r="2957" spans="5:17" hidden="1" outlineLevel="4" x14ac:dyDescent="0.25">
      <c r="F2957" s="74" t="s">
        <v>156</v>
      </c>
      <c r="G2957" s="74"/>
      <c r="H2957" s="75"/>
      <c r="I2957" s="76"/>
      <c r="J2957" s="78">
        <f>HYPERLINK("#Структура!E2467",Структура!E2467)</f>
        <v>7.0000000000000001E-3</v>
      </c>
      <c r="K2957" s="114" t="str">
        <f>HYPERLINK("#Структура!G2467","")</f>
        <v/>
      </c>
      <c r="L2957" s="120">
        <f>HYPERLINK("#Покупные_изделия!D427",Покупные_изделия!D427)</f>
        <v>155.53200000000001</v>
      </c>
      <c r="M2957" s="76">
        <f t="shared" si="116"/>
        <v>1.088724</v>
      </c>
      <c r="N2957" s="77"/>
      <c r="O2957" s="77"/>
      <c r="P2957" s="76"/>
      <c r="Q2957" s="76"/>
    </row>
    <row r="2958" spans="5:17" hidden="1" outlineLevel="4" x14ac:dyDescent="0.25">
      <c r="F2958" s="74" t="s">
        <v>215</v>
      </c>
      <c r="G2958" s="74"/>
      <c r="H2958" s="75"/>
      <c r="I2958" s="76"/>
      <c r="J2958" s="78">
        <f>HYPERLINK("#Структура!E2468",Структура!E2468)</f>
        <v>1.6E-2</v>
      </c>
      <c r="K2958" s="114" t="str">
        <f>HYPERLINK("#Структура!G2468","")</f>
        <v/>
      </c>
      <c r="L2958" s="120">
        <f>HYPERLINK("#Покупные_изделия!D567",Покупные_изделия!D567)</f>
        <v>405.74399999999997</v>
      </c>
      <c r="M2958" s="76">
        <f t="shared" si="116"/>
        <v>6.4919039999999999</v>
      </c>
      <c r="N2958" s="77"/>
      <c r="O2958" s="77"/>
      <c r="P2958" s="76"/>
      <c r="Q2958" s="76"/>
    </row>
    <row r="2959" spans="5:17" hidden="1" outlineLevel="3" collapsed="1" x14ac:dyDescent="0.25">
      <c r="E2959" s="96" t="s">
        <v>1286</v>
      </c>
      <c r="F2959" s="91"/>
      <c r="G2959" s="91"/>
      <c r="H2959" s="92"/>
      <c r="I2959" s="93"/>
      <c r="J2959" s="95">
        <f>HYPERLINK("#Структура!E2340",Структура!E2340)</f>
        <v>1</v>
      </c>
      <c r="K2959" s="116">
        <f>HYPERLINK("#Структура!G2340",Структура!G2340)</f>
        <v>25.774789999999999</v>
      </c>
      <c r="L2959" s="93">
        <f>M2959/J2959</f>
        <v>15463.216381168422</v>
      </c>
      <c r="M2959" s="93">
        <f>SUMIF(F2960:F3126,"*",M2960:M3126)*J2959</f>
        <v>15463.216381168422</v>
      </c>
      <c r="N2959" s="125">
        <f>HYPERLINK("#Трудозатраты!B626",Трудозатраты!B626+SUMIF(F2960:F3126,"*",O2960:O3126))</f>
        <v>1359.4899999999996</v>
      </c>
      <c r="O2959" s="94">
        <f>N2959*J2959</f>
        <v>1359.4899999999996</v>
      </c>
      <c r="P2959" s="93">
        <f>O2959/60*(1+запас_труд)*стоимость_трудочаса</f>
        <v>53246.691666666651</v>
      </c>
      <c r="Q2959" s="130">
        <f>M2959*(1+наценка_покупное)+P2959</f>
        <v>71802.551324068758</v>
      </c>
    </row>
    <row r="2960" spans="5:17" hidden="1" outlineLevel="4" collapsed="1" x14ac:dyDescent="0.25">
      <c r="F2960" s="97" t="s">
        <v>1335</v>
      </c>
      <c r="G2960" s="98"/>
      <c r="H2960" s="99"/>
      <c r="I2960" s="100"/>
      <c r="J2960" s="102">
        <f>HYPERLINK("#Структура!E2490",Структура!E2490)</f>
        <v>1</v>
      </c>
      <c r="K2960" s="112">
        <f>HYPERLINK("#Структура!G2490",Структура!G2490)</f>
        <v>11.704840000000001</v>
      </c>
      <c r="L2960" s="100">
        <f>M2960/J2960</f>
        <v>2959.8206196000006</v>
      </c>
      <c r="M2960" s="100">
        <f>SUMIF(G2961:G2984,"*",M2961:M2984)*J2960</f>
        <v>2959.8206196000006</v>
      </c>
      <c r="N2960" s="122">
        <f>HYPERLINK("#Трудозатраты!B636",Трудозатраты!B636+SUMIF(G2961:G2984,"*",O2961:O2984))</f>
        <v>146.89999999999998</v>
      </c>
      <c r="O2960" s="101">
        <f>N2960*J2960</f>
        <v>146.89999999999998</v>
      </c>
      <c r="P2960" s="100">
        <f>O2960/60*(1+запас_труд)*стоимость_трудочаса</f>
        <v>5753.5833333333321</v>
      </c>
      <c r="Q2960" s="127">
        <f>M2960*(1+наценка_покупное)+P2960</f>
        <v>9305.3680768533322</v>
      </c>
    </row>
    <row r="2961" spans="7:17" hidden="1" outlineLevel="5" collapsed="1" x14ac:dyDescent="0.25">
      <c r="G2961" s="85" t="s">
        <v>1350</v>
      </c>
      <c r="H2961" s="87"/>
      <c r="I2961" s="88"/>
      <c r="J2961" s="90">
        <f>HYPERLINK("#Структура!E2556",Структура!E2556)</f>
        <v>2</v>
      </c>
      <c r="K2961" s="113">
        <f>HYPERLINK("#Структура!G2556",Структура!G2556)</f>
        <v>3.7277800000000001</v>
      </c>
      <c r="L2961" s="88">
        <f>M2961/J2961</f>
        <v>545.94807839999999</v>
      </c>
      <c r="M2961" s="88">
        <f>SUMIF(H2962:H2964,"*",M2962:M2964)*J2961</f>
        <v>1091.8961568</v>
      </c>
      <c r="N2961" s="123">
        <f>HYPERLINK("#Трудозатраты!B638",Трудозатраты!B638+SUMIF(H2962:H2964,"*",O2962:O2964))</f>
        <v>17.700000000000003</v>
      </c>
      <c r="O2961" s="89">
        <f>N2961*J2961</f>
        <v>35.400000000000006</v>
      </c>
      <c r="P2961" s="88">
        <f>O2961/60*(1+запас_труд)*стоимость_трудочаса</f>
        <v>1386.5000000000002</v>
      </c>
      <c r="Q2961" s="128">
        <f>M2961*(1+наценка_покупное)+P2961</f>
        <v>2696.7753881600001</v>
      </c>
    </row>
    <row r="2962" spans="7:17" hidden="1" outlineLevel="6" x14ac:dyDescent="0.25">
      <c r="H2962" s="75" t="s">
        <v>67</v>
      </c>
      <c r="I2962" s="76"/>
      <c r="J2962" s="78">
        <f>HYPERLINK("#Структура!E2580",Структура!E2580)</f>
        <v>6.4000000000000001E-2</v>
      </c>
      <c r="K2962" s="114" t="str">
        <f>HYPERLINK("#Структура!G2580","")</f>
        <v/>
      </c>
      <c r="L2962" s="120">
        <f>HYPERLINK("#Покупные_изделия!D203",Покупные_изделия!D203)</f>
        <v>30.003600000000002</v>
      </c>
      <c r="M2962" s="76">
        <f>J2962*L2962</f>
        <v>1.9202304000000001</v>
      </c>
      <c r="N2962" s="77"/>
      <c r="O2962" s="77"/>
      <c r="P2962" s="76"/>
      <c r="Q2962" s="76"/>
    </row>
    <row r="2963" spans="7:17" hidden="1" outlineLevel="6" x14ac:dyDescent="0.25">
      <c r="H2963" s="75" t="s">
        <v>113</v>
      </c>
      <c r="I2963" s="76"/>
      <c r="J2963" s="78">
        <f>HYPERLINK("#Структура!E2581",Структура!E2581)</f>
        <v>4.5</v>
      </c>
      <c r="K2963" s="114" t="str">
        <f>HYPERLINK("#Структура!G2581","")</f>
        <v/>
      </c>
      <c r="L2963" s="120">
        <f>HYPERLINK("#Покупные_изделия!D286",Покупные_изделия!D286)</f>
        <v>120</v>
      </c>
      <c r="M2963" s="76">
        <f>J2963*L2963</f>
        <v>540</v>
      </c>
      <c r="N2963" s="77"/>
      <c r="O2963" s="77"/>
      <c r="P2963" s="76"/>
      <c r="Q2963" s="76"/>
    </row>
    <row r="2964" spans="7:17" hidden="1" outlineLevel="6" x14ac:dyDescent="0.25">
      <c r="H2964" s="75" t="s">
        <v>146</v>
      </c>
      <c r="I2964" s="76"/>
      <c r="J2964" s="78">
        <f>HYPERLINK("#Структура!E2582",Структура!E2582)</f>
        <v>3.7999999999999999E-2</v>
      </c>
      <c r="K2964" s="114" t="str">
        <f>HYPERLINK("#Структура!G2582","")</f>
        <v/>
      </c>
      <c r="L2964" s="120">
        <f>HYPERLINK("#Покупные_изделия!D406",Покупные_изделия!D406)</f>
        <v>105.996</v>
      </c>
      <c r="M2964" s="76">
        <f>J2964*L2964</f>
        <v>4.0278479999999997</v>
      </c>
      <c r="N2964" s="77"/>
      <c r="O2964" s="77"/>
      <c r="P2964" s="76"/>
      <c r="Q2964" s="76"/>
    </row>
    <row r="2965" spans="7:17" hidden="1" outlineLevel="5" collapsed="1" x14ac:dyDescent="0.25">
      <c r="G2965" s="84" t="s">
        <v>1351</v>
      </c>
      <c r="H2965" s="80"/>
      <c r="I2965" s="81"/>
      <c r="J2965" s="83">
        <f>HYPERLINK("#Структура!E2557",Структура!E2557)</f>
        <v>2</v>
      </c>
      <c r="K2965" s="115">
        <f>HYPERLINK("#Структура!G2557",Структура!G2557)</f>
        <v>0.28765000000000002</v>
      </c>
      <c r="L2965" s="81">
        <f>M2965/J2965</f>
        <v>88.8</v>
      </c>
      <c r="M2965" s="81">
        <f>SUMIF(H2966,"*",M2966)*J2965</f>
        <v>177.6</v>
      </c>
      <c r="N2965" s="124">
        <f>HYPERLINK("#Трудозатраты!B639",Трудозатраты!B639+SUMIF(H2966,"*",O2966))</f>
        <v>0.9</v>
      </c>
      <c r="O2965" s="82">
        <f>N2965*J2965</f>
        <v>1.8</v>
      </c>
      <c r="P2965" s="81">
        <f>O2965/60*(1+запас_труд)*стоимость_трудочаса</f>
        <v>70.5</v>
      </c>
      <c r="Q2965" s="129">
        <f>M2965*(1+наценка_покупное)+P2965</f>
        <v>283.62</v>
      </c>
    </row>
    <row r="2966" spans="7:17" hidden="1" outlineLevel="6" x14ac:dyDescent="0.25">
      <c r="H2966" s="75" t="s">
        <v>113</v>
      </c>
      <c r="I2966" s="76"/>
      <c r="J2966" s="78">
        <f>HYPERLINK("#Структура!E2583",Структура!E2583)</f>
        <v>0.74</v>
      </c>
      <c r="K2966" s="114" t="str">
        <f>HYPERLINK("#Структура!G2583","")</f>
        <v/>
      </c>
      <c r="L2966" s="120">
        <f>HYPERLINK("#Покупные_изделия!D286",Покупные_изделия!D286)</f>
        <v>120</v>
      </c>
      <c r="M2966" s="76">
        <f>J2966*L2966</f>
        <v>88.8</v>
      </c>
      <c r="N2966" s="77"/>
      <c r="O2966" s="77"/>
      <c r="P2966" s="76"/>
      <c r="Q2966" s="76"/>
    </row>
    <row r="2967" spans="7:17" hidden="1" outlineLevel="5" collapsed="1" x14ac:dyDescent="0.25">
      <c r="G2967" s="84" t="s">
        <v>1352</v>
      </c>
      <c r="H2967" s="80"/>
      <c r="I2967" s="81"/>
      <c r="J2967" s="83">
        <f>HYPERLINK("#Структура!E2558",Структура!E2558)</f>
        <v>1</v>
      </c>
      <c r="K2967" s="115">
        <f>HYPERLINK("#Структура!G2558",Структура!G2558)</f>
        <v>1.48038</v>
      </c>
      <c r="L2967" s="81">
        <f>M2967/J2967</f>
        <v>551.8987836</v>
      </c>
      <c r="M2967" s="81">
        <f>SUMIF(H2968:H2970,"*",M2968:M2970)*J2967</f>
        <v>551.8987836</v>
      </c>
      <c r="N2967" s="124">
        <f>HYPERLINK("#Трудозатраты!B640",Трудозатраты!B640+SUMIF(H2968:H2970,"*",O2968:O2970))</f>
        <v>16.5</v>
      </c>
      <c r="O2967" s="82">
        <f>N2967*J2967</f>
        <v>16.5</v>
      </c>
      <c r="P2967" s="81">
        <f>O2967/60*(1+запас_труд)*стоимость_трудочаса</f>
        <v>646.25</v>
      </c>
      <c r="Q2967" s="129">
        <f>M2967*(1+наценка_покупное)+P2967</f>
        <v>1308.52854032</v>
      </c>
    </row>
    <row r="2968" spans="7:17" hidden="1" outlineLevel="6" x14ac:dyDescent="0.25">
      <c r="H2968" s="75" t="s">
        <v>67</v>
      </c>
      <c r="I2968" s="76"/>
      <c r="J2968" s="78">
        <f>HYPERLINK("#Структура!E2584",Структура!E2584)</f>
        <v>2.5999999999999999E-2</v>
      </c>
      <c r="K2968" s="114" t="str">
        <f>HYPERLINK("#Структура!G2584","")</f>
        <v/>
      </c>
      <c r="L2968" s="120">
        <f>HYPERLINK("#Покупные_изделия!D203",Покупные_изделия!D203)</f>
        <v>30.003600000000002</v>
      </c>
      <c r="M2968" s="76">
        <f>J2968*L2968</f>
        <v>0.78009360000000005</v>
      </c>
      <c r="N2968" s="77"/>
      <c r="O2968" s="77"/>
      <c r="P2968" s="76"/>
      <c r="Q2968" s="76"/>
    </row>
    <row r="2969" spans="7:17" hidden="1" outlineLevel="6" x14ac:dyDescent="0.25">
      <c r="H2969" s="75" t="s">
        <v>112</v>
      </c>
      <c r="I2969" s="76"/>
      <c r="J2969" s="78">
        <f>HYPERLINK("#Структура!E2585",Структура!E2585)</f>
        <v>1.8</v>
      </c>
      <c r="K2969" s="114" t="str">
        <f>HYPERLINK("#Структура!G2585","")</f>
        <v/>
      </c>
      <c r="L2969" s="120">
        <f>HYPERLINK("#Покупные_изделия!D285",Покупные_изделия!D285)</f>
        <v>300</v>
      </c>
      <c r="M2969" s="76">
        <f>J2969*L2969</f>
        <v>540</v>
      </c>
      <c r="N2969" s="77"/>
      <c r="O2969" s="77"/>
      <c r="P2969" s="76"/>
      <c r="Q2969" s="76"/>
    </row>
    <row r="2970" spans="7:17" hidden="1" outlineLevel="6" x14ac:dyDescent="0.25">
      <c r="H2970" s="75" t="s">
        <v>147</v>
      </c>
      <c r="I2970" s="76"/>
      <c r="J2970" s="78">
        <f>HYPERLINK("#Структура!E2586",Структура!E2586)</f>
        <v>1.4999999999999999E-2</v>
      </c>
      <c r="K2970" s="114" t="str">
        <f>HYPERLINK("#Структура!G2586","")</f>
        <v/>
      </c>
      <c r="L2970" s="120">
        <f>HYPERLINK("#Покупные_изделия!D407",Покупные_изделия!D407)</f>
        <v>741.24599999999998</v>
      </c>
      <c r="M2970" s="76">
        <f>J2970*L2970</f>
        <v>11.118689999999999</v>
      </c>
      <c r="N2970" s="77"/>
      <c r="O2970" s="77"/>
      <c r="P2970" s="76"/>
      <c r="Q2970" s="76"/>
    </row>
    <row r="2971" spans="7:17" hidden="1" outlineLevel="5" collapsed="1" x14ac:dyDescent="0.25">
      <c r="G2971" s="84" t="s">
        <v>1353</v>
      </c>
      <c r="H2971" s="80"/>
      <c r="I2971" s="81"/>
      <c r="J2971" s="83">
        <f>HYPERLINK("#Структура!E2559",Структура!E2559)</f>
        <v>1</v>
      </c>
      <c r="K2971" s="115">
        <f>HYPERLINK("#Структура!G2559",Структура!G2559)</f>
        <v>1.46516</v>
      </c>
      <c r="L2971" s="81">
        <f>M2971/J2971</f>
        <v>551.8987836</v>
      </c>
      <c r="M2971" s="81">
        <f>SUMIF(H2972:H2974,"*",M2972:M2974)*J2971</f>
        <v>551.8987836</v>
      </c>
      <c r="N2971" s="124">
        <f>HYPERLINK("#Трудозатраты!B641",Трудозатраты!B641+SUMIF(H2972:H2974,"*",O2972:O2974))</f>
        <v>11.3</v>
      </c>
      <c r="O2971" s="82">
        <f>N2971*J2971</f>
        <v>11.3</v>
      </c>
      <c r="P2971" s="81">
        <f>O2971/60*(1+запас_труд)*стоимость_трудочаса</f>
        <v>442.58333333333337</v>
      </c>
      <c r="Q2971" s="129">
        <f>M2971*(1+наценка_покупное)+P2971</f>
        <v>1104.8618736533333</v>
      </c>
    </row>
    <row r="2972" spans="7:17" hidden="1" outlineLevel="6" x14ac:dyDescent="0.25">
      <c r="H2972" s="75" t="s">
        <v>67</v>
      </c>
      <c r="I2972" s="76"/>
      <c r="J2972" s="78">
        <f>HYPERLINK("#Структура!E2587",Структура!E2587)</f>
        <v>2.5999999999999999E-2</v>
      </c>
      <c r="K2972" s="114" t="str">
        <f>HYPERLINK("#Структура!G2587","")</f>
        <v/>
      </c>
      <c r="L2972" s="120">
        <f>HYPERLINK("#Покупные_изделия!D203",Покупные_изделия!D203)</f>
        <v>30.003600000000002</v>
      </c>
      <c r="M2972" s="76">
        <f>J2972*L2972</f>
        <v>0.78009360000000005</v>
      </c>
      <c r="N2972" s="77"/>
      <c r="O2972" s="77"/>
      <c r="P2972" s="76"/>
      <c r="Q2972" s="76"/>
    </row>
    <row r="2973" spans="7:17" hidden="1" outlineLevel="6" x14ac:dyDescent="0.25">
      <c r="H2973" s="75" t="s">
        <v>112</v>
      </c>
      <c r="I2973" s="76"/>
      <c r="J2973" s="78">
        <f>HYPERLINK("#Структура!E2588",Структура!E2588)</f>
        <v>1.8</v>
      </c>
      <c r="K2973" s="114" t="str">
        <f>HYPERLINK("#Структура!G2588","")</f>
        <v/>
      </c>
      <c r="L2973" s="120">
        <f>HYPERLINK("#Покупные_изделия!D285",Покупные_изделия!D285)</f>
        <v>300</v>
      </c>
      <c r="M2973" s="76">
        <f>J2973*L2973</f>
        <v>540</v>
      </c>
      <c r="N2973" s="77"/>
      <c r="O2973" s="77"/>
      <c r="P2973" s="76"/>
      <c r="Q2973" s="76"/>
    </row>
    <row r="2974" spans="7:17" hidden="1" outlineLevel="6" x14ac:dyDescent="0.25">
      <c r="H2974" s="75" t="s">
        <v>147</v>
      </c>
      <c r="I2974" s="76"/>
      <c r="J2974" s="78">
        <f>HYPERLINK("#Структура!E2589",Структура!E2589)</f>
        <v>1.4999999999999999E-2</v>
      </c>
      <c r="K2974" s="114" t="str">
        <f>HYPERLINK("#Структура!G2589","")</f>
        <v/>
      </c>
      <c r="L2974" s="120">
        <f>HYPERLINK("#Покупные_изделия!D407",Покупные_изделия!D407)</f>
        <v>741.24599999999998</v>
      </c>
      <c r="M2974" s="76">
        <f>J2974*L2974</f>
        <v>11.118689999999999</v>
      </c>
      <c r="N2974" s="77"/>
      <c r="O2974" s="77"/>
      <c r="P2974" s="76"/>
      <c r="Q2974" s="76"/>
    </row>
    <row r="2975" spans="7:17" hidden="1" outlineLevel="5" collapsed="1" x14ac:dyDescent="0.25">
      <c r="G2975" s="84" t="s">
        <v>1354</v>
      </c>
      <c r="H2975" s="80"/>
      <c r="I2975" s="81"/>
      <c r="J2975" s="83">
        <f>HYPERLINK("#Структура!E2560",Структура!E2560)</f>
        <v>1</v>
      </c>
      <c r="K2975" s="115">
        <f>HYPERLINK("#Структура!G2560",Структура!G2560)</f>
        <v>0.69088000000000005</v>
      </c>
      <c r="L2975" s="81">
        <f>M2975/J2975</f>
        <v>120.13319999999999</v>
      </c>
      <c r="M2975" s="81">
        <f>SUMIF(H2976,"*",M2976)*J2975</f>
        <v>120.13319999999999</v>
      </c>
      <c r="N2975" s="124">
        <f>HYPERLINK("#Трудозатраты!B643",Трудозатраты!B643+SUMIF(H2976,"*",O2976))</f>
        <v>2.6</v>
      </c>
      <c r="O2975" s="82">
        <f>N2975*J2975</f>
        <v>2.6</v>
      </c>
      <c r="P2975" s="81">
        <f>O2975/60*(1+запас_труд)*стоимость_трудочаса</f>
        <v>101.83333333333334</v>
      </c>
      <c r="Q2975" s="129">
        <f>M2975*(1+наценка_покупное)+P2975</f>
        <v>245.99317333333332</v>
      </c>
    </row>
    <row r="2976" spans="7:17" hidden="1" outlineLevel="6" x14ac:dyDescent="0.25">
      <c r="H2976" s="75" t="s">
        <v>115</v>
      </c>
      <c r="I2976" s="76"/>
      <c r="J2976" s="78">
        <f>HYPERLINK("#Структура!E2593",Структура!E2593)</f>
        <v>1.0011099999999999</v>
      </c>
      <c r="K2976" s="114" t="str">
        <f>HYPERLINK("#Структура!G2593","")</f>
        <v/>
      </c>
      <c r="L2976" s="120">
        <f>HYPERLINK("#Покупные_изделия!D289",Покупные_изделия!D289)</f>
        <v>120</v>
      </c>
      <c r="M2976" s="76">
        <f>J2976*L2976</f>
        <v>120.13319999999999</v>
      </c>
      <c r="N2976" s="77"/>
      <c r="O2976" s="77"/>
      <c r="P2976" s="76"/>
      <c r="Q2976" s="76"/>
    </row>
    <row r="2977" spans="6:17" hidden="1" outlineLevel="5" collapsed="1" x14ac:dyDescent="0.25">
      <c r="G2977" s="84" t="s">
        <v>1355</v>
      </c>
      <c r="H2977" s="80"/>
      <c r="I2977" s="81"/>
      <c r="J2977" s="83">
        <f>HYPERLINK("#Структура!E2561",Структура!E2561)</f>
        <v>1</v>
      </c>
      <c r="K2977" s="115">
        <f>HYPERLINK("#Структура!G2561",Структура!G2561)</f>
        <v>3.7560000000000003E-2</v>
      </c>
      <c r="L2977" s="81">
        <f>M2977/J2977</f>
        <v>13.5</v>
      </c>
      <c r="M2977" s="81">
        <f>SUMIF(H2978,"*",M2978)*J2977</f>
        <v>13.5</v>
      </c>
      <c r="N2977" s="124">
        <f>HYPERLINK("#Трудозатраты!B644",Трудозатраты!B644+SUMIF(H2978,"*",O2978))</f>
        <v>5.8</v>
      </c>
      <c r="O2977" s="82">
        <f>N2977*J2977</f>
        <v>5.8</v>
      </c>
      <c r="P2977" s="81">
        <f>O2977/60*(1+запас_труд)*стоимость_трудочаса</f>
        <v>227.16666666666666</v>
      </c>
      <c r="Q2977" s="129">
        <f>M2977*(1+наценка_покупное)+P2977</f>
        <v>243.36666666666665</v>
      </c>
    </row>
    <row r="2978" spans="6:17" hidden="1" outlineLevel="6" x14ac:dyDescent="0.25">
      <c r="H2978" s="75" t="s">
        <v>112</v>
      </c>
      <c r="I2978" s="76"/>
      <c r="J2978" s="78">
        <f>HYPERLINK("#Структура!E2594",Структура!E2594)</f>
        <v>4.4999999999999998E-2</v>
      </c>
      <c r="K2978" s="114" t="str">
        <f>HYPERLINK("#Структура!G2594","")</f>
        <v/>
      </c>
      <c r="L2978" s="120">
        <f>HYPERLINK("#Покупные_изделия!D285",Покупные_изделия!D285)</f>
        <v>300</v>
      </c>
      <c r="M2978" s="76">
        <f t="shared" ref="M2978:M2984" si="117">J2978*L2978</f>
        <v>13.5</v>
      </c>
      <c r="N2978" s="77"/>
      <c r="O2978" s="77"/>
      <c r="P2978" s="76"/>
      <c r="Q2978" s="76"/>
    </row>
    <row r="2979" spans="6:17" hidden="1" outlineLevel="5" x14ac:dyDescent="0.25">
      <c r="G2979" s="74" t="s">
        <v>65</v>
      </c>
      <c r="H2979" s="75"/>
      <c r="I2979" s="76"/>
      <c r="J2979" s="78">
        <f>HYPERLINK("#Структура!E2562",Структура!E2562)</f>
        <v>0.2</v>
      </c>
      <c r="K2979" s="114" t="str">
        <f>HYPERLINK("#Структура!G2562","")</f>
        <v/>
      </c>
      <c r="L2979" s="120">
        <f>HYPERLINK("#Покупные_изделия!D197",Покупные_изделия!D197)</f>
        <v>264.50399999999996</v>
      </c>
      <c r="M2979" s="76">
        <f t="shared" si="117"/>
        <v>52.900799999999997</v>
      </c>
      <c r="N2979" s="77"/>
      <c r="O2979" s="77"/>
      <c r="P2979" s="76"/>
      <c r="Q2979" s="76"/>
    </row>
    <row r="2980" spans="6:17" hidden="1" outlineLevel="5" x14ac:dyDescent="0.25">
      <c r="G2980" s="74" t="s">
        <v>67</v>
      </c>
      <c r="H2980" s="75"/>
      <c r="I2980" s="76"/>
      <c r="J2980" s="78">
        <f>HYPERLINK("#Структура!E2563",Структура!E2563)</f>
        <v>0.35599999999999998</v>
      </c>
      <c r="K2980" s="114" t="str">
        <f>HYPERLINK("#Структура!G2563","")</f>
        <v/>
      </c>
      <c r="L2980" s="120">
        <f>HYPERLINK("#Покупные_изделия!D203",Покупные_изделия!D203)</f>
        <v>30.003600000000002</v>
      </c>
      <c r="M2980" s="76">
        <f t="shared" si="117"/>
        <v>10.6812816</v>
      </c>
      <c r="N2980" s="77"/>
      <c r="O2980" s="77"/>
      <c r="P2980" s="76"/>
      <c r="Q2980" s="76"/>
    </row>
    <row r="2981" spans="6:17" hidden="1" outlineLevel="5" x14ac:dyDescent="0.25">
      <c r="G2981" s="74" t="s">
        <v>147</v>
      </c>
      <c r="H2981" s="75"/>
      <c r="I2981" s="76"/>
      <c r="J2981" s="78">
        <f>HYPERLINK("#Структура!E2564",Структура!E2564)</f>
        <v>0.20899999999999999</v>
      </c>
      <c r="K2981" s="114" t="str">
        <f>HYPERLINK("#Структура!G2564","")</f>
        <v/>
      </c>
      <c r="L2981" s="120">
        <f>HYPERLINK("#Покупные_изделия!D407",Покупные_изделия!D407)</f>
        <v>741.24599999999998</v>
      </c>
      <c r="M2981" s="76">
        <f t="shared" si="117"/>
        <v>154.92041399999999</v>
      </c>
      <c r="N2981" s="77"/>
      <c r="O2981" s="77"/>
      <c r="P2981" s="76"/>
      <c r="Q2981" s="76"/>
    </row>
    <row r="2982" spans="6:17" hidden="1" outlineLevel="5" x14ac:dyDescent="0.25">
      <c r="G2982" s="74" t="s">
        <v>155</v>
      </c>
      <c r="H2982" s="75"/>
      <c r="I2982" s="76"/>
      <c r="J2982" s="78">
        <f>HYPERLINK("#Структура!E2565",Структура!E2565)</f>
        <v>0.12</v>
      </c>
      <c r="K2982" s="114" t="str">
        <f>HYPERLINK("#Структура!G2565","")</f>
        <v/>
      </c>
      <c r="L2982" s="120">
        <f>HYPERLINK("#Покупные_изделия!D423",Покупные_изделия!D423)</f>
        <v>218.28</v>
      </c>
      <c r="M2982" s="76">
        <f t="shared" si="117"/>
        <v>26.1936</v>
      </c>
      <c r="N2982" s="77"/>
      <c r="O2982" s="77"/>
      <c r="P2982" s="76"/>
      <c r="Q2982" s="76"/>
    </row>
    <row r="2983" spans="6:17" hidden="1" outlineLevel="5" x14ac:dyDescent="0.25">
      <c r="G2983" s="74" t="s">
        <v>200</v>
      </c>
      <c r="H2983" s="75"/>
      <c r="I2983" s="76"/>
      <c r="J2983" s="78">
        <f>HYPERLINK("#Структура!E2566",Структура!E2566)</f>
        <v>0.17</v>
      </c>
      <c r="K2983" s="114" t="str">
        <f>HYPERLINK("#Структура!G2566","")</f>
        <v/>
      </c>
      <c r="L2983" s="120">
        <f>HYPERLINK("#Покупные_изделия!D518",Покупные_изделия!D518)</f>
        <v>270</v>
      </c>
      <c r="M2983" s="76">
        <f t="shared" si="117"/>
        <v>45.900000000000006</v>
      </c>
      <c r="N2983" s="77"/>
      <c r="O2983" s="77"/>
      <c r="P2983" s="76"/>
      <c r="Q2983" s="76"/>
    </row>
    <row r="2984" spans="6:17" hidden="1" outlineLevel="5" x14ac:dyDescent="0.25">
      <c r="G2984" s="74" t="s">
        <v>215</v>
      </c>
      <c r="H2984" s="75"/>
      <c r="I2984" s="76"/>
      <c r="J2984" s="78">
        <f>HYPERLINK("#Структура!E2567",Структура!E2567)</f>
        <v>0.4</v>
      </c>
      <c r="K2984" s="114" t="str">
        <f>HYPERLINK("#Структура!G2567","")</f>
        <v/>
      </c>
      <c r="L2984" s="120">
        <f>HYPERLINK("#Покупные_изделия!D567",Покупные_изделия!D567)</f>
        <v>405.74399999999997</v>
      </c>
      <c r="M2984" s="76">
        <f t="shared" si="117"/>
        <v>162.29759999999999</v>
      </c>
      <c r="N2984" s="77"/>
      <c r="O2984" s="77"/>
      <c r="P2984" s="76"/>
      <c r="Q2984" s="76"/>
    </row>
    <row r="2985" spans="6:17" hidden="1" outlineLevel="4" collapsed="1" x14ac:dyDescent="0.25">
      <c r="F2985" s="96" t="s">
        <v>1336</v>
      </c>
      <c r="G2985" s="91"/>
      <c r="H2985" s="92"/>
      <c r="I2985" s="93"/>
      <c r="J2985" s="95">
        <f>HYPERLINK("#Структура!E2491",Структура!E2491)</f>
        <v>1</v>
      </c>
      <c r="K2985" s="116">
        <f>HYPERLINK("#Структура!G2491",Структура!G2491)</f>
        <v>4.04915</v>
      </c>
      <c r="L2985" s="93">
        <f>M2985/J2985</f>
        <v>857.53426919999993</v>
      </c>
      <c r="M2985" s="93">
        <f>SUMIF(G2986:G3020,"*",M2986:M3020)*J2985</f>
        <v>857.53426919999993</v>
      </c>
      <c r="N2985" s="125">
        <f>HYPERLINK("#Трудозатраты!B645",Трудозатраты!B645+SUMIF(G2986:G3020,"*",O2986:O3020))</f>
        <v>220.245</v>
      </c>
      <c r="O2985" s="94">
        <f>N2985*J2985</f>
        <v>220.245</v>
      </c>
      <c r="P2985" s="93">
        <f>O2985/60*(1+запас_труд)*стоимость_трудочаса</f>
        <v>8626.2625000000007</v>
      </c>
      <c r="Q2985" s="130">
        <f>M2985*(1+наценка_покупное)+P2985</f>
        <v>9655.3036230400012</v>
      </c>
    </row>
    <row r="2986" spans="6:17" hidden="1" outlineLevel="5" collapsed="1" x14ac:dyDescent="0.25">
      <c r="G2986" s="97" t="s">
        <v>1357</v>
      </c>
      <c r="H2986" s="99"/>
      <c r="I2986" s="100"/>
      <c r="J2986" s="102">
        <f>HYPERLINK("#Структура!E2595",Структура!E2595)</f>
        <v>1</v>
      </c>
      <c r="K2986" s="112">
        <f>HYPERLINK("#Структура!G2595",Структура!G2595)</f>
        <v>1.17445</v>
      </c>
      <c r="L2986" s="100">
        <f>M2986/J2986</f>
        <v>226.24409040000003</v>
      </c>
      <c r="M2986" s="100">
        <f>SUMIF(H2987:H2998,"*",M2987:M2998)*J2986</f>
        <v>226.24409040000003</v>
      </c>
      <c r="N2986" s="122">
        <f>HYPERLINK("#Трудозатраты!B652",Трудозатраты!B652+SUMIF(H2987:H2998,"*",O2987:O2998))</f>
        <v>31.27</v>
      </c>
      <c r="O2986" s="101">
        <f>N2986*J2986</f>
        <v>31.27</v>
      </c>
      <c r="P2986" s="100">
        <f>O2986/60*(1+запас_труд)*стоимость_трудочаса</f>
        <v>1224.7416666666666</v>
      </c>
      <c r="Q2986" s="127">
        <f>M2986*(1+наценка_покупное)+P2986</f>
        <v>1496.2345751466667</v>
      </c>
    </row>
    <row r="2987" spans="6:17" hidden="1" outlineLevel="6" collapsed="1" x14ac:dyDescent="0.25">
      <c r="H2987" s="104" t="s">
        <v>1363</v>
      </c>
      <c r="I2987" s="88"/>
      <c r="J2987" s="90">
        <f>HYPERLINK("#Структура!E2630",Структура!E2630)</f>
        <v>1</v>
      </c>
      <c r="K2987" s="113">
        <f>HYPERLINK("#Структура!G2630",Структура!G2630)</f>
        <v>0.26058999999999999</v>
      </c>
      <c r="L2987" s="88">
        <f>M2987/J2987</f>
        <v>61.68</v>
      </c>
      <c r="M2987" s="88">
        <f>SUMIF(I2988,"*",M2988)*J2987</f>
        <v>61.68</v>
      </c>
      <c r="N2987" s="123">
        <f>HYPERLINK("#Трудозатраты!B653",Трудозатраты!B653+SUMIF(I2988,"*",O2988))</f>
        <v>0.7</v>
      </c>
      <c r="O2987" s="89">
        <f>N2987*J2987</f>
        <v>0.7</v>
      </c>
      <c r="P2987" s="88">
        <f>O2987/60*(1+запас_труд)*стоимость_трудочаса</f>
        <v>27.416666666666664</v>
      </c>
      <c r="Q2987" s="128">
        <f>M2987*(1+наценка_покупное)+P2987</f>
        <v>101.43266666666665</v>
      </c>
    </row>
    <row r="2988" spans="6:17" hidden="1" outlineLevel="7" x14ac:dyDescent="0.25">
      <c r="I2988" s="76" t="s">
        <v>115</v>
      </c>
      <c r="J2988" s="78">
        <f>HYPERLINK("#Структура!E2637",Структура!E2637)</f>
        <v>0.51400000000000001</v>
      </c>
      <c r="K2988" s="114" t="str">
        <f>HYPERLINK("#Структура!G2637","")</f>
        <v/>
      </c>
      <c r="L2988" s="120">
        <f>HYPERLINK("#Покупные_изделия!D289",Покупные_изделия!D289)</f>
        <v>120</v>
      </c>
      <c r="M2988" s="76">
        <f>J2988*L2988</f>
        <v>61.68</v>
      </c>
      <c r="N2988" s="77"/>
      <c r="O2988" s="77"/>
      <c r="P2988" s="76"/>
      <c r="Q2988" s="76"/>
    </row>
    <row r="2989" spans="6:17" hidden="1" outlineLevel="6" collapsed="1" x14ac:dyDescent="0.25">
      <c r="H2989" s="103" t="s">
        <v>1364</v>
      </c>
      <c r="I2989" s="81"/>
      <c r="J2989" s="83">
        <f>HYPERLINK("#Структура!E2631",Структура!E2631)</f>
        <v>1</v>
      </c>
      <c r="K2989" s="115">
        <f>HYPERLINK("#Структура!G2631",Структура!G2631)</f>
        <v>0.34426000000000001</v>
      </c>
      <c r="L2989" s="81">
        <f>M2989/J2989</f>
        <v>80.400000000000006</v>
      </c>
      <c r="M2989" s="81">
        <f>SUMIF(I2990,"*",M2990)*J2989</f>
        <v>80.400000000000006</v>
      </c>
      <c r="N2989" s="124">
        <f>HYPERLINK("#Трудозатраты!B654",Трудозатраты!B654+SUMIF(I2990,"*",O2990))</f>
        <v>0.8</v>
      </c>
      <c r="O2989" s="82">
        <f>N2989*J2989</f>
        <v>0.8</v>
      </c>
      <c r="P2989" s="81">
        <f>O2989/60*(1+запас_труд)*стоимость_трудочаса</f>
        <v>31.333333333333336</v>
      </c>
      <c r="Q2989" s="129">
        <f>M2989*(1+наценка_покупное)+P2989</f>
        <v>127.81333333333333</v>
      </c>
    </row>
    <row r="2990" spans="6:17" hidden="1" outlineLevel="7" x14ac:dyDescent="0.25">
      <c r="I2990" s="76" t="s">
        <v>115</v>
      </c>
      <c r="J2990" s="78">
        <f>HYPERLINK("#Структура!E2638",Структура!E2638)</f>
        <v>0.67</v>
      </c>
      <c r="K2990" s="114" t="str">
        <f>HYPERLINK("#Структура!G2638","")</f>
        <v/>
      </c>
      <c r="L2990" s="120">
        <f>HYPERLINK("#Покупные_изделия!D289",Покупные_изделия!D289)</f>
        <v>120</v>
      </c>
      <c r="M2990" s="76">
        <f>J2990*L2990</f>
        <v>80.400000000000006</v>
      </c>
      <c r="N2990" s="77"/>
      <c r="O2990" s="77"/>
      <c r="P2990" s="76"/>
      <c r="Q2990" s="76"/>
    </row>
    <row r="2991" spans="6:17" hidden="1" outlineLevel="6" collapsed="1" x14ac:dyDescent="0.25">
      <c r="H2991" s="103" t="s">
        <v>1365</v>
      </c>
      <c r="I2991" s="81"/>
      <c r="J2991" s="83">
        <f>HYPERLINK("#Структура!E2632",Структура!E2632)</f>
        <v>2</v>
      </c>
      <c r="K2991" s="115">
        <f>HYPERLINK("#Структура!G2632",Структура!G2632)</f>
        <v>0.14924000000000001</v>
      </c>
      <c r="L2991" s="81">
        <f>M2991/J2991</f>
        <v>21.84</v>
      </c>
      <c r="M2991" s="81">
        <f>SUMIF(I2992,"*",M2992)*J2991</f>
        <v>43.68</v>
      </c>
      <c r="N2991" s="124">
        <f>HYPERLINK("#Трудозатраты!B655",Трудозатраты!B655+SUMIF(I2992,"*",O2992))</f>
        <v>0.5</v>
      </c>
      <c r="O2991" s="82">
        <f>N2991*J2991</f>
        <v>1</v>
      </c>
      <c r="P2991" s="81">
        <f>O2991/60*(1+запас_труд)*стоимость_трудочаса</f>
        <v>39.166666666666664</v>
      </c>
      <c r="Q2991" s="129">
        <f>M2991*(1+наценка_покупное)+P2991</f>
        <v>91.582666666666654</v>
      </c>
    </row>
    <row r="2992" spans="6:17" hidden="1" outlineLevel="7" x14ac:dyDescent="0.25">
      <c r="I2992" s="76" t="s">
        <v>115</v>
      </c>
      <c r="J2992" s="78">
        <f>HYPERLINK("#Структура!E2639",Структура!E2639)</f>
        <v>0.182</v>
      </c>
      <c r="K2992" s="114" t="str">
        <f>HYPERLINK("#Структура!G2639","")</f>
        <v/>
      </c>
      <c r="L2992" s="120">
        <f>HYPERLINK("#Покупные_изделия!D289",Покупные_изделия!D289)</f>
        <v>120</v>
      </c>
      <c r="M2992" s="76">
        <f>J2992*L2992</f>
        <v>21.84</v>
      </c>
      <c r="N2992" s="77"/>
      <c r="O2992" s="77"/>
      <c r="P2992" s="76"/>
      <c r="Q2992" s="76"/>
    </row>
    <row r="2993" spans="7:17" hidden="1" outlineLevel="6" collapsed="1" x14ac:dyDescent="0.25">
      <c r="H2993" s="103" t="s">
        <v>1366</v>
      </c>
      <c r="I2993" s="81"/>
      <c r="J2993" s="83">
        <f>HYPERLINK("#Структура!E2633",Структура!E2633)</f>
        <v>1</v>
      </c>
      <c r="K2993" s="115">
        <f>HYPERLINK("#Структура!G2633",Структура!G2633)</f>
        <v>0.10181999999999999</v>
      </c>
      <c r="L2993" s="81">
        <f>M2993/J2993</f>
        <v>15.600000000000001</v>
      </c>
      <c r="M2993" s="81">
        <f>SUMIF(I2994,"*",M2994)*J2993</f>
        <v>15.600000000000001</v>
      </c>
      <c r="N2993" s="124">
        <f>HYPERLINK("#Трудозатраты!B656",Трудозатраты!B656+SUMIF(I2994,"*",O2994))</f>
        <v>1.1000000000000001</v>
      </c>
      <c r="O2993" s="82">
        <f>N2993*J2993</f>
        <v>1.1000000000000001</v>
      </c>
      <c r="P2993" s="81">
        <f>O2993/60*(1+запас_труд)*стоимость_трудочаса</f>
        <v>43.083333333333336</v>
      </c>
      <c r="Q2993" s="129">
        <f>M2993*(1+наценка_покупное)+P2993</f>
        <v>61.803333333333342</v>
      </c>
    </row>
    <row r="2994" spans="7:17" hidden="1" outlineLevel="7" x14ac:dyDescent="0.25">
      <c r="I2994" s="76" t="s">
        <v>117</v>
      </c>
      <c r="J2994" s="78">
        <f>HYPERLINK("#Структура!E2640",Структура!E2640)</f>
        <v>0.13</v>
      </c>
      <c r="K2994" s="114" t="str">
        <f>HYPERLINK("#Структура!G2640","")</f>
        <v/>
      </c>
      <c r="L2994" s="120">
        <f>HYPERLINK("#Покупные_изделия!D292",Покупные_изделия!D292)</f>
        <v>120</v>
      </c>
      <c r="M2994" s="76">
        <f>J2994*L2994</f>
        <v>15.600000000000001</v>
      </c>
      <c r="N2994" s="77"/>
      <c r="O2994" s="77"/>
      <c r="P2994" s="76"/>
      <c r="Q2994" s="76"/>
    </row>
    <row r="2995" spans="7:17" hidden="1" outlineLevel="6" collapsed="1" x14ac:dyDescent="0.25">
      <c r="H2995" s="103" t="s">
        <v>1367</v>
      </c>
      <c r="I2995" s="81"/>
      <c r="J2995" s="83">
        <f>HYPERLINK("#Структура!E2634",Структура!E2634)</f>
        <v>1</v>
      </c>
      <c r="K2995" s="115">
        <f>HYPERLINK("#Структура!G2634",Структура!G2634)</f>
        <v>0.16932</v>
      </c>
      <c r="L2995" s="81">
        <f>M2995/J2995</f>
        <v>18</v>
      </c>
      <c r="M2995" s="81">
        <f>SUMIF(I2996,"*",M2996)*J2995</f>
        <v>18</v>
      </c>
      <c r="N2995" s="124">
        <f>HYPERLINK("#Трудозатраты!B657",Трудозатраты!B657+SUMIF(I2996,"*",O2996))</f>
        <v>12.67</v>
      </c>
      <c r="O2995" s="82">
        <f>N2995*J2995</f>
        <v>12.67</v>
      </c>
      <c r="P2995" s="81">
        <f>O2995/60*(1+запас_труд)*стоимость_трудочаса</f>
        <v>496.24166666666667</v>
      </c>
      <c r="Q2995" s="129">
        <f>M2995*(1+наценка_покупное)+P2995</f>
        <v>517.8416666666667</v>
      </c>
    </row>
    <row r="2996" spans="7:17" hidden="1" outlineLevel="7" x14ac:dyDescent="0.25">
      <c r="I2996" s="76" t="s">
        <v>75</v>
      </c>
      <c r="J2996" s="78">
        <f>HYPERLINK("#Структура!E2641",Структура!E2641)</f>
        <v>0.18</v>
      </c>
      <c r="K2996" s="114" t="str">
        <f>HYPERLINK("#Структура!G2641","")</f>
        <v/>
      </c>
      <c r="L2996" s="120">
        <f>HYPERLINK("#Покупные_изделия!D244",Покупные_изделия!D244)</f>
        <v>100</v>
      </c>
      <c r="M2996" s="76">
        <f>J2996*L2996</f>
        <v>18</v>
      </c>
      <c r="N2996" s="77"/>
      <c r="O2996" s="77"/>
      <c r="P2996" s="76"/>
      <c r="Q2996" s="76"/>
    </row>
    <row r="2997" spans="7:17" hidden="1" outlineLevel="6" x14ac:dyDescent="0.25">
      <c r="H2997" s="75" t="s">
        <v>67</v>
      </c>
      <c r="I2997" s="76"/>
      <c r="J2997" s="78">
        <f>HYPERLINK("#Структура!E2635",Структура!E2635)</f>
        <v>7.3999999999999996E-2</v>
      </c>
      <c r="K2997" s="114" t="str">
        <f>HYPERLINK("#Структура!G2635","")</f>
        <v/>
      </c>
      <c r="L2997" s="120">
        <f>HYPERLINK("#Покупные_изделия!D203",Покупные_изделия!D203)</f>
        <v>30.003600000000002</v>
      </c>
      <c r="M2997" s="76">
        <f>J2997*L2997</f>
        <v>2.2202663999999999</v>
      </c>
      <c r="N2997" s="77"/>
      <c r="O2997" s="77"/>
      <c r="P2997" s="76"/>
      <c r="Q2997" s="76"/>
    </row>
    <row r="2998" spans="7:17" hidden="1" outlineLevel="6" x14ac:dyDescent="0.25">
      <c r="H2998" s="75" t="s">
        <v>146</v>
      </c>
      <c r="I2998" s="76"/>
      <c r="J2998" s="78">
        <f>HYPERLINK("#Структура!E2636",Структура!E2636)</f>
        <v>4.3999999999999997E-2</v>
      </c>
      <c r="K2998" s="114" t="str">
        <f>HYPERLINK("#Структура!G2636","")</f>
        <v/>
      </c>
      <c r="L2998" s="120">
        <f>HYPERLINK("#Покупные_изделия!D406",Покупные_изделия!D406)</f>
        <v>105.996</v>
      </c>
      <c r="M2998" s="76">
        <f>J2998*L2998</f>
        <v>4.6638239999999991</v>
      </c>
      <c r="N2998" s="77"/>
      <c r="O2998" s="77"/>
      <c r="P2998" s="76"/>
      <c r="Q2998" s="76"/>
    </row>
    <row r="2999" spans="7:17" hidden="1" outlineLevel="5" collapsed="1" x14ac:dyDescent="0.25">
      <c r="G2999" s="84" t="s">
        <v>1358</v>
      </c>
      <c r="H2999" s="80"/>
      <c r="I2999" s="81"/>
      <c r="J2999" s="83">
        <f>HYPERLINK("#Структура!E2596",Структура!E2596)</f>
        <v>1</v>
      </c>
      <c r="K2999" s="115">
        <f>HYPERLINK("#Структура!G2596",Структура!G2596)</f>
        <v>1.1667000000000001</v>
      </c>
      <c r="L2999" s="81">
        <f>M2999/J2999</f>
        <v>238.18208759999999</v>
      </c>
      <c r="M2999" s="81">
        <f>SUMIF(H3000:H3002,"*",M3000:M3002)*J2999</f>
        <v>238.18208759999999</v>
      </c>
      <c r="N2999" s="124">
        <f>HYPERLINK("#Трудозатраты!B647",Трудозатраты!B647+SUMIF(H3000:H3002,"*",O3000:O3002))</f>
        <v>19.25</v>
      </c>
      <c r="O2999" s="82">
        <f>N2999*J2999</f>
        <v>19.25</v>
      </c>
      <c r="P2999" s="81">
        <f>O2999/60*(1+запас_труд)*стоимость_трудочаса</f>
        <v>753.95833333333337</v>
      </c>
      <c r="Q2999" s="129">
        <f>M2999*(1+наценка_покупное)+P2999</f>
        <v>1039.7768384533333</v>
      </c>
    </row>
    <row r="3000" spans="7:17" hidden="1" outlineLevel="6" x14ac:dyDescent="0.25">
      <c r="H3000" s="75" t="s">
        <v>67</v>
      </c>
      <c r="I3000" s="76"/>
      <c r="J3000" s="78">
        <f>HYPERLINK("#Структура!E2619",Структура!E2619)</f>
        <v>7.0999999999999994E-2</v>
      </c>
      <c r="K3000" s="114" t="str">
        <f>HYPERLINK("#Структура!G2619","")</f>
        <v/>
      </c>
      <c r="L3000" s="120">
        <f>HYPERLINK("#Покупные_изделия!D203",Покупные_изделия!D203)</f>
        <v>30.003600000000002</v>
      </c>
      <c r="M3000" s="76">
        <f>J3000*L3000</f>
        <v>2.1302555999999999</v>
      </c>
      <c r="N3000" s="77"/>
      <c r="O3000" s="77"/>
      <c r="P3000" s="76"/>
      <c r="Q3000" s="76"/>
    </row>
    <row r="3001" spans="7:17" hidden="1" outlineLevel="6" x14ac:dyDescent="0.25">
      <c r="H3001" s="75" t="s">
        <v>109</v>
      </c>
      <c r="I3001" s="76"/>
      <c r="J3001" s="78">
        <f>HYPERLINK("#Структура!E2620",Структура!E2620)</f>
        <v>1.93</v>
      </c>
      <c r="K3001" s="114" t="str">
        <f>HYPERLINK("#Структура!G2620","")</f>
        <v/>
      </c>
      <c r="L3001" s="120">
        <f>HYPERLINK("#Покупные_изделия!D281",Покупные_изделия!D281)</f>
        <v>120</v>
      </c>
      <c r="M3001" s="76">
        <f>J3001*L3001</f>
        <v>231.6</v>
      </c>
      <c r="N3001" s="77"/>
      <c r="O3001" s="77"/>
      <c r="P3001" s="76"/>
      <c r="Q3001" s="76"/>
    </row>
    <row r="3002" spans="7:17" hidden="1" outlineLevel="6" x14ac:dyDescent="0.25">
      <c r="H3002" s="75" t="s">
        <v>146</v>
      </c>
      <c r="I3002" s="76"/>
      <c r="J3002" s="78">
        <f>HYPERLINK("#Структура!E2621",Структура!E2621)</f>
        <v>4.2000000000000003E-2</v>
      </c>
      <c r="K3002" s="114" t="str">
        <f>HYPERLINK("#Структура!G2621","")</f>
        <v/>
      </c>
      <c r="L3002" s="120">
        <f>HYPERLINK("#Покупные_изделия!D406",Покупные_изделия!D406)</f>
        <v>105.996</v>
      </c>
      <c r="M3002" s="76">
        <f>J3002*L3002</f>
        <v>4.4518320000000005</v>
      </c>
      <c r="N3002" s="77"/>
      <c r="O3002" s="77"/>
      <c r="P3002" s="76"/>
      <c r="Q3002" s="76"/>
    </row>
    <row r="3003" spans="7:17" hidden="1" outlineLevel="5" collapsed="1" x14ac:dyDescent="0.25">
      <c r="G3003" s="84" t="s">
        <v>1359</v>
      </c>
      <c r="H3003" s="80"/>
      <c r="I3003" s="81"/>
      <c r="J3003" s="83">
        <f>HYPERLINK("#Структура!E2597",Структура!E2597)</f>
        <v>1</v>
      </c>
      <c r="K3003" s="115">
        <f>HYPERLINK("#Структура!G2597",Структура!G2597)</f>
        <v>0.57042999999999999</v>
      </c>
      <c r="L3003" s="81">
        <f>M3003/J3003</f>
        <v>85.102015200000011</v>
      </c>
      <c r="M3003" s="81">
        <f>SUMIF(H3004:H3006,"*",M3004:M3006)*J3003</f>
        <v>85.102015200000011</v>
      </c>
      <c r="N3003" s="124">
        <f>HYPERLINK("#Трудозатраты!B648",Трудозатраты!B648+SUMIF(H3004:H3006,"*",O3004:O3006))</f>
        <v>46.1</v>
      </c>
      <c r="O3003" s="82">
        <f>N3003*J3003</f>
        <v>46.1</v>
      </c>
      <c r="P3003" s="81">
        <f>O3003/60*(1+запас_труд)*стоимость_трудочаса</f>
        <v>1805.5833333333333</v>
      </c>
      <c r="Q3003" s="129">
        <f>M3003*(1+наценка_покупное)+P3003</f>
        <v>1907.7057515733334</v>
      </c>
    </row>
    <row r="3004" spans="7:17" hidden="1" outlineLevel="6" x14ac:dyDescent="0.25">
      <c r="H3004" s="75" t="s">
        <v>67</v>
      </c>
      <c r="I3004" s="76"/>
      <c r="J3004" s="78">
        <f>HYPERLINK("#Структура!E2622",Структура!E2622)</f>
        <v>1.2E-2</v>
      </c>
      <c r="K3004" s="114" t="str">
        <f>HYPERLINK("#Структура!G2622","")</f>
        <v/>
      </c>
      <c r="L3004" s="120">
        <f>HYPERLINK("#Покупные_изделия!D203",Покупные_изделия!D203)</f>
        <v>30.003600000000002</v>
      </c>
      <c r="M3004" s="76">
        <f>J3004*L3004</f>
        <v>0.36004320000000001</v>
      </c>
      <c r="N3004" s="77"/>
      <c r="O3004" s="77"/>
      <c r="P3004" s="76"/>
      <c r="Q3004" s="76"/>
    </row>
    <row r="3005" spans="7:17" hidden="1" outlineLevel="6" x14ac:dyDescent="0.25">
      <c r="H3005" s="75" t="s">
        <v>116</v>
      </c>
      <c r="I3005" s="76"/>
      <c r="J3005" s="78">
        <f>HYPERLINK("#Структура!E2623",Структура!E2623)</f>
        <v>0.7</v>
      </c>
      <c r="K3005" s="114" t="str">
        <f>HYPERLINK("#Структура!G2623","")</f>
        <v/>
      </c>
      <c r="L3005" s="120">
        <f>HYPERLINK("#Покупные_изделия!D291",Покупные_изделия!D291)</f>
        <v>120</v>
      </c>
      <c r="M3005" s="76">
        <f>J3005*L3005</f>
        <v>84</v>
      </c>
      <c r="N3005" s="77"/>
      <c r="O3005" s="77"/>
      <c r="P3005" s="76"/>
      <c r="Q3005" s="76"/>
    </row>
    <row r="3006" spans="7:17" hidden="1" outlineLevel="6" x14ac:dyDescent="0.25">
      <c r="H3006" s="75" t="s">
        <v>146</v>
      </c>
      <c r="I3006" s="76"/>
      <c r="J3006" s="78">
        <f>HYPERLINK("#Структура!E2624",Структура!E2624)</f>
        <v>7.0000000000000001E-3</v>
      </c>
      <c r="K3006" s="114" t="str">
        <f>HYPERLINK("#Структура!G2624","")</f>
        <v/>
      </c>
      <c r="L3006" s="120">
        <f>HYPERLINK("#Покупные_изделия!D406",Покупные_изделия!D406)</f>
        <v>105.996</v>
      </c>
      <c r="M3006" s="76">
        <f>J3006*L3006</f>
        <v>0.74197199999999996</v>
      </c>
      <c r="N3006" s="77"/>
      <c r="O3006" s="77"/>
      <c r="P3006" s="76"/>
      <c r="Q3006" s="76"/>
    </row>
    <row r="3007" spans="7:17" hidden="1" outlineLevel="5" collapsed="1" x14ac:dyDescent="0.25">
      <c r="G3007" s="84" t="s">
        <v>1360</v>
      </c>
      <c r="H3007" s="80"/>
      <c r="I3007" s="81"/>
      <c r="J3007" s="83">
        <f>HYPERLINK("#Структура!E2598",Структура!E2598)</f>
        <v>1</v>
      </c>
      <c r="K3007" s="115">
        <f>HYPERLINK("#Структура!G2598",Структура!G2598)</f>
        <v>0.30038999999999999</v>
      </c>
      <c r="L3007" s="81">
        <f>M3007/J3007</f>
        <v>54</v>
      </c>
      <c r="M3007" s="81">
        <f>SUMIF(H3008,"*",M3008)*J3007</f>
        <v>54</v>
      </c>
      <c r="N3007" s="124">
        <f>HYPERLINK("#Трудозатраты!B649",Трудозатраты!B649+SUMIF(H3008,"*",O3008))</f>
        <v>30.9</v>
      </c>
      <c r="O3007" s="82">
        <f>N3007*J3007</f>
        <v>30.9</v>
      </c>
      <c r="P3007" s="81">
        <f>O3007/60*(1+запас_труд)*стоимость_трудочаса</f>
        <v>1210.25</v>
      </c>
      <c r="Q3007" s="129">
        <f>M3007*(1+наценка_покупное)+P3007</f>
        <v>1275.05</v>
      </c>
    </row>
    <row r="3008" spans="7:17" hidden="1" outlineLevel="6" x14ac:dyDescent="0.25">
      <c r="H3008" s="75" t="s">
        <v>113</v>
      </c>
      <c r="I3008" s="76"/>
      <c r="J3008" s="78">
        <f>HYPERLINK("#Структура!E2625",Структура!E2625)</f>
        <v>0.45</v>
      </c>
      <c r="K3008" s="114" t="str">
        <f>HYPERLINK("#Структура!G2625","")</f>
        <v/>
      </c>
      <c r="L3008" s="120">
        <f>HYPERLINK("#Покупные_изделия!D286",Покупные_изделия!D286)</f>
        <v>120</v>
      </c>
      <c r="M3008" s="76">
        <f>J3008*L3008</f>
        <v>54</v>
      </c>
      <c r="N3008" s="77"/>
      <c r="O3008" s="77"/>
      <c r="P3008" s="76"/>
      <c r="Q3008" s="76"/>
    </row>
    <row r="3009" spans="6:17" hidden="1" outlineLevel="5" collapsed="1" x14ac:dyDescent="0.25">
      <c r="G3009" s="84" t="s">
        <v>1361</v>
      </c>
      <c r="H3009" s="80"/>
      <c r="I3009" s="81"/>
      <c r="J3009" s="83">
        <f>HYPERLINK("#Структура!E2599",Структура!E2599)</f>
        <v>1</v>
      </c>
      <c r="K3009" s="115">
        <f>HYPERLINK("#Структура!G2599",Структура!G2599)</f>
        <v>0.68423999999999996</v>
      </c>
      <c r="L3009" s="81">
        <f>M3009/J3009</f>
        <v>96</v>
      </c>
      <c r="M3009" s="81">
        <f>SUMIF(H3010,"*",M3010)*J3009</f>
        <v>96</v>
      </c>
      <c r="N3009" s="124">
        <f>HYPERLINK("#Трудозатраты!B650",Трудозатраты!B650+SUMIF(H3010,"*",O3010))</f>
        <v>33</v>
      </c>
      <c r="O3009" s="82">
        <f>N3009*J3009</f>
        <v>33</v>
      </c>
      <c r="P3009" s="81">
        <f>O3009/60*(1+запас_труд)*стоимость_трудочаса</f>
        <v>1292.5</v>
      </c>
      <c r="Q3009" s="129">
        <f>M3009*(1+наценка_покупное)+P3009</f>
        <v>1407.7</v>
      </c>
    </row>
    <row r="3010" spans="6:17" hidden="1" outlineLevel="6" x14ac:dyDescent="0.25">
      <c r="H3010" s="75" t="s">
        <v>183</v>
      </c>
      <c r="I3010" s="76"/>
      <c r="J3010" s="78">
        <f>HYPERLINK("#Структура!E2626",Структура!E2626)</f>
        <v>0.8</v>
      </c>
      <c r="K3010" s="114" t="str">
        <f>HYPERLINK("#Структура!G2626","")</f>
        <v/>
      </c>
      <c r="L3010" s="120">
        <f>HYPERLINK("#Покупные_изделия!D494",Покупные_изделия!D494)</f>
        <v>120</v>
      </c>
      <c r="M3010" s="76">
        <f>J3010*L3010</f>
        <v>96</v>
      </c>
      <c r="N3010" s="77"/>
      <c r="O3010" s="77"/>
      <c r="P3010" s="76"/>
      <c r="Q3010" s="76"/>
    </row>
    <row r="3011" spans="6:17" hidden="1" outlineLevel="5" collapsed="1" x14ac:dyDescent="0.25">
      <c r="G3011" s="84" t="s">
        <v>1362</v>
      </c>
      <c r="H3011" s="80"/>
      <c r="I3011" s="81"/>
      <c r="J3011" s="83">
        <f>HYPERLINK("#Структура!E2600",Структура!E2600)</f>
        <v>1</v>
      </c>
      <c r="K3011" s="115">
        <f>HYPERLINK("#Структура!G2600",Структура!G2600)</f>
        <v>8.3070000000000005E-2</v>
      </c>
      <c r="L3011" s="81">
        <f>M3011/J3011</f>
        <v>33.634009199999994</v>
      </c>
      <c r="M3011" s="81">
        <f>SUMIF(H3012:H3014,"*",M3012:M3014)*J3011</f>
        <v>33.634009199999994</v>
      </c>
      <c r="N3011" s="124">
        <f>HYPERLINK("#Трудозатраты!B651",Трудозатраты!B651+SUMIF(H3012:H3014,"*",O3012:O3014))</f>
        <v>13.225000000000001</v>
      </c>
      <c r="O3011" s="82">
        <f>N3011*J3011</f>
        <v>13.225000000000001</v>
      </c>
      <c r="P3011" s="81">
        <f>O3011/60*(1+запас_труд)*стоимость_трудочаса</f>
        <v>517.97916666666674</v>
      </c>
      <c r="Q3011" s="129">
        <f>M3011*(1+наценка_покупное)+P3011</f>
        <v>558.33997770666679</v>
      </c>
    </row>
    <row r="3012" spans="6:17" hidden="1" outlineLevel="6" x14ac:dyDescent="0.25">
      <c r="H3012" s="75" t="s">
        <v>67</v>
      </c>
      <c r="I3012" s="76"/>
      <c r="J3012" s="78">
        <f>HYPERLINK("#Структура!E2627",Структура!E2627)</f>
        <v>7.0000000000000001E-3</v>
      </c>
      <c r="K3012" s="114" t="str">
        <f>HYPERLINK("#Структура!G2627","")</f>
        <v/>
      </c>
      <c r="L3012" s="120">
        <f>HYPERLINK("#Покупные_изделия!D203",Покупные_изделия!D203)</f>
        <v>30.003600000000002</v>
      </c>
      <c r="M3012" s="76">
        <f t="shared" ref="M3012:M3020" si="118">J3012*L3012</f>
        <v>0.21002520000000002</v>
      </c>
      <c r="N3012" s="77"/>
      <c r="O3012" s="77"/>
      <c r="P3012" s="76"/>
      <c r="Q3012" s="76"/>
    </row>
    <row r="3013" spans="6:17" hidden="1" outlineLevel="6" x14ac:dyDescent="0.25">
      <c r="H3013" s="75" t="s">
        <v>108</v>
      </c>
      <c r="I3013" s="76"/>
      <c r="J3013" s="78">
        <f>HYPERLINK("#Структура!E2628",Структура!E2628)</f>
        <v>0.11</v>
      </c>
      <c r="K3013" s="114" t="str">
        <f>HYPERLINK("#Структура!G2628","")</f>
        <v/>
      </c>
      <c r="L3013" s="120">
        <f>HYPERLINK("#Покупные_изделия!D280",Покупные_изделия!D280)</f>
        <v>300</v>
      </c>
      <c r="M3013" s="76">
        <f t="shared" si="118"/>
        <v>33</v>
      </c>
      <c r="N3013" s="77"/>
      <c r="O3013" s="77"/>
      <c r="P3013" s="76"/>
      <c r="Q3013" s="76"/>
    </row>
    <row r="3014" spans="6:17" hidden="1" outlineLevel="6" x14ac:dyDescent="0.25">
      <c r="H3014" s="75" t="s">
        <v>146</v>
      </c>
      <c r="I3014" s="76"/>
      <c r="J3014" s="78">
        <f>HYPERLINK("#Структура!E2629",Структура!E2629)</f>
        <v>4.0000000000000001E-3</v>
      </c>
      <c r="K3014" s="114" t="str">
        <f>HYPERLINK("#Структура!G2629","")</f>
        <v/>
      </c>
      <c r="L3014" s="120">
        <f>HYPERLINK("#Покупные_изделия!D406",Покупные_изделия!D406)</f>
        <v>105.996</v>
      </c>
      <c r="M3014" s="76">
        <f t="shared" si="118"/>
        <v>0.42398399999999997</v>
      </c>
      <c r="N3014" s="77"/>
      <c r="O3014" s="77"/>
      <c r="P3014" s="76"/>
      <c r="Q3014" s="76"/>
    </row>
    <row r="3015" spans="6:17" hidden="1" outlineLevel="5" x14ac:dyDescent="0.25">
      <c r="G3015" s="74" t="s">
        <v>65</v>
      </c>
      <c r="H3015" s="75"/>
      <c r="I3015" s="76"/>
      <c r="J3015" s="78">
        <f>HYPERLINK("#Структура!E2601",Структура!E2601)</f>
        <v>0.06</v>
      </c>
      <c r="K3015" s="114" t="str">
        <f>HYPERLINK("#Структура!G2601","")</f>
        <v/>
      </c>
      <c r="L3015" s="120">
        <f>HYPERLINK("#Покупные_изделия!D197",Покупные_изделия!D197)</f>
        <v>264.50399999999996</v>
      </c>
      <c r="M3015" s="76">
        <f t="shared" si="118"/>
        <v>15.870239999999997</v>
      </c>
      <c r="N3015" s="77"/>
      <c r="O3015" s="77"/>
      <c r="P3015" s="76"/>
      <c r="Q3015" s="76"/>
    </row>
    <row r="3016" spans="6:17" hidden="1" outlineLevel="5" x14ac:dyDescent="0.25">
      <c r="G3016" s="74" t="s">
        <v>67</v>
      </c>
      <c r="H3016" s="75"/>
      <c r="I3016" s="76"/>
      <c r="J3016" s="78">
        <f>HYPERLINK("#Структура!E2602",Структура!E2602)</f>
        <v>0.373</v>
      </c>
      <c r="K3016" s="114" t="str">
        <f>HYPERLINK("#Структура!G2602","")</f>
        <v/>
      </c>
      <c r="L3016" s="120">
        <f>HYPERLINK("#Покупные_изделия!D203",Покупные_изделия!D203)</f>
        <v>30.003600000000002</v>
      </c>
      <c r="M3016" s="76">
        <f t="shared" si="118"/>
        <v>11.191342800000001</v>
      </c>
      <c r="N3016" s="77"/>
      <c r="O3016" s="77"/>
      <c r="P3016" s="76"/>
      <c r="Q3016" s="76"/>
    </row>
    <row r="3017" spans="6:17" hidden="1" outlineLevel="5" x14ac:dyDescent="0.25">
      <c r="G3017" s="74" t="s">
        <v>146</v>
      </c>
      <c r="H3017" s="75"/>
      <c r="I3017" s="76"/>
      <c r="J3017" s="78">
        <f>HYPERLINK("#Структура!E2603",Структура!E2603)</f>
        <v>0.219</v>
      </c>
      <c r="K3017" s="114" t="str">
        <f>HYPERLINK("#Структура!G2603","")</f>
        <v/>
      </c>
      <c r="L3017" s="120">
        <f>HYPERLINK("#Покупные_изделия!D406",Покупные_изделия!D406)</f>
        <v>105.996</v>
      </c>
      <c r="M3017" s="76">
        <f t="shared" si="118"/>
        <v>23.213124000000001</v>
      </c>
      <c r="N3017" s="77"/>
      <c r="O3017" s="77"/>
      <c r="P3017" s="76"/>
      <c r="Q3017" s="76"/>
    </row>
    <row r="3018" spans="6:17" hidden="1" outlineLevel="5" x14ac:dyDescent="0.25">
      <c r="G3018" s="74" t="s">
        <v>155</v>
      </c>
      <c r="H3018" s="75"/>
      <c r="I3018" s="76"/>
      <c r="J3018" s="78">
        <f>HYPERLINK("#Структура!E2604",Структура!E2604)</f>
        <v>3.5999999999999997E-2</v>
      </c>
      <c r="K3018" s="114" t="str">
        <f>HYPERLINK("#Структура!G2604","")</f>
        <v/>
      </c>
      <c r="L3018" s="120">
        <f>HYPERLINK("#Покупные_изделия!D423",Покупные_изделия!D423)</f>
        <v>218.28</v>
      </c>
      <c r="M3018" s="76">
        <f t="shared" si="118"/>
        <v>7.8580799999999993</v>
      </c>
      <c r="N3018" s="77"/>
      <c r="O3018" s="77"/>
      <c r="P3018" s="76"/>
      <c r="Q3018" s="76"/>
    </row>
    <row r="3019" spans="6:17" hidden="1" outlineLevel="5" x14ac:dyDescent="0.25">
      <c r="G3019" s="74" t="s">
        <v>200</v>
      </c>
      <c r="H3019" s="75"/>
      <c r="I3019" s="76"/>
      <c r="J3019" s="78">
        <f>HYPERLINK("#Структура!E2605",Структура!E2605)</f>
        <v>6.5000000000000002E-2</v>
      </c>
      <c r="K3019" s="114" t="str">
        <f>HYPERLINK("#Структура!G2605","")</f>
        <v/>
      </c>
      <c r="L3019" s="120">
        <f>HYPERLINK("#Покупные_изделия!D518",Покупные_изделия!D518)</f>
        <v>270</v>
      </c>
      <c r="M3019" s="76">
        <f t="shared" si="118"/>
        <v>17.55</v>
      </c>
      <c r="N3019" s="77"/>
      <c r="O3019" s="77"/>
      <c r="P3019" s="76"/>
      <c r="Q3019" s="76"/>
    </row>
    <row r="3020" spans="6:17" hidden="1" outlineLevel="5" x14ac:dyDescent="0.25">
      <c r="G3020" s="74" t="s">
        <v>215</v>
      </c>
      <c r="H3020" s="75"/>
      <c r="I3020" s="76"/>
      <c r="J3020" s="78">
        <f>HYPERLINK("#Структура!E2606",Структура!E2606)</f>
        <v>0.12</v>
      </c>
      <c r="K3020" s="114" t="str">
        <f>HYPERLINK("#Структура!G2606","")</f>
        <v/>
      </c>
      <c r="L3020" s="120">
        <f>HYPERLINK("#Покупные_изделия!D567",Покупные_изделия!D567)</f>
        <v>405.74399999999997</v>
      </c>
      <c r="M3020" s="76">
        <f t="shared" si="118"/>
        <v>48.689279999999997</v>
      </c>
      <c r="N3020" s="77"/>
      <c r="O3020" s="77"/>
      <c r="P3020" s="76"/>
      <c r="Q3020" s="76"/>
    </row>
    <row r="3021" spans="6:17" hidden="1" outlineLevel="4" collapsed="1" x14ac:dyDescent="0.25">
      <c r="F3021" s="96" t="s">
        <v>1337</v>
      </c>
      <c r="G3021" s="91"/>
      <c r="H3021" s="92"/>
      <c r="I3021" s="93"/>
      <c r="J3021" s="95">
        <f>HYPERLINK("#Структура!E2492",Структура!E2492)</f>
        <v>1</v>
      </c>
      <c r="K3021" s="116">
        <f>HYPERLINK("#Структура!G2492",Структура!G2492)</f>
        <v>4.04915</v>
      </c>
      <c r="L3021" s="93">
        <f>M3021/J3021</f>
        <v>836.96619959999998</v>
      </c>
      <c r="M3021" s="93">
        <f>SUMIF(G3022:G3056,"*",M3022:M3056)*J3021</f>
        <v>836.96619959999998</v>
      </c>
      <c r="N3021" s="125">
        <f>HYPERLINK("#Трудозатраты!B646",Трудозатраты!B646+SUMIF(G3022:G3056,"*",O3022:O3056))</f>
        <v>229.44499999999999</v>
      </c>
      <c r="O3021" s="94">
        <f>N3021*J3021</f>
        <v>229.44499999999999</v>
      </c>
      <c r="P3021" s="93">
        <f>O3021/60*(1+запас_труд)*стоимость_трудочаса</f>
        <v>8986.5958333333328</v>
      </c>
      <c r="Q3021" s="130">
        <f>M3021*(1+наценка_покупное)+P3021</f>
        <v>9990.9552728533326</v>
      </c>
    </row>
    <row r="3022" spans="6:17" hidden="1" outlineLevel="5" collapsed="1" x14ac:dyDescent="0.25">
      <c r="G3022" s="97" t="s">
        <v>1357</v>
      </c>
      <c r="H3022" s="99"/>
      <c r="I3022" s="100"/>
      <c r="J3022" s="102">
        <f>HYPERLINK("#Структура!E2607",Структура!E2607)</f>
        <v>1</v>
      </c>
      <c r="K3022" s="112">
        <f>HYPERLINK("#Структура!G2607",Структура!G2607)</f>
        <v>1.17445</v>
      </c>
      <c r="L3022" s="100">
        <f>M3022/J3022</f>
        <v>226.24409040000003</v>
      </c>
      <c r="M3022" s="100">
        <f>SUMIF(H3023:H3034,"*",M3023:M3034)*J3022</f>
        <v>226.24409040000003</v>
      </c>
      <c r="N3022" s="122">
        <f>HYPERLINK("#Трудозатраты!B652",Трудозатраты!B652+SUMIF(H3023:H3034,"*",O3023:O3034))</f>
        <v>31.27</v>
      </c>
      <c r="O3022" s="101">
        <f>N3022*J3022</f>
        <v>31.27</v>
      </c>
      <c r="P3022" s="100">
        <f>O3022/60*(1+запас_труд)*стоимость_трудочаса</f>
        <v>1224.7416666666666</v>
      </c>
      <c r="Q3022" s="127">
        <f>M3022*(1+наценка_покупное)+P3022</f>
        <v>1496.2345751466667</v>
      </c>
    </row>
    <row r="3023" spans="6:17" hidden="1" outlineLevel="6" collapsed="1" x14ac:dyDescent="0.25">
      <c r="H3023" s="104" t="s">
        <v>1363</v>
      </c>
      <c r="I3023" s="88"/>
      <c r="J3023" s="90">
        <f>HYPERLINK("#Структура!E2630",Структура!E2630)</f>
        <v>1</v>
      </c>
      <c r="K3023" s="113">
        <f>HYPERLINK("#Структура!G2630",Структура!G2630)</f>
        <v>0.26058999999999999</v>
      </c>
      <c r="L3023" s="88">
        <f>M3023/J3023</f>
        <v>61.68</v>
      </c>
      <c r="M3023" s="88">
        <f>SUMIF(I3024,"*",M3024)*J3023</f>
        <v>61.68</v>
      </c>
      <c r="N3023" s="123">
        <f>HYPERLINK("#Трудозатраты!B653",Трудозатраты!B653+SUMIF(I3024,"*",O3024))</f>
        <v>0.7</v>
      </c>
      <c r="O3023" s="89">
        <f>N3023*J3023</f>
        <v>0.7</v>
      </c>
      <c r="P3023" s="88">
        <f>O3023/60*(1+запас_труд)*стоимость_трудочаса</f>
        <v>27.416666666666664</v>
      </c>
      <c r="Q3023" s="128">
        <f>M3023*(1+наценка_покупное)+P3023</f>
        <v>101.43266666666665</v>
      </c>
    </row>
    <row r="3024" spans="6:17" hidden="1" outlineLevel="7" x14ac:dyDescent="0.25">
      <c r="I3024" s="76" t="s">
        <v>115</v>
      </c>
      <c r="J3024" s="78">
        <f>HYPERLINK("#Структура!E2637",Структура!E2637)</f>
        <v>0.51400000000000001</v>
      </c>
      <c r="K3024" s="114" t="str">
        <f>HYPERLINK("#Структура!G2637","")</f>
        <v/>
      </c>
      <c r="L3024" s="120">
        <f>HYPERLINK("#Покупные_изделия!D289",Покупные_изделия!D289)</f>
        <v>120</v>
      </c>
      <c r="M3024" s="76">
        <f>J3024*L3024</f>
        <v>61.68</v>
      </c>
      <c r="N3024" s="77"/>
      <c r="O3024" s="77"/>
      <c r="P3024" s="76"/>
      <c r="Q3024" s="76"/>
    </row>
    <row r="3025" spans="7:17" hidden="1" outlineLevel="6" collapsed="1" x14ac:dyDescent="0.25">
      <c r="H3025" s="103" t="s">
        <v>1364</v>
      </c>
      <c r="I3025" s="81"/>
      <c r="J3025" s="83">
        <f>HYPERLINK("#Структура!E2631",Структура!E2631)</f>
        <v>1</v>
      </c>
      <c r="K3025" s="115">
        <f>HYPERLINK("#Структура!G2631",Структура!G2631)</f>
        <v>0.34426000000000001</v>
      </c>
      <c r="L3025" s="81">
        <f>M3025/J3025</f>
        <v>80.400000000000006</v>
      </c>
      <c r="M3025" s="81">
        <f>SUMIF(I3026,"*",M3026)*J3025</f>
        <v>80.400000000000006</v>
      </c>
      <c r="N3025" s="124">
        <f>HYPERLINK("#Трудозатраты!B654",Трудозатраты!B654+SUMIF(I3026,"*",O3026))</f>
        <v>0.8</v>
      </c>
      <c r="O3025" s="82">
        <f>N3025*J3025</f>
        <v>0.8</v>
      </c>
      <c r="P3025" s="81">
        <f>O3025/60*(1+запас_труд)*стоимость_трудочаса</f>
        <v>31.333333333333336</v>
      </c>
      <c r="Q3025" s="129">
        <f>M3025*(1+наценка_покупное)+P3025</f>
        <v>127.81333333333333</v>
      </c>
    </row>
    <row r="3026" spans="7:17" hidden="1" outlineLevel="7" x14ac:dyDescent="0.25">
      <c r="I3026" s="76" t="s">
        <v>115</v>
      </c>
      <c r="J3026" s="78">
        <f>HYPERLINK("#Структура!E2638",Структура!E2638)</f>
        <v>0.67</v>
      </c>
      <c r="K3026" s="114" t="str">
        <f>HYPERLINK("#Структура!G2638","")</f>
        <v/>
      </c>
      <c r="L3026" s="120">
        <f>HYPERLINK("#Покупные_изделия!D289",Покупные_изделия!D289)</f>
        <v>120</v>
      </c>
      <c r="M3026" s="76">
        <f>J3026*L3026</f>
        <v>80.400000000000006</v>
      </c>
      <c r="N3026" s="77"/>
      <c r="O3026" s="77"/>
      <c r="P3026" s="76"/>
      <c r="Q3026" s="76"/>
    </row>
    <row r="3027" spans="7:17" hidden="1" outlineLevel="6" collapsed="1" x14ac:dyDescent="0.25">
      <c r="H3027" s="103" t="s">
        <v>1365</v>
      </c>
      <c r="I3027" s="81"/>
      <c r="J3027" s="83">
        <f>HYPERLINK("#Структура!E2632",Структура!E2632)</f>
        <v>2</v>
      </c>
      <c r="K3027" s="115">
        <f>HYPERLINK("#Структура!G2632",Структура!G2632)</f>
        <v>0.14924000000000001</v>
      </c>
      <c r="L3027" s="81">
        <f>M3027/J3027</f>
        <v>21.84</v>
      </c>
      <c r="M3027" s="81">
        <f>SUMIF(I3028,"*",M3028)*J3027</f>
        <v>43.68</v>
      </c>
      <c r="N3027" s="124">
        <f>HYPERLINK("#Трудозатраты!B655",Трудозатраты!B655+SUMIF(I3028,"*",O3028))</f>
        <v>0.5</v>
      </c>
      <c r="O3027" s="82">
        <f>N3027*J3027</f>
        <v>1</v>
      </c>
      <c r="P3027" s="81">
        <f>O3027/60*(1+запас_труд)*стоимость_трудочаса</f>
        <v>39.166666666666664</v>
      </c>
      <c r="Q3027" s="129">
        <f>M3027*(1+наценка_покупное)+P3027</f>
        <v>91.582666666666654</v>
      </c>
    </row>
    <row r="3028" spans="7:17" hidden="1" outlineLevel="7" x14ac:dyDescent="0.25">
      <c r="I3028" s="76" t="s">
        <v>115</v>
      </c>
      <c r="J3028" s="78">
        <f>HYPERLINK("#Структура!E2639",Структура!E2639)</f>
        <v>0.182</v>
      </c>
      <c r="K3028" s="114" t="str">
        <f>HYPERLINK("#Структура!G2639","")</f>
        <v/>
      </c>
      <c r="L3028" s="120">
        <f>HYPERLINK("#Покупные_изделия!D289",Покупные_изделия!D289)</f>
        <v>120</v>
      </c>
      <c r="M3028" s="76">
        <f>J3028*L3028</f>
        <v>21.84</v>
      </c>
      <c r="N3028" s="77"/>
      <c r="O3028" s="77"/>
      <c r="P3028" s="76"/>
      <c r="Q3028" s="76"/>
    </row>
    <row r="3029" spans="7:17" hidden="1" outlineLevel="6" collapsed="1" x14ac:dyDescent="0.25">
      <c r="H3029" s="103" t="s">
        <v>1366</v>
      </c>
      <c r="I3029" s="81"/>
      <c r="J3029" s="83">
        <f>HYPERLINK("#Структура!E2633",Структура!E2633)</f>
        <v>1</v>
      </c>
      <c r="K3029" s="115">
        <f>HYPERLINK("#Структура!G2633",Структура!G2633)</f>
        <v>0.10181999999999999</v>
      </c>
      <c r="L3029" s="81">
        <f>M3029/J3029</f>
        <v>15.600000000000001</v>
      </c>
      <c r="M3029" s="81">
        <f>SUMIF(I3030,"*",M3030)*J3029</f>
        <v>15.600000000000001</v>
      </c>
      <c r="N3029" s="124">
        <f>HYPERLINK("#Трудозатраты!B656",Трудозатраты!B656+SUMIF(I3030,"*",O3030))</f>
        <v>1.1000000000000001</v>
      </c>
      <c r="O3029" s="82">
        <f>N3029*J3029</f>
        <v>1.1000000000000001</v>
      </c>
      <c r="P3029" s="81">
        <f>O3029/60*(1+запас_труд)*стоимость_трудочаса</f>
        <v>43.083333333333336</v>
      </c>
      <c r="Q3029" s="129">
        <f>M3029*(1+наценка_покупное)+P3029</f>
        <v>61.803333333333342</v>
      </c>
    </row>
    <row r="3030" spans="7:17" hidden="1" outlineLevel="7" x14ac:dyDescent="0.25">
      <c r="I3030" s="76" t="s">
        <v>117</v>
      </c>
      <c r="J3030" s="78">
        <f>HYPERLINK("#Структура!E2640",Структура!E2640)</f>
        <v>0.13</v>
      </c>
      <c r="K3030" s="114" t="str">
        <f>HYPERLINK("#Структура!G2640","")</f>
        <v/>
      </c>
      <c r="L3030" s="120">
        <f>HYPERLINK("#Покупные_изделия!D292",Покупные_изделия!D292)</f>
        <v>120</v>
      </c>
      <c r="M3030" s="76">
        <f>J3030*L3030</f>
        <v>15.600000000000001</v>
      </c>
      <c r="N3030" s="77"/>
      <c r="O3030" s="77"/>
      <c r="P3030" s="76"/>
      <c r="Q3030" s="76"/>
    </row>
    <row r="3031" spans="7:17" hidden="1" outlineLevel="6" collapsed="1" x14ac:dyDescent="0.25">
      <c r="H3031" s="103" t="s">
        <v>1367</v>
      </c>
      <c r="I3031" s="81"/>
      <c r="J3031" s="83">
        <f>HYPERLINK("#Структура!E2634",Структура!E2634)</f>
        <v>1</v>
      </c>
      <c r="K3031" s="115">
        <f>HYPERLINK("#Структура!G2634",Структура!G2634)</f>
        <v>0.16932</v>
      </c>
      <c r="L3031" s="81">
        <f>M3031/J3031</f>
        <v>18</v>
      </c>
      <c r="M3031" s="81">
        <f>SUMIF(I3032,"*",M3032)*J3031</f>
        <v>18</v>
      </c>
      <c r="N3031" s="124">
        <f>HYPERLINK("#Трудозатраты!B657",Трудозатраты!B657+SUMIF(I3032,"*",O3032))</f>
        <v>12.67</v>
      </c>
      <c r="O3031" s="82">
        <f>N3031*J3031</f>
        <v>12.67</v>
      </c>
      <c r="P3031" s="81">
        <f>O3031/60*(1+запас_труд)*стоимость_трудочаса</f>
        <v>496.24166666666667</v>
      </c>
      <c r="Q3031" s="129">
        <f>M3031*(1+наценка_покупное)+P3031</f>
        <v>517.8416666666667</v>
      </c>
    </row>
    <row r="3032" spans="7:17" hidden="1" outlineLevel="7" x14ac:dyDescent="0.25">
      <c r="I3032" s="76" t="s">
        <v>75</v>
      </c>
      <c r="J3032" s="78">
        <f>HYPERLINK("#Структура!E2641",Структура!E2641)</f>
        <v>0.18</v>
      </c>
      <c r="K3032" s="114" t="str">
        <f>HYPERLINK("#Структура!G2641","")</f>
        <v/>
      </c>
      <c r="L3032" s="120">
        <f>HYPERLINK("#Покупные_изделия!D244",Покупные_изделия!D244)</f>
        <v>100</v>
      </c>
      <c r="M3032" s="76">
        <f>J3032*L3032</f>
        <v>18</v>
      </c>
      <c r="N3032" s="77"/>
      <c r="O3032" s="77"/>
      <c r="P3032" s="76"/>
      <c r="Q3032" s="76"/>
    </row>
    <row r="3033" spans="7:17" hidden="1" outlineLevel="6" x14ac:dyDescent="0.25">
      <c r="H3033" s="75" t="s">
        <v>67</v>
      </c>
      <c r="I3033" s="76"/>
      <c r="J3033" s="78">
        <f>HYPERLINK("#Структура!E2635",Структура!E2635)</f>
        <v>7.3999999999999996E-2</v>
      </c>
      <c r="K3033" s="114" t="str">
        <f>HYPERLINK("#Структура!G2635","")</f>
        <v/>
      </c>
      <c r="L3033" s="120">
        <f>HYPERLINK("#Покупные_изделия!D203",Покупные_изделия!D203)</f>
        <v>30.003600000000002</v>
      </c>
      <c r="M3033" s="76">
        <f>J3033*L3033</f>
        <v>2.2202663999999999</v>
      </c>
      <c r="N3033" s="77"/>
      <c r="O3033" s="77"/>
      <c r="P3033" s="76"/>
      <c r="Q3033" s="76"/>
    </row>
    <row r="3034" spans="7:17" hidden="1" outlineLevel="6" x14ac:dyDescent="0.25">
      <c r="H3034" s="75" t="s">
        <v>146</v>
      </c>
      <c r="I3034" s="76"/>
      <c r="J3034" s="78">
        <f>HYPERLINK("#Структура!E2636",Структура!E2636)</f>
        <v>4.3999999999999997E-2</v>
      </c>
      <c r="K3034" s="114" t="str">
        <f>HYPERLINK("#Структура!G2636","")</f>
        <v/>
      </c>
      <c r="L3034" s="120">
        <f>HYPERLINK("#Покупные_изделия!D406",Покупные_изделия!D406)</f>
        <v>105.996</v>
      </c>
      <c r="M3034" s="76">
        <f>J3034*L3034</f>
        <v>4.6638239999999991</v>
      </c>
      <c r="N3034" s="77"/>
      <c r="O3034" s="77"/>
      <c r="P3034" s="76"/>
      <c r="Q3034" s="76"/>
    </row>
    <row r="3035" spans="7:17" hidden="1" outlineLevel="5" collapsed="1" x14ac:dyDescent="0.25">
      <c r="G3035" s="84" t="s">
        <v>1358</v>
      </c>
      <c r="H3035" s="80"/>
      <c r="I3035" s="81"/>
      <c r="J3035" s="83">
        <f>HYPERLINK("#Структура!E2608",Структура!E2608)</f>
        <v>1</v>
      </c>
      <c r="K3035" s="115">
        <f>HYPERLINK("#Структура!G2608",Структура!G2608)</f>
        <v>1.1667000000000001</v>
      </c>
      <c r="L3035" s="81">
        <f>M3035/J3035</f>
        <v>238.18208759999999</v>
      </c>
      <c r="M3035" s="81">
        <f>SUMIF(H3036:H3038,"*",M3036:M3038)*J3035</f>
        <v>238.18208759999999</v>
      </c>
      <c r="N3035" s="124">
        <f>HYPERLINK("#Трудозатраты!B647",Трудозатраты!B647+SUMIF(H3036:H3038,"*",O3036:O3038))</f>
        <v>19.25</v>
      </c>
      <c r="O3035" s="82">
        <f>N3035*J3035</f>
        <v>19.25</v>
      </c>
      <c r="P3035" s="81">
        <f>O3035/60*(1+запас_труд)*стоимость_трудочаса</f>
        <v>753.95833333333337</v>
      </c>
      <c r="Q3035" s="129">
        <f>M3035*(1+наценка_покупное)+P3035</f>
        <v>1039.7768384533333</v>
      </c>
    </row>
    <row r="3036" spans="7:17" hidden="1" outlineLevel="6" x14ac:dyDescent="0.25">
      <c r="H3036" s="75" t="s">
        <v>67</v>
      </c>
      <c r="I3036" s="76"/>
      <c r="J3036" s="78">
        <f>HYPERLINK("#Структура!E2619",Структура!E2619)</f>
        <v>7.0999999999999994E-2</v>
      </c>
      <c r="K3036" s="114" t="str">
        <f>HYPERLINK("#Структура!G2619","")</f>
        <v/>
      </c>
      <c r="L3036" s="120">
        <f>HYPERLINK("#Покупные_изделия!D203",Покупные_изделия!D203)</f>
        <v>30.003600000000002</v>
      </c>
      <c r="M3036" s="76">
        <f>J3036*L3036</f>
        <v>2.1302555999999999</v>
      </c>
      <c r="N3036" s="77"/>
      <c r="O3036" s="77"/>
      <c r="P3036" s="76"/>
      <c r="Q3036" s="76"/>
    </row>
    <row r="3037" spans="7:17" hidden="1" outlineLevel="6" x14ac:dyDescent="0.25">
      <c r="H3037" s="75" t="s">
        <v>109</v>
      </c>
      <c r="I3037" s="76"/>
      <c r="J3037" s="78">
        <f>HYPERLINK("#Структура!E2620",Структура!E2620)</f>
        <v>1.93</v>
      </c>
      <c r="K3037" s="114" t="str">
        <f>HYPERLINK("#Структура!G2620","")</f>
        <v/>
      </c>
      <c r="L3037" s="120">
        <f>HYPERLINK("#Покупные_изделия!D281",Покупные_изделия!D281)</f>
        <v>120</v>
      </c>
      <c r="M3037" s="76">
        <f>J3037*L3037</f>
        <v>231.6</v>
      </c>
      <c r="N3037" s="77"/>
      <c r="O3037" s="77"/>
      <c r="P3037" s="76"/>
      <c r="Q3037" s="76"/>
    </row>
    <row r="3038" spans="7:17" hidden="1" outlineLevel="6" x14ac:dyDescent="0.25">
      <c r="H3038" s="75" t="s">
        <v>146</v>
      </c>
      <c r="I3038" s="76"/>
      <c r="J3038" s="78">
        <f>HYPERLINK("#Структура!E2621",Структура!E2621)</f>
        <v>4.2000000000000003E-2</v>
      </c>
      <c r="K3038" s="114" t="str">
        <f>HYPERLINK("#Структура!G2621","")</f>
        <v/>
      </c>
      <c r="L3038" s="120">
        <f>HYPERLINK("#Покупные_изделия!D406",Покупные_изделия!D406)</f>
        <v>105.996</v>
      </c>
      <c r="M3038" s="76">
        <f>J3038*L3038</f>
        <v>4.4518320000000005</v>
      </c>
      <c r="N3038" s="77"/>
      <c r="O3038" s="77"/>
      <c r="P3038" s="76"/>
      <c r="Q3038" s="76"/>
    </row>
    <row r="3039" spans="7:17" hidden="1" outlineLevel="5" collapsed="1" x14ac:dyDescent="0.25">
      <c r="G3039" s="84" t="s">
        <v>1359</v>
      </c>
      <c r="H3039" s="80"/>
      <c r="I3039" s="81"/>
      <c r="J3039" s="83">
        <f>HYPERLINK("#Структура!E2609",Структура!E2609)</f>
        <v>1</v>
      </c>
      <c r="K3039" s="115">
        <f>HYPERLINK("#Структура!G2609",Структура!G2609)</f>
        <v>0.57042999999999999</v>
      </c>
      <c r="L3039" s="81">
        <f>M3039/J3039</f>
        <v>85.102015200000011</v>
      </c>
      <c r="M3039" s="81">
        <f>SUMIF(H3040:H3042,"*",M3040:M3042)*J3039</f>
        <v>85.102015200000011</v>
      </c>
      <c r="N3039" s="124">
        <f>HYPERLINK("#Трудозатраты!B648",Трудозатраты!B648+SUMIF(H3040:H3042,"*",O3040:O3042))</f>
        <v>46.1</v>
      </c>
      <c r="O3039" s="82">
        <f>N3039*J3039</f>
        <v>46.1</v>
      </c>
      <c r="P3039" s="81">
        <f>O3039/60*(1+запас_труд)*стоимость_трудочаса</f>
        <v>1805.5833333333333</v>
      </c>
      <c r="Q3039" s="129">
        <f>M3039*(1+наценка_покупное)+P3039</f>
        <v>1907.7057515733334</v>
      </c>
    </row>
    <row r="3040" spans="7:17" hidden="1" outlineLevel="6" x14ac:dyDescent="0.25">
      <c r="H3040" s="75" t="s">
        <v>67</v>
      </c>
      <c r="I3040" s="76"/>
      <c r="J3040" s="78">
        <f>HYPERLINK("#Структура!E2622",Структура!E2622)</f>
        <v>1.2E-2</v>
      </c>
      <c r="K3040" s="114" t="str">
        <f>HYPERLINK("#Структура!G2622","")</f>
        <v/>
      </c>
      <c r="L3040" s="120">
        <f>HYPERLINK("#Покупные_изделия!D203",Покупные_изделия!D203)</f>
        <v>30.003600000000002</v>
      </c>
      <c r="M3040" s="76">
        <f>J3040*L3040</f>
        <v>0.36004320000000001</v>
      </c>
      <c r="N3040" s="77"/>
      <c r="O3040" s="77"/>
      <c r="P3040" s="76"/>
      <c r="Q3040" s="76"/>
    </row>
    <row r="3041" spans="7:17" hidden="1" outlineLevel="6" x14ac:dyDescent="0.25">
      <c r="H3041" s="75" t="s">
        <v>116</v>
      </c>
      <c r="I3041" s="76"/>
      <c r="J3041" s="78">
        <f>HYPERLINK("#Структура!E2623",Структура!E2623)</f>
        <v>0.7</v>
      </c>
      <c r="K3041" s="114" t="str">
        <f>HYPERLINK("#Структура!G2623","")</f>
        <v/>
      </c>
      <c r="L3041" s="120">
        <f>HYPERLINK("#Покупные_изделия!D291",Покупные_изделия!D291)</f>
        <v>120</v>
      </c>
      <c r="M3041" s="76">
        <f>J3041*L3041</f>
        <v>84</v>
      </c>
      <c r="N3041" s="77"/>
      <c r="O3041" s="77"/>
      <c r="P3041" s="76"/>
      <c r="Q3041" s="76"/>
    </row>
    <row r="3042" spans="7:17" hidden="1" outlineLevel="6" x14ac:dyDescent="0.25">
      <c r="H3042" s="75" t="s">
        <v>146</v>
      </c>
      <c r="I3042" s="76"/>
      <c r="J3042" s="78">
        <f>HYPERLINK("#Структура!E2624",Структура!E2624)</f>
        <v>7.0000000000000001E-3</v>
      </c>
      <c r="K3042" s="114" t="str">
        <f>HYPERLINK("#Структура!G2624","")</f>
        <v/>
      </c>
      <c r="L3042" s="120">
        <f>HYPERLINK("#Покупные_изделия!D406",Покупные_изделия!D406)</f>
        <v>105.996</v>
      </c>
      <c r="M3042" s="76">
        <f>J3042*L3042</f>
        <v>0.74197199999999996</v>
      </c>
      <c r="N3042" s="77"/>
      <c r="O3042" s="77"/>
      <c r="P3042" s="76"/>
      <c r="Q3042" s="76"/>
    </row>
    <row r="3043" spans="7:17" hidden="1" outlineLevel="5" collapsed="1" x14ac:dyDescent="0.25">
      <c r="G3043" s="84" t="s">
        <v>1360</v>
      </c>
      <c r="H3043" s="80"/>
      <c r="I3043" s="81"/>
      <c r="J3043" s="83">
        <f>HYPERLINK("#Структура!E2610",Структура!E2610)</f>
        <v>1</v>
      </c>
      <c r="K3043" s="115">
        <f>HYPERLINK("#Структура!G2610",Структура!G2610)</f>
        <v>0.30038999999999999</v>
      </c>
      <c r="L3043" s="81">
        <f>M3043/J3043</f>
        <v>54</v>
      </c>
      <c r="M3043" s="81">
        <f>SUMIF(H3044,"*",M3044)*J3043</f>
        <v>54</v>
      </c>
      <c r="N3043" s="124">
        <f>HYPERLINK("#Трудозатраты!B649",Трудозатраты!B649+SUMIF(H3044,"*",O3044))</f>
        <v>30.9</v>
      </c>
      <c r="O3043" s="82">
        <f>N3043*J3043</f>
        <v>30.9</v>
      </c>
      <c r="P3043" s="81">
        <f>O3043/60*(1+запас_труд)*стоимость_трудочаса</f>
        <v>1210.25</v>
      </c>
      <c r="Q3043" s="129">
        <f>M3043*(1+наценка_покупное)+P3043</f>
        <v>1275.05</v>
      </c>
    </row>
    <row r="3044" spans="7:17" hidden="1" outlineLevel="6" x14ac:dyDescent="0.25">
      <c r="H3044" s="75" t="s">
        <v>113</v>
      </c>
      <c r="I3044" s="76"/>
      <c r="J3044" s="78">
        <f>HYPERLINK("#Структура!E2625",Структура!E2625)</f>
        <v>0.45</v>
      </c>
      <c r="K3044" s="114" t="str">
        <f>HYPERLINK("#Структура!G2625","")</f>
        <v/>
      </c>
      <c r="L3044" s="120">
        <f>HYPERLINK("#Покупные_изделия!D286",Покупные_изделия!D286)</f>
        <v>120</v>
      </c>
      <c r="M3044" s="76">
        <f>J3044*L3044</f>
        <v>54</v>
      </c>
      <c r="N3044" s="77"/>
      <c r="O3044" s="77"/>
      <c r="P3044" s="76"/>
      <c r="Q3044" s="76"/>
    </row>
    <row r="3045" spans="7:17" hidden="1" outlineLevel="5" collapsed="1" x14ac:dyDescent="0.25">
      <c r="G3045" s="84" t="s">
        <v>1361</v>
      </c>
      <c r="H3045" s="80"/>
      <c r="I3045" s="81"/>
      <c r="J3045" s="83">
        <f>HYPERLINK("#Структура!E2611",Структура!E2611)</f>
        <v>1</v>
      </c>
      <c r="K3045" s="115">
        <f>HYPERLINK("#Структура!G2611",Структура!G2611)</f>
        <v>0.68423999999999996</v>
      </c>
      <c r="L3045" s="81">
        <f>M3045/J3045</f>
        <v>96</v>
      </c>
      <c r="M3045" s="81">
        <f>SUMIF(H3046,"*",M3046)*J3045</f>
        <v>96</v>
      </c>
      <c r="N3045" s="124">
        <f>HYPERLINK("#Трудозатраты!B650",Трудозатраты!B650+SUMIF(H3046,"*",O3046))</f>
        <v>33</v>
      </c>
      <c r="O3045" s="82">
        <f>N3045*J3045</f>
        <v>33</v>
      </c>
      <c r="P3045" s="81">
        <f>O3045/60*(1+запас_труд)*стоимость_трудочаса</f>
        <v>1292.5</v>
      </c>
      <c r="Q3045" s="129">
        <f>M3045*(1+наценка_покупное)+P3045</f>
        <v>1407.7</v>
      </c>
    </row>
    <row r="3046" spans="7:17" hidden="1" outlineLevel="6" x14ac:dyDescent="0.25">
      <c r="H3046" s="75" t="s">
        <v>183</v>
      </c>
      <c r="I3046" s="76"/>
      <c r="J3046" s="78">
        <f>HYPERLINK("#Структура!E2626",Структура!E2626)</f>
        <v>0.8</v>
      </c>
      <c r="K3046" s="114" t="str">
        <f>HYPERLINK("#Структура!G2626","")</f>
        <v/>
      </c>
      <c r="L3046" s="120">
        <f>HYPERLINK("#Покупные_изделия!D494",Покупные_изделия!D494)</f>
        <v>120</v>
      </c>
      <c r="M3046" s="76">
        <f>J3046*L3046</f>
        <v>96</v>
      </c>
      <c r="N3046" s="77"/>
      <c r="O3046" s="77"/>
      <c r="P3046" s="76"/>
      <c r="Q3046" s="76"/>
    </row>
    <row r="3047" spans="7:17" hidden="1" outlineLevel="5" collapsed="1" x14ac:dyDescent="0.25">
      <c r="G3047" s="84" t="s">
        <v>1362</v>
      </c>
      <c r="H3047" s="80"/>
      <c r="I3047" s="81"/>
      <c r="J3047" s="83">
        <f>HYPERLINK("#Структура!E2612",Структура!E2612)</f>
        <v>1</v>
      </c>
      <c r="K3047" s="115">
        <f>HYPERLINK("#Структура!G2612",Структура!G2612)</f>
        <v>8.3070000000000005E-2</v>
      </c>
      <c r="L3047" s="81">
        <f>M3047/J3047</f>
        <v>33.634009199999994</v>
      </c>
      <c r="M3047" s="81">
        <f>SUMIF(H3048:H3050,"*",M3048:M3050)*J3047</f>
        <v>33.634009199999994</v>
      </c>
      <c r="N3047" s="124">
        <f>HYPERLINK("#Трудозатраты!B651",Трудозатраты!B651+SUMIF(H3048:H3050,"*",O3048:O3050))</f>
        <v>13.225000000000001</v>
      </c>
      <c r="O3047" s="82">
        <f>N3047*J3047</f>
        <v>13.225000000000001</v>
      </c>
      <c r="P3047" s="81">
        <f>O3047/60*(1+запас_труд)*стоимость_трудочаса</f>
        <v>517.97916666666674</v>
      </c>
      <c r="Q3047" s="129">
        <f>M3047*(1+наценка_покупное)+P3047</f>
        <v>558.33997770666679</v>
      </c>
    </row>
    <row r="3048" spans="7:17" hidden="1" outlineLevel="6" x14ac:dyDescent="0.25">
      <c r="H3048" s="75" t="s">
        <v>67</v>
      </c>
      <c r="I3048" s="76"/>
      <c r="J3048" s="78">
        <f>HYPERLINK("#Структура!E2627",Структура!E2627)</f>
        <v>7.0000000000000001E-3</v>
      </c>
      <c r="K3048" s="114" t="str">
        <f>HYPERLINK("#Структура!G2627","")</f>
        <v/>
      </c>
      <c r="L3048" s="120">
        <f>HYPERLINK("#Покупные_изделия!D203",Покупные_изделия!D203)</f>
        <v>30.003600000000002</v>
      </c>
      <c r="M3048" s="76">
        <f t="shared" ref="M3048:M3056" si="119">J3048*L3048</f>
        <v>0.21002520000000002</v>
      </c>
      <c r="N3048" s="77"/>
      <c r="O3048" s="77"/>
      <c r="P3048" s="76"/>
      <c r="Q3048" s="76"/>
    </row>
    <row r="3049" spans="7:17" hidden="1" outlineLevel="6" x14ac:dyDescent="0.25">
      <c r="H3049" s="75" t="s">
        <v>108</v>
      </c>
      <c r="I3049" s="76"/>
      <c r="J3049" s="78">
        <f>HYPERLINK("#Структура!E2628",Структура!E2628)</f>
        <v>0.11</v>
      </c>
      <c r="K3049" s="114" t="str">
        <f>HYPERLINK("#Структура!G2628","")</f>
        <v/>
      </c>
      <c r="L3049" s="120">
        <f>HYPERLINK("#Покупные_изделия!D280",Покупные_изделия!D280)</f>
        <v>300</v>
      </c>
      <c r="M3049" s="76">
        <f t="shared" si="119"/>
        <v>33</v>
      </c>
      <c r="N3049" s="77"/>
      <c r="O3049" s="77"/>
      <c r="P3049" s="76"/>
      <c r="Q3049" s="76"/>
    </row>
    <row r="3050" spans="7:17" hidden="1" outlineLevel="6" x14ac:dyDescent="0.25">
      <c r="H3050" s="75" t="s">
        <v>146</v>
      </c>
      <c r="I3050" s="76"/>
      <c r="J3050" s="78">
        <f>HYPERLINK("#Структура!E2629",Структура!E2629)</f>
        <v>4.0000000000000001E-3</v>
      </c>
      <c r="K3050" s="114" t="str">
        <f>HYPERLINK("#Структура!G2629","")</f>
        <v/>
      </c>
      <c r="L3050" s="120">
        <f>HYPERLINK("#Покупные_изделия!D406",Покупные_изделия!D406)</f>
        <v>105.996</v>
      </c>
      <c r="M3050" s="76">
        <f t="shared" si="119"/>
        <v>0.42398399999999997</v>
      </c>
      <c r="N3050" s="77"/>
      <c r="O3050" s="77"/>
      <c r="P3050" s="76"/>
      <c r="Q3050" s="76"/>
    </row>
    <row r="3051" spans="7:17" hidden="1" outlineLevel="5" x14ac:dyDescent="0.25">
      <c r="G3051" s="74" t="s">
        <v>65</v>
      </c>
      <c r="H3051" s="75"/>
      <c r="I3051" s="76"/>
      <c r="J3051" s="78">
        <f>HYPERLINK("#Структура!E2613",Структура!E2613)</f>
        <v>0.06</v>
      </c>
      <c r="K3051" s="114" t="str">
        <f>HYPERLINK("#Структура!G2613","")</f>
        <v/>
      </c>
      <c r="L3051" s="120">
        <f>HYPERLINK("#Покупные_изделия!D197",Покупные_изделия!D197)</f>
        <v>264.50399999999996</v>
      </c>
      <c r="M3051" s="76">
        <f t="shared" si="119"/>
        <v>15.870239999999997</v>
      </c>
      <c r="N3051" s="77"/>
      <c r="O3051" s="77"/>
      <c r="P3051" s="76"/>
      <c r="Q3051" s="76"/>
    </row>
    <row r="3052" spans="7:17" hidden="1" outlineLevel="5" x14ac:dyDescent="0.25">
      <c r="G3052" s="74" t="s">
        <v>67</v>
      </c>
      <c r="H3052" s="75"/>
      <c r="I3052" s="76"/>
      <c r="J3052" s="78">
        <f>HYPERLINK("#Структура!E2614",Структура!E2614)</f>
        <v>0.317</v>
      </c>
      <c r="K3052" s="114" t="str">
        <f>HYPERLINK("#Структура!G2614","")</f>
        <v/>
      </c>
      <c r="L3052" s="120">
        <f>HYPERLINK("#Покупные_изделия!D203",Покупные_изделия!D203)</f>
        <v>30.003600000000002</v>
      </c>
      <c r="M3052" s="76">
        <f t="shared" si="119"/>
        <v>9.5111412000000009</v>
      </c>
      <c r="N3052" s="77"/>
      <c r="O3052" s="77"/>
      <c r="P3052" s="76"/>
      <c r="Q3052" s="76"/>
    </row>
    <row r="3053" spans="7:17" hidden="1" outlineLevel="5" x14ac:dyDescent="0.25">
      <c r="G3053" s="74" t="s">
        <v>146</v>
      </c>
      <c r="H3053" s="75"/>
      <c r="I3053" s="76"/>
      <c r="J3053" s="78">
        <f>HYPERLINK("#Структура!E2615",Структура!E2615)</f>
        <v>0.186</v>
      </c>
      <c r="K3053" s="114" t="str">
        <f>HYPERLINK("#Структура!G2615","")</f>
        <v/>
      </c>
      <c r="L3053" s="120">
        <f>HYPERLINK("#Покупные_изделия!D406",Покупные_изделия!D406)</f>
        <v>105.996</v>
      </c>
      <c r="M3053" s="76">
        <f t="shared" si="119"/>
        <v>19.715256</v>
      </c>
      <c r="N3053" s="77"/>
      <c r="O3053" s="77"/>
      <c r="P3053" s="76"/>
      <c r="Q3053" s="76"/>
    </row>
    <row r="3054" spans="7:17" hidden="1" outlineLevel="5" x14ac:dyDescent="0.25">
      <c r="G3054" s="74" t="s">
        <v>155</v>
      </c>
      <c r="H3054" s="75"/>
      <c r="I3054" s="76"/>
      <c r="J3054" s="78">
        <f>HYPERLINK("#Структура!E2616",Структура!E2616)</f>
        <v>3.5999999999999997E-2</v>
      </c>
      <c r="K3054" s="114" t="str">
        <f>HYPERLINK("#Структура!G2616","")</f>
        <v/>
      </c>
      <c r="L3054" s="120">
        <f>HYPERLINK("#Покупные_изделия!D423",Покупные_изделия!D423)</f>
        <v>218.28</v>
      </c>
      <c r="M3054" s="76">
        <f t="shared" si="119"/>
        <v>7.8580799999999993</v>
      </c>
      <c r="N3054" s="77"/>
      <c r="O3054" s="77"/>
      <c r="P3054" s="76"/>
      <c r="Q3054" s="76"/>
    </row>
    <row r="3055" spans="7:17" hidden="1" outlineLevel="5" x14ac:dyDescent="0.25">
      <c r="G3055" s="74" t="s">
        <v>200</v>
      </c>
      <c r="H3055" s="75"/>
      <c r="I3055" s="76"/>
      <c r="J3055" s="78">
        <f>HYPERLINK("#Структура!E2617",Структура!E2617)</f>
        <v>8.0000000000000002E-3</v>
      </c>
      <c r="K3055" s="114" t="str">
        <f>HYPERLINK("#Структура!G2617","")</f>
        <v/>
      </c>
      <c r="L3055" s="120">
        <f>HYPERLINK("#Покупные_изделия!D518",Покупные_изделия!D518)</f>
        <v>270</v>
      </c>
      <c r="M3055" s="76">
        <f t="shared" si="119"/>
        <v>2.16</v>
      </c>
      <c r="N3055" s="77"/>
      <c r="O3055" s="77"/>
      <c r="P3055" s="76"/>
      <c r="Q3055" s="76"/>
    </row>
    <row r="3056" spans="7:17" hidden="1" outlineLevel="5" x14ac:dyDescent="0.25">
      <c r="G3056" s="74" t="s">
        <v>215</v>
      </c>
      <c r="H3056" s="75"/>
      <c r="I3056" s="76"/>
      <c r="J3056" s="78">
        <f>HYPERLINK("#Структура!E2618",Структура!E2618)</f>
        <v>0.12</v>
      </c>
      <c r="K3056" s="114" t="str">
        <f>HYPERLINK("#Структура!G2618","")</f>
        <v/>
      </c>
      <c r="L3056" s="120">
        <f>HYPERLINK("#Покупные_изделия!D567",Покупные_изделия!D567)</f>
        <v>405.74399999999997</v>
      </c>
      <c r="M3056" s="76">
        <f t="shared" si="119"/>
        <v>48.689279999999997</v>
      </c>
      <c r="N3056" s="77"/>
      <c r="O3056" s="77"/>
      <c r="P3056" s="76"/>
      <c r="Q3056" s="76"/>
    </row>
    <row r="3057" spans="6:17" hidden="1" outlineLevel="4" collapsed="1" x14ac:dyDescent="0.25">
      <c r="F3057" s="96" t="s">
        <v>1338</v>
      </c>
      <c r="G3057" s="91"/>
      <c r="H3057" s="92"/>
      <c r="I3057" s="93"/>
      <c r="J3057" s="95">
        <f>HYPERLINK("#Структура!E2493",Структура!E2493)</f>
        <v>2</v>
      </c>
      <c r="K3057" s="116">
        <f>HYPERLINK("#Структура!G2493",Структура!G2493)</f>
        <v>1.83558</v>
      </c>
      <c r="L3057" s="93">
        <f>M3057/J3057</f>
        <v>529.55071359999999</v>
      </c>
      <c r="M3057" s="93">
        <f>SUMIF(G3058:G3082,"*",M3058:M3082)*J3057</f>
        <v>1059.1014272</v>
      </c>
      <c r="N3057" s="125">
        <f>HYPERLINK("#Трудозатраты!B658",Трудозатраты!B658+SUMIF(G3058:G3082,"*",O3058:O3082))</f>
        <v>300.90000000000003</v>
      </c>
      <c r="O3057" s="94">
        <f>N3057*J3057</f>
        <v>601.80000000000007</v>
      </c>
      <c r="P3057" s="93">
        <f>O3057/60*(1+запас_труд)*стоимость_трудочаса</f>
        <v>23570.500000000004</v>
      </c>
      <c r="Q3057" s="130">
        <f>M3057*(1+наценка_покупное)+P3057</f>
        <v>24841.421712640004</v>
      </c>
    </row>
    <row r="3058" spans="6:17" hidden="1" outlineLevel="5" collapsed="1" x14ac:dyDescent="0.25">
      <c r="G3058" s="97" t="s">
        <v>1368</v>
      </c>
      <c r="H3058" s="99"/>
      <c r="I3058" s="100"/>
      <c r="J3058" s="102">
        <f>HYPERLINK("#Структура!E2642",Структура!E2642)</f>
        <v>1</v>
      </c>
      <c r="K3058" s="112">
        <f>HYPERLINK("#Структура!G2642",Структура!G2642)</f>
        <v>0.81493000000000004</v>
      </c>
      <c r="L3058" s="100">
        <f>M3058/J3058</f>
        <v>151.0501184</v>
      </c>
      <c r="M3058" s="100">
        <f>SUMIF(H3059:H3066,"*",M3059:M3066)*J3058</f>
        <v>151.0501184</v>
      </c>
      <c r="N3058" s="122">
        <f>HYPERLINK("#Трудозатраты!B660",Трудозатраты!B660+SUMIF(H3059:H3066,"*",O3059:O3066))</f>
        <v>103.4</v>
      </c>
      <c r="O3058" s="101">
        <f>N3058*J3058</f>
        <v>103.4</v>
      </c>
      <c r="P3058" s="100">
        <f>O3058/60*(1+запас_труд)*стоимость_трудочаса</f>
        <v>4049.8333333333335</v>
      </c>
      <c r="Q3058" s="127">
        <f>M3058*(1+наценка_покупное)+P3058</f>
        <v>4231.0934754133332</v>
      </c>
    </row>
    <row r="3059" spans="6:17" hidden="1" outlineLevel="6" collapsed="1" x14ac:dyDescent="0.25">
      <c r="H3059" s="104" t="s">
        <v>1371</v>
      </c>
      <c r="I3059" s="88"/>
      <c r="J3059" s="90">
        <f>HYPERLINK("#Структура!E2653",Структура!E2653)</f>
        <v>1</v>
      </c>
      <c r="K3059" s="113">
        <f>HYPERLINK("#Структура!G2653",Структура!G2653)</f>
        <v>0.29077999999999998</v>
      </c>
      <c r="L3059" s="88">
        <f>M3059/J3059</f>
        <v>60</v>
      </c>
      <c r="M3059" s="88">
        <f>SUMIF(I3060,"*",M3060)*J3059</f>
        <v>60</v>
      </c>
      <c r="N3059" s="123">
        <f>HYPERLINK("#Трудозатраты!B661",Трудозатраты!B661+SUMIF(I3060,"*",O3060))</f>
        <v>15.9</v>
      </c>
      <c r="O3059" s="89">
        <f>N3059*J3059</f>
        <v>15.9</v>
      </c>
      <c r="P3059" s="88">
        <f>O3059/60*(1+запас_труд)*стоимость_трудочаса</f>
        <v>622.75</v>
      </c>
      <c r="Q3059" s="128">
        <f>M3059*(1+наценка_покупное)+P3059</f>
        <v>694.75</v>
      </c>
    </row>
    <row r="3060" spans="6:17" hidden="1" outlineLevel="7" x14ac:dyDescent="0.25">
      <c r="I3060" s="76" t="s">
        <v>109</v>
      </c>
      <c r="J3060" s="78">
        <f>HYPERLINK("#Структура!E2658",Структура!E2658)</f>
        <v>0.5</v>
      </c>
      <c r="K3060" s="114" t="str">
        <f>HYPERLINK("#Структура!G2658","")</f>
        <v/>
      </c>
      <c r="L3060" s="120">
        <f>HYPERLINK("#Покупные_изделия!D281",Покупные_изделия!D281)</f>
        <v>120</v>
      </c>
      <c r="M3060" s="76">
        <f>J3060*L3060</f>
        <v>60</v>
      </c>
      <c r="N3060" s="77"/>
      <c r="O3060" s="77"/>
      <c r="P3060" s="76"/>
      <c r="Q3060" s="76"/>
    </row>
    <row r="3061" spans="6:17" hidden="1" outlineLevel="6" collapsed="1" x14ac:dyDescent="0.25">
      <c r="H3061" s="103" t="s">
        <v>1372</v>
      </c>
      <c r="I3061" s="81"/>
      <c r="J3061" s="83">
        <f>HYPERLINK("#Структура!E2654",Структура!E2654)</f>
        <v>1</v>
      </c>
      <c r="K3061" s="115">
        <f>HYPERLINK("#Структура!G2654",Структура!G2654)</f>
        <v>8.9849999999999999E-2</v>
      </c>
      <c r="L3061" s="81">
        <f>M3061/J3061</f>
        <v>26</v>
      </c>
      <c r="M3061" s="81">
        <f>SUMIF(I3062,"*",M3062)*J3061</f>
        <v>26</v>
      </c>
      <c r="N3061" s="124">
        <f>HYPERLINK("#Трудозатраты!B662",Трудозатраты!B662+SUMIF(I3062,"*",O3062))</f>
        <v>47</v>
      </c>
      <c r="O3061" s="82">
        <f>N3061*J3061</f>
        <v>47</v>
      </c>
      <c r="P3061" s="81">
        <f>O3061/60*(1+запас_труд)*стоимость_трудочаса</f>
        <v>1840.8333333333333</v>
      </c>
      <c r="Q3061" s="129">
        <f>M3061*(1+наценка_покупное)+P3061</f>
        <v>1872.0333333333333</v>
      </c>
    </row>
    <row r="3062" spans="6:17" hidden="1" outlineLevel="7" x14ac:dyDescent="0.25">
      <c r="I3062" s="76" t="s">
        <v>97</v>
      </c>
      <c r="J3062" s="78">
        <f>HYPERLINK("#Структура!E2659",Структура!E2659)</f>
        <v>0.26</v>
      </c>
      <c r="K3062" s="114" t="str">
        <f>HYPERLINK("#Структура!G2659","")</f>
        <v/>
      </c>
      <c r="L3062" s="120">
        <f>HYPERLINK("#Покупные_изделия!D266",Покупные_изделия!D266)</f>
        <v>100</v>
      </c>
      <c r="M3062" s="76">
        <f>J3062*L3062</f>
        <v>26</v>
      </c>
      <c r="N3062" s="77"/>
      <c r="O3062" s="77"/>
      <c r="P3062" s="76"/>
      <c r="Q3062" s="76"/>
    </row>
    <row r="3063" spans="6:17" hidden="1" outlineLevel="6" collapsed="1" x14ac:dyDescent="0.25">
      <c r="H3063" s="103" t="s">
        <v>1373</v>
      </c>
      <c r="I3063" s="81"/>
      <c r="J3063" s="83">
        <f>HYPERLINK("#Структура!E2655",Структура!E2655)</f>
        <v>1</v>
      </c>
      <c r="K3063" s="115">
        <f>HYPERLINK("#Структура!G2655",Структура!G2655)</f>
        <v>0.43430000000000002</v>
      </c>
      <c r="L3063" s="81">
        <f>M3063/J3063</f>
        <v>56.4</v>
      </c>
      <c r="M3063" s="81">
        <f>SUMIF(I3064,"*",M3064)*J3063</f>
        <v>56.4</v>
      </c>
      <c r="N3063" s="124">
        <f>HYPERLINK("#Трудозатраты!B663",Трудозатраты!B663+SUMIF(I3064,"*",O3064))</f>
        <v>31.5</v>
      </c>
      <c r="O3063" s="82">
        <f>N3063*J3063</f>
        <v>31.5</v>
      </c>
      <c r="P3063" s="81">
        <f>O3063/60*(1+запас_труд)*стоимость_трудочаса</f>
        <v>1233.75</v>
      </c>
      <c r="Q3063" s="129">
        <f>M3063*(1+наценка_покупное)+P3063</f>
        <v>1301.43</v>
      </c>
    </row>
    <row r="3064" spans="6:17" hidden="1" outlineLevel="7" x14ac:dyDescent="0.25">
      <c r="I3064" s="76" t="s">
        <v>180</v>
      </c>
      <c r="J3064" s="78">
        <f>HYPERLINK("#Структура!E2660",Структура!E2660)</f>
        <v>0.47</v>
      </c>
      <c r="K3064" s="114" t="str">
        <f>HYPERLINK("#Структура!G2660","")</f>
        <v/>
      </c>
      <c r="L3064" s="120">
        <f>HYPERLINK("#Покупные_изделия!D491",Покупные_изделия!D491)</f>
        <v>120</v>
      </c>
      <c r="M3064" s="76">
        <f>J3064*L3064</f>
        <v>56.4</v>
      </c>
      <c r="N3064" s="77"/>
      <c r="O3064" s="77"/>
      <c r="P3064" s="76"/>
      <c r="Q3064" s="76"/>
    </row>
    <row r="3065" spans="6:17" hidden="1" outlineLevel="6" x14ac:dyDescent="0.25">
      <c r="H3065" s="75" t="s">
        <v>67</v>
      </c>
      <c r="I3065" s="76"/>
      <c r="J3065" s="78">
        <f>HYPERLINK("#Структура!E2656",Структура!E2656)</f>
        <v>9.4E-2</v>
      </c>
      <c r="K3065" s="114" t="str">
        <f>HYPERLINK("#Структура!G2656","")</f>
        <v/>
      </c>
      <c r="L3065" s="120">
        <f>HYPERLINK("#Покупные_изделия!D203",Покупные_изделия!D203)</f>
        <v>30.003600000000002</v>
      </c>
      <c r="M3065" s="76">
        <f>J3065*L3065</f>
        <v>2.8203384000000002</v>
      </c>
      <c r="N3065" s="77"/>
      <c r="O3065" s="77"/>
      <c r="P3065" s="76"/>
      <c r="Q3065" s="76"/>
    </row>
    <row r="3066" spans="6:17" hidden="1" outlineLevel="6" x14ac:dyDescent="0.25">
      <c r="H3066" s="75" t="s">
        <v>146</v>
      </c>
      <c r="I3066" s="76"/>
      <c r="J3066" s="78">
        <f>HYPERLINK("#Структура!E2657",Структура!E2657)</f>
        <v>5.5E-2</v>
      </c>
      <c r="K3066" s="114" t="str">
        <f>HYPERLINK("#Структура!G2657","")</f>
        <v/>
      </c>
      <c r="L3066" s="120">
        <f>HYPERLINK("#Покупные_изделия!D406",Покупные_изделия!D406)</f>
        <v>105.996</v>
      </c>
      <c r="M3066" s="76">
        <f>J3066*L3066</f>
        <v>5.8297799999999995</v>
      </c>
      <c r="N3066" s="77"/>
      <c r="O3066" s="77"/>
      <c r="P3066" s="76"/>
      <c r="Q3066" s="76"/>
    </row>
    <row r="3067" spans="6:17" hidden="1" outlineLevel="5" collapsed="1" x14ac:dyDescent="0.25">
      <c r="G3067" s="96" t="s">
        <v>1369</v>
      </c>
      <c r="H3067" s="92"/>
      <c r="I3067" s="93"/>
      <c r="J3067" s="95">
        <f>HYPERLINK("#Структура!E2643",Структура!E2643)</f>
        <v>1</v>
      </c>
      <c r="K3067" s="116">
        <f>HYPERLINK("#Структура!G2643",Структура!G2643)</f>
        <v>0.16705</v>
      </c>
      <c r="L3067" s="93">
        <f>M3067/J3067</f>
        <v>43.310063599999999</v>
      </c>
      <c r="M3067" s="93">
        <f>SUMIF(H3068:H3073,"*",M3068:M3073)*J3067</f>
        <v>43.310063599999999</v>
      </c>
      <c r="N3067" s="125">
        <f>HYPERLINK("#Трудозатраты!B664",Трудозатраты!B664+SUMIF(H3068:H3073,"*",O3068:O3073))</f>
        <v>143.80000000000001</v>
      </c>
      <c r="O3067" s="94">
        <f>N3067*J3067</f>
        <v>143.80000000000001</v>
      </c>
      <c r="P3067" s="93">
        <f>O3067/60*(1+запас_труд)*стоимость_трудочаса</f>
        <v>5632.166666666667</v>
      </c>
      <c r="Q3067" s="130">
        <f>M3067*(1+наценка_покупное)+P3067</f>
        <v>5684.1387429866672</v>
      </c>
    </row>
    <row r="3068" spans="6:17" hidden="1" outlineLevel="6" collapsed="1" x14ac:dyDescent="0.25">
      <c r="H3068" s="104" t="s">
        <v>1372</v>
      </c>
      <c r="I3068" s="88"/>
      <c r="J3068" s="90">
        <f>HYPERLINK("#Структура!E2661",Структура!E2661)</f>
        <v>1</v>
      </c>
      <c r="K3068" s="113">
        <f>HYPERLINK("#Структура!G2661",Структура!G2661)</f>
        <v>8.9849999999999999E-2</v>
      </c>
      <c r="L3068" s="88">
        <f>M3068/J3068</f>
        <v>26</v>
      </c>
      <c r="M3068" s="88">
        <f>SUMIF(I3069,"*",M3069)*J3068</f>
        <v>26</v>
      </c>
      <c r="N3068" s="123">
        <f>HYPERLINK("#Трудозатраты!B662",Трудозатраты!B662+SUMIF(I3069,"*",O3069))</f>
        <v>47</v>
      </c>
      <c r="O3068" s="89">
        <f>N3068*J3068</f>
        <v>47</v>
      </c>
      <c r="P3068" s="88">
        <f>O3068/60*(1+запас_труд)*стоимость_трудочаса</f>
        <v>1840.8333333333333</v>
      </c>
      <c r="Q3068" s="128">
        <f>M3068*(1+наценка_покупное)+P3068</f>
        <v>1872.0333333333333</v>
      </c>
    </row>
    <row r="3069" spans="6:17" hidden="1" outlineLevel="7" x14ac:dyDescent="0.25">
      <c r="I3069" s="76" t="s">
        <v>97</v>
      </c>
      <c r="J3069" s="78">
        <f>HYPERLINK("#Структура!E2659",Структура!E2659)</f>
        <v>0.26</v>
      </c>
      <c r="K3069" s="114" t="str">
        <f>HYPERLINK("#Структура!G2659","")</f>
        <v/>
      </c>
      <c r="L3069" s="120">
        <f>HYPERLINK("#Покупные_изделия!D266",Покупные_изделия!D266)</f>
        <v>100</v>
      </c>
      <c r="M3069" s="76">
        <f>J3069*L3069</f>
        <v>26</v>
      </c>
      <c r="N3069" s="77"/>
      <c r="O3069" s="77"/>
      <c r="P3069" s="76"/>
      <c r="Q3069" s="76"/>
    </row>
    <row r="3070" spans="6:17" hidden="1" outlineLevel="6" collapsed="1" x14ac:dyDescent="0.25">
      <c r="H3070" s="103" t="s">
        <v>1374</v>
      </c>
      <c r="I3070" s="81"/>
      <c r="J3070" s="83">
        <f>HYPERLINK("#Структура!E2662",Структура!E2662)</f>
        <v>3</v>
      </c>
      <c r="K3070" s="115">
        <f>HYPERLINK("#Структура!G2662",Структура!G2662)</f>
        <v>2.5729999999999999E-2</v>
      </c>
      <c r="L3070" s="81">
        <f>M3070/J3070</f>
        <v>4.2</v>
      </c>
      <c r="M3070" s="81">
        <f>SUMIF(I3071,"*",M3071)*J3070</f>
        <v>12.600000000000001</v>
      </c>
      <c r="N3070" s="124">
        <f>HYPERLINK("#Трудозатраты!B665",Трудозатраты!B665+SUMIF(I3071,"*",O3071))</f>
        <v>28.6</v>
      </c>
      <c r="O3070" s="82">
        <f>N3070*J3070</f>
        <v>85.800000000000011</v>
      </c>
      <c r="P3070" s="81">
        <f>O3070/60*(1+запас_труд)*стоимость_трудочаса</f>
        <v>3360.5000000000005</v>
      </c>
      <c r="Q3070" s="129">
        <f>M3070*(1+наценка_покупное)+P3070</f>
        <v>3375.6200000000003</v>
      </c>
    </row>
    <row r="3071" spans="6:17" hidden="1" outlineLevel="7" x14ac:dyDescent="0.25">
      <c r="I3071" s="76" t="s">
        <v>78</v>
      </c>
      <c r="J3071" s="78">
        <f>HYPERLINK("#Структура!E2665",Структура!E2665)</f>
        <v>4.2000000000000003E-2</v>
      </c>
      <c r="K3071" s="114" t="str">
        <f>HYPERLINK("#Структура!G2665","")</f>
        <v/>
      </c>
      <c r="L3071" s="120">
        <f>HYPERLINK("#Покупные_изделия!D247",Покупные_изделия!D247)</f>
        <v>100</v>
      </c>
      <c r="M3071" s="76">
        <f>J3071*L3071</f>
        <v>4.2</v>
      </c>
      <c r="N3071" s="77"/>
      <c r="O3071" s="77"/>
      <c r="P3071" s="76"/>
      <c r="Q3071" s="76"/>
    </row>
    <row r="3072" spans="6:17" hidden="1" outlineLevel="6" x14ac:dyDescent="0.25">
      <c r="H3072" s="75" t="s">
        <v>67</v>
      </c>
      <c r="I3072" s="76"/>
      <c r="J3072" s="78">
        <f>HYPERLINK("#Структура!E2663",Структура!E2663)</f>
        <v>5.0999999999999997E-2</v>
      </c>
      <c r="K3072" s="114" t="str">
        <f>HYPERLINK("#Структура!G2663","")</f>
        <v/>
      </c>
      <c r="L3072" s="120">
        <f>HYPERLINK("#Покупные_изделия!D203",Покупные_изделия!D203)</f>
        <v>30.003600000000002</v>
      </c>
      <c r="M3072" s="76">
        <f>J3072*L3072</f>
        <v>1.5301836</v>
      </c>
      <c r="N3072" s="77"/>
      <c r="O3072" s="77"/>
      <c r="P3072" s="76"/>
      <c r="Q3072" s="76"/>
    </row>
    <row r="3073" spans="6:17" hidden="1" outlineLevel="6" x14ac:dyDescent="0.25">
      <c r="H3073" s="75" t="s">
        <v>146</v>
      </c>
      <c r="I3073" s="76"/>
      <c r="J3073" s="78">
        <f>HYPERLINK("#Структура!E2664",Структура!E2664)</f>
        <v>0.03</v>
      </c>
      <c r="K3073" s="114" t="str">
        <f>HYPERLINK("#Структура!G2664","")</f>
        <v/>
      </c>
      <c r="L3073" s="120">
        <f>HYPERLINK("#Покупные_изделия!D406",Покупные_изделия!D406)</f>
        <v>105.996</v>
      </c>
      <c r="M3073" s="76">
        <f>J3073*L3073</f>
        <v>3.1798799999999998</v>
      </c>
      <c r="N3073" s="77"/>
      <c r="O3073" s="77"/>
      <c r="P3073" s="76"/>
      <c r="Q3073" s="76"/>
    </row>
    <row r="3074" spans="6:17" hidden="1" outlineLevel="5" collapsed="1" x14ac:dyDescent="0.25">
      <c r="G3074" s="84" t="s">
        <v>1370</v>
      </c>
      <c r="H3074" s="80"/>
      <c r="I3074" s="81"/>
      <c r="J3074" s="83">
        <f>HYPERLINK("#Структура!E2644",Структура!E2644)</f>
        <v>1</v>
      </c>
      <c r="K3074" s="115">
        <f>HYPERLINK("#Структура!G2644",Структура!G2644)</f>
        <v>0.85358999999999996</v>
      </c>
      <c r="L3074" s="81">
        <f>M3074/J3074</f>
        <v>108</v>
      </c>
      <c r="M3074" s="81">
        <f>SUMIF(H3075,"*",M3075)*J3074</f>
        <v>108</v>
      </c>
      <c r="N3074" s="124">
        <f>HYPERLINK("#Трудозатраты!B659",Трудозатраты!B659+SUMIF(H3075,"*",O3075))</f>
        <v>37</v>
      </c>
      <c r="O3074" s="82">
        <f>N3074*J3074</f>
        <v>37</v>
      </c>
      <c r="P3074" s="81">
        <f>O3074/60*(1+запас_труд)*стоимость_трудочаса</f>
        <v>1449.1666666666667</v>
      </c>
      <c r="Q3074" s="129">
        <f>M3074*(1+наценка_покупное)+P3074</f>
        <v>1578.7666666666667</v>
      </c>
    </row>
    <row r="3075" spans="6:17" hidden="1" outlineLevel="6" x14ac:dyDescent="0.25">
      <c r="H3075" s="75" t="s">
        <v>177</v>
      </c>
      <c r="I3075" s="76"/>
      <c r="J3075" s="78">
        <f>HYPERLINK("#Структура!E2652",Структура!E2652)</f>
        <v>0.9</v>
      </c>
      <c r="K3075" s="114" t="str">
        <f>HYPERLINK("#Структура!G2652","")</f>
        <v/>
      </c>
      <c r="L3075" s="120">
        <f>HYPERLINK("#Покупные_изделия!D488",Покупные_изделия!D488)</f>
        <v>120</v>
      </c>
      <c r="M3075" s="76">
        <f t="shared" ref="M3075:M3082" si="120">J3075*L3075</f>
        <v>108</v>
      </c>
      <c r="N3075" s="77"/>
      <c r="O3075" s="77"/>
      <c r="P3075" s="76"/>
      <c r="Q3075" s="76"/>
    </row>
    <row r="3076" spans="6:17" hidden="1" outlineLevel="5" x14ac:dyDescent="0.25">
      <c r="G3076" s="74" t="s">
        <v>65</v>
      </c>
      <c r="H3076" s="75"/>
      <c r="I3076" s="76"/>
      <c r="J3076" s="78">
        <f>HYPERLINK("#Структура!E2645",Структура!E2645)</f>
        <v>1.4999999999999999E-2</v>
      </c>
      <c r="K3076" s="114" t="str">
        <f>HYPERLINK("#Структура!G2645","")</f>
        <v/>
      </c>
      <c r="L3076" s="120">
        <f>HYPERLINK("#Покупные_изделия!D197",Покупные_изделия!D197)</f>
        <v>264.50399999999996</v>
      </c>
      <c r="M3076" s="76">
        <f t="shared" si="120"/>
        <v>3.9675599999999993</v>
      </c>
      <c r="N3076" s="77"/>
      <c r="O3076" s="77"/>
      <c r="P3076" s="76"/>
      <c r="Q3076" s="76"/>
    </row>
    <row r="3077" spans="6:17" hidden="1" outlineLevel="5" x14ac:dyDescent="0.25">
      <c r="G3077" s="74" t="s">
        <v>67</v>
      </c>
      <c r="H3077" s="75"/>
      <c r="I3077" s="76"/>
      <c r="J3077" s="78">
        <f>HYPERLINK("#Структура!E2646",Структура!E2646)</f>
        <v>1.0999999999999999E-2</v>
      </c>
      <c r="K3077" s="114" t="str">
        <f>HYPERLINK("#Структура!G2646","")</f>
        <v/>
      </c>
      <c r="L3077" s="120">
        <f>HYPERLINK("#Покупные_изделия!D203",Покупные_изделия!D203)</f>
        <v>30.003600000000002</v>
      </c>
      <c r="M3077" s="76">
        <f t="shared" si="120"/>
        <v>0.33003959999999999</v>
      </c>
      <c r="N3077" s="77"/>
      <c r="O3077" s="77"/>
      <c r="P3077" s="76"/>
      <c r="Q3077" s="76"/>
    </row>
    <row r="3078" spans="6:17" hidden="1" outlineLevel="5" x14ac:dyDescent="0.25">
      <c r="G3078" s="74" t="s">
        <v>146</v>
      </c>
      <c r="H3078" s="75"/>
      <c r="I3078" s="76"/>
      <c r="J3078" s="78">
        <f>HYPERLINK("#Структура!E2647",Структура!E2647)</f>
        <v>6.0000000000000001E-3</v>
      </c>
      <c r="K3078" s="114" t="str">
        <f>HYPERLINK("#Структура!G2647","")</f>
        <v/>
      </c>
      <c r="L3078" s="120">
        <f>HYPERLINK("#Покупные_изделия!D406",Покупные_изделия!D406)</f>
        <v>105.996</v>
      </c>
      <c r="M3078" s="76">
        <f t="shared" si="120"/>
        <v>0.63597599999999999</v>
      </c>
      <c r="N3078" s="77"/>
      <c r="O3078" s="77"/>
      <c r="P3078" s="76"/>
      <c r="Q3078" s="76"/>
    </row>
    <row r="3079" spans="6:17" hidden="1" outlineLevel="5" x14ac:dyDescent="0.25">
      <c r="G3079" s="74" t="s">
        <v>155</v>
      </c>
      <c r="H3079" s="75"/>
      <c r="I3079" s="76"/>
      <c r="J3079" s="78">
        <f>HYPERLINK("#Структура!E2648",Структура!E2648)</f>
        <v>8.9999999999999993E-3</v>
      </c>
      <c r="K3079" s="114" t="str">
        <f>HYPERLINK("#Структура!G2648","")</f>
        <v/>
      </c>
      <c r="L3079" s="120">
        <f>HYPERLINK("#Покупные_изделия!D423",Покупные_изделия!D423)</f>
        <v>218.28</v>
      </c>
      <c r="M3079" s="76">
        <f t="shared" si="120"/>
        <v>1.9645199999999998</v>
      </c>
      <c r="N3079" s="77"/>
      <c r="O3079" s="77"/>
      <c r="P3079" s="76"/>
      <c r="Q3079" s="76"/>
    </row>
    <row r="3080" spans="6:17" hidden="1" outlineLevel="5" x14ac:dyDescent="0.25">
      <c r="G3080" s="74" t="s">
        <v>156</v>
      </c>
      <c r="H3080" s="75"/>
      <c r="I3080" s="76"/>
      <c r="J3080" s="78">
        <f>HYPERLINK("#Структура!E2649",Структура!E2649)</f>
        <v>1.2999999999999999E-2</v>
      </c>
      <c r="K3080" s="114" t="str">
        <f>HYPERLINK("#Структура!G2649","")</f>
        <v/>
      </c>
      <c r="L3080" s="120">
        <f>HYPERLINK("#Покупные_изделия!D427",Покупные_изделия!D427)</f>
        <v>155.53200000000001</v>
      </c>
      <c r="M3080" s="76">
        <f t="shared" si="120"/>
        <v>2.021916</v>
      </c>
      <c r="N3080" s="77"/>
      <c r="O3080" s="77"/>
      <c r="P3080" s="76"/>
      <c r="Q3080" s="76"/>
    </row>
    <row r="3081" spans="6:17" hidden="1" outlineLevel="5" x14ac:dyDescent="0.25">
      <c r="G3081" s="74" t="s">
        <v>161</v>
      </c>
      <c r="H3081" s="75"/>
      <c r="I3081" s="76"/>
      <c r="J3081" s="78">
        <f>HYPERLINK("#Структура!E2650",Структура!E2650)</f>
        <v>0.05</v>
      </c>
      <c r="K3081" s="114" t="str">
        <f>HYPERLINK("#Структура!G2650","")</f>
        <v/>
      </c>
      <c r="L3081" s="120">
        <f>HYPERLINK("#Покупные_изделия!D446",Покупные_изделия!D446)</f>
        <v>4121.9639999999999</v>
      </c>
      <c r="M3081" s="76">
        <f t="shared" si="120"/>
        <v>206.09820000000002</v>
      </c>
      <c r="N3081" s="77"/>
      <c r="O3081" s="77"/>
      <c r="P3081" s="76"/>
      <c r="Q3081" s="76"/>
    </row>
    <row r="3082" spans="6:17" hidden="1" outlineLevel="5" x14ac:dyDescent="0.25">
      <c r="G3082" s="74" t="s">
        <v>215</v>
      </c>
      <c r="H3082" s="75"/>
      <c r="I3082" s="76"/>
      <c r="J3082" s="78">
        <f>HYPERLINK("#Структура!E2651",Структура!E2651)</f>
        <v>0.03</v>
      </c>
      <c r="K3082" s="114" t="str">
        <f>HYPERLINK("#Структура!G2651","")</f>
        <v/>
      </c>
      <c r="L3082" s="120">
        <f>HYPERLINK("#Покупные_изделия!D567",Покупные_изделия!D567)</f>
        <v>405.74399999999997</v>
      </c>
      <c r="M3082" s="76">
        <f t="shared" si="120"/>
        <v>12.172319999999999</v>
      </c>
      <c r="N3082" s="77"/>
      <c r="O3082" s="77"/>
      <c r="P3082" s="76"/>
      <c r="Q3082" s="76"/>
    </row>
    <row r="3083" spans="6:17" hidden="1" outlineLevel="4" collapsed="1" x14ac:dyDescent="0.25">
      <c r="F3083" s="96" t="s">
        <v>1339</v>
      </c>
      <c r="G3083" s="91"/>
      <c r="H3083" s="92"/>
      <c r="I3083" s="93"/>
      <c r="J3083" s="95">
        <f>HYPERLINK("#Структура!E2494",Структура!E2494)</f>
        <v>1</v>
      </c>
      <c r="K3083" s="116">
        <f>HYPERLINK("#Структура!G2494",Структура!G2494)</f>
        <v>4.1160000000000002E-2</v>
      </c>
      <c r="L3083" s="93">
        <f>M3083/J3083</f>
        <v>19.0522092</v>
      </c>
      <c r="M3083" s="93">
        <f>SUMIF(G3084:G3088,"*",M3084:M3088)*J3083</f>
        <v>19.0522092</v>
      </c>
      <c r="N3083" s="125">
        <f>HYPERLINK("#Трудозатраты!B666",Трудозатраты!B666+SUMIF(G3084:G3088,"*",O3084:O3088))</f>
        <v>6.6</v>
      </c>
      <c r="O3083" s="94">
        <f>N3083*J3083</f>
        <v>6.6</v>
      </c>
      <c r="P3083" s="93">
        <f>O3083/60*(1+запас_труд)*стоимость_трудочаса</f>
        <v>258.5</v>
      </c>
      <c r="Q3083" s="130">
        <f>M3083*(1+наценка_покупное)+P3083</f>
        <v>281.36265104</v>
      </c>
    </row>
    <row r="3084" spans="6:17" hidden="1" outlineLevel="5" collapsed="1" x14ac:dyDescent="0.25">
      <c r="G3084" s="85" t="s">
        <v>1375</v>
      </c>
      <c r="H3084" s="87"/>
      <c r="I3084" s="88"/>
      <c r="J3084" s="90">
        <f>HYPERLINK("#Структура!E2666",Структура!E2666)</f>
        <v>1</v>
      </c>
      <c r="K3084" s="113">
        <f>HYPERLINK("#Структура!G2666",Структура!G2666)</f>
        <v>2.632E-2</v>
      </c>
      <c r="L3084" s="88">
        <f>M3084/J3084</f>
        <v>9</v>
      </c>
      <c r="M3084" s="88">
        <f>SUMIF(H3085,"*",M3085)*J3084</f>
        <v>9</v>
      </c>
      <c r="N3084" s="123">
        <f>HYPERLINK("#Трудозатраты!B667",Трудозатраты!B667+SUMIF(H3085,"*",O3085))</f>
        <v>3.6</v>
      </c>
      <c r="O3084" s="89">
        <f>N3084*J3084</f>
        <v>3.6</v>
      </c>
      <c r="P3084" s="88">
        <f>O3084/60*(1+запас_труд)*стоимость_трудочаса</f>
        <v>141</v>
      </c>
      <c r="Q3084" s="128">
        <f>M3084*(1+наценка_покупное)+P3084</f>
        <v>151.80000000000001</v>
      </c>
    </row>
    <row r="3085" spans="6:17" hidden="1" outlineLevel="6" x14ac:dyDescent="0.25">
      <c r="H3085" s="75" t="s">
        <v>99</v>
      </c>
      <c r="I3085" s="76"/>
      <c r="J3085" s="78">
        <f>HYPERLINK("#Структура!E2670",Структура!E2670)</f>
        <v>0.03</v>
      </c>
      <c r="K3085" s="114" t="str">
        <f>HYPERLINK("#Структура!G2670","")</f>
        <v/>
      </c>
      <c r="L3085" s="120">
        <f>HYPERLINK("#Покупные_изделия!D268",Покупные_изделия!D268)</f>
        <v>300</v>
      </c>
      <c r="M3085" s="76">
        <f>J3085*L3085</f>
        <v>9</v>
      </c>
      <c r="N3085" s="77"/>
      <c r="O3085" s="77"/>
      <c r="P3085" s="76"/>
      <c r="Q3085" s="76"/>
    </row>
    <row r="3086" spans="6:17" hidden="1" outlineLevel="5" x14ac:dyDescent="0.25">
      <c r="G3086" s="74" t="s">
        <v>47</v>
      </c>
      <c r="H3086" s="75"/>
      <c r="I3086" s="76"/>
      <c r="J3086" s="78">
        <f>HYPERLINK("#Структура!E2667",Структура!E2667)</f>
        <v>1</v>
      </c>
      <c r="K3086" s="114">
        <f>HYPERLINK("#Структура!G2667",Структура!G2667)</f>
        <v>1.5699999999999999E-2</v>
      </c>
      <c r="L3086" s="120">
        <f>HYPERLINK("#Покупные_изделия!D104",Покупные_изделия!D104)</f>
        <v>6.8772000000000002</v>
      </c>
      <c r="M3086" s="76">
        <f>J3086*L3086</f>
        <v>6.8772000000000002</v>
      </c>
      <c r="N3086" s="77"/>
      <c r="O3086" s="77"/>
      <c r="P3086" s="76"/>
      <c r="Q3086" s="76"/>
    </row>
    <row r="3087" spans="6:17" hidden="1" outlineLevel="5" x14ac:dyDescent="0.25">
      <c r="G3087" s="74" t="s">
        <v>67</v>
      </c>
      <c r="H3087" s="75"/>
      <c r="I3087" s="76"/>
      <c r="J3087" s="78">
        <f>HYPERLINK("#Структура!E2668",Структура!E2668)</f>
        <v>7.0000000000000001E-3</v>
      </c>
      <c r="K3087" s="114" t="str">
        <f>HYPERLINK("#Структура!G2668","")</f>
        <v/>
      </c>
      <c r="L3087" s="120">
        <f>HYPERLINK("#Покупные_изделия!D203",Покупные_изделия!D203)</f>
        <v>30.003600000000002</v>
      </c>
      <c r="M3087" s="76">
        <f>J3087*L3087</f>
        <v>0.21002520000000002</v>
      </c>
      <c r="N3087" s="77"/>
      <c r="O3087" s="77"/>
      <c r="P3087" s="76"/>
      <c r="Q3087" s="76"/>
    </row>
    <row r="3088" spans="6:17" hidden="1" outlineLevel="5" x14ac:dyDescent="0.25">
      <c r="G3088" s="74" t="s">
        <v>147</v>
      </c>
      <c r="H3088" s="75"/>
      <c r="I3088" s="76"/>
      <c r="J3088" s="78">
        <f>HYPERLINK("#Структура!E2669",Структура!E2669)</f>
        <v>4.0000000000000001E-3</v>
      </c>
      <c r="K3088" s="114" t="str">
        <f>HYPERLINK("#Структура!G2669","")</f>
        <v/>
      </c>
      <c r="L3088" s="120">
        <f>HYPERLINK("#Покупные_изделия!D407",Покупные_изделия!D407)</f>
        <v>741.24599999999998</v>
      </c>
      <c r="M3088" s="76">
        <f>J3088*L3088</f>
        <v>2.9649839999999998</v>
      </c>
      <c r="N3088" s="77"/>
      <c r="O3088" s="77"/>
      <c r="P3088" s="76"/>
      <c r="Q3088" s="76"/>
    </row>
    <row r="3089" spans="6:17" hidden="1" outlineLevel="4" collapsed="1" x14ac:dyDescent="0.25">
      <c r="F3089" s="84" t="s">
        <v>1340</v>
      </c>
      <c r="G3089" s="79"/>
      <c r="H3089" s="80"/>
      <c r="I3089" s="81"/>
      <c r="J3089" s="83">
        <f>HYPERLINK("#Структура!E2495",Структура!E2495)</f>
        <v>1</v>
      </c>
      <c r="K3089" s="115">
        <f>HYPERLINK("#Структура!G2495",Структура!G2495)</f>
        <v>3.1150000000000001E-2</v>
      </c>
      <c r="L3089" s="81">
        <f>M3089/J3089</f>
        <v>15.249804000000001</v>
      </c>
      <c r="M3089" s="81">
        <f>SUMIF(G3090:G3094,"*",M3090:M3094)*J3089</f>
        <v>15.249804000000001</v>
      </c>
      <c r="N3089" s="124">
        <f>HYPERLINK("#Трудозатраты!B628",Трудозатраты!B628+SUMIF(G3090:G3094,"*",O3090:O3094))</f>
        <v>2.7</v>
      </c>
      <c r="O3089" s="82">
        <f>N3089*J3089</f>
        <v>2.7</v>
      </c>
      <c r="P3089" s="81">
        <f>O3089/60*(1+запас_труд)*стоимость_трудочаса</f>
        <v>105.75000000000001</v>
      </c>
      <c r="Q3089" s="129">
        <f>M3089*(1+наценка_покупное)+P3089</f>
        <v>124.04976480000002</v>
      </c>
    </row>
    <row r="3090" spans="6:17" hidden="1" outlineLevel="5" x14ac:dyDescent="0.25">
      <c r="G3090" s="74" t="s">
        <v>65</v>
      </c>
      <c r="H3090" s="75"/>
      <c r="I3090" s="76"/>
      <c r="J3090" s="78">
        <f>HYPERLINK("#Структура!E2536",Структура!E2536)</f>
        <v>1E-3</v>
      </c>
      <c r="K3090" s="114" t="str">
        <f>HYPERLINK("#Структура!G2536","")</f>
        <v/>
      </c>
      <c r="L3090" s="120">
        <f>HYPERLINK("#Покупные_изделия!D197",Покупные_изделия!D197)</f>
        <v>264.50399999999996</v>
      </c>
      <c r="M3090" s="76">
        <f>J3090*L3090</f>
        <v>0.26450399999999996</v>
      </c>
      <c r="N3090" s="77"/>
      <c r="O3090" s="77"/>
      <c r="P3090" s="76"/>
      <c r="Q3090" s="76"/>
    </row>
    <row r="3091" spans="6:17" hidden="1" outlineLevel="5" x14ac:dyDescent="0.25">
      <c r="G3091" s="74" t="s">
        <v>112</v>
      </c>
      <c r="H3091" s="75"/>
      <c r="I3091" s="76"/>
      <c r="J3091" s="78">
        <f>HYPERLINK("#Структура!E2537",Структура!E2537)</f>
        <v>4.5999999999999999E-2</v>
      </c>
      <c r="K3091" s="114" t="str">
        <f>HYPERLINK("#Структура!G2537","")</f>
        <v/>
      </c>
      <c r="L3091" s="120">
        <f>HYPERLINK("#Покупные_изделия!D285",Покупные_изделия!D285)</f>
        <v>300</v>
      </c>
      <c r="M3091" s="76">
        <f>J3091*L3091</f>
        <v>13.799999999999999</v>
      </c>
      <c r="N3091" s="77"/>
      <c r="O3091" s="77"/>
      <c r="P3091" s="76"/>
      <c r="Q3091" s="76"/>
    </row>
    <row r="3092" spans="6:17" hidden="1" outlineLevel="5" x14ac:dyDescent="0.25">
      <c r="G3092" s="74" t="s">
        <v>155</v>
      </c>
      <c r="H3092" s="75"/>
      <c r="I3092" s="76"/>
      <c r="J3092" s="78">
        <f>HYPERLINK("#Структура!E2538",Структура!E2538)</f>
        <v>1E-3</v>
      </c>
      <c r="K3092" s="114" t="str">
        <f>HYPERLINK("#Структура!G2538","")</f>
        <v/>
      </c>
      <c r="L3092" s="120">
        <f>HYPERLINK("#Покупные_изделия!D423",Покупные_изделия!D423)</f>
        <v>218.28</v>
      </c>
      <c r="M3092" s="76">
        <f>J3092*L3092</f>
        <v>0.21828</v>
      </c>
      <c r="N3092" s="77"/>
      <c r="O3092" s="77"/>
      <c r="P3092" s="76"/>
      <c r="Q3092" s="76"/>
    </row>
    <row r="3093" spans="6:17" hidden="1" outlineLevel="5" x14ac:dyDescent="0.25">
      <c r="G3093" s="74" t="s">
        <v>156</v>
      </c>
      <c r="H3093" s="75"/>
      <c r="I3093" s="76"/>
      <c r="J3093" s="78">
        <f>HYPERLINK("#Структура!E2539",Структура!E2539)</f>
        <v>1E-3</v>
      </c>
      <c r="K3093" s="114" t="str">
        <f>HYPERLINK("#Структура!G2539","")</f>
        <v/>
      </c>
      <c r="L3093" s="120">
        <f>HYPERLINK("#Покупные_изделия!D427",Покупные_изделия!D427)</f>
        <v>155.53200000000001</v>
      </c>
      <c r="M3093" s="76">
        <f>J3093*L3093</f>
        <v>0.155532</v>
      </c>
      <c r="N3093" s="77"/>
      <c r="O3093" s="77"/>
      <c r="P3093" s="76"/>
      <c r="Q3093" s="76"/>
    </row>
    <row r="3094" spans="6:17" hidden="1" outlineLevel="5" x14ac:dyDescent="0.25">
      <c r="G3094" s="74" t="s">
        <v>215</v>
      </c>
      <c r="H3094" s="75"/>
      <c r="I3094" s="76"/>
      <c r="J3094" s="78">
        <f>HYPERLINK("#Структура!E2540",Структура!E2540)</f>
        <v>2E-3</v>
      </c>
      <c r="K3094" s="114" t="str">
        <f>HYPERLINK("#Структура!G2540","")</f>
        <v/>
      </c>
      <c r="L3094" s="120">
        <f>HYPERLINK("#Покупные_изделия!D567",Покупные_изделия!D567)</f>
        <v>405.74399999999997</v>
      </c>
      <c r="M3094" s="76">
        <f>J3094*L3094</f>
        <v>0.81148799999999999</v>
      </c>
      <c r="N3094" s="77"/>
      <c r="O3094" s="77"/>
      <c r="P3094" s="76"/>
      <c r="Q3094" s="76"/>
    </row>
    <row r="3095" spans="6:17" hidden="1" outlineLevel="4" collapsed="1" x14ac:dyDescent="0.25">
      <c r="F3095" s="84" t="s">
        <v>1341</v>
      </c>
      <c r="G3095" s="79"/>
      <c r="H3095" s="80"/>
      <c r="I3095" s="81"/>
      <c r="J3095" s="83">
        <f>HYPERLINK("#Структура!E2496",Структура!E2496)</f>
        <v>1</v>
      </c>
      <c r="K3095" s="115">
        <f>HYPERLINK("#Структура!G2496",Структура!G2496)</f>
        <v>0.65620000000000001</v>
      </c>
      <c r="L3095" s="81">
        <f>M3095/J3095</f>
        <v>167.43520000000001</v>
      </c>
      <c r="M3095" s="81">
        <f>SUMIF(G3096,"*",M3096)*J3095</f>
        <v>167.43520000000001</v>
      </c>
      <c r="N3095" s="124">
        <f>HYPERLINK("#Трудозатраты!B629",Трудозатраты!B629+SUMIF(G3096,"*",O3096))</f>
        <v>2.8</v>
      </c>
      <c r="O3095" s="82">
        <f>N3095*J3095</f>
        <v>2.8</v>
      </c>
      <c r="P3095" s="81">
        <f>O3095/60*(1+запас_труд)*стоимость_трудочаса</f>
        <v>109.66666666666666</v>
      </c>
      <c r="Q3095" s="129">
        <f>M3095*(1+наценка_покупное)+P3095</f>
        <v>310.58890666666667</v>
      </c>
    </row>
    <row r="3096" spans="6:17" hidden="1" outlineLevel="5" x14ac:dyDescent="0.25">
      <c r="G3096" s="74" t="s">
        <v>131</v>
      </c>
      <c r="H3096" s="75"/>
      <c r="I3096" s="76"/>
      <c r="J3096" s="78">
        <f>HYPERLINK("#Структура!E2541",Структура!E2541)</f>
        <v>1.04647</v>
      </c>
      <c r="K3096" s="114" t="str">
        <f>HYPERLINK("#Структура!G2541","")</f>
        <v/>
      </c>
      <c r="L3096" s="120">
        <f>HYPERLINK("#Покупные_изделия!D306",Покупные_изделия!D306)</f>
        <v>160</v>
      </c>
      <c r="M3096" s="76">
        <f>J3096*L3096</f>
        <v>167.43520000000001</v>
      </c>
      <c r="N3096" s="77"/>
      <c r="O3096" s="77"/>
      <c r="P3096" s="76"/>
      <c r="Q3096" s="76"/>
    </row>
    <row r="3097" spans="6:17" hidden="1" outlineLevel="4" collapsed="1" x14ac:dyDescent="0.25">
      <c r="F3097" s="84" t="s">
        <v>1342</v>
      </c>
      <c r="G3097" s="79"/>
      <c r="H3097" s="80"/>
      <c r="I3097" s="81"/>
      <c r="J3097" s="83">
        <f>HYPERLINK("#Структура!E2497",Структура!E2497)</f>
        <v>1</v>
      </c>
      <c r="K3097" s="115">
        <f>HYPERLINK("#Структура!G2497",Структура!G2497)</f>
        <v>0.65620000000000001</v>
      </c>
      <c r="L3097" s="81">
        <f>M3097/J3097</f>
        <v>167.43520000000001</v>
      </c>
      <c r="M3097" s="81">
        <f>SUMIF(G3098,"*",M3098)*J3097</f>
        <v>167.43520000000001</v>
      </c>
      <c r="N3097" s="124">
        <f>HYPERLINK("#Трудозатраты!B630",Трудозатраты!B630+SUMIF(G3098,"*",O3098))</f>
        <v>2.8</v>
      </c>
      <c r="O3097" s="82">
        <f>N3097*J3097</f>
        <v>2.8</v>
      </c>
      <c r="P3097" s="81">
        <f>O3097/60*(1+запас_труд)*стоимость_трудочаса</f>
        <v>109.66666666666666</v>
      </c>
      <c r="Q3097" s="129">
        <f>M3097*(1+наценка_покупное)+P3097</f>
        <v>310.58890666666667</v>
      </c>
    </row>
    <row r="3098" spans="6:17" hidden="1" outlineLevel="5" x14ac:dyDescent="0.25">
      <c r="G3098" s="74" t="s">
        <v>131</v>
      </c>
      <c r="H3098" s="75"/>
      <c r="I3098" s="76"/>
      <c r="J3098" s="78">
        <f>HYPERLINK("#Структура!E2542",Структура!E2542)</f>
        <v>1.04647</v>
      </c>
      <c r="K3098" s="114" t="str">
        <f>HYPERLINK("#Структура!G2542","")</f>
        <v/>
      </c>
      <c r="L3098" s="120">
        <f>HYPERLINK("#Покупные_изделия!D306",Покупные_изделия!D306)</f>
        <v>160</v>
      </c>
      <c r="M3098" s="76">
        <f>J3098*L3098</f>
        <v>167.43520000000001</v>
      </c>
      <c r="N3098" s="77"/>
      <c r="O3098" s="77"/>
      <c r="P3098" s="76"/>
      <c r="Q3098" s="76"/>
    </row>
    <row r="3099" spans="6:17" hidden="1" outlineLevel="4" collapsed="1" x14ac:dyDescent="0.25">
      <c r="F3099" s="84" t="s">
        <v>1343</v>
      </c>
      <c r="G3099" s="79"/>
      <c r="H3099" s="80"/>
      <c r="I3099" s="81"/>
      <c r="J3099" s="83">
        <f>HYPERLINK("#Структура!E2498",Структура!E2498)</f>
        <v>1</v>
      </c>
      <c r="K3099" s="115">
        <f>HYPERLINK("#Структура!G2498",Структура!G2498)</f>
        <v>5.3449999999999998E-2</v>
      </c>
      <c r="L3099" s="81">
        <f>M3099/J3099</f>
        <v>10.475200000000001</v>
      </c>
      <c r="M3099" s="81">
        <f>SUMIF(G3100,"*",M3100)*J3099</f>
        <v>10.475200000000001</v>
      </c>
      <c r="N3099" s="124">
        <f>HYPERLINK("#Трудозатраты!B631",Трудозатраты!B631+SUMIF(G3100,"*",O3100))</f>
        <v>6.3</v>
      </c>
      <c r="O3099" s="82">
        <f>N3099*J3099</f>
        <v>6.3</v>
      </c>
      <c r="P3099" s="81">
        <f>O3099/60*(1+запас_труд)*стоимость_трудочаса</f>
        <v>246.75</v>
      </c>
      <c r="Q3099" s="129">
        <f>M3099*(1+наценка_покупное)+P3099</f>
        <v>259.32024000000001</v>
      </c>
    </row>
    <row r="3100" spans="6:17" hidden="1" outlineLevel="5" x14ac:dyDescent="0.25">
      <c r="G3100" s="74" t="s">
        <v>123</v>
      </c>
      <c r="H3100" s="75"/>
      <c r="I3100" s="76"/>
      <c r="J3100" s="78">
        <f>HYPERLINK("#Структура!E2543",Структура!E2543)</f>
        <v>6.547E-2</v>
      </c>
      <c r="K3100" s="114" t="str">
        <f>HYPERLINK("#Структура!G2543","")</f>
        <v/>
      </c>
      <c r="L3100" s="120">
        <f>HYPERLINK("#Покупные_изделия!D298",Покупные_изделия!D298)</f>
        <v>160</v>
      </c>
      <c r="M3100" s="76">
        <f>J3100*L3100</f>
        <v>10.475200000000001</v>
      </c>
      <c r="N3100" s="77"/>
      <c r="O3100" s="77"/>
      <c r="P3100" s="76"/>
      <c r="Q3100" s="76"/>
    </row>
    <row r="3101" spans="6:17" hidden="1" outlineLevel="4" collapsed="1" x14ac:dyDescent="0.25">
      <c r="F3101" s="84" t="s">
        <v>1344</v>
      </c>
      <c r="G3101" s="79"/>
      <c r="H3101" s="80"/>
      <c r="I3101" s="81"/>
      <c r="J3101" s="83">
        <f>HYPERLINK("#Структура!E2499",Структура!E2499)</f>
        <v>1</v>
      </c>
      <c r="K3101" s="115">
        <f>HYPERLINK("#Структура!G2499",Структура!G2499)</f>
        <v>3.662E-2</v>
      </c>
      <c r="L3101" s="81">
        <f>M3101/J3101</f>
        <v>7.6559999999999997</v>
      </c>
      <c r="M3101" s="81">
        <f>SUMIF(G3102,"*",M3102)*J3101</f>
        <v>7.6559999999999997</v>
      </c>
      <c r="N3101" s="124">
        <f>HYPERLINK("#Трудозатраты!B632",Трудозатраты!B632+SUMIF(G3102,"*",O3102))</f>
        <v>4.5</v>
      </c>
      <c r="O3101" s="82">
        <f>N3101*J3101</f>
        <v>4.5</v>
      </c>
      <c r="P3101" s="81">
        <f>O3101/60*(1+запас_труд)*стоимость_трудочаса</f>
        <v>176.25</v>
      </c>
      <c r="Q3101" s="129">
        <f>M3101*(1+наценка_покупное)+P3101</f>
        <v>185.43719999999999</v>
      </c>
    </row>
    <row r="3102" spans="6:17" hidden="1" outlineLevel="5" x14ac:dyDescent="0.25">
      <c r="G3102" s="74" t="s">
        <v>123</v>
      </c>
      <c r="H3102" s="75"/>
      <c r="I3102" s="76"/>
      <c r="J3102" s="78">
        <f>HYPERLINK("#Структура!E2544",Структура!E2544)</f>
        <v>4.7849999999999997E-2</v>
      </c>
      <c r="K3102" s="114" t="str">
        <f>HYPERLINK("#Структура!G2544","")</f>
        <v/>
      </c>
      <c r="L3102" s="120">
        <f>HYPERLINK("#Покупные_изделия!D298",Покупные_изделия!D298)</f>
        <v>160</v>
      </c>
      <c r="M3102" s="76">
        <f>J3102*L3102</f>
        <v>7.6559999999999997</v>
      </c>
      <c r="N3102" s="77"/>
      <c r="O3102" s="77"/>
      <c r="P3102" s="76"/>
      <c r="Q3102" s="76"/>
    </row>
    <row r="3103" spans="6:17" hidden="1" outlineLevel="4" collapsed="1" x14ac:dyDescent="0.25">
      <c r="F3103" s="84" t="s">
        <v>1345</v>
      </c>
      <c r="G3103" s="79"/>
      <c r="H3103" s="80"/>
      <c r="I3103" s="81"/>
      <c r="J3103" s="83">
        <f>HYPERLINK("#Структура!E2500",Структура!E2500)</f>
        <v>1</v>
      </c>
      <c r="K3103" s="115">
        <f>HYPERLINK("#Структура!G2500",Структура!G2500)</f>
        <v>3.0429999999999999E-2</v>
      </c>
      <c r="L3103" s="81">
        <f>M3103/J3103</f>
        <v>6.4512</v>
      </c>
      <c r="M3103" s="81">
        <f>SUMIF(G3104,"*",M3104)*J3103</f>
        <v>6.4512</v>
      </c>
      <c r="N3103" s="124">
        <f>HYPERLINK("#Трудозатраты!B633",Трудозатраты!B633+SUMIF(G3104,"*",O3104))</f>
        <v>4.5999999999999996</v>
      </c>
      <c r="O3103" s="82">
        <f>N3103*J3103</f>
        <v>4.5999999999999996</v>
      </c>
      <c r="P3103" s="81">
        <f>O3103/60*(1+запас_труд)*стоимость_трудочаса</f>
        <v>180.16666666666666</v>
      </c>
      <c r="Q3103" s="129">
        <f>M3103*(1+наценка_покупное)+P3103</f>
        <v>187.90810666666667</v>
      </c>
    </row>
    <row r="3104" spans="6:17" hidden="1" outlineLevel="5" x14ac:dyDescent="0.25">
      <c r="G3104" s="74" t="s">
        <v>123</v>
      </c>
      <c r="H3104" s="75"/>
      <c r="I3104" s="76"/>
      <c r="J3104" s="78">
        <f>HYPERLINK("#Структура!E2545",Структура!E2545)</f>
        <v>4.0320000000000002E-2</v>
      </c>
      <c r="K3104" s="114" t="str">
        <f>HYPERLINK("#Структура!G2545","")</f>
        <v/>
      </c>
      <c r="L3104" s="120">
        <f>HYPERLINK("#Покупные_изделия!D298",Покупные_изделия!D298)</f>
        <v>160</v>
      </c>
      <c r="M3104" s="76">
        <f>J3104*L3104</f>
        <v>6.4512</v>
      </c>
      <c r="N3104" s="77"/>
      <c r="O3104" s="77"/>
      <c r="P3104" s="76"/>
      <c r="Q3104" s="76"/>
    </row>
    <row r="3105" spans="6:17" hidden="1" outlineLevel="4" collapsed="1" x14ac:dyDescent="0.25">
      <c r="F3105" s="84" t="s">
        <v>1346</v>
      </c>
      <c r="G3105" s="79"/>
      <c r="H3105" s="80"/>
      <c r="I3105" s="81"/>
      <c r="J3105" s="83">
        <f>HYPERLINK("#Структура!E2501",Структура!E2501)</f>
        <v>6</v>
      </c>
      <c r="K3105" s="115">
        <f>HYPERLINK("#Структура!G2501",Структура!G2501)</f>
        <v>3.3660000000000002E-2</v>
      </c>
      <c r="L3105" s="81">
        <f>M3105/J3105</f>
        <v>9.2440600000000028</v>
      </c>
      <c r="M3105" s="81">
        <f>SUMIF(G3106:G3110,"*",M3106:M3110)*J3105</f>
        <v>55.464360000000013</v>
      </c>
      <c r="N3105" s="124">
        <f>HYPERLINK("#Трудозатраты!B634",Трудозатраты!B634+SUMIF(G3106:G3110,"*",O3106:O3110))</f>
        <v>12.7</v>
      </c>
      <c r="O3105" s="82">
        <f>N3105*J3105</f>
        <v>76.199999999999989</v>
      </c>
      <c r="P3105" s="81">
        <f>O3105/60*(1+запас_труд)*стоимость_трудочаса</f>
        <v>2984.4999999999995</v>
      </c>
      <c r="Q3105" s="129">
        <f>M3105*(1+наценка_покупное)+P3105</f>
        <v>3051.0572319999997</v>
      </c>
    </row>
    <row r="3106" spans="6:17" hidden="1" outlineLevel="5" x14ac:dyDescent="0.25">
      <c r="G3106" s="74" t="s">
        <v>65</v>
      </c>
      <c r="H3106" s="75"/>
      <c r="I3106" s="76"/>
      <c r="J3106" s="78">
        <f>HYPERLINK("#Структура!E2546",Структура!E2546)</f>
        <v>1E-3</v>
      </c>
      <c r="K3106" s="114" t="str">
        <f>HYPERLINK("#Структура!G2546","")</f>
        <v/>
      </c>
      <c r="L3106" s="120">
        <f>HYPERLINK("#Покупные_изделия!D197",Покупные_изделия!D197)</f>
        <v>264.50399999999996</v>
      </c>
      <c r="M3106" s="76">
        <f>J3106*L3106</f>
        <v>0.26450399999999996</v>
      </c>
      <c r="N3106" s="77"/>
      <c r="O3106" s="77"/>
      <c r="P3106" s="76"/>
      <c r="Q3106" s="76"/>
    </row>
    <row r="3107" spans="6:17" hidden="1" outlineLevel="5" x14ac:dyDescent="0.25">
      <c r="G3107" s="74" t="s">
        <v>83</v>
      </c>
      <c r="H3107" s="75"/>
      <c r="I3107" s="76"/>
      <c r="J3107" s="78">
        <f>HYPERLINK("#Структура!E2547",Структура!E2547)</f>
        <v>8.2000000000000003E-2</v>
      </c>
      <c r="K3107" s="114" t="str">
        <f>HYPERLINK("#Структура!G2547","")</f>
        <v/>
      </c>
      <c r="L3107" s="120">
        <f>HYPERLINK("#Покупные_изделия!D252",Покупные_изделия!D252)</f>
        <v>100</v>
      </c>
      <c r="M3107" s="76">
        <f>J3107*L3107</f>
        <v>8.2000000000000011</v>
      </c>
      <c r="N3107" s="77"/>
      <c r="O3107" s="77"/>
      <c r="P3107" s="76"/>
      <c r="Q3107" s="76"/>
    </row>
    <row r="3108" spans="6:17" hidden="1" outlineLevel="5" x14ac:dyDescent="0.25">
      <c r="G3108" s="74" t="s">
        <v>155</v>
      </c>
      <c r="H3108" s="75"/>
      <c r="I3108" s="76"/>
      <c r="J3108" s="78">
        <f>HYPERLINK("#Структура!E2548",Структура!E2548)</f>
        <v>1E-3</v>
      </c>
      <c r="K3108" s="114" t="str">
        <f>HYPERLINK("#Структура!G2548","")</f>
        <v/>
      </c>
      <c r="L3108" s="120">
        <f>HYPERLINK("#Покупные_изделия!D423",Покупные_изделия!D423)</f>
        <v>218.28</v>
      </c>
      <c r="M3108" s="76">
        <f>J3108*L3108</f>
        <v>0.21828</v>
      </c>
      <c r="N3108" s="77"/>
      <c r="O3108" s="77"/>
      <c r="P3108" s="76"/>
      <c r="Q3108" s="76"/>
    </row>
    <row r="3109" spans="6:17" hidden="1" outlineLevel="5" x14ac:dyDescent="0.25">
      <c r="G3109" s="74" t="s">
        <v>156</v>
      </c>
      <c r="H3109" s="75"/>
      <c r="I3109" s="76"/>
      <c r="J3109" s="78">
        <f>HYPERLINK("#Структура!E2549",Структура!E2549)</f>
        <v>1E-3</v>
      </c>
      <c r="K3109" s="114" t="str">
        <f>HYPERLINK("#Структура!G2549","")</f>
        <v/>
      </c>
      <c r="L3109" s="120">
        <f>HYPERLINK("#Покупные_изделия!D427",Покупные_изделия!D427)</f>
        <v>155.53200000000001</v>
      </c>
      <c r="M3109" s="76">
        <f>J3109*L3109</f>
        <v>0.155532</v>
      </c>
      <c r="N3109" s="77"/>
      <c r="O3109" s="77"/>
      <c r="P3109" s="76"/>
      <c r="Q3109" s="76"/>
    </row>
    <row r="3110" spans="6:17" hidden="1" outlineLevel="5" x14ac:dyDescent="0.25">
      <c r="G3110" s="74" t="s">
        <v>215</v>
      </c>
      <c r="H3110" s="75"/>
      <c r="I3110" s="76"/>
      <c r="J3110" s="78">
        <f>HYPERLINK("#Структура!E2550",Структура!E2550)</f>
        <v>1E-3</v>
      </c>
      <c r="K3110" s="114" t="str">
        <f>HYPERLINK("#Структура!G2550","")</f>
        <v/>
      </c>
      <c r="L3110" s="120">
        <f>HYPERLINK("#Покупные_изделия!D567",Покупные_изделия!D567)</f>
        <v>405.74399999999997</v>
      </c>
      <c r="M3110" s="76">
        <f>J3110*L3110</f>
        <v>0.40574399999999999</v>
      </c>
      <c r="N3110" s="77"/>
      <c r="O3110" s="77"/>
      <c r="P3110" s="76"/>
      <c r="Q3110" s="76"/>
    </row>
    <row r="3111" spans="6:17" hidden="1" outlineLevel="4" collapsed="1" x14ac:dyDescent="0.25">
      <c r="F3111" s="84" t="s">
        <v>1347</v>
      </c>
      <c r="G3111" s="79"/>
      <c r="H3111" s="80"/>
      <c r="I3111" s="81"/>
      <c r="J3111" s="83">
        <f>HYPERLINK("#Структура!E2502",Структура!E2502)</f>
        <v>1</v>
      </c>
      <c r="K3111" s="115">
        <f>HYPERLINK("#Структура!G2502",Структура!G2502)</f>
        <v>3.6850000000000001E-2</v>
      </c>
      <c r="L3111" s="81">
        <f>M3111/J3111</f>
        <v>11.608619999999998</v>
      </c>
      <c r="M3111" s="81">
        <f>SUMIF(G3112:G3116,"*",M3112:M3116)*J3111</f>
        <v>11.608619999999998</v>
      </c>
      <c r="N3111" s="124">
        <f>HYPERLINK("#Трудозатраты!B635",Трудозатраты!B635+SUMIF(G3112:G3116,"*",O3112:O3116))</f>
        <v>14.6</v>
      </c>
      <c r="O3111" s="82">
        <f>N3111*J3111</f>
        <v>14.6</v>
      </c>
      <c r="P3111" s="81">
        <f>O3111/60*(1+запас_труд)*стоимость_трудочаса</f>
        <v>571.83333333333326</v>
      </c>
      <c r="Q3111" s="129">
        <f>M3111*(1+наценка_покупное)+P3111</f>
        <v>585.76367733333325</v>
      </c>
    </row>
    <row r="3112" spans="6:17" hidden="1" outlineLevel="5" x14ac:dyDescent="0.25">
      <c r="G3112" s="74" t="s">
        <v>65</v>
      </c>
      <c r="H3112" s="75"/>
      <c r="I3112" s="76"/>
      <c r="J3112" s="78">
        <f>HYPERLINK("#Структура!E2551",Структура!E2551)</f>
        <v>1E-3</v>
      </c>
      <c r="K3112" s="114" t="str">
        <f>HYPERLINK("#Структура!G2551","")</f>
        <v/>
      </c>
      <c r="L3112" s="120">
        <f>HYPERLINK("#Покупные_изделия!D197",Покупные_изделия!D197)</f>
        <v>264.50399999999996</v>
      </c>
      <c r="M3112" s="76">
        <f t="shared" ref="M3112:M3126" si="121">J3112*L3112</f>
        <v>0.26450399999999996</v>
      </c>
      <c r="N3112" s="77"/>
      <c r="O3112" s="77"/>
      <c r="P3112" s="76"/>
      <c r="Q3112" s="76"/>
    </row>
    <row r="3113" spans="6:17" hidden="1" outlineLevel="5" x14ac:dyDescent="0.25">
      <c r="G3113" s="74" t="s">
        <v>155</v>
      </c>
      <c r="H3113" s="75"/>
      <c r="I3113" s="76"/>
      <c r="J3113" s="78">
        <f>HYPERLINK("#Структура!E2552",Структура!E2552)</f>
        <v>1E-3</v>
      </c>
      <c r="K3113" s="114" t="str">
        <f>HYPERLINK("#Структура!G2552","")</f>
        <v/>
      </c>
      <c r="L3113" s="120">
        <f>HYPERLINK("#Покупные_изделия!D423",Покупные_изделия!D423)</f>
        <v>218.28</v>
      </c>
      <c r="M3113" s="76">
        <f t="shared" si="121"/>
        <v>0.21828</v>
      </c>
      <c r="N3113" s="77"/>
      <c r="O3113" s="77"/>
      <c r="P3113" s="76"/>
      <c r="Q3113" s="76"/>
    </row>
    <row r="3114" spans="6:17" hidden="1" outlineLevel="5" x14ac:dyDescent="0.25">
      <c r="G3114" s="74" t="s">
        <v>156</v>
      </c>
      <c r="H3114" s="75"/>
      <c r="I3114" s="76"/>
      <c r="J3114" s="78">
        <f>HYPERLINK("#Структура!E2553",Структура!E2553)</f>
        <v>1E-3</v>
      </c>
      <c r="K3114" s="114" t="str">
        <f>HYPERLINK("#Структура!G2553","")</f>
        <v/>
      </c>
      <c r="L3114" s="120">
        <f>HYPERLINK("#Покупные_изделия!D427",Покупные_изделия!D427)</f>
        <v>155.53200000000001</v>
      </c>
      <c r="M3114" s="76">
        <f t="shared" si="121"/>
        <v>0.155532</v>
      </c>
      <c r="N3114" s="77"/>
      <c r="O3114" s="77"/>
      <c r="P3114" s="76"/>
      <c r="Q3114" s="76"/>
    </row>
    <row r="3115" spans="6:17" hidden="1" outlineLevel="5" x14ac:dyDescent="0.25">
      <c r="G3115" s="74" t="s">
        <v>208</v>
      </c>
      <c r="H3115" s="75"/>
      <c r="I3115" s="76"/>
      <c r="J3115" s="78">
        <f>HYPERLINK("#Структура!E2554",Структура!E2554)</f>
        <v>0.09</v>
      </c>
      <c r="K3115" s="114" t="str">
        <f>HYPERLINK("#Структура!G2554","")</f>
        <v/>
      </c>
      <c r="L3115" s="120">
        <f>HYPERLINK("#Покупные_изделия!D553",Покупные_изделия!D553)</f>
        <v>117.38399999999999</v>
      </c>
      <c r="M3115" s="76">
        <f t="shared" si="121"/>
        <v>10.564559999999998</v>
      </c>
      <c r="N3115" s="77"/>
      <c r="O3115" s="77"/>
      <c r="P3115" s="76"/>
      <c r="Q3115" s="76"/>
    </row>
    <row r="3116" spans="6:17" hidden="1" outlineLevel="5" x14ac:dyDescent="0.25">
      <c r="G3116" s="74" t="s">
        <v>215</v>
      </c>
      <c r="H3116" s="75"/>
      <c r="I3116" s="76"/>
      <c r="J3116" s="78">
        <f>HYPERLINK("#Структура!E2555",Структура!E2555)</f>
        <v>1E-3</v>
      </c>
      <c r="K3116" s="114" t="str">
        <f>HYPERLINK("#Структура!G2555","")</f>
        <v/>
      </c>
      <c r="L3116" s="120">
        <f>HYPERLINK("#Покупные_изделия!D567",Покупные_изделия!D567)</f>
        <v>405.74399999999997</v>
      </c>
      <c r="M3116" s="76">
        <f t="shared" si="121"/>
        <v>0.40574399999999999</v>
      </c>
      <c r="N3116" s="77"/>
      <c r="O3116" s="77"/>
      <c r="P3116" s="76"/>
      <c r="Q3116" s="76"/>
    </row>
    <row r="3117" spans="6:17" hidden="1" outlineLevel="4" x14ac:dyDescent="0.25">
      <c r="F3117" s="74" t="s">
        <v>623</v>
      </c>
      <c r="G3117" s="74"/>
      <c r="H3117" s="75"/>
      <c r="I3117" s="76"/>
      <c r="J3117" s="78">
        <f>HYPERLINK("#Структура!E2503",Структура!E2503)</f>
        <v>6</v>
      </c>
      <c r="K3117" s="114">
        <f>HYPERLINK("#Структура!G2503",Структура!G2503)</f>
        <v>1.67E-2</v>
      </c>
      <c r="L3117" s="120">
        <f>HYPERLINK("#Покупные_изделия!D86",Покупные_изделия!D86)</f>
        <v>8.7719999999999985</v>
      </c>
      <c r="M3117" s="76">
        <f t="shared" si="121"/>
        <v>52.631999999999991</v>
      </c>
      <c r="N3117" s="77"/>
      <c r="O3117" s="77"/>
      <c r="P3117" s="76"/>
      <c r="Q3117" s="76"/>
    </row>
    <row r="3118" spans="6:17" hidden="1" outlineLevel="4" x14ac:dyDescent="0.25">
      <c r="F3118" s="74" t="s">
        <v>47</v>
      </c>
      <c r="G3118" s="74"/>
      <c r="H3118" s="75"/>
      <c r="I3118" s="76"/>
      <c r="J3118" s="78">
        <f>HYPERLINK("#Структура!E2504",Структура!E2504)</f>
        <v>3</v>
      </c>
      <c r="K3118" s="114">
        <f>HYPERLINK("#Структура!G2504",Структура!G2504)</f>
        <v>1.5699999999999999E-2</v>
      </c>
      <c r="L3118" s="120">
        <f>HYPERLINK("#Покупные_изделия!D104",Покупные_изделия!D104)</f>
        <v>6.8772000000000002</v>
      </c>
      <c r="M3118" s="76">
        <f t="shared" si="121"/>
        <v>20.631599999999999</v>
      </c>
      <c r="N3118" s="77"/>
      <c r="O3118" s="77"/>
      <c r="P3118" s="76"/>
      <c r="Q3118" s="76"/>
    </row>
    <row r="3119" spans="6:17" hidden="1" outlineLevel="4" x14ac:dyDescent="0.25">
      <c r="F3119" s="74" t="s">
        <v>48</v>
      </c>
      <c r="G3119" s="74"/>
      <c r="H3119" s="75"/>
      <c r="I3119" s="76"/>
      <c r="J3119" s="78">
        <f>HYPERLINK("#Структура!E2505",Структура!E2505)</f>
        <v>6</v>
      </c>
      <c r="K3119" s="114">
        <f>HYPERLINK("#Структура!G2505",Структура!G2505)</f>
        <v>3.3140000000000003E-2</v>
      </c>
      <c r="L3119" s="120">
        <f>HYPERLINK("#Покупные_изделия!D111",Покупные_изделия!D111)</f>
        <v>13.9656</v>
      </c>
      <c r="M3119" s="76">
        <f t="shared" si="121"/>
        <v>83.793599999999998</v>
      </c>
      <c r="N3119" s="77"/>
      <c r="O3119" s="77"/>
      <c r="P3119" s="76"/>
      <c r="Q3119" s="76"/>
    </row>
    <row r="3120" spans="6:17" hidden="1" outlineLevel="4" x14ac:dyDescent="0.25">
      <c r="F3120" s="74" t="s">
        <v>49</v>
      </c>
      <c r="G3120" s="74"/>
      <c r="H3120" s="75"/>
      <c r="I3120" s="76"/>
      <c r="J3120" s="78">
        <f>HYPERLINK("#Структура!E2506",Структура!E2506)</f>
        <v>4</v>
      </c>
      <c r="K3120" s="114">
        <f>HYPERLINK("#Структура!G2506",Структура!G2506)</f>
        <v>1.2199999999999999E-3</v>
      </c>
      <c r="L3120" s="120">
        <f>HYPERLINK("#Покупные_изделия!D133",Покупные_изделия!D133)</f>
        <v>1.2012000000000003</v>
      </c>
      <c r="M3120" s="76">
        <f t="shared" si="121"/>
        <v>4.8048000000000011</v>
      </c>
      <c r="N3120" s="77"/>
      <c r="O3120" s="77"/>
      <c r="P3120" s="76"/>
      <c r="Q3120" s="76"/>
    </row>
    <row r="3121" spans="5:17" hidden="1" outlineLevel="4" x14ac:dyDescent="0.25">
      <c r="F3121" s="74" t="s">
        <v>53</v>
      </c>
      <c r="G3121" s="74"/>
      <c r="H3121" s="75"/>
      <c r="I3121" s="76"/>
      <c r="J3121" s="78">
        <f>HYPERLINK("#Структура!E2507",Структура!E2507)</f>
        <v>2</v>
      </c>
      <c r="K3121" s="114">
        <f>HYPERLINK("#Структура!G2507",Структура!G2507)</f>
        <v>1.32E-3</v>
      </c>
      <c r="L3121" s="120">
        <f>HYPERLINK("#Покупные_изделия!D142",Покупные_изделия!D142)</f>
        <v>1.5047999999999999</v>
      </c>
      <c r="M3121" s="76">
        <f t="shared" si="121"/>
        <v>3.0095999999999998</v>
      </c>
      <c r="N3121" s="77"/>
      <c r="O3121" s="77"/>
      <c r="P3121" s="76"/>
      <c r="Q3121" s="76"/>
    </row>
    <row r="3122" spans="5:17" hidden="1" outlineLevel="4" x14ac:dyDescent="0.25">
      <c r="F3122" s="74" t="s">
        <v>1002</v>
      </c>
      <c r="G3122" s="74"/>
      <c r="H3122" s="75"/>
      <c r="I3122" s="76"/>
      <c r="J3122" s="78">
        <f>HYPERLINK("#Структура!E2508",Структура!E2508)</f>
        <v>6</v>
      </c>
      <c r="K3122" s="114">
        <f>HYPERLINK("#Структура!G2508",Структура!G2508)</f>
        <v>8.0000000000000004E-4</v>
      </c>
      <c r="L3122" s="120">
        <f>HYPERLINK("#Покупные_изделия!D186",Покупные_изделия!D186)</f>
        <v>0.51480000000000004</v>
      </c>
      <c r="M3122" s="76">
        <f t="shared" si="121"/>
        <v>3.0888</v>
      </c>
      <c r="N3122" s="77"/>
      <c r="O3122" s="77"/>
      <c r="P3122" s="76"/>
      <c r="Q3122" s="76"/>
    </row>
    <row r="3123" spans="5:17" hidden="1" outlineLevel="4" x14ac:dyDescent="0.25">
      <c r="F3123" s="74" t="s">
        <v>625</v>
      </c>
      <c r="G3123" s="74"/>
      <c r="H3123" s="75"/>
      <c r="I3123" s="76"/>
      <c r="J3123" s="78">
        <f>HYPERLINK("#Структура!E2509",Структура!E2509)</f>
        <v>10</v>
      </c>
      <c r="K3123" s="114">
        <f>HYPERLINK("#Структура!G2509",Структура!G2509)</f>
        <v>7.1399999999999996E-3</v>
      </c>
      <c r="L3123" s="120">
        <f>HYPERLINK("#Покупные_изделия!D168",Покупные_изделия!D168)</f>
        <v>1.9715672368421051</v>
      </c>
      <c r="M3123" s="76">
        <f t="shared" si="121"/>
        <v>19.71567236842105</v>
      </c>
      <c r="N3123" s="77"/>
      <c r="O3123" s="77"/>
      <c r="P3123" s="76"/>
      <c r="Q3123" s="76"/>
    </row>
    <row r="3124" spans="5:17" hidden="1" outlineLevel="4" x14ac:dyDescent="0.25">
      <c r="F3124" s="74" t="s">
        <v>1348</v>
      </c>
      <c r="G3124" s="74"/>
      <c r="H3124" s="75"/>
      <c r="I3124" s="76"/>
      <c r="J3124" s="78">
        <f>HYPERLINK("#Структура!E2510",Структура!E2510)</f>
        <v>4</v>
      </c>
      <c r="K3124" s="114">
        <f>HYPERLINK("#Структура!G2510",Структура!G2510)</f>
        <v>2.9999999999999997E-4</v>
      </c>
      <c r="L3124" s="120">
        <f>HYPERLINK("#Покупные_изделия!D544",Покупные_изделия!D544)</f>
        <v>0.55000000000000004</v>
      </c>
      <c r="M3124" s="76">
        <f t="shared" si="121"/>
        <v>2.2000000000000002</v>
      </c>
      <c r="N3124" s="77"/>
      <c r="O3124" s="77"/>
      <c r="P3124" s="76"/>
      <c r="Q3124" s="76"/>
    </row>
    <row r="3125" spans="5:17" hidden="1" outlineLevel="4" x14ac:dyDescent="0.25">
      <c r="F3125" s="74" t="s">
        <v>12</v>
      </c>
      <c r="G3125" s="74"/>
      <c r="H3125" s="75"/>
      <c r="I3125" s="76"/>
      <c r="J3125" s="78">
        <f>HYPERLINK("#Структура!E2511",Структура!E2511)</f>
        <v>1</v>
      </c>
      <c r="K3125" s="114">
        <f>HYPERLINK("#Структура!G2511",Структура!G2511)</f>
        <v>0.15347</v>
      </c>
      <c r="L3125" s="120">
        <f>HYPERLINK("#Покупные_изделия!D18",Покупные_изделия!D18)</f>
        <v>4504.5</v>
      </c>
      <c r="M3125" s="76">
        <f t="shared" si="121"/>
        <v>4504.5</v>
      </c>
      <c r="N3125" s="77"/>
      <c r="O3125" s="77"/>
      <c r="P3125" s="76"/>
      <c r="Q3125" s="76"/>
    </row>
    <row r="3126" spans="5:17" hidden="1" outlineLevel="4" x14ac:dyDescent="0.25">
      <c r="F3126" s="74" t="s">
        <v>13</v>
      </c>
      <c r="G3126" s="74"/>
      <c r="H3126" s="75"/>
      <c r="I3126" s="76"/>
      <c r="J3126" s="78">
        <f>HYPERLINK("#Структура!E2512",Структура!E2512)</f>
        <v>1</v>
      </c>
      <c r="K3126" s="114">
        <f>HYPERLINK("#Структура!G2512",Структура!G2512)</f>
        <v>0.12407</v>
      </c>
      <c r="L3126" s="120">
        <f>HYPERLINK("#Покупные_изделия!D20",Покупные_изделия!D20)</f>
        <v>4594.59</v>
      </c>
      <c r="M3126" s="76">
        <f t="shared" si="121"/>
        <v>4594.59</v>
      </c>
      <c r="N3126" s="77"/>
      <c r="O3126" s="77"/>
      <c r="P3126" s="76"/>
      <c r="Q3126" s="76"/>
    </row>
    <row r="3127" spans="5:17" hidden="1" outlineLevel="3" collapsed="1" x14ac:dyDescent="0.25">
      <c r="E3127" s="84" t="s">
        <v>1188</v>
      </c>
      <c r="F3127" s="79"/>
      <c r="G3127" s="79"/>
      <c r="H3127" s="80"/>
      <c r="I3127" s="81"/>
      <c r="J3127" s="83">
        <f>HYPERLINK("#Структура!E2341",Структура!E2341)</f>
        <v>2</v>
      </c>
      <c r="K3127" s="115">
        <f>HYPERLINK("#Структура!G2341",Структура!G2341)</f>
        <v>0.10907</v>
      </c>
      <c r="L3127" s="81">
        <f>M3127/J3127</f>
        <v>24</v>
      </c>
      <c r="M3127" s="81">
        <f>SUMIF(F3128,"*",M3128)*J3127</f>
        <v>48</v>
      </c>
      <c r="N3127" s="124">
        <f>HYPERLINK("#Трудозатраты!B489",Трудозатраты!B489+SUMIF(F3128,"*",O3128))</f>
        <v>0.8</v>
      </c>
      <c r="O3127" s="82">
        <f>N3127*J3127</f>
        <v>1.6</v>
      </c>
      <c r="P3127" s="81">
        <f>O3127/60*(1+запас_труд)*стоимость_трудочаса</f>
        <v>62.666666666666671</v>
      </c>
      <c r="Q3127" s="129">
        <f>M3127*(1+наценка_покупное)+P3127</f>
        <v>120.26666666666667</v>
      </c>
    </row>
    <row r="3128" spans="5:17" hidden="1" outlineLevel="4" x14ac:dyDescent="0.25">
      <c r="F3128" s="74" t="s">
        <v>123</v>
      </c>
      <c r="G3128" s="74"/>
      <c r="H3128" s="75"/>
      <c r="I3128" s="76"/>
      <c r="J3128" s="78">
        <f>HYPERLINK("#Структура!E1834",Структура!E1834)</f>
        <v>0.15</v>
      </c>
      <c r="K3128" s="114" t="str">
        <f>HYPERLINK("#Структура!G1834","")</f>
        <v/>
      </c>
      <c r="L3128" s="120">
        <f>HYPERLINK("#Покупные_изделия!D298",Покупные_изделия!D298)</f>
        <v>160</v>
      </c>
      <c r="M3128" s="76">
        <f>J3128*L3128</f>
        <v>24</v>
      </c>
      <c r="N3128" s="77"/>
      <c r="O3128" s="77"/>
      <c r="P3128" s="76"/>
      <c r="Q3128" s="76"/>
    </row>
    <row r="3129" spans="5:17" hidden="1" outlineLevel="3" collapsed="1" x14ac:dyDescent="0.25">
      <c r="E3129" s="84" t="s">
        <v>1189</v>
      </c>
      <c r="F3129" s="79"/>
      <c r="G3129" s="79"/>
      <c r="H3129" s="80"/>
      <c r="I3129" s="81"/>
      <c r="J3129" s="83">
        <f>HYPERLINK("#Структура!E2342",Структура!E2342)</f>
        <v>2</v>
      </c>
      <c r="K3129" s="115">
        <f>HYPERLINK("#Структура!G2342",Структура!G2342)</f>
        <v>0.24543999999999999</v>
      </c>
      <c r="L3129" s="81">
        <f>M3129/J3129</f>
        <v>43.169856000000003</v>
      </c>
      <c r="M3129" s="81">
        <f>SUMIF(F3130:F3134,"*",M3130:M3134)*J3129</f>
        <v>86.339712000000006</v>
      </c>
      <c r="N3129" s="124">
        <f>HYPERLINK("#Трудозатраты!B490",Трудозатраты!B490+SUMIF(F3130:F3134,"*",O3130:O3134))</f>
        <v>3</v>
      </c>
      <c r="O3129" s="82">
        <f>N3129*J3129</f>
        <v>6</v>
      </c>
      <c r="P3129" s="81">
        <f>O3129/60*(1+запас_труд)*стоимость_трудочаса</f>
        <v>235</v>
      </c>
      <c r="Q3129" s="129">
        <f>M3129*(1+наценка_покупное)+P3129</f>
        <v>338.6076544</v>
      </c>
    </row>
    <row r="3130" spans="5:17" hidden="1" outlineLevel="4" x14ac:dyDescent="0.25">
      <c r="F3130" s="74" t="s">
        <v>65</v>
      </c>
      <c r="G3130" s="74"/>
      <c r="H3130" s="75"/>
      <c r="I3130" s="76"/>
      <c r="J3130" s="78">
        <f>HYPERLINK("#Структура!E1835",Структура!E1835)</f>
        <v>3.0000000000000001E-3</v>
      </c>
      <c r="K3130" s="114" t="str">
        <f>HYPERLINK("#Структура!G1835","")</f>
        <v/>
      </c>
      <c r="L3130" s="120">
        <f>HYPERLINK("#Покупные_изделия!D197",Покупные_изделия!D197)</f>
        <v>264.50399999999996</v>
      </c>
      <c r="M3130" s="76">
        <f>J3130*L3130</f>
        <v>0.79351199999999988</v>
      </c>
      <c r="N3130" s="77"/>
      <c r="O3130" s="77"/>
      <c r="P3130" s="76"/>
      <c r="Q3130" s="76"/>
    </row>
    <row r="3131" spans="5:17" hidden="1" outlineLevel="4" x14ac:dyDescent="0.25">
      <c r="F3131" s="74" t="s">
        <v>116</v>
      </c>
      <c r="G3131" s="74"/>
      <c r="H3131" s="75"/>
      <c r="I3131" s="76"/>
      <c r="J3131" s="78">
        <f>HYPERLINK("#Структура!E1836",Структура!E1836)</f>
        <v>0.33</v>
      </c>
      <c r="K3131" s="114" t="str">
        <f>HYPERLINK("#Структура!G1836","")</f>
        <v/>
      </c>
      <c r="L3131" s="120">
        <f>HYPERLINK("#Покупные_изделия!D291",Покупные_изделия!D291)</f>
        <v>120</v>
      </c>
      <c r="M3131" s="76">
        <f>J3131*L3131</f>
        <v>39.6</v>
      </c>
      <c r="N3131" s="77"/>
      <c r="O3131" s="77"/>
      <c r="P3131" s="76"/>
      <c r="Q3131" s="76"/>
    </row>
    <row r="3132" spans="5:17" hidden="1" outlineLevel="4" x14ac:dyDescent="0.25">
      <c r="F3132" s="74" t="s">
        <v>155</v>
      </c>
      <c r="G3132" s="74"/>
      <c r="H3132" s="75"/>
      <c r="I3132" s="76"/>
      <c r="J3132" s="78">
        <f>HYPERLINK("#Структура!E1837",Структура!E1837)</f>
        <v>2E-3</v>
      </c>
      <c r="K3132" s="114" t="str">
        <f>HYPERLINK("#Структура!G1837","")</f>
        <v/>
      </c>
      <c r="L3132" s="120">
        <f>HYPERLINK("#Покупные_изделия!D423",Покупные_изделия!D423)</f>
        <v>218.28</v>
      </c>
      <c r="M3132" s="76">
        <f>J3132*L3132</f>
        <v>0.43656</v>
      </c>
      <c r="N3132" s="77"/>
      <c r="O3132" s="77"/>
      <c r="P3132" s="76"/>
      <c r="Q3132" s="76"/>
    </row>
    <row r="3133" spans="5:17" hidden="1" outlineLevel="4" x14ac:dyDescent="0.25">
      <c r="F3133" s="74" t="s">
        <v>156</v>
      </c>
      <c r="G3133" s="74"/>
      <c r="H3133" s="75"/>
      <c r="I3133" s="76"/>
      <c r="J3133" s="78">
        <f>HYPERLINK("#Структура!E1838",Структура!E1838)</f>
        <v>2E-3</v>
      </c>
      <c r="K3133" s="114" t="str">
        <f>HYPERLINK("#Структура!G1838","")</f>
        <v/>
      </c>
      <c r="L3133" s="120">
        <f>HYPERLINK("#Покупные_изделия!D427",Покупные_изделия!D427)</f>
        <v>155.53200000000001</v>
      </c>
      <c r="M3133" s="76">
        <f>J3133*L3133</f>
        <v>0.31106400000000001</v>
      </c>
      <c r="N3133" s="77"/>
      <c r="O3133" s="77"/>
      <c r="P3133" s="76"/>
      <c r="Q3133" s="76"/>
    </row>
    <row r="3134" spans="5:17" hidden="1" outlineLevel="4" x14ac:dyDescent="0.25">
      <c r="F3134" s="74" t="s">
        <v>215</v>
      </c>
      <c r="G3134" s="74"/>
      <c r="H3134" s="75"/>
      <c r="I3134" s="76"/>
      <c r="J3134" s="78">
        <f>HYPERLINK("#Структура!E1839",Структура!E1839)</f>
        <v>5.0000000000000001E-3</v>
      </c>
      <c r="K3134" s="114" t="str">
        <f>HYPERLINK("#Структура!G1839","")</f>
        <v/>
      </c>
      <c r="L3134" s="120">
        <f>HYPERLINK("#Покупные_изделия!D567",Покупные_изделия!D567)</f>
        <v>405.74399999999997</v>
      </c>
      <c r="M3134" s="76">
        <f>J3134*L3134</f>
        <v>2.0287199999999999</v>
      </c>
      <c r="N3134" s="77"/>
      <c r="O3134" s="77"/>
      <c r="P3134" s="76"/>
      <c r="Q3134" s="76"/>
    </row>
    <row r="3135" spans="5:17" hidden="1" outlineLevel="3" collapsed="1" x14ac:dyDescent="0.25">
      <c r="E3135" s="84" t="s">
        <v>1192</v>
      </c>
      <c r="F3135" s="79"/>
      <c r="G3135" s="79"/>
      <c r="H3135" s="80"/>
      <c r="I3135" s="81"/>
      <c r="J3135" s="83">
        <f>HYPERLINK("#Структура!E2343",Структура!E2343)</f>
        <v>2</v>
      </c>
      <c r="K3135" s="115">
        <f>HYPERLINK("#Структура!G2343",Структура!G2343)</f>
        <v>3.1669999999999997E-2</v>
      </c>
      <c r="L3135" s="81">
        <f>M3135/J3135</f>
        <v>6.7200000000000006</v>
      </c>
      <c r="M3135" s="81">
        <f>SUMIF(F3136,"*",M3136)*J3135</f>
        <v>13.440000000000001</v>
      </c>
      <c r="N3135" s="124">
        <f>HYPERLINK("#Трудозатраты!B493",Трудозатраты!B493+SUMIF(F3136,"*",O3136))</f>
        <v>2.5</v>
      </c>
      <c r="O3135" s="82">
        <f>N3135*J3135</f>
        <v>5</v>
      </c>
      <c r="P3135" s="81">
        <f>O3135/60*(1+запас_труд)*стоимость_трудочаса</f>
        <v>195.83333333333331</v>
      </c>
      <c r="Q3135" s="129">
        <f>M3135*(1+наценка_покупное)+P3135</f>
        <v>211.9613333333333</v>
      </c>
    </row>
    <row r="3136" spans="5:17" hidden="1" outlineLevel="4" x14ac:dyDescent="0.25">
      <c r="F3136" s="74" t="s">
        <v>130</v>
      </c>
      <c r="G3136" s="74"/>
      <c r="H3136" s="75"/>
      <c r="I3136" s="76"/>
      <c r="J3136" s="78">
        <f>HYPERLINK("#Структура!E1847",Структура!E1847)</f>
        <v>4.2000000000000003E-2</v>
      </c>
      <c r="K3136" s="114" t="str">
        <f>HYPERLINK("#Структура!G1847","")</f>
        <v/>
      </c>
      <c r="L3136" s="120">
        <f>HYPERLINK("#Покупные_изделия!D305",Покупные_изделия!D305)</f>
        <v>160</v>
      </c>
      <c r="M3136" s="76">
        <f>J3136*L3136</f>
        <v>6.7200000000000006</v>
      </c>
      <c r="N3136" s="77"/>
      <c r="O3136" s="77"/>
      <c r="P3136" s="76"/>
      <c r="Q3136" s="76"/>
    </row>
    <row r="3137" spans="5:17" hidden="1" outlineLevel="3" collapsed="1" x14ac:dyDescent="0.25">
      <c r="E3137" s="84" t="s">
        <v>1193</v>
      </c>
      <c r="F3137" s="79"/>
      <c r="G3137" s="79"/>
      <c r="H3137" s="80"/>
      <c r="I3137" s="81"/>
      <c r="J3137" s="83">
        <f>HYPERLINK("#Структура!E2344",Структура!E2344)</f>
        <v>1</v>
      </c>
      <c r="K3137" s="115">
        <f>HYPERLINK("#Структура!G2344",Структура!G2344)</f>
        <v>3.0291000000000001</v>
      </c>
      <c r="L3137" s="81">
        <f>M3137/J3137</f>
        <v>1593.26316</v>
      </c>
      <c r="M3137" s="81">
        <f>SUMIF(F3138:F3143,"*",M3138:M3143)*J3137</f>
        <v>1593.26316</v>
      </c>
      <c r="N3137" s="124">
        <f>HYPERLINK("#Трудозатраты!B494",Трудозатраты!B494+SUMIF(F3138:F3143,"*",O3138:O3143))</f>
        <v>43.5</v>
      </c>
      <c r="O3137" s="82">
        <f>N3137*J3137</f>
        <v>43.5</v>
      </c>
      <c r="P3137" s="81">
        <f>O3137/60*(1+запас_труд)*стоимость_трудочаса</f>
        <v>1703.75</v>
      </c>
      <c r="Q3137" s="129">
        <f>M3137*(1+наценка_покупное)+P3137</f>
        <v>3615.6657919999998</v>
      </c>
    </row>
    <row r="3138" spans="5:17" hidden="1" outlineLevel="4" x14ac:dyDescent="0.25">
      <c r="F3138" s="74" t="s">
        <v>65</v>
      </c>
      <c r="G3138" s="74"/>
      <c r="H3138" s="75"/>
      <c r="I3138" s="76"/>
      <c r="J3138" s="78">
        <f>HYPERLINK("#Структура!E1848",Структура!E1848)</f>
        <v>0.15</v>
      </c>
      <c r="K3138" s="114" t="str">
        <f>HYPERLINK("#Структура!G1848","")</f>
        <v/>
      </c>
      <c r="L3138" s="120">
        <f>HYPERLINK("#Покупные_изделия!D197",Покупные_изделия!D197)</f>
        <v>264.50399999999996</v>
      </c>
      <c r="M3138" s="76">
        <f t="shared" ref="M3138:M3143" si="122">J3138*L3138</f>
        <v>39.675599999999996</v>
      </c>
      <c r="N3138" s="77"/>
      <c r="O3138" s="77"/>
      <c r="P3138" s="76"/>
      <c r="Q3138" s="76"/>
    </row>
    <row r="3139" spans="5:17" hidden="1" outlineLevel="4" x14ac:dyDescent="0.25">
      <c r="F3139" s="74" t="s">
        <v>113</v>
      </c>
      <c r="G3139" s="74"/>
      <c r="H3139" s="75"/>
      <c r="I3139" s="76"/>
      <c r="J3139" s="78">
        <f>HYPERLINK("#Структура!E1849",Структура!E1849)</f>
        <v>11.42</v>
      </c>
      <c r="K3139" s="114" t="str">
        <f>HYPERLINK("#Структура!G1849","")</f>
        <v/>
      </c>
      <c r="L3139" s="120">
        <f>HYPERLINK("#Покупные_изделия!D286",Покупные_изделия!D286)</f>
        <v>120</v>
      </c>
      <c r="M3139" s="76">
        <f t="shared" si="122"/>
        <v>1370.4</v>
      </c>
      <c r="N3139" s="77"/>
      <c r="O3139" s="77"/>
      <c r="P3139" s="76"/>
      <c r="Q3139" s="76"/>
    </row>
    <row r="3140" spans="5:17" hidden="1" outlineLevel="4" x14ac:dyDescent="0.25">
      <c r="F3140" s="74" t="s">
        <v>155</v>
      </c>
      <c r="G3140" s="74"/>
      <c r="H3140" s="75"/>
      <c r="I3140" s="76"/>
      <c r="J3140" s="78">
        <f>HYPERLINK("#Структура!E1850",Структура!E1850)</f>
        <v>0.09</v>
      </c>
      <c r="K3140" s="114" t="str">
        <f>HYPERLINK("#Структура!G1850","")</f>
        <v/>
      </c>
      <c r="L3140" s="120">
        <f>HYPERLINK("#Покупные_изделия!D423",Покупные_изделия!D423)</f>
        <v>218.28</v>
      </c>
      <c r="M3140" s="76">
        <f t="shared" si="122"/>
        <v>19.645199999999999</v>
      </c>
      <c r="N3140" s="77"/>
      <c r="O3140" s="77"/>
      <c r="P3140" s="76"/>
      <c r="Q3140" s="76"/>
    </row>
    <row r="3141" spans="5:17" hidden="1" outlineLevel="4" x14ac:dyDescent="0.25">
      <c r="F3141" s="74" t="s">
        <v>156</v>
      </c>
      <c r="G3141" s="74"/>
      <c r="H3141" s="75"/>
      <c r="I3141" s="76"/>
      <c r="J3141" s="78">
        <f>HYPERLINK("#Структура!E1851",Структура!E1851)</f>
        <v>0.13</v>
      </c>
      <c r="K3141" s="114" t="str">
        <f>HYPERLINK("#Структура!G1851","")</f>
        <v/>
      </c>
      <c r="L3141" s="120">
        <f>HYPERLINK("#Покупные_изделия!D427",Покупные_изделия!D427)</f>
        <v>155.53200000000001</v>
      </c>
      <c r="M3141" s="76">
        <f t="shared" si="122"/>
        <v>20.219160000000002</v>
      </c>
      <c r="N3141" s="77"/>
      <c r="O3141" s="77"/>
      <c r="P3141" s="76"/>
      <c r="Q3141" s="76"/>
    </row>
    <row r="3142" spans="5:17" hidden="1" outlineLevel="4" x14ac:dyDescent="0.25">
      <c r="F3142" s="74" t="s">
        <v>200</v>
      </c>
      <c r="G3142" s="74"/>
      <c r="H3142" s="75"/>
      <c r="I3142" s="76"/>
      <c r="J3142" s="78">
        <f>HYPERLINK("#Структура!E1852",Структура!E1852)</f>
        <v>0.08</v>
      </c>
      <c r="K3142" s="114" t="str">
        <f>HYPERLINK("#Структура!G1852","")</f>
        <v/>
      </c>
      <c r="L3142" s="120">
        <f>HYPERLINK("#Покупные_изделия!D518",Покупные_изделия!D518)</f>
        <v>270</v>
      </c>
      <c r="M3142" s="76">
        <f t="shared" si="122"/>
        <v>21.6</v>
      </c>
      <c r="N3142" s="77"/>
      <c r="O3142" s="77"/>
      <c r="P3142" s="76"/>
      <c r="Q3142" s="76"/>
    </row>
    <row r="3143" spans="5:17" hidden="1" outlineLevel="4" x14ac:dyDescent="0.25">
      <c r="F3143" s="74" t="s">
        <v>215</v>
      </c>
      <c r="G3143" s="74"/>
      <c r="H3143" s="75"/>
      <c r="I3143" s="76"/>
      <c r="J3143" s="78">
        <f>HYPERLINK("#Структура!E1853",Структура!E1853)</f>
        <v>0.3</v>
      </c>
      <c r="K3143" s="114" t="str">
        <f>HYPERLINK("#Структура!G1853","")</f>
        <v/>
      </c>
      <c r="L3143" s="120">
        <f>HYPERLINK("#Покупные_изделия!D567",Покупные_изделия!D567)</f>
        <v>405.74399999999997</v>
      </c>
      <c r="M3143" s="76">
        <f t="shared" si="122"/>
        <v>121.72319999999999</v>
      </c>
      <c r="N3143" s="77"/>
      <c r="O3143" s="77"/>
      <c r="P3143" s="76"/>
      <c r="Q3143" s="76"/>
    </row>
    <row r="3144" spans="5:17" hidden="1" outlineLevel="3" collapsed="1" x14ac:dyDescent="0.25">
      <c r="E3144" s="84" t="s">
        <v>1194</v>
      </c>
      <c r="F3144" s="79"/>
      <c r="G3144" s="79"/>
      <c r="H3144" s="80"/>
      <c r="I3144" s="81"/>
      <c r="J3144" s="83">
        <f>HYPERLINK("#Структура!E2345",Структура!E2345)</f>
        <v>2</v>
      </c>
      <c r="K3144" s="115">
        <f>HYPERLINK("#Структура!G2345",Структура!G2345)</f>
        <v>6.1120000000000001E-2</v>
      </c>
      <c r="L3144" s="81">
        <f>M3144/J3144</f>
        <v>12.8</v>
      </c>
      <c r="M3144" s="81">
        <f>SUMIF(F3145,"*",M3145)*J3144</f>
        <v>25.6</v>
      </c>
      <c r="N3144" s="124">
        <f>HYPERLINK("#Трудозатраты!B495",Трудозатраты!B495+SUMIF(F3145,"*",O3145))</f>
        <v>1.9000000000000001</v>
      </c>
      <c r="O3144" s="82">
        <f>N3144*J3144</f>
        <v>3.8000000000000003</v>
      </c>
      <c r="P3144" s="81">
        <f>O3144/60*(1+запас_труд)*стоимость_трудочаса</f>
        <v>148.83333333333334</v>
      </c>
      <c r="Q3144" s="129">
        <f>M3144*(1+наценка_покупное)+P3144</f>
        <v>179.55333333333334</v>
      </c>
    </row>
    <row r="3145" spans="5:17" hidden="1" outlineLevel="4" x14ac:dyDescent="0.25">
      <c r="F3145" s="74" t="s">
        <v>131</v>
      </c>
      <c r="G3145" s="74"/>
      <c r="H3145" s="75"/>
      <c r="I3145" s="76"/>
      <c r="J3145" s="78">
        <f>HYPERLINK("#Структура!E1854",Структура!E1854)</f>
        <v>0.08</v>
      </c>
      <c r="K3145" s="114" t="str">
        <f>HYPERLINK("#Структура!G1854","")</f>
        <v/>
      </c>
      <c r="L3145" s="120">
        <f>HYPERLINK("#Покупные_изделия!D306",Покупные_изделия!D306)</f>
        <v>160</v>
      </c>
      <c r="M3145" s="76">
        <f>J3145*L3145</f>
        <v>12.8</v>
      </c>
      <c r="N3145" s="77"/>
      <c r="O3145" s="77"/>
      <c r="P3145" s="76"/>
      <c r="Q3145" s="76"/>
    </row>
    <row r="3146" spans="5:17" hidden="1" outlineLevel="3" collapsed="1" x14ac:dyDescent="0.25">
      <c r="E3146" s="84" t="s">
        <v>1195</v>
      </c>
      <c r="F3146" s="79"/>
      <c r="G3146" s="79"/>
      <c r="H3146" s="80"/>
      <c r="I3146" s="81"/>
      <c r="J3146" s="83">
        <f>HYPERLINK("#Структура!E2346",Структура!E2346)</f>
        <v>2</v>
      </c>
      <c r="K3146" s="115">
        <f>HYPERLINK("#Структура!G2346",Структура!G2346)</f>
        <v>5.7880000000000001E-2</v>
      </c>
      <c r="L3146" s="81">
        <f>M3146/J3146</f>
        <v>10.689804000000002</v>
      </c>
      <c r="M3146" s="81">
        <f>SUMIF(F3147:F3151,"*",M3147:M3151)*J3146</f>
        <v>21.379608000000005</v>
      </c>
      <c r="N3146" s="124">
        <f>HYPERLINK("#Трудозатраты!B496",Трудозатраты!B496+SUMIF(F3147:F3151,"*",O3147:O3151))</f>
        <v>7.9</v>
      </c>
      <c r="O3146" s="82">
        <f>N3146*J3146</f>
        <v>15.8</v>
      </c>
      <c r="P3146" s="81">
        <f>O3146/60*(1+запас_труд)*стоимость_трудочаса</f>
        <v>618.83333333333337</v>
      </c>
      <c r="Q3146" s="129">
        <f>M3146*(1+наценка_покупное)+P3146</f>
        <v>644.48886293333339</v>
      </c>
    </row>
    <row r="3147" spans="5:17" hidden="1" outlineLevel="4" x14ac:dyDescent="0.25">
      <c r="F3147" s="74" t="s">
        <v>65</v>
      </c>
      <c r="G3147" s="74"/>
      <c r="H3147" s="75"/>
      <c r="I3147" s="76"/>
      <c r="J3147" s="78">
        <f>HYPERLINK("#Структура!E1855",Структура!E1855)</f>
        <v>1E-3</v>
      </c>
      <c r="K3147" s="114" t="str">
        <f>HYPERLINK("#Структура!G1855","")</f>
        <v/>
      </c>
      <c r="L3147" s="120">
        <f>HYPERLINK("#Покупные_изделия!D197",Покупные_изделия!D197)</f>
        <v>264.50399999999996</v>
      </c>
      <c r="M3147" s="76">
        <f>J3147*L3147</f>
        <v>0.26450399999999996</v>
      </c>
      <c r="N3147" s="77"/>
      <c r="O3147" s="77"/>
      <c r="P3147" s="76"/>
      <c r="Q3147" s="76"/>
    </row>
    <row r="3148" spans="5:17" hidden="1" outlineLevel="4" x14ac:dyDescent="0.25">
      <c r="F3148" s="74" t="s">
        <v>109</v>
      </c>
      <c r="G3148" s="74"/>
      <c r="H3148" s="75"/>
      <c r="I3148" s="76"/>
      <c r="J3148" s="78">
        <f>HYPERLINK("#Структура!E1856",Структура!E1856)</f>
        <v>7.6999999999999999E-2</v>
      </c>
      <c r="K3148" s="114" t="str">
        <f>HYPERLINK("#Структура!G1856","")</f>
        <v/>
      </c>
      <c r="L3148" s="120">
        <f>HYPERLINK("#Покупные_изделия!D281",Покупные_изделия!D281)</f>
        <v>120</v>
      </c>
      <c r="M3148" s="76">
        <f>J3148*L3148</f>
        <v>9.24</v>
      </c>
      <c r="N3148" s="77"/>
      <c r="O3148" s="77"/>
      <c r="P3148" s="76"/>
      <c r="Q3148" s="76"/>
    </row>
    <row r="3149" spans="5:17" hidden="1" outlineLevel="4" x14ac:dyDescent="0.25">
      <c r="F3149" s="74" t="s">
        <v>155</v>
      </c>
      <c r="G3149" s="74"/>
      <c r="H3149" s="75"/>
      <c r="I3149" s="76"/>
      <c r="J3149" s="78">
        <f>HYPERLINK("#Структура!E1857",Структура!E1857)</f>
        <v>1E-3</v>
      </c>
      <c r="K3149" s="114" t="str">
        <f>HYPERLINK("#Структура!G1857","")</f>
        <v/>
      </c>
      <c r="L3149" s="120">
        <f>HYPERLINK("#Покупные_изделия!D423",Покупные_изделия!D423)</f>
        <v>218.28</v>
      </c>
      <c r="M3149" s="76">
        <f>J3149*L3149</f>
        <v>0.21828</v>
      </c>
      <c r="N3149" s="77"/>
      <c r="O3149" s="77"/>
      <c r="P3149" s="76"/>
      <c r="Q3149" s="76"/>
    </row>
    <row r="3150" spans="5:17" hidden="1" outlineLevel="4" x14ac:dyDescent="0.25">
      <c r="F3150" s="74" t="s">
        <v>156</v>
      </c>
      <c r="G3150" s="74"/>
      <c r="H3150" s="75"/>
      <c r="I3150" s="76"/>
      <c r="J3150" s="78">
        <f>HYPERLINK("#Структура!E1858",Структура!E1858)</f>
        <v>1E-3</v>
      </c>
      <c r="K3150" s="114" t="str">
        <f>HYPERLINK("#Структура!G1858","")</f>
        <v/>
      </c>
      <c r="L3150" s="120">
        <f>HYPERLINK("#Покупные_изделия!D427",Покупные_изделия!D427)</f>
        <v>155.53200000000001</v>
      </c>
      <c r="M3150" s="76">
        <f>J3150*L3150</f>
        <v>0.155532</v>
      </c>
      <c r="N3150" s="77"/>
      <c r="O3150" s="77"/>
      <c r="P3150" s="76"/>
      <c r="Q3150" s="76"/>
    </row>
    <row r="3151" spans="5:17" hidden="1" outlineLevel="4" x14ac:dyDescent="0.25">
      <c r="F3151" s="74" t="s">
        <v>215</v>
      </c>
      <c r="G3151" s="74"/>
      <c r="H3151" s="75"/>
      <c r="I3151" s="76"/>
      <c r="J3151" s="78">
        <f>HYPERLINK("#Структура!E1859",Структура!E1859)</f>
        <v>2E-3</v>
      </c>
      <c r="K3151" s="114" t="str">
        <f>HYPERLINK("#Структура!G1859","")</f>
        <v/>
      </c>
      <c r="L3151" s="120">
        <f>HYPERLINK("#Покупные_изделия!D567",Покупные_изделия!D567)</f>
        <v>405.74399999999997</v>
      </c>
      <c r="M3151" s="76">
        <f>J3151*L3151</f>
        <v>0.81148799999999999</v>
      </c>
      <c r="N3151" s="77"/>
      <c r="O3151" s="77"/>
      <c r="P3151" s="76"/>
      <c r="Q3151" s="76"/>
    </row>
    <row r="3152" spans="5:17" hidden="1" outlineLevel="3" collapsed="1" x14ac:dyDescent="0.25">
      <c r="E3152" s="84" t="s">
        <v>1196</v>
      </c>
      <c r="F3152" s="79"/>
      <c r="G3152" s="79"/>
      <c r="H3152" s="80"/>
      <c r="I3152" s="81"/>
      <c r="J3152" s="83">
        <f>HYPERLINK("#Структура!E2347",Структура!E2347)</f>
        <v>1</v>
      </c>
      <c r="K3152" s="115">
        <f>HYPERLINK("#Структура!G2347",Структура!G2347)</f>
        <v>1.4852700000000001</v>
      </c>
      <c r="L3152" s="81">
        <f>M3152/J3152</f>
        <v>513.63986399999999</v>
      </c>
      <c r="M3152" s="81">
        <f>SUMIF(F3153:F3157,"*",M3153:M3157)*J3152</f>
        <v>513.63986399999999</v>
      </c>
      <c r="N3152" s="124">
        <f>HYPERLINK("#Трудозатраты!B497",Трудозатраты!B497+SUMIF(F3153:F3157,"*",O3153:O3157))</f>
        <v>9.1</v>
      </c>
      <c r="O3152" s="82">
        <f>N3152*J3152</f>
        <v>9.1</v>
      </c>
      <c r="P3152" s="81">
        <f>O3152/60*(1+запас_труд)*стоимость_трудочаса</f>
        <v>356.41666666666669</v>
      </c>
      <c r="Q3152" s="129">
        <f>M3152*(1+наценка_покупное)+P3152</f>
        <v>972.78450346666659</v>
      </c>
    </row>
    <row r="3153" spans="5:17" hidden="1" outlineLevel="4" x14ac:dyDescent="0.25">
      <c r="F3153" s="74" t="s">
        <v>65</v>
      </c>
      <c r="G3153" s="74"/>
      <c r="H3153" s="75"/>
      <c r="I3153" s="76"/>
      <c r="J3153" s="78">
        <f>HYPERLINK("#Структура!E1860",Структура!E1860)</f>
        <v>1.2E-2</v>
      </c>
      <c r="K3153" s="114" t="str">
        <f>HYPERLINK("#Структура!G1860","")</f>
        <v/>
      </c>
      <c r="L3153" s="120">
        <f>HYPERLINK("#Покупные_изделия!D197",Покупные_изделия!D197)</f>
        <v>264.50399999999996</v>
      </c>
      <c r="M3153" s="76">
        <f>J3153*L3153</f>
        <v>3.1740479999999995</v>
      </c>
      <c r="N3153" s="77"/>
      <c r="O3153" s="77"/>
      <c r="P3153" s="76"/>
      <c r="Q3153" s="76"/>
    </row>
    <row r="3154" spans="5:17" hidden="1" outlineLevel="4" x14ac:dyDescent="0.25">
      <c r="F3154" s="74" t="s">
        <v>116</v>
      </c>
      <c r="G3154" s="74"/>
      <c r="H3154" s="75"/>
      <c r="I3154" s="76"/>
      <c r="J3154" s="78">
        <f>HYPERLINK("#Структура!E1861",Структура!E1861)</f>
        <v>1.91</v>
      </c>
      <c r="K3154" s="114" t="str">
        <f>HYPERLINK("#Структура!G1861","")</f>
        <v/>
      </c>
      <c r="L3154" s="120">
        <f>HYPERLINK("#Покупные_изделия!D291",Покупные_изделия!D291)</f>
        <v>120</v>
      </c>
      <c r="M3154" s="76">
        <f>J3154*L3154</f>
        <v>229.2</v>
      </c>
      <c r="N3154" s="77"/>
      <c r="O3154" s="77"/>
      <c r="P3154" s="76"/>
      <c r="Q3154" s="76"/>
    </row>
    <row r="3155" spans="5:17" hidden="1" outlineLevel="4" x14ac:dyDescent="0.25">
      <c r="F3155" s="74" t="s">
        <v>155</v>
      </c>
      <c r="G3155" s="74"/>
      <c r="H3155" s="75"/>
      <c r="I3155" s="76"/>
      <c r="J3155" s="78">
        <f>HYPERLINK("#Структура!E1862",Структура!E1862)</f>
        <v>7.0000000000000001E-3</v>
      </c>
      <c r="K3155" s="114" t="str">
        <f>HYPERLINK("#Структура!G1862","")</f>
        <v/>
      </c>
      <c r="L3155" s="120">
        <f>HYPERLINK("#Покупные_изделия!D423",Покупные_изделия!D423)</f>
        <v>218.28</v>
      </c>
      <c r="M3155" s="76">
        <f>J3155*L3155</f>
        <v>1.52796</v>
      </c>
      <c r="N3155" s="77"/>
      <c r="O3155" s="77"/>
      <c r="P3155" s="76"/>
      <c r="Q3155" s="76"/>
    </row>
    <row r="3156" spans="5:17" hidden="1" outlineLevel="4" x14ac:dyDescent="0.25">
      <c r="F3156" s="74" t="s">
        <v>200</v>
      </c>
      <c r="G3156" s="74"/>
      <c r="H3156" s="75"/>
      <c r="I3156" s="76"/>
      <c r="J3156" s="78">
        <f>HYPERLINK("#Структура!E1863",Структура!E1863)</f>
        <v>1</v>
      </c>
      <c r="K3156" s="114" t="str">
        <f>HYPERLINK("#Структура!G1863","")</f>
        <v/>
      </c>
      <c r="L3156" s="120">
        <f>HYPERLINK("#Покупные_изделия!D518",Покупные_изделия!D518)</f>
        <v>270</v>
      </c>
      <c r="M3156" s="76">
        <f>J3156*L3156</f>
        <v>270</v>
      </c>
      <c r="N3156" s="77"/>
      <c r="O3156" s="77"/>
      <c r="P3156" s="76"/>
      <c r="Q3156" s="76"/>
    </row>
    <row r="3157" spans="5:17" hidden="1" outlineLevel="4" x14ac:dyDescent="0.25">
      <c r="F3157" s="74" t="s">
        <v>215</v>
      </c>
      <c r="G3157" s="74"/>
      <c r="H3157" s="75"/>
      <c r="I3157" s="76"/>
      <c r="J3157" s="78">
        <f>HYPERLINK("#Структура!E1864",Структура!E1864)</f>
        <v>2.4E-2</v>
      </c>
      <c r="K3157" s="114" t="str">
        <f>HYPERLINK("#Структура!G1864","")</f>
        <v/>
      </c>
      <c r="L3157" s="120">
        <f>HYPERLINK("#Покупные_изделия!D567",Покупные_изделия!D567)</f>
        <v>405.74399999999997</v>
      </c>
      <c r="M3157" s="76">
        <f>J3157*L3157</f>
        <v>9.737855999999999</v>
      </c>
      <c r="N3157" s="77"/>
      <c r="O3157" s="77"/>
      <c r="P3157" s="76"/>
      <c r="Q3157" s="76"/>
    </row>
    <row r="3158" spans="5:17" hidden="1" outlineLevel="3" collapsed="1" x14ac:dyDescent="0.25">
      <c r="E3158" s="84" t="s">
        <v>1197</v>
      </c>
      <c r="F3158" s="79"/>
      <c r="G3158" s="79"/>
      <c r="H3158" s="80"/>
      <c r="I3158" s="81"/>
      <c r="J3158" s="83">
        <f>HYPERLINK("#Структура!E2348",Структура!E2348)</f>
        <v>2</v>
      </c>
      <c r="K3158" s="115">
        <f>HYPERLINK("#Структура!G2348",Структура!G2348)</f>
        <v>0.30839</v>
      </c>
      <c r="L3158" s="81">
        <f>M3158/J3158</f>
        <v>51.056927999999999</v>
      </c>
      <c r="M3158" s="81">
        <f>SUMIF(F3159:F3163,"*",M3159:M3163)*J3158</f>
        <v>102.113856</v>
      </c>
      <c r="N3158" s="124">
        <f>HYPERLINK("#Трудозатраты!B498",Трудозатраты!B498+SUMIF(F3159:F3163,"*",O3159:O3163))</f>
        <v>1.9000000000000001</v>
      </c>
      <c r="O3158" s="82">
        <f>N3158*J3158</f>
        <v>3.8000000000000003</v>
      </c>
      <c r="P3158" s="81">
        <f>O3158/60*(1+запас_труд)*стоимость_трудочаса</f>
        <v>148.83333333333334</v>
      </c>
      <c r="Q3158" s="129">
        <f>M3158*(1+наценка_покупное)+P3158</f>
        <v>271.36996053333337</v>
      </c>
    </row>
    <row r="3159" spans="5:17" hidden="1" outlineLevel="4" x14ac:dyDescent="0.25">
      <c r="F3159" s="74" t="s">
        <v>65</v>
      </c>
      <c r="G3159" s="74"/>
      <c r="H3159" s="75"/>
      <c r="I3159" s="76"/>
      <c r="J3159" s="78">
        <f>HYPERLINK("#Структура!E1865",Структура!E1865)</f>
        <v>5.0000000000000001E-3</v>
      </c>
      <c r="K3159" s="114" t="str">
        <f>HYPERLINK("#Структура!G1865","")</f>
        <v/>
      </c>
      <c r="L3159" s="120">
        <f>HYPERLINK("#Покупные_изделия!D197",Покупные_изделия!D197)</f>
        <v>264.50399999999996</v>
      </c>
      <c r="M3159" s="76">
        <f>J3159*L3159</f>
        <v>1.3225199999999999</v>
      </c>
      <c r="N3159" s="77"/>
      <c r="O3159" s="77"/>
      <c r="P3159" s="76"/>
      <c r="Q3159" s="76"/>
    </row>
    <row r="3160" spans="5:17" hidden="1" outlineLevel="4" x14ac:dyDescent="0.25">
      <c r="F3160" s="74" t="s">
        <v>113</v>
      </c>
      <c r="G3160" s="74"/>
      <c r="H3160" s="75"/>
      <c r="I3160" s="76"/>
      <c r="J3160" s="78">
        <f>HYPERLINK("#Структура!E1866",Структура!E1866)</f>
        <v>0.37</v>
      </c>
      <c r="K3160" s="114" t="str">
        <f>HYPERLINK("#Структура!G1866","")</f>
        <v/>
      </c>
      <c r="L3160" s="120">
        <f>HYPERLINK("#Покупные_изделия!D286",Покупные_изделия!D286)</f>
        <v>120</v>
      </c>
      <c r="M3160" s="76">
        <f>J3160*L3160</f>
        <v>44.4</v>
      </c>
      <c r="N3160" s="77"/>
      <c r="O3160" s="77"/>
      <c r="P3160" s="76"/>
      <c r="Q3160" s="76"/>
    </row>
    <row r="3161" spans="5:17" hidden="1" outlineLevel="4" x14ac:dyDescent="0.25">
      <c r="F3161" s="74" t="s">
        <v>155</v>
      </c>
      <c r="G3161" s="74"/>
      <c r="H3161" s="75"/>
      <c r="I3161" s="76"/>
      <c r="J3161" s="78">
        <f>HYPERLINK("#Структура!E1867",Структура!E1867)</f>
        <v>3.0000000000000001E-3</v>
      </c>
      <c r="K3161" s="114" t="str">
        <f>HYPERLINK("#Структура!G1867","")</f>
        <v/>
      </c>
      <c r="L3161" s="120">
        <f>HYPERLINK("#Покупные_изделия!D423",Покупные_изделия!D423)</f>
        <v>218.28</v>
      </c>
      <c r="M3161" s="76">
        <f>J3161*L3161</f>
        <v>0.65483999999999998</v>
      </c>
      <c r="N3161" s="77"/>
      <c r="O3161" s="77"/>
      <c r="P3161" s="76"/>
      <c r="Q3161" s="76"/>
    </row>
    <row r="3162" spans="5:17" hidden="1" outlineLevel="4" x14ac:dyDescent="0.25">
      <c r="F3162" s="74" t="s">
        <v>156</v>
      </c>
      <c r="G3162" s="74"/>
      <c r="H3162" s="75"/>
      <c r="I3162" s="76"/>
      <c r="J3162" s="78">
        <f>HYPERLINK("#Структура!E1868",Структура!E1868)</f>
        <v>4.0000000000000001E-3</v>
      </c>
      <c r="K3162" s="114" t="str">
        <f>HYPERLINK("#Структура!G1868","")</f>
        <v/>
      </c>
      <c r="L3162" s="120">
        <f>HYPERLINK("#Покупные_изделия!D427",Покупные_изделия!D427)</f>
        <v>155.53200000000001</v>
      </c>
      <c r="M3162" s="76">
        <f>J3162*L3162</f>
        <v>0.62212800000000001</v>
      </c>
      <c r="N3162" s="77"/>
      <c r="O3162" s="77"/>
      <c r="P3162" s="76"/>
      <c r="Q3162" s="76"/>
    </row>
    <row r="3163" spans="5:17" hidden="1" outlineLevel="4" x14ac:dyDescent="0.25">
      <c r="F3163" s="74" t="s">
        <v>215</v>
      </c>
      <c r="G3163" s="74"/>
      <c r="H3163" s="75"/>
      <c r="I3163" s="76"/>
      <c r="J3163" s="78">
        <f>HYPERLINK("#Структура!E1869",Структура!E1869)</f>
        <v>0.01</v>
      </c>
      <c r="K3163" s="114" t="str">
        <f>HYPERLINK("#Структура!G1869","")</f>
        <v/>
      </c>
      <c r="L3163" s="120">
        <f>HYPERLINK("#Покупные_изделия!D567",Покупные_изделия!D567)</f>
        <v>405.74399999999997</v>
      </c>
      <c r="M3163" s="76">
        <f>J3163*L3163</f>
        <v>4.0574399999999997</v>
      </c>
      <c r="N3163" s="77"/>
      <c r="O3163" s="77"/>
      <c r="P3163" s="76"/>
      <c r="Q3163" s="76"/>
    </row>
    <row r="3164" spans="5:17" hidden="1" outlineLevel="3" collapsed="1" x14ac:dyDescent="0.25">
      <c r="E3164" s="84" t="s">
        <v>1315</v>
      </c>
      <c r="F3164" s="79"/>
      <c r="G3164" s="79"/>
      <c r="H3164" s="80"/>
      <c r="I3164" s="81"/>
      <c r="J3164" s="83">
        <f>HYPERLINK("#Структура!E2349",Структура!E2349)</f>
        <v>1</v>
      </c>
      <c r="K3164" s="115">
        <f>HYPERLINK("#Структура!G2349",Структура!G2349)</f>
        <v>0.68137999999999999</v>
      </c>
      <c r="L3164" s="81">
        <f>M3164/J3164</f>
        <v>280.2</v>
      </c>
      <c r="M3164" s="81">
        <f>SUMIF(F3165,"*",M3165)*J3164</f>
        <v>280.2</v>
      </c>
      <c r="N3164" s="124">
        <f>HYPERLINK("#Трудозатраты!B604",Трудозатраты!B604+SUMIF(F3165,"*",O3165))</f>
        <v>2</v>
      </c>
      <c r="O3164" s="82">
        <f>N3164*J3164</f>
        <v>2</v>
      </c>
      <c r="P3164" s="81">
        <f>O3164/60*(1+запас_труд)*стоимость_трудочаса</f>
        <v>78.333333333333329</v>
      </c>
      <c r="Q3164" s="129">
        <f>M3164*(1+наценка_покупное)+P3164</f>
        <v>414.57333333333327</v>
      </c>
    </row>
    <row r="3165" spans="5:17" hidden="1" outlineLevel="4" x14ac:dyDescent="0.25">
      <c r="F3165" s="74" t="s">
        <v>112</v>
      </c>
      <c r="G3165" s="74"/>
      <c r="H3165" s="75"/>
      <c r="I3165" s="76"/>
      <c r="J3165" s="78">
        <f>HYPERLINK("#Структура!E2382",Структура!E2382)</f>
        <v>0.93400000000000005</v>
      </c>
      <c r="K3165" s="114" t="str">
        <f>HYPERLINK("#Структура!G2382","")</f>
        <v/>
      </c>
      <c r="L3165" s="120">
        <f>HYPERLINK("#Покупные_изделия!D285",Покупные_изделия!D285)</f>
        <v>300</v>
      </c>
      <c r="M3165" s="76">
        <f>J3165*L3165</f>
        <v>280.2</v>
      </c>
      <c r="N3165" s="77"/>
      <c r="O3165" s="77"/>
      <c r="P3165" s="76"/>
      <c r="Q3165" s="76"/>
    </row>
    <row r="3166" spans="5:17" hidden="1" outlineLevel="3" collapsed="1" x14ac:dyDescent="0.25">
      <c r="E3166" s="84" t="s">
        <v>1316</v>
      </c>
      <c r="F3166" s="79"/>
      <c r="G3166" s="79"/>
      <c r="H3166" s="80"/>
      <c r="I3166" s="81"/>
      <c r="J3166" s="83">
        <f>HYPERLINK("#Структура!E2350",Структура!E2350)</f>
        <v>1</v>
      </c>
      <c r="K3166" s="115">
        <f>HYPERLINK("#Структура!G2350",Структура!G2350)</f>
        <v>3.0816499999999998</v>
      </c>
      <c r="L3166" s="81">
        <f>M3166/J3166</f>
        <v>1226.056272</v>
      </c>
      <c r="M3166" s="81">
        <f>SUMIF(F3167:F3171,"*",M3167:M3171)*J3166</f>
        <v>1226.056272</v>
      </c>
      <c r="N3166" s="124">
        <f>HYPERLINK("#Трудозатраты!B605",Трудозатраты!B605+SUMIF(F3167:F3171,"*",O3167:O3171))</f>
        <v>63.5</v>
      </c>
      <c r="O3166" s="82">
        <f>N3166*J3166</f>
        <v>63.5</v>
      </c>
      <c r="P3166" s="81">
        <f>O3166/60*(1+запас_труд)*стоимость_трудочаса</f>
        <v>2487.0833333333335</v>
      </c>
      <c r="Q3166" s="129">
        <f>M3166*(1+наценка_покупное)+P3166</f>
        <v>3958.3508597333334</v>
      </c>
    </row>
    <row r="3167" spans="5:17" hidden="1" outlineLevel="4" x14ac:dyDescent="0.25">
      <c r="F3167" s="74" t="s">
        <v>65</v>
      </c>
      <c r="G3167" s="74"/>
      <c r="H3167" s="75"/>
      <c r="I3167" s="76"/>
      <c r="J3167" s="78">
        <f>HYPERLINK("#Структура!E2383",Структура!E2383)</f>
        <v>7.0999999999999994E-2</v>
      </c>
      <c r="K3167" s="114" t="str">
        <f>HYPERLINK("#Структура!G2383","")</f>
        <v/>
      </c>
      <c r="L3167" s="120">
        <f>HYPERLINK("#Покупные_изделия!D197",Покупные_изделия!D197)</f>
        <v>264.50399999999996</v>
      </c>
      <c r="M3167" s="76">
        <f t="shared" ref="M3167:M3196" si="123">J3167*L3167</f>
        <v>18.779783999999996</v>
      </c>
      <c r="N3167" s="77"/>
      <c r="O3167" s="77"/>
      <c r="P3167" s="76"/>
      <c r="Q3167" s="76"/>
    </row>
    <row r="3168" spans="5:17" hidden="1" outlineLevel="4" x14ac:dyDescent="0.25">
      <c r="F3168" s="74" t="s">
        <v>109</v>
      </c>
      <c r="G3168" s="74"/>
      <c r="H3168" s="75"/>
      <c r="I3168" s="76"/>
      <c r="J3168" s="78">
        <f>HYPERLINK("#Структура!E2384",Структура!E2384)</f>
        <v>9.2975399999999997</v>
      </c>
      <c r="K3168" s="114" t="str">
        <f>HYPERLINK("#Структура!G2384","")</f>
        <v/>
      </c>
      <c r="L3168" s="120">
        <f>HYPERLINK("#Покупные_изделия!D281",Покупные_изделия!D281)</f>
        <v>120</v>
      </c>
      <c r="M3168" s="76">
        <f t="shared" si="123"/>
        <v>1115.7048</v>
      </c>
      <c r="N3168" s="77"/>
      <c r="O3168" s="77"/>
      <c r="P3168" s="76"/>
      <c r="Q3168" s="76"/>
    </row>
    <row r="3169" spans="5:17" hidden="1" outlineLevel="4" x14ac:dyDescent="0.25">
      <c r="F3169" s="74" t="s">
        <v>155</v>
      </c>
      <c r="G3169" s="74"/>
      <c r="H3169" s="75"/>
      <c r="I3169" s="76"/>
      <c r="J3169" s="78">
        <f>HYPERLINK("#Структура!E2385",Структура!E2385)</f>
        <v>4.2999999999999997E-2</v>
      </c>
      <c r="K3169" s="114" t="str">
        <f>HYPERLINK("#Структура!G2385","")</f>
        <v/>
      </c>
      <c r="L3169" s="120">
        <f>HYPERLINK("#Покупные_изделия!D423",Покупные_изделия!D423)</f>
        <v>218.28</v>
      </c>
      <c r="M3169" s="76">
        <f t="shared" si="123"/>
        <v>9.3860399999999995</v>
      </c>
      <c r="N3169" s="77"/>
      <c r="O3169" s="77"/>
      <c r="P3169" s="76"/>
      <c r="Q3169" s="76"/>
    </row>
    <row r="3170" spans="5:17" hidden="1" outlineLevel="4" x14ac:dyDescent="0.25">
      <c r="F3170" s="74" t="s">
        <v>200</v>
      </c>
      <c r="G3170" s="74"/>
      <c r="H3170" s="75"/>
      <c r="I3170" s="76"/>
      <c r="J3170" s="78">
        <f>HYPERLINK("#Структура!E2386",Структура!E2386)</f>
        <v>9.0999999999999998E-2</v>
      </c>
      <c r="K3170" s="114" t="str">
        <f>HYPERLINK("#Структура!G2386","")</f>
        <v/>
      </c>
      <c r="L3170" s="120">
        <f>HYPERLINK("#Покупные_изделия!D518",Покупные_изделия!D518)</f>
        <v>270</v>
      </c>
      <c r="M3170" s="76">
        <f t="shared" si="123"/>
        <v>24.57</v>
      </c>
      <c r="N3170" s="77"/>
      <c r="O3170" s="77"/>
      <c r="P3170" s="76"/>
      <c r="Q3170" s="76"/>
    </row>
    <row r="3171" spans="5:17" hidden="1" outlineLevel="4" x14ac:dyDescent="0.25">
      <c r="F3171" s="74" t="s">
        <v>215</v>
      </c>
      <c r="G3171" s="74"/>
      <c r="H3171" s="75"/>
      <c r="I3171" s="76"/>
      <c r="J3171" s="78">
        <f>HYPERLINK("#Структура!E2387",Структура!E2387)</f>
        <v>0.14199999999999999</v>
      </c>
      <c r="K3171" s="114" t="str">
        <f>HYPERLINK("#Структура!G2387","")</f>
        <v/>
      </c>
      <c r="L3171" s="120">
        <f>HYPERLINK("#Покупные_изделия!D567",Покупные_изделия!D567)</f>
        <v>405.74399999999997</v>
      </c>
      <c r="M3171" s="76">
        <f t="shared" si="123"/>
        <v>57.615647999999993</v>
      </c>
      <c r="N3171" s="77"/>
      <c r="O3171" s="77"/>
      <c r="P3171" s="76"/>
      <c r="Q3171" s="76"/>
    </row>
    <row r="3172" spans="5:17" hidden="1" outlineLevel="3" x14ac:dyDescent="0.25">
      <c r="E3172" s="74" t="s">
        <v>1198</v>
      </c>
      <c r="F3172" s="74"/>
      <c r="G3172" s="74"/>
      <c r="H3172" s="75"/>
      <c r="I3172" s="76"/>
      <c r="J3172" s="78">
        <f>HYPERLINK("#Структура!E2351",Структура!E2351)</f>
        <v>4</v>
      </c>
      <c r="K3172" s="114">
        <f>HYPERLINK("#Структура!G2351",Структура!G2351)</f>
        <v>2.7699999999999999E-2</v>
      </c>
      <c r="L3172" s="120">
        <f>HYPERLINK("#Покупные_изделия!D71",Покупные_изделия!D71)</f>
        <v>10.692</v>
      </c>
      <c r="M3172" s="76">
        <f t="shared" si="123"/>
        <v>42.768000000000001</v>
      </c>
      <c r="N3172" s="77"/>
      <c r="O3172" s="77"/>
      <c r="P3172" s="76"/>
      <c r="Q3172" s="76"/>
    </row>
    <row r="3173" spans="5:17" hidden="1" outlineLevel="3" x14ac:dyDescent="0.25">
      <c r="E3173" s="74" t="s">
        <v>1199</v>
      </c>
      <c r="F3173" s="74"/>
      <c r="G3173" s="74"/>
      <c r="H3173" s="75"/>
      <c r="I3173" s="76"/>
      <c r="J3173" s="78">
        <f>HYPERLINK("#Структура!E2352",Структура!E2352)</f>
        <v>12</v>
      </c>
      <c r="K3173" s="114">
        <f>HYPERLINK("#Структура!G2352",Структура!G2352)</f>
        <v>3.5999999999999997E-2</v>
      </c>
      <c r="L3173" s="120">
        <f>HYPERLINK("#Покупные_изделия!D74",Покупные_изделия!D74)</f>
        <v>13.912799999999999</v>
      </c>
      <c r="M3173" s="76">
        <f t="shared" si="123"/>
        <v>166.95359999999999</v>
      </c>
      <c r="N3173" s="77"/>
      <c r="O3173" s="77"/>
      <c r="P3173" s="76"/>
      <c r="Q3173" s="76"/>
    </row>
    <row r="3174" spans="5:17" hidden="1" outlineLevel="3" x14ac:dyDescent="0.25">
      <c r="E3174" s="74" t="s">
        <v>1317</v>
      </c>
      <c r="F3174" s="74"/>
      <c r="G3174" s="74"/>
      <c r="H3174" s="75"/>
      <c r="I3174" s="76"/>
      <c r="J3174" s="78">
        <f>HYPERLINK("#Структура!E2353",Структура!E2353)</f>
        <v>4</v>
      </c>
      <c r="K3174" s="114">
        <f>HYPERLINK("#Структура!G2353",Структура!G2353)</f>
        <v>9.9000000000000005E-2</v>
      </c>
      <c r="L3174" s="120">
        <f>HYPERLINK("#Покупные_изделия!D80",Покупные_изделия!D80)</f>
        <v>60.363600000000005</v>
      </c>
      <c r="M3174" s="76">
        <f t="shared" si="123"/>
        <v>241.45440000000002</v>
      </c>
      <c r="N3174" s="77"/>
      <c r="O3174" s="77"/>
      <c r="P3174" s="76"/>
      <c r="Q3174" s="76"/>
    </row>
    <row r="3175" spans="5:17" hidden="1" outlineLevel="3" x14ac:dyDescent="0.25">
      <c r="E3175" s="74" t="s">
        <v>622</v>
      </c>
      <c r="F3175" s="74"/>
      <c r="G3175" s="74"/>
      <c r="H3175" s="75"/>
      <c r="I3175" s="76"/>
      <c r="J3175" s="78">
        <f>HYPERLINK("#Структура!E2354",Структура!E2354)</f>
        <v>95</v>
      </c>
      <c r="K3175" s="114">
        <f>HYPERLINK("#Структура!G2354",Структура!G2354)</f>
        <v>1.52E-2</v>
      </c>
      <c r="L3175" s="120">
        <f>HYPERLINK("#Покупные_изделия!D85",Покупные_изделия!D85)</f>
        <v>8.6999999999999993</v>
      </c>
      <c r="M3175" s="76">
        <f t="shared" si="123"/>
        <v>826.49999999999989</v>
      </c>
      <c r="N3175" s="77"/>
      <c r="O3175" s="77"/>
      <c r="P3175" s="76"/>
      <c r="Q3175" s="76"/>
    </row>
    <row r="3176" spans="5:17" hidden="1" outlineLevel="3" x14ac:dyDescent="0.25">
      <c r="E3176" s="74" t="s">
        <v>623</v>
      </c>
      <c r="F3176" s="74"/>
      <c r="G3176" s="74"/>
      <c r="H3176" s="75"/>
      <c r="I3176" s="76"/>
      <c r="J3176" s="78">
        <f>HYPERLINK("#Структура!E2355",Структура!E2355)</f>
        <v>4</v>
      </c>
      <c r="K3176" s="114">
        <f>HYPERLINK("#Структура!G2355",Структура!G2355)</f>
        <v>1.67E-2</v>
      </c>
      <c r="L3176" s="120">
        <f>HYPERLINK("#Покупные_изделия!D86",Покупные_изделия!D86)</f>
        <v>8.7719999999999985</v>
      </c>
      <c r="M3176" s="76">
        <f t="shared" si="123"/>
        <v>35.087999999999994</v>
      </c>
      <c r="N3176" s="77"/>
      <c r="O3176" s="77"/>
      <c r="P3176" s="76"/>
      <c r="Q3176" s="76"/>
    </row>
    <row r="3177" spans="5:17" hidden="1" outlineLevel="3" x14ac:dyDescent="0.25">
      <c r="E3177" s="74" t="s">
        <v>1201</v>
      </c>
      <c r="F3177" s="74"/>
      <c r="G3177" s="74"/>
      <c r="H3177" s="75"/>
      <c r="I3177" s="76"/>
      <c r="J3177" s="78">
        <f>HYPERLINK("#Структура!E2356",Структура!E2356)</f>
        <v>4</v>
      </c>
      <c r="K3177" s="114">
        <f>HYPERLINK("#Структура!G2356",Структура!G2356)</f>
        <v>0.13730000000000001</v>
      </c>
      <c r="L3177" s="120">
        <f>HYPERLINK("#Покупные_изделия!D98",Покупные_изделия!D98)</f>
        <v>21.241466400000004</v>
      </c>
      <c r="M3177" s="76">
        <f t="shared" si="123"/>
        <v>84.965865600000015</v>
      </c>
      <c r="N3177" s="77"/>
      <c r="O3177" s="77"/>
      <c r="P3177" s="76"/>
      <c r="Q3177" s="76"/>
    </row>
    <row r="3178" spans="5:17" hidden="1" outlineLevel="3" x14ac:dyDescent="0.25">
      <c r="E3178" s="74" t="s">
        <v>745</v>
      </c>
      <c r="F3178" s="74"/>
      <c r="G3178" s="74"/>
      <c r="H3178" s="75"/>
      <c r="I3178" s="76"/>
      <c r="J3178" s="78">
        <f>HYPERLINK("#Структура!E2357",Структура!E2357)</f>
        <v>16</v>
      </c>
      <c r="K3178" s="114">
        <f>HYPERLINK("#Структура!G2357",Структура!G2357)</f>
        <v>1.022E-2</v>
      </c>
      <c r="L3178" s="120">
        <f>HYPERLINK("#Покупные_изделия!D174",Покупные_изделия!D174)</f>
        <v>4.7160000000000002</v>
      </c>
      <c r="M3178" s="76">
        <f t="shared" si="123"/>
        <v>75.456000000000003</v>
      </c>
      <c r="N3178" s="77"/>
      <c r="O3178" s="77"/>
      <c r="P3178" s="76"/>
      <c r="Q3178" s="76"/>
    </row>
    <row r="3179" spans="5:17" hidden="1" outlineLevel="3" x14ac:dyDescent="0.25">
      <c r="E3179" s="74" t="s">
        <v>721</v>
      </c>
      <c r="F3179" s="74"/>
      <c r="G3179" s="74"/>
      <c r="H3179" s="75"/>
      <c r="I3179" s="76"/>
      <c r="J3179" s="78">
        <f>HYPERLINK("#Структура!E2358",Структура!E2358)</f>
        <v>4</v>
      </c>
      <c r="K3179" s="114">
        <f>HYPERLINK("#Структура!G2358",Структура!G2358)</f>
        <v>2.5329999999999998E-2</v>
      </c>
      <c r="L3179" s="120">
        <f>HYPERLINK("#Покупные_изделия!D176",Покупные_изделия!D176)</f>
        <v>9.5879999999999992</v>
      </c>
      <c r="M3179" s="76">
        <f t="shared" si="123"/>
        <v>38.351999999999997</v>
      </c>
      <c r="N3179" s="77"/>
      <c r="O3179" s="77"/>
      <c r="P3179" s="76"/>
      <c r="Q3179" s="76"/>
    </row>
    <row r="3180" spans="5:17" hidden="1" outlineLevel="3" x14ac:dyDescent="0.25">
      <c r="E3180" s="74" t="s">
        <v>818</v>
      </c>
      <c r="F3180" s="74"/>
      <c r="G3180" s="74"/>
      <c r="H3180" s="75"/>
      <c r="I3180" s="76"/>
      <c r="J3180" s="78">
        <f>HYPERLINK("#Структура!E2359",Структура!E2359)</f>
        <v>4</v>
      </c>
      <c r="K3180" s="114">
        <f>HYPERLINK("#Структура!G2359",Структура!G2359)</f>
        <v>3.7609999999999998E-2</v>
      </c>
      <c r="L3180" s="120">
        <f>HYPERLINK("#Покупные_изделия!D177",Покупные_изделия!D177)</f>
        <v>9.4320000000000004</v>
      </c>
      <c r="M3180" s="76">
        <f t="shared" si="123"/>
        <v>37.728000000000002</v>
      </c>
      <c r="N3180" s="77"/>
      <c r="O3180" s="77"/>
      <c r="P3180" s="76"/>
      <c r="Q3180" s="76"/>
    </row>
    <row r="3181" spans="5:17" hidden="1" outlineLevel="3" x14ac:dyDescent="0.25">
      <c r="E3181" s="74" t="s">
        <v>733</v>
      </c>
      <c r="F3181" s="74"/>
      <c r="G3181" s="74"/>
      <c r="H3181" s="75"/>
      <c r="I3181" s="76"/>
      <c r="J3181" s="78">
        <f>HYPERLINK("#Структура!E2360",Структура!E2360)</f>
        <v>8</v>
      </c>
      <c r="K3181" s="114">
        <f>HYPERLINK("#Структура!G2360",Структура!G2360)</f>
        <v>7.1440000000000003E-2</v>
      </c>
      <c r="L3181" s="120">
        <f>HYPERLINK("#Покупные_изделия!D181",Покупные_изделия!D181)</f>
        <v>15.227999999999998</v>
      </c>
      <c r="M3181" s="76">
        <f t="shared" si="123"/>
        <v>121.82399999999998</v>
      </c>
      <c r="N3181" s="77"/>
      <c r="O3181" s="77"/>
      <c r="P3181" s="76"/>
      <c r="Q3181" s="76"/>
    </row>
    <row r="3182" spans="5:17" hidden="1" outlineLevel="3" x14ac:dyDescent="0.25">
      <c r="E3182" s="74" t="s">
        <v>625</v>
      </c>
      <c r="F3182" s="74"/>
      <c r="G3182" s="74"/>
      <c r="H3182" s="75"/>
      <c r="I3182" s="76"/>
      <c r="J3182" s="78">
        <f>HYPERLINK("#Структура!E2361",Структура!E2361)</f>
        <v>30</v>
      </c>
      <c r="K3182" s="114">
        <f>HYPERLINK("#Структура!G2361",Структура!G2361)</f>
        <v>7.1399999999999996E-3</v>
      </c>
      <c r="L3182" s="120">
        <f>HYPERLINK("#Покупные_изделия!D168",Покупные_изделия!D168)</f>
        <v>1.9715672368421051</v>
      </c>
      <c r="M3182" s="76">
        <f t="shared" si="123"/>
        <v>59.147017105263153</v>
      </c>
      <c r="N3182" s="77"/>
      <c r="O3182" s="77"/>
      <c r="P3182" s="76"/>
      <c r="Q3182" s="76"/>
    </row>
    <row r="3183" spans="5:17" hidden="1" outlineLevel="3" x14ac:dyDescent="0.25">
      <c r="E3183" s="74" t="s">
        <v>767</v>
      </c>
      <c r="F3183" s="74"/>
      <c r="G3183" s="74"/>
      <c r="H3183" s="75"/>
      <c r="I3183" s="76"/>
      <c r="J3183" s="78">
        <f>HYPERLINK("#Структура!E2362",Структура!E2362)</f>
        <v>13</v>
      </c>
      <c r="K3183" s="114">
        <f>HYPERLINK("#Структура!G2362",Структура!G2362)</f>
        <v>2.0100000000000001E-3</v>
      </c>
      <c r="L3183" s="120">
        <f>HYPERLINK("#Покупные_изделия!D522",Покупные_изделия!D522)</f>
        <v>1.6500000000000001</v>
      </c>
      <c r="M3183" s="76">
        <f t="shared" si="123"/>
        <v>21.450000000000003</v>
      </c>
      <c r="N3183" s="77"/>
      <c r="O3183" s="77"/>
      <c r="P3183" s="76"/>
      <c r="Q3183" s="76"/>
    </row>
    <row r="3184" spans="5:17" hidden="1" outlineLevel="3" x14ac:dyDescent="0.25">
      <c r="E3184" s="74" t="s">
        <v>722</v>
      </c>
      <c r="F3184" s="74"/>
      <c r="G3184" s="74"/>
      <c r="H3184" s="75"/>
      <c r="I3184" s="76"/>
      <c r="J3184" s="78">
        <f>HYPERLINK("#Структура!E2363",Структура!E2363)</f>
        <v>4</v>
      </c>
      <c r="K3184" s="114">
        <f>HYPERLINK("#Структура!G2363",Структура!G2363)</f>
        <v>4.4799999999999996E-3</v>
      </c>
      <c r="L3184" s="120">
        <f>HYPERLINK("#Покупные_изделия!D524",Покупные_изделия!D524)</f>
        <v>1.788</v>
      </c>
      <c r="M3184" s="76">
        <f t="shared" si="123"/>
        <v>7.1520000000000001</v>
      </c>
      <c r="N3184" s="77"/>
      <c r="O3184" s="77"/>
      <c r="P3184" s="76"/>
      <c r="Q3184" s="76"/>
    </row>
    <row r="3185" spans="4:17" hidden="1" outlineLevel="3" x14ac:dyDescent="0.25">
      <c r="E3185" s="74" t="s">
        <v>819</v>
      </c>
      <c r="F3185" s="74"/>
      <c r="G3185" s="74"/>
      <c r="H3185" s="75"/>
      <c r="I3185" s="76"/>
      <c r="J3185" s="78">
        <f>HYPERLINK("#Структура!E2364",Структура!E2364)</f>
        <v>4</v>
      </c>
      <c r="K3185" s="114">
        <f>HYPERLINK("#Структура!G2364",Структура!G2364)</f>
        <v>6.0800000000000003E-3</v>
      </c>
      <c r="L3185" s="120">
        <f>HYPERLINK("#Покупные_изделия!D525",Покупные_изделия!D525)</f>
        <v>1.9345375522388062</v>
      </c>
      <c r="M3185" s="76">
        <f t="shared" si="123"/>
        <v>7.7381502089552248</v>
      </c>
      <c r="N3185" s="77"/>
      <c r="O3185" s="77"/>
      <c r="P3185" s="76"/>
      <c r="Q3185" s="76"/>
    </row>
    <row r="3186" spans="4:17" hidden="1" outlineLevel="3" x14ac:dyDescent="0.25">
      <c r="E3186" s="74" t="s">
        <v>735</v>
      </c>
      <c r="F3186" s="74"/>
      <c r="G3186" s="74"/>
      <c r="H3186" s="75"/>
      <c r="I3186" s="76"/>
      <c r="J3186" s="78">
        <f>HYPERLINK("#Структура!E2365",Структура!E2365)</f>
        <v>4</v>
      </c>
      <c r="K3186" s="114">
        <f>HYPERLINK("#Структура!G2365",Структура!G2365)</f>
        <v>1.289E-2</v>
      </c>
      <c r="L3186" s="120">
        <f>HYPERLINK("#Покупные_изделия!D527",Покупные_изделия!D527)</f>
        <v>5.5</v>
      </c>
      <c r="M3186" s="76">
        <f t="shared" si="123"/>
        <v>22</v>
      </c>
      <c r="N3186" s="77"/>
      <c r="O3186" s="77"/>
      <c r="P3186" s="76"/>
      <c r="Q3186" s="76"/>
    </row>
    <row r="3187" spans="4:17" hidden="1" outlineLevel="3" x14ac:dyDescent="0.25">
      <c r="E3187" s="74" t="s">
        <v>1318</v>
      </c>
      <c r="F3187" s="74"/>
      <c r="G3187" s="74"/>
      <c r="H3187" s="75"/>
      <c r="I3187" s="76"/>
      <c r="J3187" s="78">
        <f>HYPERLINK("#Структура!E2366",Структура!E2366)</f>
        <v>4</v>
      </c>
      <c r="K3187" s="114">
        <f>HYPERLINK("#Структура!G2366",Структура!G2366)</f>
        <v>3.2000000000000001E-2</v>
      </c>
      <c r="L3187" s="120">
        <f>HYPERLINK("#Покупные_изделия!D533",Покупные_изделия!D533)</f>
        <v>5.6348160000000016</v>
      </c>
      <c r="M3187" s="76">
        <f t="shared" si="123"/>
        <v>22.539264000000006</v>
      </c>
      <c r="N3187" s="77"/>
      <c r="O3187" s="77"/>
      <c r="P3187" s="76"/>
      <c r="Q3187" s="76"/>
    </row>
    <row r="3188" spans="4:17" hidden="1" outlineLevel="3" x14ac:dyDescent="0.25">
      <c r="E3188" s="74" t="s">
        <v>1202</v>
      </c>
      <c r="F3188" s="74"/>
      <c r="G3188" s="74"/>
      <c r="H3188" s="75"/>
      <c r="I3188" s="76"/>
      <c r="J3188" s="78">
        <f>HYPERLINK("#Структура!E2367",Структура!E2367)</f>
        <v>4</v>
      </c>
      <c r="K3188" s="114">
        <f>HYPERLINK("#Структура!G2367",Структура!G2367)</f>
        <v>7.8E-2</v>
      </c>
      <c r="L3188" s="120">
        <f>HYPERLINK("#Покупные_изделия!D534",Покупные_изделия!D534)</f>
        <v>12.038399999999999</v>
      </c>
      <c r="M3188" s="76">
        <f t="shared" si="123"/>
        <v>48.153599999999997</v>
      </c>
      <c r="N3188" s="77"/>
      <c r="O3188" s="77"/>
      <c r="P3188" s="76"/>
      <c r="Q3188" s="76"/>
    </row>
    <row r="3189" spans="4:17" hidden="1" outlineLevel="3" x14ac:dyDescent="0.25">
      <c r="E3189" s="74" t="s">
        <v>747</v>
      </c>
      <c r="F3189" s="74"/>
      <c r="G3189" s="74"/>
      <c r="H3189" s="75"/>
      <c r="I3189" s="76"/>
      <c r="J3189" s="78">
        <f>HYPERLINK("#Структура!E2368",Структура!E2368)</f>
        <v>31</v>
      </c>
      <c r="K3189" s="114">
        <f>HYPERLINK("#Структура!G2368",Структура!G2368)</f>
        <v>6.13E-3</v>
      </c>
      <c r="L3189" s="120">
        <f>HYPERLINK("#Покупные_изделия!D537",Покупные_изделия!D537)</f>
        <v>2.8559999999999999</v>
      </c>
      <c r="M3189" s="76">
        <f t="shared" si="123"/>
        <v>88.536000000000001</v>
      </c>
      <c r="N3189" s="77"/>
      <c r="O3189" s="77"/>
      <c r="P3189" s="76"/>
      <c r="Q3189" s="76"/>
    </row>
    <row r="3190" spans="4:17" hidden="1" outlineLevel="3" x14ac:dyDescent="0.25">
      <c r="E3190" s="74" t="s">
        <v>662</v>
      </c>
      <c r="F3190" s="74"/>
      <c r="G3190" s="74"/>
      <c r="H3190" s="75"/>
      <c r="I3190" s="76"/>
      <c r="J3190" s="78">
        <f>HYPERLINK("#Структура!E2369",Структура!E2369)</f>
        <v>8</v>
      </c>
      <c r="K3190" s="114">
        <f>HYPERLINK("#Структура!G2369",Структура!G2369)</f>
        <v>1.098E-2</v>
      </c>
      <c r="L3190" s="120">
        <f>HYPERLINK("#Покупные_изделия!D541",Покупные_изделия!D541)</f>
        <v>1.713367999999998</v>
      </c>
      <c r="M3190" s="76">
        <f t="shared" si="123"/>
        <v>13.706943999999984</v>
      </c>
      <c r="N3190" s="77"/>
      <c r="O3190" s="77"/>
      <c r="P3190" s="76"/>
      <c r="Q3190" s="76"/>
    </row>
    <row r="3191" spans="4:17" hidden="1" outlineLevel="3" x14ac:dyDescent="0.25">
      <c r="E3191" s="74" t="s">
        <v>736</v>
      </c>
      <c r="F3191" s="74"/>
      <c r="G3191" s="74"/>
      <c r="H3191" s="75"/>
      <c r="I3191" s="76"/>
      <c r="J3191" s="78">
        <f>HYPERLINK("#Структура!E2370",Структура!E2370)</f>
        <v>4</v>
      </c>
      <c r="K3191" s="114">
        <f>HYPERLINK("#Структура!G2370",Структура!G2370)</f>
        <v>1.636E-2</v>
      </c>
      <c r="L3191" s="120">
        <f>HYPERLINK("#Покупные_изделия!D542",Покупные_изделия!D542)</f>
        <v>2.8467119999999975</v>
      </c>
      <c r="M3191" s="76">
        <f t="shared" si="123"/>
        <v>11.38684799999999</v>
      </c>
      <c r="N3191" s="77"/>
      <c r="O3191" s="77"/>
      <c r="P3191" s="76"/>
      <c r="Q3191" s="76"/>
    </row>
    <row r="3192" spans="4:17" hidden="1" outlineLevel="3" x14ac:dyDescent="0.25">
      <c r="E3192" s="74" t="s">
        <v>548</v>
      </c>
      <c r="F3192" s="74"/>
      <c r="G3192" s="74"/>
      <c r="H3192" s="75"/>
      <c r="I3192" s="76"/>
      <c r="J3192" s="78">
        <f>HYPERLINK("#Структура!E2371",Структура!E2371)</f>
        <v>1</v>
      </c>
      <c r="K3192" s="114">
        <f>HYPERLINK("#Структура!G2371",Структура!G2371)</f>
        <v>145</v>
      </c>
      <c r="L3192" s="120">
        <f>HYPERLINK("#Покупные_изделия!D10",Покупные_изделия!D10)</f>
        <v>32030.003999999997</v>
      </c>
      <c r="M3192" s="76">
        <f t="shared" si="123"/>
        <v>32030.003999999997</v>
      </c>
      <c r="N3192" s="77"/>
      <c r="O3192" s="77"/>
      <c r="P3192" s="76"/>
      <c r="Q3192" s="76"/>
    </row>
    <row r="3193" spans="4:17" hidden="1" outlineLevel="3" x14ac:dyDescent="0.25">
      <c r="E3193" s="74" t="s">
        <v>24</v>
      </c>
      <c r="F3193" s="74"/>
      <c r="G3193" s="74"/>
      <c r="H3193" s="75"/>
      <c r="I3193" s="76"/>
      <c r="J3193" s="78">
        <f>HYPERLINK("#Структура!E2372",Структура!E2372)</f>
        <v>1</v>
      </c>
      <c r="K3193" s="114">
        <f>HYPERLINK("#Структура!G2372",Структура!G2372)</f>
        <v>0.96411999999999998</v>
      </c>
      <c r="L3193" s="120">
        <f>HYPERLINK("#Покупные_изделия!D33",Покупные_изделия!D33)</f>
        <v>730.76400000000001</v>
      </c>
      <c r="M3193" s="76">
        <f t="shared" si="123"/>
        <v>730.76400000000001</v>
      </c>
      <c r="N3193" s="77"/>
      <c r="O3193" s="77"/>
      <c r="P3193" s="76"/>
      <c r="Q3193" s="76"/>
    </row>
    <row r="3194" spans="4:17" hidden="1" outlineLevel="3" x14ac:dyDescent="0.25">
      <c r="E3194" s="74" t="s">
        <v>550</v>
      </c>
      <c r="F3194" s="74"/>
      <c r="G3194" s="74"/>
      <c r="H3194" s="75"/>
      <c r="I3194" s="76"/>
      <c r="J3194" s="78">
        <f>HYPERLINK("#Структура!E2373",Структура!E2373)</f>
        <v>1</v>
      </c>
      <c r="K3194" s="114">
        <f>HYPERLINK("#Структура!G2373",Структура!G2373)</f>
        <v>8.7119499999999999</v>
      </c>
      <c r="L3194" s="120">
        <f>HYPERLINK("#Покупные_изделия!D41",Покупные_изделия!D41)</f>
        <v>3654.5783999999999</v>
      </c>
      <c r="M3194" s="76">
        <f t="shared" si="123"/>
        <v>3654.5783999999999</v>
      </c>
      <c r="N3194" s="77"/>
      <c r="O3194" s="77"/>
      <c r="P3194" s="76"/>
      <c r="Q3194" s="76"/>
    </row>
    <row r="3195" spans="4:17" hidden="1" outlineLevel="3" x14ac:dyDescent="0.25">
      <c r="E3195" s="74" t="s">
        <v>42</v>
      </c>
      <c r="F3195" s="74"/>
      <c r="G3195" s="74"/>
      <c r="H3195" s="75"/>
      <c r="I3195" s="76"/>
      <c r="J3195" s="78">
        <f>HYPERLINK("#Структура!E2374",Структура!E2374)</f>
        <v>3</v>
      </c>
      <c r="K3195" s="114">
        <f>HYPERLINK("#Структура!G2374",Структура!G2374)</f>
        <v>0.15</v>
      </c>
      <c r="L3195" s="120">
        <f>HYPERLINK("#Покупные_изделия!D53",Покупные_изделия!D53)</f>
        <v>530.86440000000005</v>
      </c>
      <c r="M3195" s="76">
        <f t="shared" si="123"/>
        <v>1592.5932000000003</v>
      </c>
      <c r="N3195" s="77"/>
      <c r="O3195" s="77"/>
      <c r="P3195" s="76"/>
      <c r="Q3195" s="76"/>
    </row>
    <row r="3196" spans="4:17" hidden="1" outlineLevel="3" x14ac:dyDescent="0.25">
      <c r="E3196" s="74" t="s">
        <v>68</v>
      </c>
      <c r="F3196" s="74"/>
      <c r="G3196" s="74"/>
      <c r="H3196" s="75"/>
      <c r="I3196" s="76"/>
      <c r="J3196" s="78">
        <f>HYPERLINK("#Структура!E2375",Структура!E2375)</f>
        <v>4</v>
      </c>
      <c r="K3196" s="114">
        <f>HYPERLINK("#Структура!G2375",Структура!G2375)</f>
        <v>3.211E-2</v>
      </c>
      <c r="L3196" s="120">
        <f>HYPERLINK("#Покупные_изделия!D204",Покупные_изделия!D204)</f>
        <v>1.2276000000000002</v>
      </c>
      <c r="M3196" s="76">
        <f t="shared" si="123"/>
        <v>4.910400000000001</v>
      </c>
      <c r="N3196" s="77"/>
      <c r="O3196" s="77"/>
      <c r="P3196" s="76"/>
      <c r="Q3196" s="76"/>
    </row>
    <row r="3197" spans="4:17" hidden="1" outlineLevel="2" collapsed="1" x14ac:dyDescent="0.25">
      <c r="D3197" s="96" t="s">
        <v>1320</v>
      </c>
      <c r="E3197" s="91"/>
      <c r="F3197" s="91"/>
      <c r="G3197" s="91"/>
      <c r="H3197" s="92"/>
      <c r="I3197" s="93"/>
      <c r="J3197" s="95">
        <f>HYPERLINK("#Структура!E2377",Структура!E2377)</f>
        <v>1</v>
      </c>
      <c r="K3197" s="116">
        <f>HYPERLINK("#Структура!G2377",Структура!G2377)</f>
        <v>24.263190000000002</v>
      </c>
      <c r="L3197" s="93">
        <f>M3197/J3197</f>
        <v>320346.59920560004</v>
      </c>
      <c r="M3197" s="93">
        <f>SUMIF(E3198:E3285,"*",M3198:M3285)*J3197</f>
        <v>320346.59920560004</v>
      </c>
      <c r="N3197" s="125">
        <f>HYPERLINK("#Трудозатраты!B700",Трудозатраты!B700+SUMIF(E3198:E3285,"*",O3198:O3285))</f>
        <v>1102.8599999999999</v>
      </c>
      <c r="O3197" s="94">
        <f>N3197*J3197</f>
        <v>1102.8599999999999</v>
      </c>
      <c r="P3197" s="93">
        <f>O3197/60*(1+запас_труд)*стоимость_трудочаса</f>
        <v>43195.349999999991</v>
      </c>
      <c r="Q3197" s="130">
        <f>M3197*(1+наценка_покупное)+P3197</f>
        <v>427611.26904672</v>
      </c>
    </row>
    <row r="3198" spans="4:17" hidden="1" outlineLevel="3" collapsed="1" x14ac:dyDescent="0.25">
      <c r="E3198" s="97" t="s">
        <v>1377</v>
      </c>
      <c r="F3198" s="98"/>
      <c r="G3198" s="98"/>
      <c r="H3198" s="99"/>
      <c r="I3198" s="100"/>
      <c r="J3198" s="102">
        <f>HYPERLINK("#Структура!E2794",Структура!E2794)</f>
        <v>1</v>
      </c>
      <c r="K3198" s="112">
        <f>HYPERLINK("#Структура!G2794",Структура!G2794)</f>
        <v>5.7201599999999999</v>
      </c>
      <c r="L3198" s="100">
        <f>M3198/J3198</f>
        <v>97159.10176000002</v>
      </c>
      <c r="M3198" s="100">
        <f>SUMIF(F3199:F3204,"*",M3199:M3204)*J3198</f>
        <v>97159.10176000002</v>
      </c>
      <c r="N3198" s="122">
        <f>HYPERLINK("#Трудозатраты!B678",Трудозатраты!B678+SUMIF(F3199:F3204,"*",O3199:O3204))</f>
        <v>15.75</v>
      </c>
      <c r="O3198" s="101">
        <f>N3198*J3198</f>
        <v>15.75</v>
      </c>
      <c r="P3198" s="100">
        <f>O3198/60*(1+запас_труд)*стоимость_трудочаса</f>
        <v>616.875</v>
      </c>
      <c r="Q3198" s="127">
        <f>M3198*(1+наценка_покупное)+P3198</f>
        <v>117207.79711200001</v>
      </c>
    </row>
    <row r="3199" spans="4:17" hidden="1" outlineLevel="4" collapsed="1" x14ac:dyDescent="0.25">
      <c r="F3199" s="85" t="s">
        <v>1391</v>
      </c>
      <c r="G3199" s="86"/>
      <c r="H3199" s="87"/>
      <c r="I3199" s="88"/>
      <c r="J3199" s="90">
        <f>HYPERLINK("#Структура!E2710",Структура!E2710)</f>
        <v>1</v>
      </c>
      <c r="K3199" s="113">
        <f>HYPERLINK("#Структура!G2710",Структура!G2710)</f>
        <v>0.30442000000000002</v>
      </c>
      <c r="L3199" s="88">
        <f>M3199/J3199</f>
        <v>64</v>
      </c>
      <c r="M3199" s="88">
        <f>SUMIF(G3200,"*",M3200)*J3199</f>
        <v>64</v>
      </c>
      <c r="N3199" s="123">
        <f>HYPERLINK("#Трудозатраты!B679",Трудозатраты!B679+SUMIF(G3200,"*",O3200))</f>
        <v>5.75</v>
      </c>
      <c r="O3199" s="89">
        <f>N3199*J3199</f>
        <v>5.75</v>
      </c>
      <c r="P3199" s="88">
        <f>O3199/60*(1+запас_труд)*стоимость_трудочаса</f>
        <v>225.20833333333334</v>
      </c>
      <c r="Q3199" s="128">
        <f>M3199*(1+наценка_покупное)+P3199</f>
        <v>302.00833333333333</v>
      </c>
    </row>
    <row r="3200" spans="4:17" hidden="1" outlineLevel="5" x14ac:dyDescent="0.25">
      <c r="G3200" s="74" t="s">
        <v>130</v>
      </c>
      <c r="H3200" s="75"/>
      <c r="I3200" s="76"/>
      <c r="J3200" s="78">
        <f>HYPERLINK("#Структура!E2715",Структура!E2715)</f>
        <v>0.4</v>
      </c>
      <c r="K3200" s="114" t="str">
        <f>HYPERLINK("#Структура!G2715","")</f>
        <v/>
      </c>
      <c r="L3200" s="120">
        <f>HYPERLINK("#Покупные_изделия!D305",Покупные_изделия!D305)</f>
        <v>160</v>
      </c>
      <c r="M3200" s="76">
        <f>J3200*L3200</f>
        <v>64</v>
      </c>
      <c r="N3200" s="77"/>
      <c r="O3200" s="77"/>
      <c r="P3200" s="76"/>
      <c r="Q3200" s="76"/>
    </row>
    <row r="3201" spans="5:17" hidden="1" outlineLevel="4" x14ac:dyDescent="0.25">
      <c r="F3201" s="74" t="s">
        <v>1009</v>
      </c>
      <c r="G3201" s="74"/>
      <c r="H3201" s="75"/>
      <c r="I3201" s="76"/>
      <c r="J3201" s="78">
        <f>HYPERLINK("#Структура!E2711",Структура!E2711)</f>
        <v>2</v>
      </c>
      <c r="K3201" s="114">
        <f>HYPERLINK("#Структура!G2711",Структура!G2711)</f>
        <v>6.4999999999999997E-3</v>
      </c>
      <c r="L3201" s="120">
        <f>HYPERLINK("#Покупные_изделия!D82",Покупные_изделия!D82)</f>
        <v>12.06</v>
      </c>
      <c r="M3201" s="76">
        <f>J3201*L3201</f>
        <v>24.12</v>
      </c>
      <c r="N3201" s="77"/>
      <c r="O3201" s="77"/>
      <c r="P3201" s="76"/>
      <c r="Q3201" s="76"/>
    </row>
    <row r="3202" spans="5:17" hidden="1" outlineLevel="4" x14ac:dyDescent="0.25">
      <c r="F3202" s="74" t="s">
        <v>1022</v>
      </c>
      <c r="G3202" s="74"/>
      <c r="H3202" s="75"/>
      <c r="I3202" s="76"/>
      <c r="J3202" s="78">
        <f>HYPERLINK("#Структура!E2712",Структура!E2712)</f>
        <v>4</v>
      </c>
      <c r="K3202" s="114">
        <f>HYPERLINK("#Структура!G2712",Структура!G2712)</f>
        <v>8.9499999999999996E-3</v>
      </c>
      <c r="L3202" s="120">
        <f>HYPERLINK("#Покупные_изделия!D84",Покупные_изделия!D84)</f>
        <v>10.68</v>
      </c>
      <c r="M3202" s="76">
        <f>J3202*L3202</f>
        <v>42.72</v>
      </c>
      <c r="N3202" s="77"/>
      <c r="O3202" s="77"/>
      <c r="P3202" s="76"/>
      <c r="Q3202" s="76"/>
    </row>
    <row r="3203" spans="5:17" hidden="1" outlineLevel="4" x14ac:dyDescent="0.25">
      <c r="F3203" s="74" t="s">
        <v>871</v>
      </c>
      <c r="G3203" s="74"/>
      <c r="H3203" s="75"/>
      <c r="I3203" s="76"/>
      <c r="J3203" s="78">
        <f>HYPERLINK("#Структура!E2713",Структура!E2713)</f>
        <v>4</v>
      </c>
      <c r="K3203" s="114">
        <f>HYPERLINK("#Структура!G2713",Структура!G2713)</f>
        <v>3.3E-3</v>
      </c>
      <c r="L3203" s="120">
        <f>HYPERLINK("#Покупные_изделия!D167",Покупные_изделия!D167)</f>
        <v>2.0654400000000002</v>
      </c>
      <c r="M3203" s="76">
        <f>J3203*L3203</f>
        <v>8.2617600000000007</v>
      </c>
      <c r="N3203" s="77"/>
      <c r="O3203" s="77"/>
      <c r="P3203" s="76"/>
      <c r="Q3203" s="76"/>
    </row>
    <row r="3204" spans="5:17" hidden="1" outlineLevel="4" x14ac:dyDescent="0.25">
      <c r="F3204" s="74" t="s">
        <v>134</v>
      </c>
      <c r="G3204" s="74"/>
      <c r="H3204" s="75"/>
      <c r="I3204" s="76"/>
      <c r="J3204" s="78">
        <f>HYPERLINK("#Структура!E2714",Структура!E2714)</f>
        <v>1</v>
      </c>
      <c r="K3204" s="114">
        <f>HYPERLINK("#Структура!G2714",Структура!G2714)</f>
        <v>4.1453100000000003</v>
      </c>
      <c r="L3204" s="120">
        <f>HYPERLINK("#Покупные_изделия!D309",Покупные_изделия!D309)</f>
        <v>97020.000000000015</v>
      </c>
      <c r="M3204" s="76">
        <f>J3204*L3204</f>
        <v>97020.000000000015</v>
      </c>
      <c r="N3204" s="77"/>
      <c r="O3204" s="77"/>
      <c r="P3204" s="76"/>
      <c r="Q3204" s="76"/>
    </row>
    <row r="3205" spans="5:17" hidden="1" outlineLevel="3" collapsed="1" x14ac:dyDescent="0.25">
      <c r="E3205" s="96" t="s">
        <v>1378</v>
      </c>
      <c r="F3205" s="91"/>
      <c r="G3205" s="91"/>
      <c r="H3205" s="92"/>
      <c r="I3205" s="93"/>
      <c r="J3205" s="95">
        <f>HYPERLINK("#Структура!E2795",Структура!E2795)</f>
        <v>1</v>
      </c>
      <c r="K3205" s="116">
        <f>HYPERLINK("#Структура!G2795",Структура!G2795)</f>
        <v>4.2926099999999998</v>
      </c>
      <c r="L3205" s="93">
        <f>M3205/J3205</f>
        <v>90899.741453600014</v>
      </c>
      <c r="M3205" s="93">
        <f>SUMIF(F3206:F3227,"*",M3206:M3227)*J3205</f>
        <v>90899.741453600014</v>
      </c>
      <c r="N3205" s="125">
        <f>HYPERLINK("#Трудозатраты!B680",Трудозатраты!B680+SUMIF(F3206:F3227,"*",O3206:O3227))</f>
        <v>416.51</v>
      </c>
      <c r="O3205" s="94">
        <f>N3205*J3205</f>
        <v>416.51</v>
      </c>
      <c r="P3205" s="93">
        <f>O3205/60*(1+запас_труд)*стоимость_трудочаса</f>
        <v>16313.308333333332</v>
      </c>
      <c r="Q3205" s="130">
        <f>M3205*(1+наценка_покупное)+P3205</f>
        <v>125392.99807765335</v>
      </c>
    </row>
    <row r="3206" spans="5:17" hidden="1" outlineLevel="4" collapsed="1" x14ac:dyDescent="0.25">
      <c r="F3206" s="97" t="s">
        <v>1392</v>
      </c>
      <c r="G3206" s="98"/>
      <c r="H3206" s="99"/>
      <c r="I3206" s="100"/>
      <c r="J3206" s="102">
        <f>HYPERLINK("#Структура!E2716",Структура!E2716)</f>
        <v>1</v>
      </c>
      <c r="K3206" s="112">
        <f>HYPERLINK("#Структура!G2716",Структура!G2716)</f>
        <v>4.8410000000000002E-2</v>
      </c>
      <c r="L3206" s="100">
        <f>M3206/J3206</f>
        <v>372.60729119999996</v>
      </c>
      <c r="M3206" s="100">
        <f>SUMIF(G3207:G3212,"*",M3207:M3212)*J3206</f>
        <v>372.60729119999996</v>
      </c>
      <c r="N3206" s="122">
        <f>HYPERLINK("#Трудозатраты!B684",Трудозатраты!B684+SUMIF(G3207:G3212,"*",O3207:O3212))</f>
        <v>38.340000000000003</v>
      </c>
      <c r="O3206" s="101">
        <f>N3206*J3206</f>
        <v>38.340000000000003</v>
      </c>
      <c r="P3206" s="100">
        <f>O3206/60*(1+запас_труд)*стоимость_трудочаса</f>
        <v>1501.65</v>
      </c>
      <c r="Q3206" s="127">
        <f>M3206*(1+наценка_покупное)+P3206</f>
        <v>1948.77874944</v>
      </c>
    </row>
    <row r="3207" spans="5:17" hidden="1" outlineLevel="5" collapsed="1" x14ac:dyDescent="0.25">
      <c r="G3207" s="85" t="s">
        <v>1396</v>
      </c>
      <c r="H3207" s="87"/>
      <c r="I3207" s="88"/>
      <c r="J3207" s="90">
        <f>HYPERLINK("#Структура!E2732",Структура!E2732)</f>
        <v>1</v>
      </c>
      <c r="K3207" s="113">
        <f>HYPERLINK("#Структура!G2732",Структура!G2732)</f>
        <v>4.0910000000000002E-2</v>
      </c>
      <c r="L3207" s="88">
        <f>M3207/J3207</f>
        <v>99.267379199999993</v>
      </c>
      <c r="M3207" s="88">
        <f>SUMIF(H3208,"*",M3208)*J3207</f>
        <v>99.267379199999993</v>
      </c>
      <c r="N3207" s="123">
        <f>HYPERLINK("#Трудозатраты!B685",Трудозатраты!B685+SUMIF(H3208,"*",O3208))</f>
        <v>19.670000000000002</v>
      </c>
      <c r="O3207" s="89">
        <f>N3207*J3207</f>
        <v>19.670000000000002</v>
      </c>
      <c r="P3207" s="88">
        <f>O3207/60*(1+запас_труд)*стоимость_трудочаса</f>
        <v>770.40833333333342</v>
      </c>
      <c r="Q3207" s="128">
        <f>M3207*(1+наценка_покупное)+P3207</f>
        <v>889.52918837333345</v>
      </c>
    </row>
    <row r="3208" spans="5:17" hidden="1" outlineLevel="6" x14ac:dyDescent="0.25">
      <c r="H3208" s="75" t="s">
        <v>154</v>
      </c>
      <c r="I3208" s="76"/>
      <c r="J3208" s="78">
        <f>HYPERLINK("#Структура!E2736",Структура!E2736)</f>
        <v>0.10199999999999999</v>
      </c>
      <c r="K3208" s="114" t="str">
        <f>HYPERLINK("#Структура!G2736","")</f>
        <v/>
      </c>
      <c r="L3208" s="120">
        <f>HYPERLINK("#Покупные_изделия!D422",Покупные_изделия!D422)</f>
        <v>973.20960000000002</v>
      </c>
      <c r="M3208" s="76">
        <f>J3208*L3208</f>
        <v>99.267379199999993</v>
      </c>
      <c r="N3208" s="77"/>
      <c r="O3208" s="77"/>
      <c r="P3208" s="76"/>
      <c r="Q3208" s="76"/>
    </row>
    <row r="3209" spans="5:17" hidden="1" outlineLevel="5" collapsed="1" x14ac:dyDescent="0.25">
      <c r="G3209" s="84" t="s">
        <v>1397</v>
      </c>
      <c r="H3209" s="80"/>
      <c r="I3209" s="81"/>
      <c r="J3209" s="83">
        <f>HYPERLINK("#Структура!E2733",Структура!E2733)</f>
        <v>1</v>
      </c>
      <c r="K3209" s="115">
        <f>HYPERLINK("#Структура!G2733",Структура!G2733)</f>
        <v>3.0699999999999998E-3</v>
      </c>
      <c r="L3209" s="81">
        <f>M3209/J3209</f>
        <v>42.662400000000005</v>
      </c>
      <c r="M3209" s="81">
        <f>SUMIF(H3210,"*",M3210)*J3209</f>
        <v>42.662400000000005</v>
      </c>
      <c r="N3209" s="124">
        <f>HYPERLINK("#Трудозатраты!B686",Трудозатраты!B686+SUMIF(H3210,"*",O3210))</f>
        <v>8.67</v>
      </c>
      <c r="O3209" s="82">
        <f>N3209*J3209</f>
        <v>8.67</v>
      </c>
      <c r="P3209" s="81">
        <f>O3209/60*(1+запас_труд)*стоимость_трудочаса</f>
        <v>339.57499999999999</v>
      </c>
      <c r="Q3209" s="129">
        <f>M3209*(1+наценка_покупное)+P3209</f>
        <v>390.76988</v>
      </c>
    </row>
    <row r="3210" spans="5:17" hidden="1" outlineLevel="6" x14ac:dyDescent="0.25">
      <c r="H3210" s="75" t="s">
        <v>153</v>
      </c>
      <c r="I3210" s="76"/>
      <c r="J3210" s="78">
        <f>HYPERLINK("#Структура!E2737",Структура!E2737)</f>
        <v>4.8000000000000001E-2</v>
      </c>
      <c r="K3210" s="114" t="str">
        <f>HYPERLINK("#Структура!G2737","")</f>
        <v/>
      </c>
      <c r="L3210" s="120">
        <f>HYPERLINK("#Покупные_изделия!D421",Покупные_изделия!D421)</f>
        <v>888.80000000000007</v>
      </c>
      <c r="M3210" s="76">
        <f>J3210*L3210</f>
        <v>42.662400000000005</v>
      </c>
      <c r="N3210" s="77"/>
      <c r="O3210" s="77"/>
      <c r="P3210" s="76"/>
      <c r="Q3210" s="76"/>
    </row>
    <row r="3211" spans="5:17" hidden="1" outlineLevel="5" x14ac:dyDescent="0.25">
      <c r="G3211" s="74" t="s">
        <v>197</v>
      </c>
      <c r="H3211" s="75"/>
      <c r="I3211" s="76"/>
      <c r="J3211" s="78">
        <f>HYPERLINK("#Структура!E2734",Структура!E2734)</f>
        <v>1</v>
      </c>
      <c r="K3211" s="114">
        <f>HYPERLINK("#Структура!G2734",Структура!G2734)</f>
        <v>4.4400000000000004E-3</v>
      </c>
      <c r="L3211" s="120">
        <f>HYPERLINK("#Покупные_изделия!D512",Покупные_изделия!D512)</f>
        <v>230.39999999999998</v>
      </c>
      <c r="M3211" s="76">
        <f>J3211*L3211</f>
        <v>230.39999999999998</v>
      </c>
      <c r="N3211" s="77"/>
      <c r="O3211" s="77"/>
      <c r="P3211" s="76"/>
      <c r="Q3211" s="76"/>
    </row>
    <row r="3212" spans="5:17" hidden="1" outlineLevel="5" x14ac:dyDescent="0.25">
      <c r="G3212" s="74" t="s">
        <v>157</v>
      </c>
      <c r="H3212" s="75"/>
      <c r="I3212" s="76"/>
      <c r="J3212" s="78">
        <f>HYPERLINK("#Структура!E2735",Структура!E2735)</f>
        <v>2E-3</v>
      </c>
      <c r="K3212" s="114" t="str">
        <f>HYPERLINK("#Структура!G2735","")</f>
        <v/>
      </c>
      <c r="L3212" s="120">
        <f>HYPERLINK("#Покупные_изделия!D428",Покупные_изделия!D428)</f>
        <v>138.756</v>
      </c>
      <c r="M3212" s="76">
        <f>J3212*L3212</f>
        <v>0.27751199999999998</v>
      </c>
      <c r="N3212" s="77"/>
      <c r="O3212" s="77"/>
      <c r="P3212" s="76"/>
      <c r="Q3212" s="76"/>
    </row>
    <row r="3213" spans="5:17" hidden="1" outlineLevel="4" collapsed="1" x14ac:dyDescent="0.25">
      <c r="F3213" s="84" t="s">
        <v>1393</v>
      </c>
      <c r="G3213" s="79"/>
      <c r="H3213" s="80"/>
      <c r="I3213" s="81"/>
      <c r="J3213" s="83">
        <f>HYPERLINK("#Структура!E2717",Структура!E2717)</f>
        <v>11</v>
      </c>
      <c r="K3213" s="115">
        <f>HYPERLINK("#Структура!G2717",Структура!G2717)</f>
        <v>7.0150000000000004E-2</v>
      </c>
      <c r="L3213" s="81">
        <f>M3213/J3213</f>
        <v>23.828952000000001</v>
      </c>
      <c r="M3213" s="81">
        <f>SUMIF(G3214,"*",M3214)*J3213</f>
        <v>262.118472</v>
      </c>
      <c r="N3213" s="124">
        <f>HYPERLINK("#Трудозатраты!B681",Трудозатраты!B681+SUMIF(G3214,"*",O3214))</f>
        <v>13.5</v>
      </c>
      <c r="O3213" s="82">
        <f>N3213*J3213</f>
        <v>148.5</v>
      </c>
      <c r="P3213" s="81">
        <f>O3213/60*(1+запас_труд)*стоимость_трудочаса</f>
        <v>5816.25</v>
      </c>
      <c r="Q3213" s="129">
        <f>M3213*(1+наценка_покупное)+P3213</f>
        <v>6130.7921663999996</v>
      </c>
    </row>
    <row r="3214" spans="5:17" hidden="1" outlineLevel="5" x14ac:dyDescent="0.25">
      <c r="G3214" s="74" t="s">
        <v>208</v>
      </c>
      <c r="H3214" s="75"/>
      <c r="I3214" s="76"/>
      <c r="J3214" s="78">
        <f>HYPERLINK("#Структура!E2729",Структура!E2729)</f>
        <v>0.20300000000000001</v>
      </c>
      <c r="K3214" s="114" t="str">
        <f>HYPERLINK("#Структура!G2729","")</f>
        <v/>
      </c>
      <c r="L3214" s="120">
        <f>HYPERLINK("#Покупные_изделия!D553",Покупные_изделия!D553)</f>
        <v>117.38399999999999</v>
      </c>
      <c r="M3214" s="76">
        <f>J3214*L3214</f>
        <v>23.828951999999997</v>
      </c>
      <c r="N3214" s="77"/>
      <c r="O3214" s="77"/>
      <c r="P3214" s="76"/>
      <c r="Q3214" s="76"/>
    </row>
    <row r="3215" spans="5:17" hidden="1" outlineLevel="4" collapsed="1" x14ac:dyDescent="0.25">
      <c r="F3215" s="84" t="s">
        <v>1394</v>
      </c>
      <c r="G3215" s="79"/>
      <c r="H3215" s="80"/>
      <c r="I3215" s="81"/>
      <c r="J3215" s="83">
        <f>HYPERLINK("#Структура!E2718",Структура!E2718)</f>
        <v>2</v>
      </c>
      <c r="K3215" s="115">
        <f>HYPERLINK("#Структура!G2718",Структура!G2718)</f>
        <v>6.2219999999999998E-2</v>
      </c>
      <c r="L3215" s="81">
        <f>M3215/J3215</f>
        <v>21.104107199999998</v>
      </c>
      <c r="M3215" s="81">
        <f>SUMIF(G3216,"*",M3216)*J3215</f>
        <v>42.208214399999996</v>
      </c>
      <c r="N3215" s="124">
        <f>HYPERLINK("#Трудозатраты!B682",Трудозатраты!B682+SUMIF(G3216,"*",O3216))</f>
        <v>16.5</v>
      </c>
      <c r="O3215" s="82">
        <f>N3215*J3215</f>
        <v>33</v>
      </c>
      <c r="P3215" s="81">
        <f>O3215/60*(1+запас_труд)*стоимость_трудочаса</f>
        <v>1292.5</v>
      </c>
      <c r="Q3215" s="129">
        <f>M3215*(1+наценка_покупное)+P3215</f>
        <v>1343.1498572800001</v>
      </c>
    </row>
    <row r="3216" spans="5:17" hidden="1" outlineLevel="5" x14ac:dyDescent="0.25">
      <c r="G3216" s="74" t="s">
        <v>209</v>
      </c>
      <c r="H3216" s="75"/>
      <c r="I3216" s="76"/>
      <c r="J3216" s="78">
        <f>HYPERLINK("#Структура!E2730",Структура!E2730)</f>
        <v>0.17799999999999999</v>
      </c>
      <c r="K3216" s="114" t="str">
        <f>HYPERLINK("#Структура!G2730","")</f>
        <v/>
      </c>
      <c r="L3216" s="120">
        <f>HYPERLINK("#Покупные_изделия!D554",Покупные_изделия!D554)</f>
        <v>118.5624</v>
      </c>
      <c r="M3216" s="76">
        <f>J3216*L3216</f>
        <v>21.104107199999998</v>
      </c>
      <c r="N3216" s="77"/>
      <c r="O3216" s="77"/>
      <c r="P3216" s="76"/>
      <c r="Q3216" s="76"/>
    </row>
    <row r="3217" spans="5:17" hidden="1" outlineLevel="4" collapsed="1" x14ac:dyDescent="0.25">
      <c r="F3217" s="84" t="s">
        <v>1395</v>
      </c>
      <c r="G3217" s="79"/>
      <c r="H3217" s="80"/>
      <c r="I3217" s="81"/>
      <c r="J3217" s="83">
        <f>HYPERLINK("#Структура!E2719",Структура!E2719)</f>
        <v>1</v>
      </c>
      <c r="K3217" s="115">
        <f>HYPERLINK("#Структура!G2719",Структура!G2719)</f>
        <v>5.9200000000000003E-2</v>
      </c>
      <c r="L3217" s="81">
        <f>M3217/J3217</f>
        <v>13.100000000000001</v>
      </c>
      <c r="M3217" s="81">
        <f>SUMIF(G3218,"*",M3218)*J3217</f>
        <v>13.100000000000001</v>
      </c>
      <c r="N3217" s="124">
        <f>HYPERLINK("#Трудозатраты!B683",Трудозатраты!B683+SUMIF(G3218,"*",O3218))</f>
        <v>6.67</v>
      </c>
      <c r="O3217" s="82">
        <f>N3217*J3217</f>
        <v>6.67</v>
      </c>
      <c r="P3217" s="81">
        <f>O3217/60*(1+запас_труд)*стоимость_трудочаса</f>
        <v>261.24166666666667</v>
      </c>
      <c r="Q3217" s="129">
        <f>M3217*(1+наценка_покупное)+P3217</f>
        <v>276.9616666666667</v>
      </c>
    </row>
    <row r="3218" spans="5:17" hidden="1" outlineLevel="5" x14ac:dyDescent="0.25">
      <c r="G3218" s="74" t="s">
        <v>83</v>
      </c>
      <c r="H3218" s="75"/>
      <c r="I3218" s="76"/>
      <c r="J3218" s="78">
        <f>HYPERLINK("#Структура!E2731",Структура!E2731)</f>
        <v>0.13100000000000001</v>
      </c>
      <c r="K3218" s="114" t="str">
        <f>HYPERLINK("#Структура!G2731","")</f>
        <v/>
      </c>
      <c r="L3218" s="120">
        <f>HYPERLINK("#Покупные_изделия!D252",Покупные_изделия!D252)</f>
        <v>100</v>
      </c>
      <c r="M3218" s="76">
        <f t="shared" ref="M3218:M3227" si="124">J3218*L3218</f>
        <v>13.100000000000001</v>
      </c>
      <c r="N3218" s="77"/>
      <c r="O3218" s="77"/>
      <c r="P3218" s="76"/>
      <c r="Q3218" s="76"/>
    </row>
    <row r="3219" spans="5:17" hidden="1" outlineLevel="4" x14ac:dyDescent="0.25">
      <c r="F3219" s="74" t="s">
        <v>61</v>
      </c>
      <c r="G3219" s="74"/>
      <c r="H3219" s="75"/>
      <c r="I3219" s="76"/>
      <c r="J3219" s="78">
        <f>HYPERLINK("#Структура!E2720",Структура!E2720)</f>
        <v>2</v>
      </c>
      <c r="K3219" s="114">
        <f>HYPERLINK("#Структура!G2720",Структура!G2720)</f>
        <v>0.46400000000000002</v>
      </c>
      <c r="L3219" s="120">
        <f>HYPERLINK("#Покупные_изделия!D193",Покупные_изделия!D193)</f>
        <v>213.40799999999999</v>
      </c>
      <c r="M3219" s="76">
        <f t="shared" si="124"/>
        <v>426.81599999999997</v>
      </c>
      <c r="N3219" s="77"/>
      <c r="O3219" s="77"/>
      <c r="P3219" s="76"/>
      <c r="Q3219" s="76"/>
    </row>
    <row r="3220" spans="5:17" hidden="1" outlineLevel="4" x14ac:dyDescent="0.25">
      <c r="F3220" s="74" t="s">
        <v>145</v>
      </c>
      <c r="G3220" s="74"/>
      <c r="H3220" s="75"/>
      <c r="I3220" s="76"/>
      <c r="J3220" s="78">
        <f>HYPERLINK("#Структура!E2721",Структура!E2721)</f>
        <v>2</v>
      </c>
      <c r="K3220" s="114">
        <f>HYPERLINK("#Структура!G2721",Структура!G2721)</f>
        <v>0.04</v>
      </c>
      <c r="L3220" s="120">
        <f>HYPERLINK("#Покупные_изделия!D388",Покупные_изделия!D388)</f>
        <v>23.179200000000002</v>
      </c>
      <c r="M3220" s="76">
        <f t="shared" si="124"/>
        <v>46.358400000000003</v>
      </c>
      <c r="N3220" s="77"/>
      <c r="O3220" s="77"/>
      <c r="P3220" s="76"/>
      <c r="Q3220" s="76"/>
    </row>
    <row r="3221" spans="5:17" hidden="1" outlineLevel="4" x14ac:dyDescent="0.25">
      <c r="F3221" s="74" t="s">
        <v>170</v>
      </c>
      <c r="G3221" s="74"/>
      <c r="H3221" s="75"/>
      <c r="I3221" s="76"/>
      <c r="J3221" s="78">
        <f>HYPERLINK("#Структура!E2722",Структура!E2722)</f>
        <v>3</v>
      </c>
      <c r="K3221" s="114">
        <f>HYPERLINK("#Структура!G2722",Структура!G2722)</f>
        <v>0.13300000000000001</v>
      </c>
      <c r="L3221" s="120">
        <f>HYPERLINK("#Покупные_изделия!D479",Покупные_изделия!D479)</f>
        <v>38.319600000000001</v>
      </c>
      <c r="M3221" s="76">
        <f t="shared" si="124"/>
        <v>114.9588</v>
      </c>
      <c r="N3221" s="77"/>
      <c r="O3221" s="77"/>
      <c r="P3221" s="76"/>
      <c r="Q3221" s="76"/>
    </row>
    <row r="3222" spans="5:17" hidden="1" outlineLevel="4" x14ac:dyDescent="0.25">
      <c r="F3222" s="74" t="s">
        <v>193</v>
      </c>
      <c r="G3222" s="74"/>
      <c r="H3222" s="75"/>
      <c r="I3222" s="76"/>
      <c r="J3222" s="78">
        <f>HYPERLINK("#Структура!E2723",Структура!E2723)</f>
        <v>4</v>
      </c>
      <c r="K3222" s="114">
        <f>HYPERLINK("#Структура!G2723",Структура!G2723)</f>
        <v>9.4E-2</v>
      </c>
      <c r="L3222" s="120">
        <f>HYPERLINK("#Покупные_изделия!D506",Покупные_изделия!D506)</f>
        <v>43.98</v>
      </c>
      <c r="M3222" s="76">
        <f t="shared" si="124"/>
        <v>175.92</v>
      </c>
      <c r="N3222" s="77"/>
      <c r="O3222" s="77"/>
      <c r="P3222" s="76"/>
      <c r="Q3222" s="76"/>
    </row>
    <row r="3223" spans="5:17" hidden="1" outlineLevel="4" x14ac:dyDescent="0.25">
      <c r="F3223" s="74" t="s">
        <v>198</v>
      </c>
      <c r="G3223" s="74"/>
      <c r="H3223" s="75"/>
      <c r="I3223" s="76"/>
      <c r="J3223" s="78">
        <f>HYPERLINK("#Структура!E2724",Структура!E2724)</f>
        <v>1</v>
      </c>
      <c r="K3223" s="114">
        <f>HYPERLINK("#Структура!G2724",Структура!G2724)</f>
        <v>3.7999999999999999E-2</v>
      </c>
      <c r="L3223" s="120">
        <f>HYPERLINK("#Покупные_изделия!D516",Покупные_изделия!D516)</f>
        <v>102.35280000000002</v>
      </c>
      <c r="M3223" s="76">
        <f t="shared" si="124"/>
        <v>102.35280000000002</v>
      </c>
      <c r="N3223" s="77"/>
      <c r="O3223" s="77"/>
      <c r="P3223" s="76"/>
      <c r="Q3223" s="76"/>
    </row>
    <row r="3224" spans="5:17" hidden="1" outlineLevel="4" x14ac:dyDescent="0.25">
      <c r="F3224" s="74" t="s">
        <v>10</v>
      </c>
      <c r="G3224" s="74"/>
      <c r="H3224" s="75"/>
      <c r="I3224" s="76"/>
      <c r="J3224" s="78">
        <f>HYPERLINK("#Структура!E2725",Структура!E2725)</f>
        <v>1</v>
      </c>
      <c r="K3224" s="114">
        <f>HYPERLINK("#Структура!G2725",Структура!G2725)</f>
        <v>0.70323999999999998</v>
      </c>
      <c r="L3224" s="120">
        <f>HYPERLINK("#Покупные_изделия!D14",Покупные_изделия!D14)</f>
        <v>64040.008428000008</v>
      </c>
      <c r="M3224" s="76">
        <f t="shared" si="124"/>
        <v>64040.008428000008</v>
      </c>
      <c r="N3224" s="77"/>
      <c r="O3224" s="77"/>
      <c r="P3224" s="76"/>
      <c r="Q3224" s="76"/>
    </row>
    <row r="3225" spans="5:17" hidden="1" outlineLevel="4" x14ac:dyDescent="0.25">
      <c r="F3225" s="74" t="s">
        <v>33</v>
      </c>
      <c r="G3225" s="74"/>
      <c r="H3225" s="75"/>
      <c r="I3225" s="76"/>
      <c r="J3225" s="78">
        <f>HYPERLINK("#Структура!E2726",Структура!E2726)</f>
        <v>1</v>
      </c>
      <c r="K3225" s="114">
        <f>HYPERLINK("#Структура!G2726",Структура!G2726)</f>
        <v>0.72860999999999998</v>
      </c>
      <c r="L3225" s="120">
        <f>HYPERLINK("#Покупные_изделия!D44",Покупные_изделия!D44)</f>
        <v>25038.119568000006</v>
      </c>
      <c r="M3225" s="76">
        <f t="shared" si="124"/>
        <v>25038.119568000006</v>
      </c>
      <c r="N3225" s="77"/>
      <c r="O3225" s="77"/>
      <c r="P3225" s="76"/>
      <c r="Q3225" s="76"/>
    </row>
    <row r="3226" spans="5:17" hidden="1" outlineLevel="4" x14ac:dyDescent="0.25">
      <c r="F3226" s="74" t="s">
        <v>62</v>
      </c>
      <c r="G3226" s="74"/>
      <c r="H3226" s="75"/>
      <c r="I3226" s="76"/>
      <c r="J3226" s="78">
        <f>HYPERLINK("#Структура!E2727",Структура!E2727)</f>
        <v>0.7</v>
      </c>
      <c r="K3226" s="114" t="str">
        <f>HYPERLINK("#Структура!G2727","")</f>
        <v/>
      </c>
      <c r="L3226" s="120">
        <f>HYPERLINK("#Покупные_изделия!D194",Покупные_изделия!D194)</f>
        <v>333.22800000000001</v>
      </c>
      <c r="M3226" s="76">
        <f t="shared" si="124"/>
        <v>233.25959999999998</v>
      </c>
      <c r="N3226" s="77"/>
      <c r="O3226" s="77"/>
      <c r="P3226" s="76"/>
      <c r="Q3226" s="76"/>
    </row>
    <row r="3227" spans="5:17" hidden="1" outlineLevel="4" x14ac:dyDescent="0.25">
      <c r="F3227" s="74" t="s">
        <v>157</v>
      </c>
      <c r="G3227" s="74"/>
      <c r="H3227" s="75"/>
      <c r="I3227" s="76"/>
      <c r="J3227" s="78">
        <f>HYPERLINK("#Структура!E2728",Структура!E2728)</f>
        <v>0.23</v>
      </c>
      <c r="K3227" s="114" t="str">
        <f>HYPERLINK("#Структура!G2728","")</f>
        <v/>
      </c>
      <c r="L3227" s="120">
        <f>HYPERLINK("#Покупные_изделия!D428",Покупные_изделия!D428)</f>
        <v>138.756</v>
      </c>
      <c r="M3227" s="76">
        <f t="shared" si="124"/>
        <v>31.913880000000002</v>
      </c>
      <c r="N3227" s="77"/>
      <c r="O3227" s="77"/>
      <c r="P3227" s="76"/>
      <c r="Q3227" s="76"/>
    </row>
    <row r="3228" spans="5:17" hidden="1" outlineLevel="3" collapsed="1" x14ac:dyDescent="0.25">
      <c r="E3228" s="96" t="s">
        <v>1379</v>
      </c>
      <c r="F3228" s="91"/>
      <c r="G3228" s="91"/>
      <c r="H3228" s="92"/>
      <c r="I3228" s="93"/>
      <c r="J3228" s="95">
        <f>HYPERLINK("#Структура!E2796",Структура!E2796)</f>
        <v>1</v>
      </c>
      <c r="K3228" s="116">
        <f>HYPERLINK("#Структура!G2796",Структура!G2796)</f>
        <v>3.5384899999999999</v>
      </c>
      <c r="L3228" s="93">
        <f>M3228/J3228</f>
        <v>48081.334296000008</v>
      </c>
      <c r="M3228" s="93">
        <f>SUMIF(F3229:F3238,"*",M3229:M3238)*J3228</f>
        <v>48081.334296000008</v>
      </c>
      <c r="N3228" s="125">
        <f>HYPERLINK("#Трудозатраты!B687",Трудозатраты!B687+SUMIF(F3229:F3238,"*",O3229:O3238))</f>
        <v>103</v>
      </c>
      <c r="O3228" s="94">
        <f>N3228*J3228</f>
        <v>103</v>
      </c>
      <c r="P3228" s="93">
        <f>O3228/60*(1+запас_труд)*стоимость_трудочаса</f>
        <v>4034.1666666666665</v>
      </c>
      <c r="Q3228" s="130">
        <f>M3228*(1+наценка_покупное)+P3228</f>
        <v>61731.76782186667</v>
      </c>
    </row>
    <row r="3229" spans="5:17" hidden="1" outlineLevel="4" collapsed="1" x14ac:dyDescent="0.25">
      <c r="F3229" s="85" t="s">
        <v>1398</v>
      </c>
      <c r="G3229" s="86"/>
      <c r="H3229" s="87"/>
      <c r="I3229" s="88"/>
      <c r="J3229" s="90">
        <f>HYPERLINK("#Структура!E2738",Структура!E2738)</f>
        <v>1</v>
      </c>
      <c r="K3229" s="113">
        <f>HYPERLINK("#Структура!G2738",Структура!G2738)</f>
        <v>0.56699999999999995</v>
      </c>
      <c r="L3229" s="88">
        <f>M3229/J3229</f>
        <v>68.88</v>
      </c>
      <c r="M3229" s="88">
        <f>SUMIF(G3230,"*",M3230)*J3229</f>
        <v>68.88</v>
      </c>
      <c r="N3229" s="123">
        <f>HYPERLINK("#Трудозатраты!B688",Трудозатраты!B688+SUMIF(G3230,"*",O3230))</f>
        <v>14</v>
      </c>
      <c r="O3229" s="89">
        <f>N3229*J3229</f>
        <v>14</v>
      </c>
      <c r="P3229" s="88">
        <f>O3229/60*(1+запас_труд)*стоимость_трудочаса</f>
        <v>548.33333333333337</v>
      </c>
      <c r="Q3229" s="128">
        <f>M3229*(1+наценка_покупное)+P3229</f>
        <v>630.98933333333332</v>
      </c>
    </row>
    <row r="3230" spans="5:17" hidden="1" outlineLevel="5" x14ac:dyDescent="0.25">
      <c r="G3230" s="74" t="s">
        <v>179</v>
      </c>
      <c r="H3230" s="75"/>
      <c r="I3230" s="76"/>
      <c r="J3230" s="78">
        <f>HYPERLINK("#Структура!E2745",Структура!E2745)</f>
        <v>0.57399999999999995</v>
      </c>
      <c r="K3230" s="114" t="str">
        <f>HYPERLINK("#Структура!G2745","")</f>
        <v/>
      </c>
      <c r="L3230" s="120">
        <f>HYPERLINK("#Покупные_изделия!D490",Покупные_изделия!D490)</f>
        <v>120</v>
      </c>
      <c r="M3230" s="76">
        <f>J3230*L3230</f>
        <v>68.88</v>
      </c>
      <c r="N3230" s="77"/>
      <c r="O3230" s="77"/>
      <c r="P3230" s="76"/>
      <c r="Q3230" s="76"/>
    </row>
    <row r="3231" spans="5:17" hidden="1" outlineLevel="4" collapsed="1" x14ac:dyDescent="0.25">
      <c r="F3231" s="84" t="s">
        <v>1399</v>
      </c>
      <c r="G3231" s="79"/>
      <c r="H3231" s="80"/>
      <c r="I3231" s="81"/>
      <c r="J3231" s="83">
        <f>HYPERLINK("#Структура!E2739",Структура!E2739)</f>
        <v>1</v>
      </c>
      <c r="K3231" s="115">
        <f>HYPERLINK("#Структура!G2739",Структура!G2739)</f>
        <v>0.3024</v>
      </c>
      <c r="L3231" s="81">
        <f>M3231/J3231</f>
        <v>39.840000000000003</v>
      </c>
      <c r="M3231" s="81">
        <f>SUMIF(G3232,"*",M3232)*J3231</f>
        <v>39.840000000000003</v>
      </c>
      <c r="N3231" s="124">
        <f>HYPERLINK("#Трудозатраты!B689",Трудозатраты!B689+SUMIF(G3232,"*",O3232))</f>
        <v>14</v>
      </c>
      <c r="O3231" s="82">
        <f>N3231*J3231</f>
        <v>14</v>
      </c>
      <c r="P3231" s="81">
        <f>O3231/60*(1+запас_труд)*стоимость_трудочаса</f>
        <v>548.33333333333337</v>
      </c>
      <c r="Q3231" s="129">
        <f>M3231*(1+наценка_покупное)+P3231</f>
        <v>596.14133333333336</v>
      </c>
    </row>
    <row r="3232" spans="5:17" hidden="1" outlineLevel="5" x14ac:dyDescent="0.25">
      <c r="G3232" s="74" t="s">
        <v>179</v>
      </c>
      <c r="H3232" s="75"/>
      <c r="I3232" s="76"/>
      <c r="J3232" s="78">
        <f>HYPERLINK("#Структура!E2746",Структура!E2746)</f>
        <v>0.33200000000000002</v>
      </c>
      <c r="K3232" s="114" t="str">
        <f>HYPERLINK("#Структура!G2746","")</f>
        <v/>
      </c>
      <c r="L3232" s="120">
        <f>HYPERLINK("#Покупные_изделия!D490",Покупные_изделия!D490)</f>
        <v>120</v>
      </c>
      <c r="M3232" s="76">
        <f>J3232*L3232</f>
        <v>39.840000000000003</v>
      </c>
      <c r="N3232" s="77"/>
      <c r="O3232" s="77"/>
      <c r="P3232" s="76"/>
      <c r="Q3232" s="76"/>
    </row>
    <row r="3233" spans="5:17" hidden="1" outlineLevel="4" collapsed="1" x14ac:dyDescent="0.25">
      <c r="F3233" s="84" t="s">
        <v>1400</v>
      </c>
      <c r="G3233" s="79"/>
      <c r="H3233" s="80"/>
      <c r="I3233" s="81"/>
      <c r="J3233" s="83">
        <f>HYPERLINK("#Структура!E2740",Структура!E2740)</f>
        <v>1</v>
      </c>
      <c r="K3233" s="115">
        <f>HYPERLINK("#Структура!G2740",Структура!G2740)</f>
        <v>0.3024</v>
      </c>
      <c r="L3233" s="81">
        <f>M3233/J3233</f>
        <v>37.32</v>
      </c>
      <c r="M3233" s="81">
        <f>SUMIF(G3234,"*",M3234)*J3233</f>
        <v>37.32</v>
      </c>
      <c r="N3233" s="124">
        <f>HYPERLINK("#Трудозатраты!B690",Трудозатраты!B690+SUMIF(G3234,"*",O3234))</f>
        <v>14</v>
      </c>
      <c r="O3233" s="82">
        <f>N3233*J3233</f>
        <v>14</v>
      </c>
      <c r="P3233" s="81">
        <f>O3233/60*(1+запас_труд)*стоимость_трудочаса</f>
        <v>548.33333333333337</v>
      </c>
      <c r="Q3233" s="129">
        <f>M3233*(1+наценка_покупное)+P3233</f>
        <v>593.11733333333336</v>
      </c>
    </row>
    <row r="3234" spans="5:17" hidden="1" outlineLevel="5" x14ac:dyDescent="0.25">
      <c r="G3234" s="74" t="s">
        <v>179</v>
      </c>
      <c r="H3234" s="75"/>
      <c r="I3234" s="76"/>
      <c r="J3234" s="78">
        <f>HYPERLINK("#Структура!E2747",Структура!E2747)</f>
        <v>0.311</v>
      </c>
      <c r="K3234" s="114" t="str">
        <f>HYPERLINK("#Структура!G2747","")</f>
        <v/>
      </c>
      <c r="L3234" s="120">
        <f>HYPERLINK("#Покупные_изделия!D490",Покупные_изделия!D490)</f>
        <v>120</v>
      </c>
      <c r="M3234" s="76">
        <f>J3234*L3234</f>
        <v>37.32</v>
      </c>
      <c r="N3234" s="77"/>
      <c r="O3234" s="77"/>
      <c r="P3234" s="76"/>
      <c r="Q3234" s="76"/>
    </row>
    <row r="3235" spans="5:17" hidden="1" outlineLevel="4" x14ac:dyDescent="0.25">
      <c r="F3235" s="74" t="s">
        <v>32</v>
      </c>
      <c r="G3235" s="74"/>
      <c r="H3235" s="75"/>
      <c r="I3235" s="76"/>
      <c r="J3235" s="78">
        <f>HYPERLINK("#Структура!E2741",Структура!E2741)</f>
        <v>1</v>
      </c>
      <c r="K3235" s="114">
        <f>HYPERLINK("#Структура!G2741",Структура!G2741)</f>
        <v>1.8180000000000001</v>
      </c>
      <c r="L3235" s="120">
        <f>HYPERLINK("#Покупные_изделия!D43",Покупные_изделия!D43)</f>
        <v>44821.552776000004</v>
      </c>
      <c r="M3235" s="76">
        <f>J3235*L3235</f>
        <v>44821.552776000004</v>
      </c>
      <c r="N3235" s="77"/>
      <c r="O3235" s="77"/>
      <c r="P3235" s="76"/>
      <c r="Q3235" s="76"/>
    </row>
    <row r="3236" spans="5:17" hidden="1" outlineLevel="4" x14ac:dyDescent="0.25">
      <c r="F3236" s="74" t="s">
        <v>73</v>
      </c>
      <c r="G3236" s="74"/>
      <c r="H3236" s="75"/>
      <c r="I3236" s="76"/>
      <c r="J3236" s="78">
        <f>HYPERLINK("#Структура!E2742",Структура!E2742)</f>
        <v>1</v>
      </c>
      <c r="K3236" s="114">
        <f>HYPERLINK("#Структура!G2742",Структура!G2742)</f>
        <v>0.54867999999999995</v>
      </c>
      <c r="L3236" s="120">
        <f>HYPERLINK("#Покупные_изделия!D240",Покупные_изделия!D240)</f>
        <v>2944.3524000000007</v>
      </c>
      <c r="M3236" s="76">
        <f>J3236*L3236</f>
        <v>2944.3524000000007</v>
      </c>
      <c r="N3236" s="77"/>
      <c r="O3236" s="77"/>
      <c r="P3236" s="76"/>
      <c r="Q3236" s="76"/>
    </row>
    <row r="3237" spans="5:17" hidden="1" outlineLevel="4" x14ac:dyDescent="0.25">
      <c r="F3237" s="74" t="s">
        <v>62</v>
      </c>
      <c r="G3237" s="74"/>
      <c r="H3237" s="75"/>
      <c r="I3237" s="76"/>
      <c r="J3237" s="78">
        <f>HYPERLINK("#Структура!E2743",Структура!E2743)</f>
        <v>0.5</v>
      </c>
      <c r="K3237" s="114" t="str">
        <f>HYPERLINK("#Структура!G2743","")</f>
        <v/>
      </c>
      <c r="L3237" s="120">
        <f>HYPERLINK("#Покупные_изделия!D194",Покупные_изделия!D194)</f>
        <v>333.22800000000001</v>
      </c>
      <c r="M3237" s="76">
        <f>J3237*L3237</f>
        <v>166.614</v>
      </c>
      <c r="N3237" s="77"/>
      <c r="O3237" s="77"/>
      <c r="P3237" s="76"/>
      <c r="Q3237" s="76"/>
    </row>
    <row r="3238" spans="5:17" hidden="1" outlineLevel="4" x14ac:dyDescent="0.25">
      <c r="F3238" s="74" t="s">
        <v>157</v>
      </c>
      <c r="G3238" s="74"/>
      <c r="H3238" s="75"/>
      <c r="I3238" s="76"/>
      <c r="J3238" s="78">
        <f>HYPERLINK("#Структура!E2744",Структура!E2744)</f>
        <v>0.02</v>
      </c>
      <c r="K3238" s="114" t="str">
        <f>HYPERLINK("#Структура!G2744","")</f>
        <v/>
      </c>
      <c r="L3238" s="120">
        <f>HYPERLINK("#Покупные_изделия!D428",Покупные_изделия!D428)</f>
        <v>138.756</v>
      </c>
      <c r="M3238" s="76">
        <f>J3238*L3238</f>
        <v>2.7751200000000003</v>
      </c>
      <c r="N3238" s="77"/>
      <c r="O3238" s="77"/>
      <c r="P3238" s="76"/>
      <c r="Q3238" s="76"/>
    </row>
    <row r="3239" spans="5:17" hidden="1" outlineLevel="3" collapsed="1" x14ac:dyDescent="0.25">
      <c r="E3239" s="96" t="s">
        <v>1380</v>
      </c>
      <c r="F3239" s="91"/>
      <c r="G3239" s="91"/>
      <c r="H3239" s="92"/>
      <c r="I3239" s="93"/>
      <c r="J3239" s="95">
        <f>HYPERLINK("#Структура!E2797",Структура!E2797)</f>
        <v>1</v>
      </c>
      <c r="K3239" s="116">
        <f>HYPERLINK("#Структура!G2797",Структура!G2797)</f>
        <v>0.24001</v>
      </c>
      <c r="L3239" s="93">
        <f>M3239/J3239</f>
        <v>119.055296</v>
      </c>
      <c r="M3239" s="93">
        <f>SUMIF(F3240:F3252,"*",M3240:M3252)*J3239</f>
        <v>119.055296</v>
      </c>
      <c r="N3239" s="125">
        <f>HYPERLINK("#Трудозатраты!B691",Трудозатраты!B691+SUMIF(F3240:F3252,"*",O3240:O3252))</f>
        <v>41.9</v>
      </c>
      <c r="O3239" s="94">
        <f>N3239*J3239</f>
        <v>41.9</v>
      </c>
      <c r="P3239" s="93">
        <f>O3239/60*(1+запас_труд)*стоимость_трудочаса</f>
        <v>1641.0833333333335</v>
      </c>
      <c r="Q3239" s="130">
        <f>M3239*(1+наценка_покупное)+P3239</f>
        <v>1783.9496885333335</v>
      </c>
    </row>
    <row r="3240" spans="5:17" hidden="1" outlineLevel="4" collapsed="1" x14ac:dyDescent="0.25">
      <c r="F3240" s="85" t="s">
        <v>1402</v>
      </c>
      <c r="G3240" s="86"/>
      <c r="H3240" s="87"/>
      <c r="I3240" s="88"/>
      <c r="J3240" s="90">
        <f>HYPERLINK("#Структура!E2748",Структура!E2748)</f>
        <v>4</v>
      </c>
      <c r="K3240" s="113">
        <f>HYPERLINK("#Структура!G2748",Структура!G2748)</f>
        <v>1.013E-2</v>
      </c>
      <c r="L3240" s="88">
        <f>M3240/J3240</f>
        <v>2.2400000000000002</v>
      </c>
      <c r="M3240" s="88">
        <f>SUMIF(G3241,"*",M3241)*J3240</f>
        <v>8.9600000000000009</v>
      </c>
      <c r="N3240" s="123">
        <f>HYPERLINK("#Трудозатраты!B692",Трудозатраты!B692+SUMIF(G3241,"*",O3241))</f>
        <v>3.3</v>
      </c>
      <c r="O3240" s="89">
        <f>N3240*J3240</f>
        <v>13.2</v>
      </c>
      <c r="P3240" s="88">
        <f>O3240/60*(1+запас_труд)*стоимость_трудочаса</f>
        <v>517</v>
      </c>
      <c r="Q3240" s="128">
        <f>M3240*(1+наценка_покупное)+P3240</f>
        <v>527.75199999999995</v>
      </c>
    </row>
    <row r="3241" spans="5:17" hidden="1" outlineLevel="5" x14ac:dyDescent="0.25">
      <c r="G3241" s="74" t="s">
        <v>128</v>
      </c>
      <c r="H3241" s="75"/>
      <c r="I3241" s="76"/>
      <c r="J3241" s="78">
        <f>HYPERLINK("#Структура!E2758",Структура!E2758)</f>
        <v>1.4E-2</v>
      </c>
      <c r="K3241" s="114" t="str">
        <f>HYPERLINK("#Структура!G2758","")</f>
        <v/>
      </c>
      <c r="L3241" s="120">
        <f>HYPERLINK("#Покупные_изделия!D303",Покупные_изделия!D303)</f>
        <v>160</v>
      </c>
      <c r="M3241" s="76">
        <f>J3241*L3241</f>
        <v>2.2400000000000002</v>
      </c>
      <c r="N3241" s="77"/>
      <c r="O3241" s="77"/>
      <c r="P3241" s="76"/>
      <c r="Q3241" s="76"/>
    </row>
    <row r="3242" spans="5:17" hidden="1" outlineLevel="4" collapsed="1" x14ac:dyDescent="0.25">
      <c r="F3242" s="84" t="s">
        <v>1403</v>
      </c>
      <c r="G3242" s="79"/>
      <c r="H3242" s="80"/>
      <c r="I3242" s="81"/>
      <c r="J3242" s="83">
        <f>HYPERLINK("#Структура!E2749",Структура!E2749)</f>
        <v>2</v>
      </c>
      <c r="K3242" s="115">
        <f>HYPERLINK("#Структура!G2749",Структура!G2749)</f>
        <v>7.8899999999999994E-3</v>
      </c>
      <c r="L3242" s="81">
        <f>M3242/J3242</f>
        <v>6.3000000000000007</v>
      </c>
      <c r="M3242" s="81">
        <f>SUMIF(G3243,"*",M3243)*J3242</f>
        <v>12.600000000000001</v>
      </c>
      <c r="N3242" s="124">
        <f>HYPERLINK("#Трудозатраты!B693",Трудозатраты!B693+SUMIF(G3243,"*",O3243))</f>
        <v>6.6</v>
      </c>
      <c r="O3242" s="82">
        <f>N3242*J3242</f>
        <v>13.2</v>
      </c>
      <c r="P3242" s="81">
        <f>O3242/60*(1+запас_труд)*стоимость_трудочаса</f>
        <v>517</v>
      </c>
      <c r="Q3242" s="129">
        <f>M3242*(1+наценка_покупное)+P3242</f>
        <v>532.12</v>
      </c>
    </row>
    <row r="3243" spans="5:17" hidden="1" outlineLevel="5" x14ac:dyDescent="0.25">
      <c r="G3243" s="74" t="s">
        <v>81</v>
      </c>
      <c r="H3243" s="75"/>
      <c r="I3243" s="76"/>
      <c r="J3243" s="78">
        <f>HYPERLINK("#Структура!E2759",Структура!E2759)</f>
        <v>2.1000000000000001E-2</v>
      </c>
      <c r="K3243" s="114" t="str">
        <f>HYPERLINK("#Структура!G2759","")</f>
        <v/>
      </c>
      <c r="L3243" s="120">
        <f>HYPERLINK("#Покупные_изделия!D250",Покупные_изделия!D250)</f>
        <v>300</v>
      </c>
      <c r="M3243" s="76">
        <f>J3243*L3243</f>
        <v>6.3000000000000007</v>
      </c>
      <c r="N3243" s="77"/>
      <c r="O3243" s="77"/>
      <c r="P3243" s="76"/>
      <c r="Q3243" s="76"/>
    </row>
    <row r="3244" spans="5:17" hidden="1" outlineLevel="4" collapsed="1" x14ac:dyDescent="0.25">
      <c r="F3244" s="84" t="s">
        <v>1404</v>
      </c>
      <c r="G3244" s="79"/>
      <c r="H3244" s="80"/>
      <c r="I3244" s="81"/>
      <c r="J3244" s="83">
        <f>HYPERLINK("#Структура!E2750",Структура!E2750)</f>
        <v>1</v>
      </c>
      <c r="K3244" s="115">
        <f>HYPERLINK("#Структура!G2750",Структура!G2750)</f>
        <v>5.1569999999999998E-2</v>
      </c>
      <c r="L3244" s="81">
        <f>M3244/J3244</f>
        <v>37.230335999999994</v>
      </c>
      <c r="M3244" s="81">
        <f>SUMIF(G3245,"*",M3245)*J3244</f>
        <v>37.230335999999994</v>
      </c>
      <c r="N3244" s="124">
        <f>HYPERLINK("#Трудозатраты!B694",Трудозатраты!B694+SUMIF(G3245,"*",O3245))</f>
        <v>0.5</v>
      </c>
      <c r="O3244" s="82">
        <f>N3244*J3244</f>
        <v>0.5</v>
      </c>
      <c r="P3244" s="81">
        <f>O3244/60*(1+запас_труд)*стоимость_трудочаса</f>
        <v>19.583333333333332</v>
      </c>
      <c r="Q3244" s="129">
        <f>M3244*(1+наценка_покупное)+P3244</f>
        <v>64.259736533333324</v>
      </c>
    </row>
    <row r="3245" spans="5:17" hidden="1" outlineLevel="5" x14ac:dyDescent="0.25">
      <c r="G3245" s="74" t="s">
        <v>151</v>
      </c>
      <c r="H3245" s="75"/>
      <c r="I3245" s="76"/>
      <c r="J3245" s="78">
        <f>HYPERLINK("#Структура!E2760",Структура!E2760)</f>
        <v>5.1999999999999998E-2</v>
      </c>
      <c r="K3245" s="114" t="str">
        <f>HYPERLINK("#Структура!G2760","")</f>
        <v/>
      </c>
      <c r="L3245" s="120">
        <f>HYPERLINK("#Покупные_изделия!D419",Покупные_изделия!D419)</f>
        <v>715.96799999999996</v>
      </c>
      <c r="M3245" s="76">
        <f t="shared" ref="M3245:M3252" si="125">J3245*L3245</f>
        <v>37.230335999999994</v>
      </c>
      <c r="N3245" s="77"/>
      <c r="O3245" s="77"/>
      <c r="P3245" s="76"/>
      <c r="Q3245" s="76"/>
    </row>
    <row r="3246" spans="5:17" hidden="1" outlineLevel="4" x14ac:dyDescent="0.25">
      <c r="F3246" s="74" t="s">
        <v>1405</v>
      </c>
      <c r="G3246" s="74"/>
      <c r="H3246" s="75"/>
      <c r="I3246" s="76"/>
      <c r="J3246" s="78">
        <f>HYPERLINK("#Структура!E2751",Структура!E2751)</f>
        <v>4</v>
      </c>
      <c r="K3246" s="114">
        <f>HYPERLINK("#Структура!G2751",Структура!G2751)</f>
        <v>1.06E-3</v>
      </c>
      <c r="L3246" s="120">
        <f>HYPERLINK("#Покупные_изделия!D162",Покупные_изделия!D162)</f>
        <v>5.5</v>
      </c>
      <c r="M3246" s="76">
        <f t="shared" si="125"/>
        <v>22</v>
      </c>
      <c r="N3246" s="77"/>
      <c r="O3246" s="77"/>
      <c r="P3246" s="76"/>
      <c r="Q3246" s="76"/>
    </row>
    <row r="3247" spans="5:17" hidden="1" outlineLevel="4" x14ac:dyDescent="0.25">
      <c r="F3247" s="74" t="s">
        <v>1406</v>
      </c>
      <c r="G3247" s="74"/>
      <c r="H3247" s="75"/>
      <c r="I3247" s="76"/>
      <c r="J3247" s="78">
        <f>HYPERLINK("#Структура!E2752",Структура!E2752)</f>
        <v>2</v>
      </c>
      <c r="K3247" s="114">
        <f>HYPERLINK("#Структура!G2752",Структура!G2752)</f>
        <v>8.9800000000000001E-3</v>
      </c>
      <c r="L3247" s="120">
        <f>HYPERLINK("#Покупные_изделия!D101",Покупные_изделия!D101)</f>
        <v>2.9700000000000006</v>
      </c>
      <c r="M3247" s="76">
        <f t="shared" si="125"/>
        <v>5.9400000000000013</v>
      </c>
      <c r="N3247" s="77"/>
      <c r="O3247" s="77"/>
      <c r="P3247" s="76"/>
      <c r="Q3247" s="76"/>
    </row>
    <row r="3248" spans="5:17" hidden="1" outlineLevel="4" x14ac:dyDescent="0.25">
      <c r="F3248" s="74" t="s">
        <v>1407</v>
      </c>
      <c r="G3248" s="74"/>
      <c r="H3248" s="75"/>
      <c r="I3248" s="76"/>
      <c r="J3248" s="78">
        <f>HYPERLINK("#Структура!E2753",Структура!E2753)</f>
        <v>4</v>
      </c>
      <c r="K3248" s="114">
        <f>HYPERLINK("#Структура!G2753",Структура!G2753)</f>
        <v>2.0699999999999998E-3</v>
      </c>
      <c r="L3248" s="120">
        <f>HYPERLINK("#Покупные_изделия!D119",Покупные_изделия!D119)</f>
        <v>1.2804</v>
      </c>
      <c r="M3248" s="76">
        <f t="shared" si="125"/>
        <v>5.1215999999999999</v>
      </c>
      <c r="N3248" s="77"/>
      <c r="O3248" s="77"/>
      <c r="P3248" s="76"/>
      <c r="Q3248" s="76"/>
    </row>
    <row r="3249" spans="5:17" hidden="1" outlineLevel="4" x14ac:dyDescent="0.25">
      <c r="F3249" s="74" t="s">
        <v>1408</v>
      </c>
      <c r="G3249" s="74"/>
      <c r="H3249" s="75"/>
      <c r="I3249" s="76"/>
      <c r="J3249" s="78">
        <f>HYPERLINK("#Структура!E2754",Структура!E2754)</f>
        <v>2</v>
      </c>
      <c r="K3249" s="114">
        <f>HYPERLINK("#Структура!G2754",Структура!G2754)</f>
        <v>2.5699999999999998E-3</v>
      </c>
      <c r="L3249" s="120">
        <f>HYPERLINK("#Покупные_изделия!D189",Покупные_изделия!D189)</f>
        <v>1.2012000000000003</v>
      </c>
      <c r="M3249" s="76">
        <f t="shared" si="125"/>
        <v>2.4024000000000005</v>
      </c>
      <c r="N3249" s="77"/>
      <c r="O3249" s="77"/>
      <c r="P3249" s="76"/>
      <c r="Q3249" s="76"/>
    </row>
    <row r="3250" spans="5:17" hidden="1" outlineLevel="4" x14ac:dyDescent="0.25">
      <c r="F3250" s="74" t="s">
        <v>1409</v>
      </c>
      <c r="G3250" s="74"/>
      <c r="H3250" s="75"/>
      <c r="I3250" s="76"/>
      <c r="J3250" s="78">
        <f>HYPERLINK("#Структура!E2755",Структура!E2755)</f>
        <v>4</v>
      </c>
      <c r="K3250" s="114">
        <f>HYPERLINK("#Структура!G2755",Структура!G2755)</f>
        <v>4.0000000000000003E-5</v>
      </c>
      <c r="L3250" s="120">
        <f>HYPERLINK("#Покупные_изделия!D526",Покупные_изделия!D526)</f>
        <v>4.620000000000001</v>
      </c>
      <c r="M3250" s="76">
        <f t="shared" si="125"/>
        <v>18.480000000000004</v>
      </c>
      <c r="N3250" s="77"/>
      <c r="O3250" s="77"/>
      <c r="P3250" s="76"/>
      <c r="Q3250" s="76"/>
    </row>
    <row r="3251" spans="5:17" hidden="1" outlineLevel="4" x14ac:dyDescent="0.25">
      <c r="F3251" s="74" t="s">
        <v>1410</v>
      </c>
      <c r="G3251" s="74"/>
      <c r="H3251" s="75"/>
      <c r="I3251" s="76"/>
      <c r="J3251" s="78">
        <f>HYPERLINK("#Структура!E2756",Структура!E2756)</f>
        <v>2</v>
      </c>
      <c r="K3251" s="114">
        <f>HYPERLINK("#Структура!G2756",Структура!G2756)</f>
        <v>3.8000000000000002E-4</v>
      </c>
      <c r="L3251" s="120">
        <f>HYPERLINK("#Покупные_изделия!D529",Покупные_изделия!D529)</f>
        <v>0.96048000000000022</v>
      </c>
      <c r="M3251" s="76">
        <f t="shared" si="125"/>
        <v>1.9209600000000004</v>
      </c>
      <c r="N3251" s="77"/>
      <c r="O3251" s="77"/>
      <c r="P3251" s="76"/>
      <c r="Q3251" s="76"/>
    </row>
    <row r="3252" spans="5:17" hidden="1" outlineLevel="4" x14ac:dyDescent="0.25">
      <c r="F3252" s="74" t="s">
        <v>1411</v>
      </c>
      <c r="G3252" s="74"/>
      <c r="H3252" s="75"/>
      <c r="I3252" s="76"/>
      <c r="J3252" s="78">
        <f>HYPERLINK("#Структура!E2757",Структура!E2757)</f>
        <v>4</v>
      </c>
      <c r="K3252" s="114">
        <f>HYPERLINK("#Структура!G2757",Структура!G2757)</f>
        <v>9.8999999999999999E-4</v>
      </c>
      <c r="L3252" s="120">
        <f>HYPERLINK("#Покупные_изделия!D546",Покупные_изделия!D546)</f>
        <v>1.1000000000000001</v>
      </c>
      <c r="M3252" s="76">
        <f t="shared" si="125"/>
        <v>4.4000000000000004</v>
      </c>
      <c r="N3252" s="77"/>
      <c r="O3252" s="77"/>
      <c r="P3252" s="76"/>
      <c r="Q3252" s="76"/>
    </row>
    <row r="3253" spans="5:17" hidden="1" outlineLevel="3" collapsed="1" x14ac:dyDescent="0.25">
      <c r="E3253" s="96" t="s">
        <v>1416</v>
      </c>
      <c r="F3253" s="91"/>
      <c r="G3253" s="91"/>
      <c r="H3253" s="92"/>
      <c r="I3253" s="93"/>
      <c r="J3253" s="95">
        <f>HYPERLINK("#Структура!E2798",Структура!E2798)</f>
        <v>1</v>
      </c>
      <c r="K3253" s="116">
        <f>HYPERLINK("#Структура!G2798",Структура!G2798)</f>
        <v>16.18976</v>
      </c>
      <c r="L3253" s="93">
        <f>M3253/J3253</f>
        <v>83771.514296000008</v>
      </c>
      <c r="M3253" s="93">
        <f>SUMIF(F3254:F3278,"*",M3254:M3278)*J3253</f>
        <v>83771.514296000008</v>
      </c>
      <c r="N3253" s="125">
        <f>HYPERLINK("#Трудозатраты!B701",Трудозатраты!B701+SUMIF(F3254:F3278,"*",O3254:O3278))</f>
        <v>381.7</v>
      </c>
      <c r="O3253" s="94">
        <f>N3253*J3253</f>
        <v>381.7</v>
      </c>
      <c r="P3253" s="93">
        <f>O3253/60*(1+запас_труд)*стоимость_трудочаса</f>
        <v>14949.916666666666</v>
      </c>
      <c r="Q3253" s="130">
        <f>M3253*(1+наценка_покупное)+P3253</f>
        <v>115475.73382186668</v>
      </c>
    </row>
    <row r="3254" spans="5:17" hidden="1" outlineLevel="4" collapsed="1" x14ac:dyDescent="0.25">
      <c r="F3254" s="85" t="s">
        <v>1384</v>
      </c>
      <c r="G3254" s="86"/>
      <c r="H3254" s="87"/>
      <c r="I3254" s="88"/>
      <c r="J3254" s="90">
        <f>HYPERLINK("#Структура!E2806",Структура!E2806)</f>
        <v>1</v>
      </c>
      <c r="K3254" s="113">
        <f>HYPERLINK("#Структура!G2806",Структура!G2806)</f>
        <v>0.6048</v>
      </c>
      <c r="L3254" s="88">
        <f>M3254/J3254</f>
        <v>75</v>
      </c>
      <c r="M3254" s="88">
        <f>SUMIF(G3255,"*",M3255)*J3254</f>
        <v>75</v>
      </c>
      <c r="N3254" s="123">
        <f>HYPERLINK("#Трудозатраты!B672",Трудозатраты!B672+SUMIF(G3255,"*",O3255))</f>
        <v>14</v>
      </c>
      <c r="O3254" s="89">
        <f>N3254*J3254</f>
        <v>14</v>
      </c>
      <c r="P3254" s="88">
        <f>O3254/60*(1+запас_труд)*стоимость_трудочаса</f>
        <v>548.33333333333337</v>
      </c>
      <c r="Q3254" s="128">
        <f>M3254*(1+наценка_покупное)+P3254</f>
        <v>638.33333333333337</v>
      </c>
    </row>
    <row r="3255" spans="5:17" hidden="1" outlineLevel="5" x14ac:dyDescent="0.25">
      <c r="G3255" s="74" t="s">
        <v>179</v>
      </c>
      <c r="H3255" s="75"/>
      <c r="I3255" s="76"/>
      <c r="J3255" s="78">
        <f>HYPERLINK("#Структура!E2704",Структура!E2704)</f>
        <v>0.625</v>
      </c>
      <c r="K3255" s="114" t="str">
        <f>HYPERLINK("#Структура!G2704","")</f>
        <v/>
      </c>
      <c r="L3255" s="120">
        <f>HYPERLINK("#Покупные_изделия!D490",Покупные_изделия!D490)</f>
        <v>120</v>
      </c>
      <c r="M3255" s="76">
        <f>J3255*L3255</f>
        <v>75</v>
      </c>
      <c r="N3255" s="77"/>
      <c r="O3255" s="77"/>
      <c r="P3255" s="76"/>
      <c r="Q3255" s="76"/>
    </row>
    <row r="3256" spans="5:17" hidden="1" outlineLevel="4" collapsed="1" x14ac:dyDescent="0.25">
      <c r="F3256" s="84" t="s">
        <v>1385</v>
      </c>
      <c r="G3256" s="79"/>
      <c r="H3256" s="80"/>
      <c r="I3256" s="81"/>
      <c r="J3256" s="83">
        <f>HYPERLINK("#Структура!E2807",Структура!E2807)</f>
        <v>1</v>
      </c>
      <c r="K3256" s="115">
        <f>HYPERLINK("#Структура!G2807",Структура!G2807)</f>
        <v>9.2859999999999998E-2</v>
      </c>
      <c r="L3256" s="81">
        <f>M3256/J3256</f>
        <v>15.8</v>
      </c>
      <c r="M3256" s="81">
        <f>SUMIF(G3257,"*",M3257)*J3256</f>
        <v>15.8</v>
      </c>
      <c r="N3256" s="124">
        <f>HYPERLINK("#Трудозатраты!B673",Трудозатраты!B673+SUMIF(G3257,"*",O3257))</f>
        <v>8.6999999999999993</v>
      </c>
      <c r="O3256" s="82">
        <f>N3256*J3256</f>
        <v>8.6999999999999993</v>
      </c>
      <c r="P3256" s="81">
        <f>O3256/60*(1+запас_труд)*стоимость_трудочаса</f>
        <v>340.75</v>
      </c>
      <c r="Q3256" s="129">
        <f>M3256*(1+наценка_покупное)+P3256</f>
        <v>359.71</v>
      </c>
    </row>
    <row r="3257" spans="5:17" hidden="1" outlineLevel="5" x14ac:dyDescent="0.25">
      <c r="G3257" s="74" t="s">
        <v>88</v>
      </c>
      <c r="H3257" s="75"/>
      <c r="I3257" s="76"/>
      <c r="J3257" s="78">
        <f>HYPERLINK("#Структура!E2705",Структура!E2705)</f>
        <v>0.158</v>
      </c>
      <c r="K3257" s="114" t="str">
        <f>HYPERLINK("#Структура!G2705","")</f>
        <v/>
      </c>
      <c r="L3257" s="120">
        <f>HYPERLINK("#Покупные_изделия!D257",Покупные_изделия!D257)</f>
        <v>100</v>
      </c>
      <c r="M3257" s="76">
        <f>J3257*L3257</f>
        <v>15.8</v>
      </c>
      <c r="N3257" s="77"/>
      <c r="O3257" s="77"/>
      <c r="P3257" s="76"/>
      <c r="Q3257" s="76"/>
    </row>
    <row r="3258" spans="5:17" hidden="1" outlineLevel="4" collapsed="1" x14ac:dyDescent="0.25">
      <c r="F3258" s="84" t="s">
        <v>1386</v>
      </c>
      <c r="G3258" s="79"/>
      <c r="H3258" s="80"/>
      <c r="I3258" s="81"/>
      <c r="J3258" s="83">
        <f>HYPERLINK("#Структура!E2808",Структура!E2808)</f>
        <v>2</v>
      </c>
      <c r="K3258" s="115">
        <f>HYPERLINK("#Структура!G2808",Структура!G2808)</f>
        <v>0.2268</v>
      </c>
      <c r="L3258" s="81">
        <f>M3258/J3258</f>
        <v>28.799999999999997</v>
      </c>
      <c r="M3258" s="81">
        <f>SUMIF(G3259,"*",M3259)*J3258</f>
        <v>57.599999999999994</v>
      </c>
      <c r="N3258" s="124">
        <f>HYPERLINK("#Трудозатраты!B674",Трудозатраты!B674+SUMIF(G3259,"*",O3259))</f>
        <v>14</v>
      </c>
      <c r="O3258" s="82">
        <f>N3258*J3258</f>
        <v>28</v>
      </c>
      <c r="P3258" s="81">
        <f>O3258/60*(1+запас_труд)*стоимость_трудочаса</f>
        <v>1096.6666666666667</v>
      </c>
      <c r="Q3258" s="129">
        <f>M3258*(1+наценка_покупное)+P3258</f>
        <v>1165.7866666666666</v>
      </c>
    </row>
    <row r="3259" spans="5:17" hidden="1" outlineLevel="5" x14ac:dyDescent="0.25">
      <c r="G3259" s="74" t="s">
        <v>179</v>
      </c>
      <c r="H3259" s="75"/>
      <c r="I3259" s="76"/>
      <c r="J3259" s="78">
        <f>HYPERLINK("#Структура!E2706",Структура!E2706)</f>
        <v>0.24</v>
      </c>
      <c r="K3259" s="114" t="str">
        <f>HYPERLINK("#Структура!G2706","")</f>
        <v/>
      </c>
      <c r="L3259" s="120">
        <f>HYPERLINK("#Покупные_изделия!D490",Покупные_изделия!D490)</f>
        <v>120</v>
      </c>
      <c r="M3259" s="76">
        <f>J3259*L3259</f>
        <v>28.799999999999997</v>
      </c>
      <c r="N3259" s="77"/>
      <c r="O3259" s="77"/>
      <c r="P3259" s="76"/>
      <c r="Q3259" s="76"/>
    </row>
    <row r="3260" spans="5:17" hidden="1" outlineLevel="4" collapsed="1" x14ac:dyDescent="0.25">
      <c r="F3260" s="84" t="s">
        <v>1389</v>
      </c>
      <c r="G3260" s="79"/>
      <c r="H3260" s="80"/>
      <c r="I3260" s="81"/>
      <c r="J3260" s="83">
        <f>HYPERLINK("#Структура!E2809",Структура!E2809)</f>
        <v>1</v>
      </c>
      <c r="K3260" s="115">
        <f>HYPERLINK("#Структура!G2809",Структура!G2809)</f>
        <v>0.96389999999999998</v>
      </c>
      <c r="L3260" s="81">
        <f>M3260/J3260</f>
        <v>116.16</v>
      </c>
      <c r="M3260" s="81">
        <f>SUMIF(G3261,"*",M3261)*J3260</f>
        <v>116.16</v>
      </c>
      <c r="N3260" s="124">
        <f>HYPERLINK("#Трудозатраты!B677",Трудозатраты!B677+SUMIF(G3261,"*",O3261))</f>
        <v>14</v>
      </c>
      <c r="O3260" s="82">
        <f>N3260*J3260</f>
        <v>14</v>
      </c>
      <c r="P3260" s="81">
        <f>O3260/60*(1+запас_труд)*стоимость_трудочаса</f>
        <v>548.33333333333337</v>
      </c>
      <c r="Q3260" s="129">
        <f>M3260*(1+наценка_покупное)+P3260</f>
        <v>687.72533333333331</v>
      </c>
    </row>
    <row r="3261" spans="5:17" hidden="1" outlineLevel="5" x14ac:dyDescent="0.25">
      <c r="G3261" s="74" t="s">
        <v>179</v>
      </c>
      <c r="H3261" s="75"/>
      <c r="I3261" s="76"/>
      <c r="J3261" s="78">
        <f>HYPERLINK("#Структура!E2709",Структура!E2709)</f>
        <v>0.96799999999999997</v>
      </c>
      <c r="K3261" s="114" t="str">
        <f>HYPERLINK("#Структура!G2709","")</f>
        <v/>
      </c>
      <c r="L3261" s="120">
        <f>HYPERLINK("#Покупные_изделия!D490",Покупные_изделия!D490)</f>
        <v>120</v>
      </c>
      <c r="M3261" s="76">
        <f>J3261*L3261</f>
        <v>116.16</v>
      </c>
      <c r="N3261" s="77"/>
      <c r="O3261" s="77"/>
      <c r="P3261" s="76"/>
      <c r="Q3261" s="76"/>
    </row>
    <row r="3262" spans="5:17" hidden="1" outlineLevel="4" collapsed="1" x14ac:dyDescent="0.25">
      <c r="F3262" s="84" t="s">
        <v>1413</v>
      </c>
      <c r="G3262" s="79"/>
      <c r="H3262" s="80"/>
      <c r="I3262" s="81"/>
      <c r="J3262" s="83">
        <f>HYPERLINK("#Структура!E2810",Структура!E2810)</f>
        <v>1</v>
      </c>
      <c r="K3262" s="115">
        <f>HYPERLINK("#Структура!G2810",Структура!G2810)</f>
        <v>0.56699999999999995</v>
      </c>
      <c r="L3262" s="81">
        <f>M3262/J3262</f>
        <v>68.88</v>
      </c>
      <c r="M3262" s="81">
        <f>SUMIF(G3263,"*",M3263)*J3262</f>
        <v>68.88</v>
      </c>
      <c r="N3262" s="124">
        <f>HYPERLINK("#Трудозатраты!B697",Трудозатраты!B697+SUMIF(G3263,"*",O3263))</f>
        <v>14</v>
      </c>
      <c r="O3262" s="82">
        <f>N3262*J3262</f>
        <v>14</v>
      </c>
      <c r="P3262" s="81">
        <f>O3262/60*(1+запас_труд)*стоимость_трудочаса</f>
        <v>548.33333333333337</v>
      </c>
      <c r="Q3262" s="129">
        <f>M3262*(1+наценка_покупное)+P3262</f>
        <v>630.98933333333332</v>
      </c>
    </row>
    <row r="3263" spans="5:17" hidden="1" outlineLevel="5" x14ac:dyDescent="0.25">
      <c r="G3263" s="74" t="s">
        <v>179</v>
      </c>
      <c r="H3263" s="75"/>
      <c r="I3263" s="76"/>
      <c r="J3263" s="78">
        <f>HYPERLINK("#Структура!E2791",Структура!E2791)</f>
        <v>0.57399999999999995</v>
      </c>
      <c r="K3263" s="114" t="str">
        <f>HYPERLINK("#Структура!G2791","")</f>
        <v/>
      </c>
      <c r="L3263" s="120">
        <f>HYPERLINK("#Покупные_изделия!D490",Покупные_изделия!D490)</f>
        <v>120</v>
      </c>
      <c r="M3263" s="76">
        <f>J3263*L3263</f>
        <v>68.88</v>
      </c>
      <c r="N3263" s="77"/>
      <c r="O3263" s="77"/>
      <c r="P3263" s="76"/>
      <c r="Q3263" s="76"/>
    </row>
    <row r="3264" spans="5:17" hidden="1" outlineLevel="4" collapsed="1" x14ac:dyDescent="0.25">
      <c r="F3264" s="84" t="s">
        <v>1414</v>
      </c>
      <c r="G3264" s="79"/>
      <c r="H3264" s="80"/>
      <c r="I3264" s="81"/>
      <c r="J3264" s="83">
        <f>HYPERLINK("#Структура!E2811",Структура!E2811)</f>
        <v>2</v>
      </c>
      <c r="K3264" s="115">
        <f>HYPERLINK("#Структура!G2811",Структура!G2811)</f>
        <v>0.378</v>
      </c>
      <c r="L3264" s="81">
        <f>M3264/J3264</f>
        <v>46.32</v>
      </c>
      <c r="M3264" s="81">
        <f>SUMIF(G3265,"*",M3265)*J3264</f>
        <v>92.64</v>
      </c>
      <c r="N3264" s="124">
        <f>HYPERLINK("#Трудозатраты!B698",Трудозатраты!B698+SUMIF(G3265,"*",O3265))</f>
        <v>14</v>
      </c>
      <c r="O3264" s="82">
        <f>N3264*J3264</f>
        <v>28</v>
      </c>
      <c r="P3264" s="81">
        <f>O3264/60*(1+запас_труд)*стоимость_трудочаса</f>
        <v>1096.6666666666667</v>
      </c>
      <c r="Q3264" s="129">
        <f>M3264*(1+наценка_покупное)+P3264</f>
        <v>1207.8346666666666</v>
      </c>
    </row>
    <row r="3265" spans="5:17" hidden="1" outlineLevel="5" x14ac:dyDescent="0.25">
      <c r="G3265" s="74" t="s">
        <v>179</v>
      </c>
      <c r="H3265" s="75"/>
      <c r="I3265" s="76"/>
      <c r="J3265" s="78">
        <f>HYPERLINK("#Структура!E2792",Структура!E2792)</f>
        <v>0.38600000000000001</v>
      </c>
      <c r="K3265" s="114" t="str">
        <f>HYPERLINK("#Структура!G2792","")</f>
        <v/>
      </c>
      <c r="L3265" s="120">
        <f>HYPERLINK("#Покупные_изделия!D490",Покупные_изделия!D490)</f>
        <v>120</v>
      </c>
      <c r="M3265" s="76">
        <f>J3265*L3265</f>
        <v>46.32</v>
      </c>
      <c r="N3265" s="77"/>
      <c r="O3265" s="77"/>
      <c r="P3265" s="76"/>
      <c r="Q3265" s="76"/>
    </row>
    <row r="3266" spans="5:17" hidden="1" outlineLevel="4" collapsed="1" x14ac:dyDescent="0.25">
      <c r="F3266" s="84" t="s">
        <v>1415</v>
      </c>
      <c r="G3266" s="79"/>
      <c r="H3266" s="80"/>
      <c r="I3266" s="81"/>
      <c r="J3266" s="83">
        <f>HYPERLINK("#Структура!E2812",Структура!E2812)</f>
        <v>1</v>
      </c>
      <c r="K3266" s="115">
        <f>HYPERLINK("#Структура!G2812",Структура!G2812)</f>
        <v>0.2268</v>
      </c>
      <c r="L3266" s="81">
        <f>M3266/J3266</f>
        <v>28.32</v>
      </c>
      <c r="M3266" s="81">
        <f>SUMIF(G3267,"*",M3267)*J3266</f>
        <v>28.32</v>
      </c>
      <c r="N3266" s="124">
        <f>HYPERLINK("#Трудозатраты!B699",Трудозатраты!B699+SUMIF(G3267,"*",O3267))</f>
        <v>14</v>
      </c>
      <c r="O3266" s="82">
        <f>N3266*J3266</f>
        <v>14</v>
      </c>
      <c r="P3266" s="81">
        <f>O3266/60*(1+запас_труд)*стоимость_трудочаса</f>
        <v>548.33333333333337</v>
      </c>
      <c r="Q3266" s="129">
        <f>M3266*(1+наценка_покупное)+P3266</f>
        <v>582.31733333333341</v>
      </c>
    </row>
    <row r="3267" spans="5:17" hidden="1" outlineLevel="5" x14ac:dyDescent="0.25">
      <c r="G3267" s="74" t="s">
        <v>179</v>
      </c>
      <c r="H3267" s="75"/>
      <c r="I3267" s="76"/>
      <c r="J3267" s="78">
        <f>HYPERLINK("#Структура!E2793",Структура!E2793)</f>
        <v>0.23599999999999999</v>
      </c>
      <c r="K3267" s="114" t="str">
        <f>HYPERLINK("#Структура!G2793","")</f>
        <v/>
      </c>
      <c r="L3267" s="120">
        <f>HYPERLINK("#Покупные_изделия!D490",Покупные_изделия!D490)</f>
        <v>120</v>
      </c>
      <c r="M3267" s="76">
        <f t="shared" ref="M3267:M3285" si="126">J3267*L3267</f>
        <v>28.32</v>
      </c>
      <c r="N3267" s="77"/>
      <c r="O3267" s="77"/>
      <c r="P3267" s="76"/>
      <c r="Q3267" s="76"/>
    </row>
    <row r="3268" spans="5:17" hidden="1" outlineLevel="4" x14ac:dyDescent="0.25">
      <c r="F3268" s="74" t="s">
        <v>171</v>
      </c>
      <c r="G3268" s="74"/>
      <c r="H3268" s="75"/>
      <c r="I3268" s="76"/>
      <c r="J3268" s="78">
        <f>HYPERLINK("#Структура!E2813",Структура!E2813)</f>
        <v>1</v>
      </c>
      <c r="K3268" s="114">
        <f>HYPERLINK("#Структура!G2813",Структура!G2813)</f>
        <v>0.49</v>
      </c>
      <c r="L3268" s="120">
        <f>HYPERLINK("#Покупные_изделия!D480",Покупные_изделия!D480)</f>
        <v>258.68399999999997</v>
      </c>
      <c r="M3268" s="76">
        <f t="shared" si="126"/>
        <v>258.68399999999997</v>
      </c>
      <c r="N3268" s="77"/>
      <c r="O3268" s="77"/>
      <c r="P3268" s="76"/>
      <c r="Q3268" s="76"/>
    </row>
    <row r="3269" spans="5:17" hidden="1" outlineLevel="4" x14ac:dyDescent="0.25">
      <c r="F3269" s="74" t="s">
        <v>172</v>
      </c>
      <c r="G3269" s="74"/>
      <c r="H3269" s="75"/>
      <c r="I3269" s="76"/>
      <c r="J3269" s="78">
        <f>HYPERLINK("#Структура!E2814",Структура!E2814)</f>
        <v>3</v>
      </c>
      <c r="K3269" s="114">
        <f>HYPERLINK("#Структура!G2814",Структура!G2814)</f>
        <v>0.35199999999999998</v>
      </c>
      <c r="L3269" s="120">
        <f>HYPERLINK("#Покупные_изделия!D481",Покупные_изделия!D481)</f>
        <v>146.8236</v>
      </c>
      <c r="M3269" s="76">
        <f t="shared" si="126"/>
        <v>440.4708</v>
      </c>
      <c r="N3269" s="77"/>
      <c r="O3269" s="77"/>
      <c r="P3269" s="76"/>
      <c r="Q3269" s="76"/>
    </row>
    <row r="3270" spans="5:17" hidden="1" outlineLevel="4" x14ac:dyDescent="0.25">
      <c r="F3270" s="74" t="s">
        <v>194</v>
      </c>
      <c r="G3270" s="74"/>
      <c r="H3270" s="75"/>
      <c r="I3270" s="76"/>
      <c r="J3270" s="78">
        <f>HYPERLINK("#Структура!E2815",Структура!E2815)</f>
        <v>2</v>
      </c>
      <c r="K3270" s="114">
        <f>HYPERLINK("#Структура!G2815",Структура!G2815)</f>
        <v>0.22900000000000001</v>
      </c>
      <c r="L3270" s="120">
        <f>HYPERLINK("#Покупные_изделия!D507",Покупные_изделия!D507)</f>
        <v>81.49199999999999</v>
      </c>
      <c r="M3270" s="76">
        <f t="shared" si="126"/>
        <v>162.98399999999998</v>
      </c>
      <c r="N3270" s="77"/>
      <c r="O3270" s="77"/>
      <c r="P3270" s="76"/>
      <c r="Q3270" s="76"/>
    </row>
    <row r="3271" spans="5:17" hidden="1" outlineLevel="4" x14ac:dyDescent="0.25">
      <c r="F3271" s="74" t="s">
        <v>195</v>
      </c>
      <c r="G3271" s="74"/>
      <c r="H3271" s="75"/>
      <c r="I3271" s="76"/>
      <c r="J3271" s="78">
        <f>HYPERLINK("#Структура!E2816",Структура!E2816)</f>
        <v>3</v>
      </c>
      <c r="K3271" s="114">
        <f>HYPERLINK("#Структура!G2816",Структура!G2816)</f>
        <v>0.35199999999999998</v>
      </c>
      <c r="L3271" s="120">
        <f>HYPERLINK("#Покупные_изделия!D508",Покупные_изделия!D508)</f>
        <v>123.85199999999999</v>
      </c>
      <c r="M3271" s="76">
        <f t="shared" si="126"/>
        <v>371.55599999999998</v>
      </c>
      <c r="N3271" s="77"/>
      <c r="O3271" s="77"/>
      <c r="P3271" s="76"/>
      <c r="Q3271" s="76"/>
    </row>
    <row r="3272" spans="5:17" hidden="1" outlineLevel="4" x14ac:dyDescent="0.25">
      <c r="F3272" s="74" t="s">
        <v>199</v>
      </c>
      <c r="G3272" s="74"/>
      <c r="H3272" s="75"/>
      <c r="I3272" s="76"/>
      <c r="J3272" s="78">
        <f>HYPERLINK("#Структура!E2817",Структура!E2817)</f>
        <v>2</v>
      </c>
      <c r="K3272" s="114">
        <f>HYPERLINK("#Структура!G2817",Структура!G2817)</f>
        <v>0.14599999999999999</v>
      </c>
      <c r="L3272" s="120">
        <f>HYPERLINK("#Покупные_изделия!D517",Покупные_изделия!D517)</f>
        <v>47.704800000000006</v>
      </c>
      <c r="M3272" s="76">
        <f t="shared" si="126"/>
        <v>95.409600000000012</v>
      </c>
      <c r="N3272" s="77"/>
      <c r="O3272" s="77"/>
      <c r="P3272" s="76"/>
      <c r="Q3272" s="76"/>
    </row>
    <row r="3273" spans="5:17" hidden="1" outlineLevel="4" x14ac:dyDescent="0.25">
      <c r="F3273" s="74" t="s">
        <v>18</v>
      </c>
      <c r="G3273" s="74"/>
      <c r="H3273" s="75"/>
      <c r="I3273" s="76"/>
      <c r="J3273" s="78">
        <f>HYPERLINK("#Структура!E2818",Структура!E2818)</f>
        <v>1</v>
      </c>
      <c r="K3273" s="114">
        <f>HYPERLINK("#Структура!G2818",Структура!G2818)</f>
        <v>1.26095</v>
      </c>
      <c r="L3273" s="120">
        <f>HYPERLINK("#Покупные_изделия!D26",Покупные_изделия!D26)</f>
        <v>35490</v>
      </c>
      <c r="M3273" s="76">
        <f t="shared" si="126"/>
        <v>35490</v>
      </c>
      <c r="N3273" s="77"/>
      <c r="O3273" s="77"/>
      <c r="P3273" s="76"/>
      <c r="Q3273" s="76"/>
    </row>
    <row r="3274" spans="5:17" hidden="1" outlineLevel="4" x14ac:dyDescent="0.25">
      <c r="F3274" s="74" t="s">
        <v>32</v>
      </c>
      <c r="G3274" s="74"/>
      <c r="H3274" s="75"/>
      <c r="I3274" s="76"/>
      <c r="J3274" s="78">
        <f>HYPERLINK("#Структура!E2819",Структура!E2819)</f>
        <v>1</v>
      </c>
      <c r="K3274" s="114">
        <f>HYPERLINK("#Структура!G2819",Структура!G2819)</f>
        <v>1.8180000000000001</v>
      </c>
      <c r="L3274" s="120">
        <f>HYPERLINK("#Покупные_изделия!D43",Покупные_изделия!D43)</f>
        <v>44821.552776000004</v>
      </c>
      <c r="M3274" s="76">
        <f t="shared" si="126"/>
        <v>44821.552776000004</v>
      </c>
      <c r="N3274" s="77"/>
      <c r="O3274" s="77"/>
      <c r="P3274" s="76"/>
      <c r="Q3274" s="76"/>
    </row>
    <row r="3275" spans="5:17" hidden="1" outlineLevel="4" x14ac:dyDescent="0.25">
      <c r="F3275" s="74" t="s">
        <v>163</v>
      </c>
      <c r="G3275" s="74"/>
      <c r="H3275" s="75"/>
      <c r="I3275" s="76"/>
      <c r="J3275" s="78">
        <f>HYPERLINK("#Структура!E2820",Структура!E2820)</f>
        <v>1</v>
      </c>
      <c r="K3275" s="114">
        <f>HYPERLINK("#Структура!G2820",Структура!G2820)</f>
        <v>0.66662999999999994</v>
      </c>
      <c r="L3275" s="120">
        <f>HYPERLINK("#Покупные_изделия!D448",Покупные_изделия!D448)</f>
        <v>421.47600000000006</v>
      </c>
      <c r="M3275" s="76">
        <f t="shared" si="126"/>
        <v>421.47600000000006</v>
      </c>
      <c r="N3275" s="77"/>
      <c r="O3275" s="77"/>
      <c r="P3275" s="76"/>
      <c r="Q3275" s="76"/>
    </row>
    <row r="3276" spans="5:17" hidden="1" outlineLevel="4" x14ac:dyDescent="0.25">
      <c r="F3276" s="74" t="s">
        <v>1390</v>
      </c>
      <c r="G3276" s="74"/>
      <c r="H3276" s="75"/>
      <c r="I3276" s="76"/>
      <c r="J3276" s="78">
        <f>HYPERLINK("#Структура!E2821",Структура!E2821)</f>
        <v>1</v>
      </c>
      <c r="K3276" s="114">
        <f>HYPERLINK("#Структура!G2821",Структура!G2821)</f>
        <v>0.30236000000000002</v>
      </c>
      <c r="L3276" s="120">
        <f>HYPERLINK("#Покупные_изделия!D468",Покупные_изделия!D468)</f>
        <v>1085.5919999999999</v>
      </c>
      <c r="M3276" s="76">
        <f t="shared" si="126"/>
        <v>1085.5919999999999</v>
      </c>
      <c r="N3276" s="77"/>
      <c r="O3276" s="77"/>
      <c r="P3276" s="76"/>
      <c r="Q3276" s="76"/>
    </row>
    <row r="3277" spans="5:17" hidden="1" outlineLevel="4" x14ac:dyDescent="0.25">
      <c r="F3277" s="74" t="s">
        <v>62</v>
      </c>
      <c r="G3277" s="74"/>
      <c r="H3277" s="75"/>
      <c r="I3277" s="76"/>
      <c r="J3277" s="78">
        <f>HYPERLINK("#Структура!E2822",Структура!E2822)</f>
        <v>0.5</v>
      </c>
      <c r="K3277" s="114" t="str">
        <f>HYPERLINK("#Структура!G2822","")</f>
        <v/>
      </c>
      <c r="L3277" s="120">
        <f>HYPERLINK("#Покупные_изделия!D194",Покупные_изделия!D194)</f>
        <v>333.22800000000001</v>
      </c>
      <c r="M3277" s="76">
        <f t="shared" si="126"/>
        <v>166.614</v>
      </c>
      <c r="N3277" s="77"/>
      <c r="O3277" s="77"/>
      <c r="P3277" s="76"/>
      <c r="Q3277" s="76"/>
    </row>
    <row r="3278" spans="5:17" hidden="1" outlineLevel="4" x14ac:dyDescent="0.25">
      <c r="F3278" s="74" t="s">
        <v>157</v>
      </c>
      <c r="G3278" s="74"/>
      <c r="H3278" s="75"/>
      <c r="I3278" s="76"/>
      <c r="J3278" s="78">
        <f>HYPERLINK("#Структура!E2823",Структура!E2823)</f>
        <v>0.02</v>
      </c>
      <c r="K3278" s="114" t="str">
        <f>HYPERLINK("#Структура!G2823","")</f>
        <v/>
      </c>
      <c r="L3278" s="120">
        <f>HYPERLINK("#Покупные_изделия!D428",Покупные_изделия!D428)</f>
        <v>138.756</v>
      </c>
      <c r="M3278" s="76">
        <f t="shared" si="126"/>
        <v>2.7751200000000003</v>
      </c>
      <c r="N3278" s="77"/>
      <c r="O3278" s="77"/>
      <c r="P3278" s="76"/>
      <c r="Q3278" s="76"/>
    </row>
    <row r="3279" spans="5:17" hidden="1" outlineLevel="3" x14ac:dyDescent="0.25">
      <c r="E3279" s="74" t="s">
        <v>1010</v>
      </c>
      <c r="F3279" s="74"/>
      <c r="G3279" s="74"/>
      <c r="H3279" s="75"/>
      <c r="I3279" s="76"/>
      <c r="J3279" s="78">
        <f>HYPERLINK("#Структура!E2799",Структура!E2799)</f>
        <v>1</v>
      </c>
      <c r="K3279" s="114">
        <f>HYPERLINK("#Структура!G2799",Структура!G2799)</f>
        <v>1.2199999999999999E-3</v>
      </c>
      <c r="L3279" s="120">
        <f>HYPERLINK("#Покупные_изделия!D117",Покупные_изделия!D117)</f>
        <v>4.5599999999999996</v>
      </c>
      <c r="M3279" s="76">
        <f t="shared" si="126"/>
        <v>4.5599999999999996</v>
      </c>
      <c r="N3279" s="77"/>
      <c r="O3279" s="77"/>
      <c r="P3279" s="76"/>
      <c r="Q3279" s="76"/>
    </row>
    <row r="3280" spans="5:17" hidden="1" outlineLevel="3" x14ac:dyDescent="0.25">
      <c r="E3280" s="74" t="s">
        <v>1381</v>
      </c>
      <c r="F3280" s="74"/>
      <c r="G3280" s="74"/>
      <c r="H3280" s="75"/>
      <c r="I3280" s="76"/>
      <c r="J3280" s="78">
        <f>HYPERLINK("#Структура!E2800",Структура!E2800)</f>
        <v>1</v>
      </c>
      <c r="K3280" s="114">
        <f>HYPERLINK("#Структура!G2800",Структура!G2800)</f>
        <v>8.8999999999999995E-4</v>
      </c>
      <c r="L3280" s="120">
        <f>HYPERLINK("#Покупные_изделия!D535",Покупные_изделия!D535)</f>
        <v>1.1000000000000001</v>
      </c>
      <c r="M3280" s="76">
        <f t="shared" si="126"/>
        <v>1.1000000000000001</v>
      </c>
      <c r="N3280" s="77"/>
      <c r="O3280" s="77"/>
      <c r="P3280" s="76"/>
      <c r="Q3280" s="76"/>
    </row>
    <row r="3281" spans="4:17" hidden="1" outlineLevel="3" x14ac:dyDescent="0.25">
      <c r="E3281" s="74" t="s">
        <v>62</v>
      </c>
      <c r="F3281" s="74"/>
      <c r="G3281" s="74"/>
      <c r="H3281" s="75"/>
      <c r="I3281" s="76"/>
      <c r="J3281" s="78">
        <f>HYPERLINK("#Структура!E2801",Структура!E2801)</f>
        <v>0.3</v>
      </c>
      <c r="K3281" s="114" t="str">
        <f>HYPERLINK("#Структура!G2801","")</f>
        <v/>
      </c>
      <c r="L3281" s="120">
        <f>HYPERLINK("#Покупные_изделия!D194",Покупные_изделия!D194)</f>
        <v>333.22800000000001</v>
      </c>
      <c r="M3281" s="76">
        <f t="shared" si="126"/>
        <v>99.968400000000003</v>
      </c>
      <c r="N3281" s="77"/>
      <c r="O3281" s="77"/>
      <c r="P3281" s="76"/>
      <c r="Q3281" s="76"/>
    </row>
    <row r="3282" spans="4:17" hidden="1" outlineLevel="3" x14ac:dyDescent="0.25">
      <c r="E3282" s="74" t="s">
        <v>65</v>
      </c>
      <c r="F3282" s="74"/>
      <c r="G3282" s="74"/>
      <c r="H3282" s="75"/>
      <c r="I3282" s="76"/>
      <c r="J3282" s="78">
        <f>HYPERLINK("#Структура!E2802",Структура!E2802)</f>
        <v>0.16300000000000001</v>
      </c>
      <c r="K3282" s="114" t="str">
        <f>HYPERLINK("#Структура!G2802","")</f>
        <v/>
      </c>
      <c r="L3282" s="120">
        <f>HYPERLINK("#Покупные_изделия!D197",Покупные_изделия!D197)</f>
        <v>264.50399999999996</v>
      </c>
      <c r="M3282" s="76">
        <f t="shared" si="126"/>
        <v>43.114151999999997</v>
      </c>
      <c r="N3282" s="77"/>
      <c r="O3282" s="77"/>
      <c r="P3282" s="76"/>
      <c r="Q3282" s="76"/>
    </row>
    <row r="3283" spans="4:17" hidden="1" outlineLevel="3" x14ac:dyDescent="0.25">
      <c r="E3283" s="74" t="s">
        <v>155</v>
      </c>
      <c r="F3283" s="74"/>
      <c r="G3283" s="74"/>
      <c r="H3283" s="75"/>
      <c r="I3283" s="76"/>
      <c r="J3283" s="78">
        <f>HYPERLINK("#Структура!E2803",Структура!E2803)</f>
        <v>4.9000000000000002E-2</v>
      </c>
      <c r="K3283" s="114" t="str">
        <f>HYPERLINK("#Структура!G2803","")</f>
        <v/>
      </c>
      <c r="L3283" s="120">
        <f>HYPERLINK("#Покупные_изделия!D423",Покупные_изделия!D423)</f>
        <v>218.28</v>
      </c>
      <c r="M3283" s="76">
        <f t="shared" si="126"/>
        <v>10.69572</v>
      </c>
      <c r="N3283" s="77"/>
      <c r="O3283" s="77"/>
      <c r="P3283" s="76"/>
      <c r="Q3283" s="76"/>
    </row>
    <row r="3284" spans="4:17" hidden="1" outlineLevel="3" x14ac:dyDescent="0.25">
      <c r="E3284" s="74" t="s">
        <v>156</v>
      </c>
      <c r="F3284" s="74"/>
      <c r="G3284" s="74"/>
      <c r="H3284" s="75"/>
      <c r="I3284" s="76"/>
      <c r="J3284" s="78">
        <f>HYPERLINK("#Структура!E2804",Структура!E2804)</f>
        <v>0.15</v>
      </c>
      <c r="K3284" s="114" t="str">
        <f>HYPERLINK("#Структура!G2804","")</f>
        <v/>
      </c>
      <c r="L3284" s="120">
        <f>HYPERLINK("#Покупные_изделия!D427",Покупные_изделия!D427)</f>
        <v>155.53200000000001</v>
      </c>
      <c r="M3284" s="76">
        <f t="shared" si="126"/>
        <v>23.329800000000002</v>
      </c>
      <c r="N3284" s="77"/>
      <c r="O3284" s="77"/>
      <c r="P3284" s="76"/>
      <c r="Q3284" s="76"/>
    </row>
    <row r="3285" spans="4:17" hidden="1" outlineLevel="3" x14ac:dyDescent="0.25">
      <c r="E3285" s="74" t="s">
        <v>215</v>
      </c>
      <c r="F3285" s="74"/>
      <c r="G3285" s="74"/>
      <c r="H3285" s="75"/>
      <c r="I3285" s="76"/>
      <c r="J3285" s="78">
        <f>HYPERLINK("#Структура!E2805",Структура!E2805)</f>
        <v>0.32800000000000001</v>
      </c>
      <c r="K3285" s="114" t="str">
        <f>HYPERLINK("#Структура!G2805","")</f>
        <v/>
      </c>
      <c r="L3285" s="120">
        <f>HYPERLINK("#Покупные_изделия!D567",Покупные_изделия!D567)</f>
        <v>405.74399999999997</v>
      </c>
      <c r="M3285" s="76">
        <f t="shared" si="126"/>
        <v>133.08403200000001</v>
      </c>
      <c r="N3285" s="77"/>
      <c r="O3285" s="77"/>
      <c r="P3285" s="76"/>
      <c r="Q3285" s="76"/>
    </row>
    <row r="3286" spans="4:17" hidden="1" outlineLevel="2" collapsed="1" x14ac:dyDescent="0.25">
      <c r="D3286" s="84" t="s">
        <v>1174</v>
      </c>
      <c r="E3286" s="79"/>
      <c r="F3286" s="79"/>
      <c r="G3286" s="79"/>
      <c r="H3286" s="80"/>
      <c r="I3286" s="81"/>
      <c r="J3286" s="83">
        <f>HYPERLINK("#Структура!E2378",Структура!E2378)</f>
        <v>2</v>
      </c>
      <c r="K3286" s="115">
        <f>HYPERLINK("#Структура!G2378",Структура!G2378)</f>
        <v>7.6410000000000006E-2</v>
      </c>
      <c r="L3286" s="81">
        <f>M3286/J3286</f>
        <v>186.70466400000001</v>
      </c>
      <c r="M3286" s="81">
        <f>SUMIF(E3287,"*",M3287)*J3286</f>
        <v>373.40932800000002</v>
      </c>
      <c r="N3286" s="124">
        <f>HYPERLINK("#Трудозатраты!B481",Трудозатраты!B481+SUMIF(E3287,"*",O3287))</f>
        <v>21.35</v>
      </c>
      <c r="O3286" s="82">
        <f>N3286*J3286</f>
        <v>42.7</v>
      </c>
      <c r="P3286" s="81">
        <f>O3286/60*(1+запас_труд)*стоимость_трудочаса</f>
        <v>1672.4166666666667</v>
      </c>
      <c r="Q3286" s="129">
        <f>M3286*(1+наценка_покупное)+P3286</f>
        <v>2120.5078602666667</v>
      </c>
    </row>
    <row r="3287" spans="4:17" hidden="1" outlineLevel="3" x14ac:dyDescent="0.25">
      <c r="E3287" s="74" t="s">
        <v>152</v>
      </c>
      <c r="F3287" s="74"/>
      <c r="G3287" s="74"/>
      <c r="H3287" s="75"/>
      <c r="I3287" s="76"/>
      <c r="J3287" s="78">
        <f>HYPERLINK("#Структура!E1766",Структура!E1766)</f>
        <v>0.16700000000000001</v>
      </c>
      <c r="K3287" s="114" t="str">
        <f>HYPERLINK("#Структура!G1766","")</f>
        <v/>
      </c>
      <c r="L3287" s="120">
        <f>HYPERLINK("#Покупные_изделия!D420",Покупные_изделия!D420)</f>
        <v>1117.992</v>
      </c>
      <c r="M3287" s="76">
        <f>J3287*L3287</f>
        <v>186.70466400000001</v>
      </c>
      <c r="N3287" s="77"/>
      <c r="O3287" s="77"/>
      <c r="P3287" s="76"/>
      <c r="Q3287" s="76"/>
    </row>
    <row r="3288" spans="4:17" hidden="1" outlineLevel="2" collapsed="1" x14ac:dyDescent="0.25">
      <c r="D3288" s="84" t="s">
        <v>615</v>
      </c>
      <c r="E3288" s="79"/>
      <c r="F3288" s="79"/>
      <c r="G3288" s="79"/>
      <c r="H3288" s="80"/>
      <c r="I3288" s="81"/>
      <c r="J3288" s="83">
        <f>HYPERLINK("#Структура!E2379",Структура!E2379)</f>
        <v>1</v>
      </c>
      <c r="K3288" s="115">
        <f>HYPERLINK("#Структура!G2379",Структура!G2379)</f>
        <v>0.32214999999999999</v>
      </c>
      <c r="L3288" s="81">
        <f>M3288/J3288</f>
        <v>63.720794400000003</v>
      </c>
      <c r="M3288" s="81">
        <f>SUMIF(E3289:E3293,"*",M3289:M3293)*J3288</f>
        <v>63.720794400000003</v>
      </c>
      <c r="N3288" s="124">
        <f>HYPERLINK("#Трудозатраты!B482",Трудозатраты!B482+SUMIF(E3289:E3293,"*",O3289:O3293))</f>
        <v>3</v>
      </c>
      <c r="O3288" s="82">
        <f>N3288*J3288</f>
        <v>3</v>
      </c>
      <c r="P3288" s="81">
        <f>O3288/60*(1+запас_труд)*стоимость_трудочаса</f>
        <v>117.5</v>
      </c>
      <c r="Q3288" s="129">
        <f>M3288*(1+наценка_покупное)+P3288</f>
        <v>193.96495328</v>
      </c>
    </row>
    <row r="3289" spans="4:17" hidden="1" outlineLevel="3" x14ac:dyDescent="0.25">
      <c r="E3289" s="74" t="s">
        <v>44</v>
      </c>
      <c r="F3289" s="74"/>
      <c r="G3289" s="74"/>
      <c r="H3289" s="75"/>
      <c r="I3289" s="76"/>
      <c r="J3289" s="78">
        <f>HYPERLINK("#Структура!E1767",Структура!E1767)</f>
        <v>8.0000000000000002E-3</v>
      </c>
      <c r="K3289" s="114" t="str">
        <f>HYPERLINK("#Структура!G1767","")</f>
        <v/>
      </c>
      <c r="L3289" s="120">
        <f>HYPERLINK("#Покупные_изделия!D63",Покупные_изделия!D63)</f>
        <v>396.00000000000006</v>
      </c>
      <c r="M3289" s="76">
        <f>J3289*L3289</f>
        <v>3.1680000000000006</v>
      </c>
      <c r="N3289" s="77"/>
      <c r="O3289" s="77"/>
      <c r="P3289" s="76"/>
      <c r="Q3289" s="76"/>
    </row>
    <row r="3290" spans="4:17" hidden="1" outlineLevel="3" x14ac:dyDescent="0.25">
      <c r="E3290" s="74" t="s">
        <v>118</v>
      </c>
      <c r="F3290" s="74"/>
      <c r="G3290" s="74"/>
      <c r="H3290" s="75"/>
      <c r="I3290" s="76"/>
      <c r="J3290" s="78">
        <f>HYPERLINK("#Структура!E1768",Структура!E1768)</f>
        <v>0.47599999999999998</v>
      </c>
      <c r="K3290" s="114" t="str">
        <f>HYPERLINK("#Структура!G1768","")</f>
        <v/>
      </c>
      <c r="L3290" s="120">
        <f>HYPERLINK("#Покупные_изделия!D293",Покупные_изделия!D293)</f>
        <v>120</v>
      </c>
      <c r="M3290" s="76">
        <f>J3290*L3290</f>
        <v>57.12</v>
      </c>
      <c r="N3290" s="77"/>
      <c r="O3290" s="77"/>
      <c r="P3290" s="76"/>
      <c r="Q3290" s="76"/>
    </row>
    <row r="3291" spans="4:17" hidden="1" outlineLevel="3" x14ac:dyDescent="0.25">
      <c r="E3291" s="74" t="s">
        <v>139</v>
      </c>
      <c r="F3291" s="74"/>
      <c r="G3291" s="74"/>
      <c r="H3291" s="75"/>
      <c r="I3291" s="76"/>
      <c r="J3291" s="78">
        <f>HYPERLINK("#Структура!E1769",Структура!E1769)</f>
        <v>2E-3</v>
      </c>
      <c r="K3291" s="114" t="str">
        <f>HYPERLINK("#Структура!G1769","")</f>
        <v/>
      </c>
      <c r="L3291" s="120">
        <f>HYPERLINK("#Покупные_изделия!D360",Покупные_изделия!D360)</f>
        <v>171.87720000000002</v>
      </c>
      <c r="M3291" s="76">
        <f>J3291*L3291</f>
        <v>0.34375440000000002</v>
      </c>
      <c r="N3291" s="77"/>
      <c r="O3291" s="77"/>
      <c r="P3291" s="76"/>
      <c r="Q3291" s="76"/>
    </row>
    <row r="3292" spans="4:17" hidden="1" outlineLevel="3" x14ac:dyDescent="0.25">
      <c r="E3292" s="74" t="s">
        <v>156</v>
      </c>
      <c r="F3292" s="74"/>
      <c r="G3292" s="74"/>
      <c r="H3292" s="75"/>
      <c r="I3292" s="76"/>
      <c r="J3292" s="78">
        <f>HYPERLINK("#Структура!E1770",Структура!E1770)</f>
        <v>2E-3</v>
      </c>
      <c r="K3292" s="114" t="str">
        <f>HYPERLINK("#Структура!G1770","")</f>
        <v/>
      </c>
      <c r="L3292" s="120">
        <f>HYPERLINK("#Покупные_изделия!D427",Покупные_изделия!D427)</f>
        <v>155.53200000000001</v>
      </c>
      <c r="M3292" s="76">
        <f>J3292*L3292</f>
        <v>0.31106400000000001</v>
      </c>
      <c r="N3292" s="77"/>
      <c r="O3292" s="77"/>
      <c r="P3292" s="76"/>
      <c r="Q3292" s="76"/>
    </row>
    <row r="3293" spans="4:17" hidden="1" outlineLevel="3" x14ac:dyDescent="0.25">
      <c r="E3293" s="74" t="s">
        <v>202</v>
      </c>
      <c r="F3293" s="74"/>
      <c r="G3293" s="74"/>
      <c r="H3293" s="75"/>
      <c r="I3293" s="76"/>
      <c r="J3293" s="78">
        <f>HYPERLINK("#Структура!E1771",Структура!E1771)</f>
        <v>6.0000000000000001E-3</v>
      </c>
      <c r="K3293" s="114" t="str">
        <f>HYPERLINK("#Структура!G1771","")</f>
        <v/>
      </c>
      <c r="L3293" s="120">
        <f>HYPERLINK("#Покупные_изделия!D521",Покупные_изделия!D521)</f>
        <v>462.99599999999998</v>
      </c>
      <c r="M3293" s="76">
        <f>J3293*L3293</f>
        <v>2.7779759999999998</v>
      </c>
      <c r="N3293" s="77"/>
      <c r="O3293" s="77"/>
      <c r="P3293" s="76"/>
      <c r="Q3293" s="76"/>
    </row>
    <row r="3294" spans="4:17" hidden="1" outlineLevel="2" collapsed="1" x14ac:dyDescent="0.25">
      <c r="D3294" s="84" t="s">
        <v>616</v>
      </c>
      <c r="E3294" s="79"/>
      <c r="F3294" s="79"/>
      <c r="G3294" s="79"/>
      <c r="H3294" s="80"/>
      <c r="I3294" s="81"/>
      <c r="J3294" s="83">
        <f>HYPERLINK("#Структура!E2380",Структура!E2380)</f>
        <v>1</v>
      </c>
      <c r="K3294" s="115">
        <f>HYPERLINK("#Структура!G2380",Структура!G2380)</f>
        <v>6.9110000000000005E-2</v>
      </c>
      <c r="L3294" s="81">
        <f>M3294/J3294</f>
        <v>9.9824052000000023</v>
      </c>
      <c r="M3294" s="81">
        <f>SUMIF(E3295:E3299,"*",M3295:M3299)*J3294</f>
        <v>9.9824052000000023</v>
      </c>
      <c r="N3294" s="124">
        <f>HYPERLINK("#Трудозатраты!B483",Трудозатраты!B483+SUMIF(E3295:E3299,"*",O3295:O3299))</f>
        <v>10.3</v>
      </c>
      <c r="O3294" s="82">
        <f>N3294*J3294</f>
        <v>10.3</v>
      </c>
      <c r="P3294" s="81">
        <f>O3294/60*(1+запас_труд)*стоимость_трудочаса</f>
        <v>403.41666666666674</v>
      </c>
      <c r="Q3294" s="129">
        <f>M3294*(1+наценка_покупное)+P3294</f>
        <v>415.39555290666675</v>
      </c>
    </row>
    <row r="3295" spans="4:17" hidden="1" outlineLevel="3" x14ac:dyDescent="0.25">
      <c r="E3295" s="74" t="s">
        <v>44</v>
      </c>
      <c r="F3295" s="74"/>
      <c r="G3295" s="74"/>
      <c r="H3295" s="75"/>
      <c r="I3295" s="76"/>
      <c r="J3295" s="78">
        <f>HYPERLINK("#Структура!E1772",Структура!E1772)</f>
        <v>2E-3</v>
      </c>
      <c r="K3295" s="114" t="str">
        <f>HYPERLINK("#Структура!G1772","")</f>
        <v/>
      </c>
      <c r="L3295" s="120">
        <f>HYPERLINK("#Покупные_изделия!D63",Покупные_изделия!D63)</f>
        <v>396.00000000000006</v>
      </c>
      <c r="M3295" s="76">
        <f t="shared" ref="M3295:M3300" si="127">J3295*L3295</f>
        <v>0.79200000000000015</v>
      </c>
      <c r="N3295" s="77"/>
      <c r="O3295" s="77"/>
      <c r="P3295" s="76"/>
      <c r="Q3295" s="76"/>
    </row>
    <row r="3296" spans="4:17" hidden="1" outlineLevel="3" x14ac:dyDescent="0.25">
      <c r="E3296" s="74" t="s">
        <v>1175</v>
      </c>
      <c r="F3296" s="74"/>
      <c r="G3296" s="74"/>
      <c r="H3296" s="75"/>
      <c r="I3296" s="76"/>
      <c r="J3296" s="78">
        <f>HYPERLINK("#Структура!E1773",Структура!E1773)</f>
        <v>8.4000000000000005E-2</v>
      </c>
      <c r="K3296" s="114" t="str">
        <f>HYPERLINK("#Структура!G1773","")</f>
        <v/>
      </c>
      <c r="L3296" s="120">
        <f>HYPERLINK("#Покупные_изделия!D275",Покупные_изделия!D275)</f>
        <v>100</v>
      </c>
      <c r="M3296" s="76">
        <f t="shared" si="127"/>
        <v>8.4</v>
      </c>
      <c r="N3296" s="77"/>
      <c r="O3296" s="77"/>
      <c r="P3296" s="76"/>
      <c r="Q3296" s="76"/>
    </row>
    <row r="3297" spans="3:17" hidden="1" outlineLevel="3" x14ac:dyDescent="0.25">
      <c r="E3297" s="74" t="s">
        <v>139</v>
      </c>
      <c r="F3297" s="74"/>
      <c r="G3297" s="74"/>
      <c r="H3297" s="75"/>
      <c r="I3297" s="76"/>
      <c r="J3297" s="78">
        <f>HYPERLINK("#Структура!E1774",Структура!E1774)</f>
        <v>1E-3</v>
      </c>
      <c r="K3297" s="114" t="str">
        <f>HYPERLINK("#Структура!G1774","")</f>
        <v/>
      </c>
      <c r="L3297" s="120">
        <f>HYPERLINK("#Покупные_изделия!D360",Покупные_изделия!D360)</f>
        <v>171.87720000000002</v>
      </c>
      <c r="M3297" s="76">
        <f t="shared" si="127"/>
        <v>0.17187720000000001</v>
      </c>
      <c r="N3297" s="77"/>
      <c r="O3297" s="77"/>
      <c r="P3297" s="76"/>
      <c r="Q3297" s="76"/>
    </row>
    <row r="3298" spans="3:17" hidden="1" outlineLevel="3" x14ac:dyDescent="0.25">
      <c r="E3298" s="74" t="s">
        <v>156</v>
      </c>
      <c r="F3298" s="74"/>
      <c r="G3298" s="74"/>
      <c r="H3298" s="75"/>
      <c r="I3298" s="76"/>
      <c r="J3298" s="78">
        <f>HYPERLINK("#Структура!E1775",Структура!E1775)</f>
        <v>1E-3</v>
      </c>
      <c r="K3298" s="114" t="str">
        <f>HYPERLINK("#Структура!G1775","")</f>
        <v/>
      </c>
      <c r="L3298" s="120">
        <f>HYPERLINK("#Покупные_изделия!D427",Покупные_изделия!D427)</f>
        <v>155.53200000000001</v>
      </c>
      <c r="M3298" s="76">
        <f t="shared" si="127"/>
        <v>0.155532</v>
      </c>
      <c r="N3298" s="77"/>
      <c r="O3298" s="77"/>
      <c r="P3298" s="76"/>
      <c r="Q3298" s="76"/>
    </row>
    <row r="3299" spans="3:17" hidden="1" outlineLevel="3" x14ac:dyDescent="0.25">
      <c r="E3299" s="74" t="s">
        <v>202</v>
      </c>
      <c r="F3299" s="74"/>
      <c r="G3299" s="74"/>
      <c r="H3299" s="75"/>
      <c r="I3299" s="76"/>
      <c r="J3299" s="78">
        <f>HYPERLINK("#Структура!E1776",Структура!E1776)</f>
        <v>1E-3</v>
      </c>
      <c r="K3299" s="114" t="str">
        <f>HYPERLINK("#Структура!G1776","")</f>
        <v/>
      </c>
      <c r="L3299" s="120">
        <f>HYPERLINK("#Покупные_изделия!D521",Покупные_изделия!D521)</f>
        <v>462.99599999999998</v>
      </c>
      <c r="M3299" s="76">
        <f t="shared" si="127"/>
        <v>0.46299599999999996</v>
      </c>
      <c r="N3299" s="77"/>
      <c r="O3299" s="77"/>
      <c r="P3299" s="76"/>
      <c r="Q3299" s="76"/>
    </row>
    <row r="3300" spans="3:17" hidden="1" outlineLevel="2" x14ac:dyDescent="0.25">
      <c r="D3300" s="74" t="s">
        <v>625</v>
      </c>
      <c r="E3300" s="74"/>
      <c r="F3300" s="74"/>
      <c r="G3300" s="74"/>
      <c r="H3300" s="75"/>
      <c r="I3300" s="76"/>
      <c r="J3300" s="78">
        <f>HYPERLINK("#Структура!E2381",Структура!E2381)</f>
        <v>2</v>
      </c>
      <c r="K3300" s="114">
        <f>HYPERLINK("#Структура!G2381",Структура!G2381)</f>
        <v>7.1399999999999996E-3</v>
      </c>
      <c r="L3300" s="120">
        <f>HYPERLINK("#Покупные_изделия!D168",Покупные_изделия!D168)</f>
        <v>1.9715672368421051</v>
      </c>
      <c r="M3300" s="76">
        <f t="shared" si="127"/>
        <v>3.9431344736842102</v>
      </c>
      <c r="N3300" s="77"/>
      <c r="O3300" s="77"/>
      <c r="P3300" s="76"/>
      <c r="Q3300" s="76"/>
    </row>
    <row r="3301" spans="3:17" hidden="1" outlineLevel="1" collapsed="1" x14ac:dyDescent="0.25">
      <c r="C3301" s="96" t="s">
        <v>1418</v>
      </c>
      <c r="D3301" s="91"/>
      <c r="E3301" s="91"/>
      <c r="F3301" s="91"/>
      <c r="G3301" s="91"/>
      <c r="H3301" s="92"/>
      <c r="I3301" s="93"/>
      <c r="J3301" s="95">
        <f>HYPERLINK("#Структура!E3256",Структура!E3256)</f>
        <v>1</v>
      </c>
      <c r="K3301" s="116">
        <f>HYPERLINK("#Структура!G3256",Структура!G3256)</f>
        <v>39.696849999999998</v>
      </c>
      <c r="L3301" s="93">
        <f>M3301/J3301</f>
        <v>8423.4362894736823</v>
      </c>
      <c r="M3301" s="93">
        <f>SUMIF(D3302:D3329,"*",M3302:M3329)*J3301</f>
        <v>8423.4362894736823</v>
      </c>
      <c r="N3301" s="125">
        <f>HYPERLINK("#Трудозатраты!B702",Трудозатраты!B702+SUMIF(D3302:D3329,"*",O3302:O3329))</f>
        <v>416.85</v>
      </c>
      <c r="O3301" s="94">
        <f>N3301*J3301</f>
        <v>416.85</v>
      </c>
      <c r="P3301" s="93">
        <f>O3301/60*(1+запас_труд)*стоимость_трудочаса</f>
        <v>16326.625000000002</v>
      </c>
      <c r="Q3301" s="130">
        <f>M3301*(1+наценка_покупное)+P3301</f>
        <v>26434.748547368421</v>
      </c>
    </row>
    <row r="3302" spans="3:17" hidden="1" outlineLevel="2" collapsed="1" x14ac:dyDescent="0.25">
      <c r="D3302" s="85" t="s">
        <v>1417</v>
      </c>
      <c r="E3302" s="86"/>
      <c r="F3302" s="86"/>
      <c r="G3302" s="86"/>
      <c r="H3302" s="87"/>
      <c r="I3302" s="88"/>
      <c r="J3302" s="90">
        <f>HYPERLINK("#Структура!E2824",Структура!E2824)</f>
        <v>2</v>
      </c>
      <c r="K3302" s="113">
        <f>HYPERLINK("#Структура!G2824",Структура!G2824)</f>
        <v>3.4724599999999999</v>
      </c>
      <c r="L3302" s="88">
        <f>M3302/J3302</f>
        <v>673.35680000000002</v>
      </c>
      <c r="M3302" s="88">
        <f>SUMIF(E3303,"*",M3303)*J3302</f>
        <v>1346.7136</v>
      </c>
      <c r="N3302" s="123">
        <f>HYPERLINK("#Трудозатраты!B703",Трудозатраты!B703+SUMIF(E3303,"*",O3303))</f>
        <v>33</v>
      </c>
      <c r="O3302" s="89">
        <f>N3302*J3302</f>
        <v>66</v>
      </c>
      <c r="P3302" s="88">
        <f>O3302/60*(1+запас_труд)*стоимость_трудочаса</f>
        <v>2585</v>
      </c>
      <c r="Q3302" s="128">
        <f>M3302*(1+наценка_покупное)+P3302</f>
        <v>4201.0563199999997</v>
      </c>
    </row>
    <row r="3303" spans="3:17" hidden="1" outlineLevel="3" x14ac:dyDescent="0.25">
      <c r="E3303" s="74" t="s">
        <v>131</v>
      </c>
      <c r="F3303" s="74"/>
      <c r="G3303" s="74"/>
      <c r="H3303" s="75"/>
      <c r="I3303" s="76"/>
      <c r="J3303" s="78">
        <f>HYPERLINK("#Структура!E2840",Структура!E2840)</f>
        <v>4.2084799999999998</v>
      </c>
      <c r="K3303" s="114" t="str">
        <f>HYPERLINK("#Структура!G2840","")</f>
        <v/>
      </c>
      <c r="L3303" s="120">
        <f>HYPERLINK("#Покупные_изделия!D306",Покупные_изделия!D306)</f>
        <v>160</v>
      </c>
      <c r="M3303" s="76">
        <f>J3303*L3303</f>
        <v>673.35680000000002</v>
      </c>
      <c r="N3303" s="77"/>
      <c r="O3303" s="77"/>
      <c r="P3303" s="76"/>
      <c r="Q3303" s="76"/>
    </row>
    <row r="3304" spans="3:17" hidden="1" outlineLevel="2" collapsed="1" x14ac:dyDescent="0.25">
      <c r="D3304" s="84" t="s">
        <v>1419</v>
      </c>
      <c r="E3304" s="79"/>
      <c r="F3304" s="79"/>
      <c r="G3304" s="79"/>
      <c r="H3304" s="80"/>
      <c r="I3304" s="81"/>
      <c r="J3304" s="83">
        <f>HYPERLINK("#Структура!E2825",Структура!E2825)</f>
        <v>1</v>
      </c>
      <c r="K3304" s="115">
        <f>HYPERLINK("#Структура!G2825",Структура!G2825)</f>
        <v>4.1940799999999996</v>
      </c>
      <c r="L3304" s="81">
        <f>M3304/J3304</f>
        <v>802.49279999999999</v>
      </c>
      <c r="M3304" s="81">
        <f>SUMIF(E3305,"*",M3305)*J3304</f>
        <v>802.49279999999999</v>
      </c>
      <c r="N3304" s="124">
        <f>HYPERLINK("#Трудозатраты!B704",Трудозатраты!B704+SUMIF(E3305,"*",O3305))</f>
        <v>40</v>
      </c>
      <c r="O3304" s="82">
        <f>N3304*J3304</f>
        <v>40</v>
      </c>
      <c r="P3304" s="81">
        <f>O3304/60*(1+запас_труд)*стоимость_трудочаса</f>
        <v>1566.6666666666665</v>
      </c>
      <c r="Q3304" s="129">
        <f>M3304*(1+наценка_покупное)+P3304</f>
        <v>2529.6580266666665</v>
      </c>
    </row>
    <row r="3305" spans="3:17" hidden="1" outlineLevel="3" x14ac:dyDescent="0.25">
      <c r="E3305" s="74" t="s">
        <v>131</v>
      </c>
      <c r="F3305" s="74"/>
      <c r="G3305" s="74"/>
      <c r="H3305" s="75"/>
      <c r="I3305" s="76"/>
      <c r="J3305" s="78">
        <f>HYPERLINK("#Структура!E2841",Структура!E2841)</f>
        <v>5.0155799999999999</v>
      </c>
      <c r="K3305" s="114" t="str">
        <f>HYPERLINK("#Структура!G2841","")</f>
        <v/>
      </c>
      <c r="L3305" s="120">
        <f>HYPERLINK("#Покупные_изделия!D306",Покупные_изделия!D306)</f>
        <v>160</v>
      </c>
      <c r="M3305" s="76">
        <f>J3305*L3305</f>
        <v>802.49279999999999</v>
      </c>
      <c r="N3305" s="77"/>
      <c r="O3305" s="77"/>
      <c r="P3305" s="76"/>
      <c r="Q3305" s="76"/>
    </row>
    <row r="3306" spans="3:17" hidden="1" outlineLevel="2" collapsed="1" x14ac:dyDescent="0.25">
      <c r="D3306" s="84" t="s">
        <v>1420</v>
      </c>
      <c r="E3306" s="79"/>
      <c r="F3306" s="79"/>
      <c r="G3306" s="79"/>
      <c r="H3306" s="80"/>
      <c r="I3306" s="81"/>
      <c r="J3306" s="83">
        <f>HYPERLINK("#Структура!E2826",Структура!E2826)</f>
        <v>1</v>
      </c>
      <c r="K3306" s="115">
        <f>HYPERLINK("#Структура!G2826",Структура!G2826)</f>
        <v>2.85555</v>
      </c>
      <c r="L3306" s="81">
        <f>M3306/J3306</f>
        <v>562.66719999999998</v>
      </c>
      <c r="M3306" s="81">
        <f>SUMIF(E3307,"*",M3307)*J3306</f>
        <v>562.66719999999998</v>
      </c>
      <c r="N3306" s="124">
        <f>HYPERLINK("#Трудозатраты!B705",Трудозатраты!B705+SUMIF(E3307,"*",O3307))</f>
        <v>22.5</v>
      </c>
      <c r="O3306" s="82">
        <f>N3306*J3306</f>
        <v>22.5</v>
      </c>
      <c r="P3306" s="81">
        <f>O3306/60*(1+запас_труд)*стоимость_трудочаса</f>
        <v>881.25</v>
      </c>
      <c r="Q3306" s="129">
        <f>M3306*(1+наценка_покупное)+P3306</f>
        <v>1556.45064</v>
      </c>
    </row>
    <row r="3307" spans="3:17" hidden="1" outlineLevel="3" x14ac:dyDescent="0.25">
      <c r="E3307" s="74" t="s">
        <v>131</v>
      </c>
      <c r="F3307" s="74"/>
      <c r="G3307" s="74"/>
      <c r="H3307" s="75"/>
      <c r="I3307" s="76"/>
      <c r="J3307" s="78">
        <f>HYPERLINK("#Структура!E2842",Структура!E2842)</f>
        <v>3.51667</v>
      </c>
      <c r="K3307" s="114" t="str">
        <f>HYPERLINK("#Структура!G2842","")</f>
        <v/>
      </c>
      <c r="L3307" s="120">
        <f>HYPERLINK("#Покупные_изделия!D306",Покупные_изделия!D306)</f>
        <v>160</v>
      </c>
      <c r="M3307" s="76">
        <f>J3307*L3307</f>
        <v>562.66719999999998</v>
      </c>
      <c r="N3307" s="77"/>
      <c r="O3307" s="77"/>
      <c r="P3307" s="76"/>
      <c r="Q3307" s="76"/>
    </row>
    <row r="3308" spans="3:17" hidden="1" outlineLevel="2" collapsed="1" x14ac:dyDescent="0.25">
      <c r="D3308" s="84" t="s">
        <v>1421</v>
      </c>
      <c r="E3308" s="79"/>
      <c r="F3308" s="79"/>
      <c r="G3308" s="79"/>
      <c r="H3308" s="80"/>
      <c r="I3308" s="81"/>
      <c r="J3308" s="83">
        <f>HYPERLINK("#Структура!E2827",Структура!E2827)</f>
        <v>2</v>
      </c>
      <c r="K3308" s="115">
        <f>HYPERLINK("#Структура!G2827",Структура!G2827)</f>
        <v>2.37696</v>
      </c>
      <c r="L3308" s="81">
        <f>M3308/J3308</f>
        <v>453.38079999999997</v>
      </c>
      <c r="M3308" s="81">
        <f>SUMIF(E3309,"*",M3309)*J3308</f>
        <v>906.76159999999993</v>
      </c>
      <c r="N3308" s="124">
        <f>HYPERLINK("#Трудозатраты!B706",Трудозатраты!B706+SUMIF(E3309,"*",O3309))</f>
        <v>19</v>
      </c>
      <c r="O3308" s="82">
        <f>N3308*J3308</f>
        <v>38</v>
      </c>
      <c r="P3308" s="81">
        <f>O3308/60*(1+запас_труд)*стоимость_трудочаса</f>
        <v>1488.3333333333333</v>
      </c>
      <c r="Q3308" s="129">
        <f>M3308*(1+наценка_покупное)+P3308</f>
        <v>2576.4472533333328</v>
      </c>
    </row>
    <row r="3309" spans="3:17" hidden="1" outlineLevel="3" x14ac:dyDescent="0.25">
      <c r="E3309" s="74" t="s">
        <v>131</v>
      </c>
      <c r="F3309" s="74"/>
      <c r="G3309" s="74"/>
      <c r="H3309" s="75"/>
      <c r="I3309" s="76"/>
      <c r="J3309" s="78">
        <f>HYPERLINK("#Структура!E2843",Структура!E2843)</f>
        <v>2.8336299999999999</v>
      </c>
      <c r="K3309" s="114" t="str">
        <f>HYPERLINK("#Структура!G2843","")</f>
        <v/>
      </c>
      <c r="L3309" s="120">
        <f>HYPERLINK("#Покупные_изделия!D306",Покупные_изделия!D306)</f>
        <v>160</v>
      </c>
      <c r="M3309" s="76">
        <f>J3309*L3309</f>
        <v>453.38079999999997</v>
      </c>
      <c r="N3309" s="77"/>
      <c r="O3309" s="77"/>
      <c r="P3309" s="76"/>
      <c r="Q3309" s="76"/>
    </row>
    <row r="3310" spans="3:17" hidden="1" outlineLevel="2" collapsed="1" x14ac:dyDescent="0.25">
      <c r="D3310" s="84" t="s">
        <v>1422</v>
      </c>
      <c r="E3310" s="79"/>
      <c r="F3310" s="79"/>
      <c r="G3310" s="79"/>
      <c r="H3310" s="80"/>
      <c r="I3310" s="81"/>
      <c r="J3310" s="83">
        <f>HYPERLINK("#Структура!E2828",Структура!E2828)</f>
        <v>1</v>
      </c>
      <c r="K3310" s="115">
        <f>HYPERLINK("#Структура!G2828",Структура!G2828)</f>
        <v>1.90703</v>
      </c>
      <c r="L3310" s="81">
        <f>M3310/J3310</f>
        <v>364.08000000000004</v>
      </c>
      <c r="M3310" s="81">
        <f>SUMIF(E3311,"*",M3311)*J3310</f>
        <v>364.08000000000004</v>
      </c>
      <c r="N3310" s="124">
        <f>HYPERLINK("#Трудозатраты!B707",Трудозатраты!B707+SUMIF(E3311,"*",O3311))</f>
        <v>20</v>
      </c>
      <c r="O3310" s="82">
        <f>N3310*J3310</f>
        <v>20</v>
      </c>
      <c r="P3310" s="81">
        <f>O3310/60*(1+запас_труд)*стоимость_трудочаса</f>
        <v>783.33333333333326</v>
      </c>
      <c r="Q3310" s="129">
        <f>M3310*(1+наценка_покупное)+P3310</f>
        <v>1220.2293333333332</v>
      </c>
    </row>
    <row r="3311" spans="3:17" hidden="1" outlineLevel="3" x14ac:dyDescent="0.25">
      <c r="E3311" s="74" t="s">
        <v>131</v>
      </c>
      <c r="F3311" s="74"/>
      <c r="G3311" s="74"/>
      <c r="H3311" s="75"/>
      <c r="I3311" s="76"/>
      <c r="J3311" s="78">
        <f>HYPERLINK("#Структура!E2844",Структура!E2844)</f>
        <v>2.2755000000000001</v>
      </c>
      <c r="K3311" s="114" t="str">
        <f>HYPERLINK("#Структура!G2844","")</f>
        <v/>
      </c>
      <c r="L3311" s="120">
        <f>HYPERLINK("#Покупные_изделия!D306",Покупные_изделия!D306)</f>
        <v>160</v>
      </c>
      <c r="M3311" s="76">
        <f>J3311*L3311</f>
        <v>364.08000000000004</v>
      </c>
      <c r="N3311" s="77"/>
      <c r="O3311" s="77"/>
      <c r="P3311" s="76"/>
      <c r="Q3311" s="76"/>
    </row>
    <row r="3312" spans="3:17" hidden="1" outlineLevel="2" collapsed="1" x14ac:dyDescent="0.25">
      <c r="D3312" s="84" t="s">
        <v>1423</v>
      </c>
      <c r="E3312" s="79"/>
      <c r="F3312" s="79"/>
      <c r="G3312" s="79"/>
      <c r="H3312" s="80"/>
      <c r="I3312" s="81"/>
      <c r="J3312" s="83">
        <f>HYPERLINK("#Структура!E2829",Структура!E2829)</f>
        <v>2</v>
      </c>
      <c r="K3312" s="115">
        <f>HYPERLINK("#Структура!G2829",Структура!G2829)</f>
        <v>1.22342</v>
      </c>
      <c r="L3312" s="81">
        <f>M3312/J3312</f>
        <v>247.42239999999998</v>
      </c>
      <c r="M3312" s="81">
        <f>SUMIF(E3313,"*",M3313)*J3312</f>
        <v>494.84479999999996</v>
      </c>
      <c r="N3312" s="124">
        <f>HYPERLINK("#Трудозатраты!B708",Трудозатраты!B708+SUMIF(E3313,"*",O3313))</f>
        <v>14.5</v>
      </c>
      <c r="O3312" s="82">
        <f>N3312*J3312</f>
        <v>29</v>
      </c>
      <c r="P3312" s="81">
        <f>O3312/60*(1+запас_труд)*стоимость_трудочаса</f>
        <v>1135.8333333333333</v>
      </c>
      <c r="Q3312" s="129">
        <f>M3312*(1+наценка_покупное)+P3312</f>
        <v>1729.647093333333</v>
      </c>
    </row>
    <row r="3313" spans="4:17" hidden="1" outlineLevel="3" x14ac:dyDescent="0.25">
      <c r="E3313" s="74" t="s">
        <v>131</v>
      </c>
      <c r="F3313" s="74"/>
      <c r="G3313" s="74"/>
      <c r="H3313" s="75"/>
      <c r="I3313" s="76"/>
      <c r="J3313" s="78">
        <f>HYPERLINK("#Структура!E2845",Структура!E2845)</f>
        <v>1.5463899999999999</v>
      </c>
      <c r="K3313" s="114" t="str">
        <f>HYPERLINK("#Структура!G2845","")</f>
        <v/>
      </c>
      <c r="L3313" s="120">
        <f>HYPERLINK("#Покупные_изделия!D306",Покупные_изделия!D306)</f>
        <v>160</v>
      </c>
      <c r="M3313" s="76">
        <f>J3313*L3313</f>
        <v>247.42239999999998</v>
      </c>
      <c r="N3313" s="77"/>
      <c r="O3313" s="77"/>
      <c r="P3313" s="76"/>
      <c r="Q3313" s="76"/>
    </row>
    <row r="3314" spans="4:17" hidden="1" outlineLevel="2" collapsed="1" x14ac:dyDescent="0.25">
      <c r="D3314" s="84" t="s">
        <v>1424</v>
      </c>
      <c r="E3314" s="79"/>
      <c r="F3314" s="79"/>
      <c r="G3314" s="79"/>
      <c r="H3314" s="80"/>
      <c r="I3314" s="81"/>
      <c r="J3314" s="83">
        <f>HYPERLINK("#Структура!E2830",Структура!E2830)</f>
        <v>2</v>
      </c>
      <c r="K3314" s="115">
        <f>HYPERLINK("#Структура!G2830",Структура!G2830)</f>
        <v>1.0656600000000001</v>
      </c>
      <c r="L3314" s="81">
        <f>M3314/J3314</f>
        <v>207.77600000000001</v>
      </c>
      <c r="M3314" s="81">
        <f>SUMIF(E3315,"*",M3315)*J3314</f>
        <v>415.55200000000002</v>
      </c>
      <c r="N3314" s="124">
        <f>HYPERLINK("#Трудозатраты!B709",Трудозатраты!B709+SUMIF(E3315,"*",O3315))</f>
        <v>13.75</v>
      </c>
      <c r="O3314" s="82">
        <f>N3314*J3314</f>
        <v>27.5</v>
      </c>
      <c r="P3314" s="81">
        <f>O3314/60*(1+запас_труд)*стоимость_трудочаса</f>
        <v>1077.0833333333333</v>
      </c>
      <c r="Q3314" s="129">
        <f>M3314*(1+наценка_покупное)+P3314</f>
        <v>1575.7457333333332</v>
      </c>
    </row>
    <row r="3315" spans="4:17" hidden="1" outlineLevel="3" x14ac:dyDescent="0.25">
      <c r="E3315" s="74" t="s">
        <v>131</v>
      </c>
      <c r="F3315" s="74"/>
      <c r="G3315" s="74"/>
      <c r="H3315" s="75"/>
      <c r="I3315" s="76"/>
      <c r="J3315" s="78">
        <f>HYPERLINK("#Структура!E2846",Структура!E2846)</f>
        <v>1.2986</v>
      </c>
      <c r="K3315" s="114" t="str">
        <f>HYPERLINK("#Структура!G2846","")</f>
        <v/>
      </c>
      <c r="L3315" s="120">
        <f>HYPERLINK("#Покупные_изделия!D306",Покупные_изделия!D306)</f>
        <v>160</v>
      </c>
      <c r="M3315" s="76">
        <f>J3315*L3315</f>
        <v>207.77600000000001</v>
      </c>
      <c r="N3315" s="77"/>
      <c r="O3315" s="77"/>
      <c r="P3315" s="76"/>
      <c r="Q3315" s="76"/>
    </row>
    <row r="3316" spans="4:17" hidden="1" outlineLevel="2" collapsed="1" x14ac:dyDescent="0.25">
      <c r="D3316" s="84" t="s">
        <v>1425</v>
      </c>
      <c r="E3316" s="79"/>
      <c r="F3316" s="79"/>
      <c r="G3316" s="79"/>
      <c r="H3316" s="80"/>
      <c r="I3316" s="81"/>
      <c r="J3316" s="83">
        <f>HYPERLINK("#Структура!E2831",Структура!E2831)</f>
        <v>2</v>
      </c>
      <c r="K3316" s="115">
        <f>HYPERLINK("#Структура!G2831",Структура!G2831)</f>
        <v>0.46405999999999997</v>
      </c>
      <c r="L3316" s="81">
        <f>M3316/J3316</f>
        <v>92.240000000000009</v>
      </c>
      <c r="M3316" s="81">
        <f>SUMIF(E3317,"*",M3317)*J3316</f>
        <v>184.48000000000002</v>
      </c>
      <c r="N3316" s="124">
        <f>HYPERLINK("#Трудозатраты!B710",Трудозатраты!B710+SUMIF(E3317,"*",O3317))</f>
        <v>9</v>
      </c>
      <c r="O3316" s="82">
        <f>N3316*J3316</f>
        <v>18</v>
      </c>
      <c r="P3316" s="81">
        <f>O3316/60*(1+запас_труд)*стоимость_трудочаса</f>
        <v>705</v>
      </c>
      <c r="Q3316" s="129">
        <f>M3316*(1+наценка_покупное)+P3316</f>
        <v>926.37599999999998</v>
      </c>
    </row>
    <row r="3317" spans="4:17" hidden="1" outlineLevel="3" x14ac:dyDescent="0.25">
      <c r="E3317" s="74" t="s">
        <v>131</v>
      </c>
      <c r="F3317" s="74"/>
      <c r="G3317" s="74"/>
      <c r="H3317" s="75"/>
      <c r="I3317" s="76"/>
      <c r="J3317" s="78">
        <f>HYPERLINK("#Структура!E2847",Структура!E2847)</f>
        <v>0.57650000000000001</v>
      </c>
      <c r="K3317" s="114" t="str">
        <f>HYPERLINK("#Структура!G2847","")</f>
        <v/>
      </c>
      <c r="L3317" s="120">
        <f>HYPERLINK("#Покупные_изделия!D306",Покупные_изделия!D306)</f>
        <v>160</v>
      </c>
      <c r="M3317" s="76">
        <f>J3317*L3317</f>
        <v>92.240000000000009</v>
      </c>
      <c r="N3317" s="77"/>
      <c r="O3317" s="77"/>
      <c r="P3317" s="76"/>
      <c r="Q3317" s="76"/>
    </row>
    <row r="3318" spans="4:17" hidden="1" outlineLevel="2" collapsed="1" x14ac:dyDescent="0.25">
      <c r="D3318" s="84" t="s">
        <v>1426</v>
      </c>
      <c r="E3318" s="79"/>
      <c r="F3318" s="79"/>
      <c r="G3318" s="79"/>
      <c r="H3318" s="80"/>
      <c r="I3318" s="81"/>
      <c r="J3318" s="83">
        <f>HYPERLINK("#Структура!E2832",Структура!E2832)</f>
        <v>1</v>
      </c>
      <c r="K3318" s="115">
        <f>HYPERLINK("#Структура!G2832",Структура!G2832)</f>
        <v>0.49084</v>
      </c>
      <c r="L3318" s="81">
        <f>M3318/J3318</f>
        <v>95.2256</v>
      </c>
      <c r="M3318" s="81">
        <f>SUMIF(E3319,"*",M3319)*J3318</f>
        <v>95.2256</v>
      </c>
      <c r="N3318" s="124">
        <f>HYPERLINK("#Трудозатраты!B711",Трудозатраты!B711+SUMIF(E3319,"*",O3319))</f>
        <v>11</v>
      </c>
      <c r="O3318" s="82">
        <f>N3318*J3318</f>
        <v>11</v>
      </c>
      <c r="P3318" s="81">
        <f>O3318/60*(1+запас_труд)*стоимость_трудочаса</f>
        <v>430.83333333333331</v>
      </c>
      <c r="Q3318" s="129">
        <f>M3318*(1+наценка_покупное)+P3318</f>
        <v>545.10405333333335</v>
      </c>
    </row>
    <row r="3319" spans="4:17" hidden="1" outlineLevel="3" x14ac:dyDescent="0.25">
      <c r="E3319" s="74" t="s">
        <v>131</v>
      </c>
      <c r="F3319" s="74"/>
      <c r="G3319" s="74"/>
      <c r="H3319" s="75"/>
      <c r="I3319" s="76"/>
      <c r="J3319" s="78">
        <f>HYPERLINK("#Структура!E2848",Структура!E2848)</f>
        <v>0.59516000000000002</v>
      </c>
      <c r="K3319" s="114" t="str">
        <f>HYPERLINK("#Структура!G2848","")</f>
        <v/>
      </c>
      <c r="L3319" s="120">
        <f>HYPERLINK("#Покупные_изделия!D306",Покупные_изделия!D306)</f>
        <v>160</v>
      </c>
      <c r="M3319" s="76">
        <f>J3319*L3319</f>
        <v>95.2256</v>
      </c>
      <c r="N3319" s="77"/>
      <c r="O3319" s="77"/>
      <c r="P3319" s="76"/>
      <c r="Q3319" s="76"/>
    </row>
    <row r="3320" spans="4:17" hidden="1" outlineLevel="2" collapsed="1" x14ac:dyDescent="0.25">
      <c r="D3320" s="84" t="s">
        <v>1427</v>
      </c>
      <c r="E3320" s="79"/>
      <c r="F3320" s="79"/>
      <c r="G3320" s="79"/>
      <c r="H3320" s="80"/>
      <c r="I3320" s="81"/>
      <c r="J3320" s="83">
        <f>HYPERLINK("#Структура!E2833",Структура!E2833)</f>
        <v>1</v>
      </c>
      <c r="K3320" s="115">
        <f>HYPERLINK("#Структура!G2833",Структура!G2833)</f>
        <v>0.61794000000000004</v>
      </c>
      <c r="L3320" s="81">
        <f>M3320/J3320</f>
        <v>109.38720000000001</v>
      </c>
      <c r="M3320" s="81">
        <f>SUMIF(E3321,"*",M3321)*J3320</f>
        <v>109.38720000000001</v>
      </c>
      <c r="N3320" s="124">
        <f>HYPERLINK("#Трудозатраты!B712",Трудозатраты!B712+SUMIF(E3321,"*",O3321))</f>
        <v>11</v>
      </c>
      <c r="O3320" s="82">
        <f>N3320*J3320</f>
        <v>11</v>
      </c>
      <c r="P3320" s="81">
        <f>O3320/60*(1+запас_труд)*стоимость_трудочаса</f>
        <v>430.83333333333331</v>
      </c>
      <c r="Q3320" s="129">
        <f>M3320*(1+наценка_покупное)+P3320</f>
        <v>562.09797333333336</v>
      </c>
    </row>
    <row r="3321" spans="4:17" hidden="1" outlineLevel="3" x14ac:dyDescent="0.25">
      <c r="E3321" s="74" t="s">
        <v>131</v>
      </c>
      <c r="F3321" s="74"/>
      <c r="G3321" s="74"/>
      <c r="H3321" s="75"/>
      <c r="I3321" s="76"/>
      <c r="J3321" s="78">
        <f>HYPERLINK("#Структура!E2849",Структура!E2849)</f>
        <v>0.68367</v>
      </c>
      <c r="K3321" s="114" t="str">
        <f>HYPERLINK("#Структура!G2849","")</f>
        <v/>
      </c>
      <c r="L3321" s="120">
        <f>HYPERLINK("#Покупные_изделия!D306",Покупные_изделия!D306)</f>
        <v>160</v>
      </c>
      <c r="M3321" s="76">
        <f>J3321*L3321</f>
        <v>109.38720000000001</v>
      </c>
      <c r="N3321" s="77"/>
      <c r="O3321" s="77"/>
      <c r="P3321" s="76"/>
      <c r="Q3321" s="76"/>
    </row>
    <row r="3322" spans="4:17" hidden="1" outlineLevel="2" collapsed="1" x14ac:dyDescent="0.25">
      <c r="D3322" s="84" t="s">
        <v>1428</v>
      </c>
      <c r="E3322" s="79"/>
      <c r="F3322" s="79"/>
      <c r="G3322" s="79"/>
      <c r="H3322" s="80"/>
      <c r="I3322" s="81"/>
      <c r="J3322" s="83">
        <f>HYPERLINK("#Структура!E2834",Структура!E2834)</f>
        <v>2</v>
      </c>
      <c r="K3322" s="115">
        <f>HYPERLINK("#Структура!G2834",Структура!G2834)</f>
        <v>5.9949199999999996</v>
      </c>
      <c r="L3322" s="81">
        <f>M3322/J3322</f>
        <v>1230.1471999999999</v>
      </c>
      <c r="M3322" s="81">
        <f>SUMIF(E3323,"*",M3323)*J3322</f>
        <v>2460.2943999999998</v>
      </c>
      <c r="N3322" s="124">
        <f>HYPERLINK("#Трудозатраты!B713",Трудозатраты!B713+SUMIF(E3323,"*",O3323))</f>
        <v>54.024999999999999</v>
      </c>
      <c r="O3322" s="82">
        <f>N3322*J3322</f>
        <v>108.05</v>
      </c>
      <c r="P3322" s="81">
        <f>O3322/60*(1+запас_труд)*стоимость_трудочаса</f>
        <v>4231.958333333333</v>
      </c>
      <c r="Q3322" s="129">
        <f>M3322*(1+наценка_покупное)+P3322</f>
        <v>7184.3116133333333</v>
      </c>
    </row>
    <row r="3323" spans="4:17" hidden="1" outlineLevel="3" x14ac:dyDescent="0.25">
      <c r="E3323" s="74" t="s">
        <v>130</v>
      </c>
      <c r="F3323" s="74"/>
      <c r="G3323" s="74"/>
      <c r="H3323" s="75"/>
      <c r="I3323" s="76"/>
      <c r="J3323" s="78">
        <f>HYPERLINK("#Структура!E2850",Структура!E2850)</f>
        <v>7.6884199999999998</v>
      </c>
      <c r="K3323" s="114" t="str">
        <f>HYPERLINK("#Структура!G2850","")</f>
        <v/>
      </c>
      <c r="L3323" s="120">
        <f>HYPERLINK("#Покупные_изделия!D305",Покупные_изделия!D305)</f>
        <v>160</v>
      </c>
      <c r="M3323" s="76">
        <f>J3323*L3323</f>
        <v>1230.1471999999999</v>
      </c>
      <c r="N3323" s="77"/>
      <c r="O3323" s="77"/>
      <c r="P3323" s="76"/>
      <c r="Q3323" s="76"/>
    </row>
    <row r="3324" spans="4:17" hidden="1" outlineLevel="2" collapsed="1" x14ac:dyDescent="0.25">
      <c r="D3324" s="84" t="s">
        <v>1429</v>
      </c>
      <c r="E3324" s="79"/>
      <c r="F3324" s="79"/>
      <c r="G3324" s="79"/>
      <c r="H3324" s="80"/>
      <c r="I3324" s="81"/>
      <c r="J3324" s="83">
        <f>HYPERLINK("#Структура!E2835",Структура!E2835)</f>
        <v>8</v>
      </c>
      <c r="K3324" s="115">
        <f>HYPERLINK("#Структура!G2835",Структура!G2835)</f>
        <v>9.3600000000000003E-3</v>
      </c>
      <c r="L3324" s="81">
        <f>M3324/J3324</f>
        <v>3.0928</v>
      </c>
      <c r="M3324" s="81">
        <f>SUMIF(E3325,"*",M3325)*J3324</f>
        <v>24.7424</v>
      </c>
      <c r="N3324" s="124">
        <f>HYPERLINK("#Трудозатраты!B714",Трудозатраты!B714+SUMIF(E3325,"*",O3325))</f>
        <v>0.1</v>
      </c>
      <c r="O3324" s="82">
        <f>N3324*J3324</f>
        <v>0.8</v>
      </c>
      <c r="P3324" s="81">
        <f>O3324/60*(1+запас_труд)*стоимость_трудочаса</f>
        <v>31.333333333333336</v>
      </c>
      <c r="Q3324" s="129">
        <f>M3324*(1+наценка_покупное)+P3324</f>
        <v>61.024213333333336</v>
      </c>
    </row>
    <row r="3325" spans="4:17" hidden="1" outlineLevel="3" x14ac:dyDescent="0.25">
      <c r="E3325" s="74" t="s">
        <v>130</v>
      </c>
      <c r="F3325" s="74"/>
      <c r="G3325" s="74"/>
      <c r="H3325" s="75"/>
      <c r="I3325" s="76"/>
      <c r="J3325" s="78">
        <f>HYPERLINK("#Структура!E2851",Структура!E2851)</f>
        <v>1.933E-2</v>
      </c>
      <c r="K3325" s="114" t="str">
        <f>HYPERLINK("#Структура!G2851","")</f>
        <v/>
      </c>
      <c r="L3325" s="120">
        <f>HYPERLINK("#Покупные_изделия!D305",Покупные_изделия!D305)</f>
        <v>160</v>
      </c>
      <c r="M3325" s="76">
        <f>J3325*L3325</f>
        <v>3.0928</v>
      </c>
      <c r="N3325" s="77"/>
      <c r="O3325" s="77"/>
      <c r="P3325" s="76"/>
      <c r="Q3325" s="76"/>
    </row>
    <row r="3326" spans="4:17" hidden="1" outlineLevel="2" x14ac:dyDescent="0.25">
      <c r="D3326" s="74" t="s">
        <v>622</v>
      </c>
      <c r="E3326" s="74"/>
      <c r="F3326" s="74"/>
      <c r="G3326" s="74"/>
      <c r="H3326" s="75"/>
      <c r="I3326" s="76"/>
      <c r="J3326" s="78">
        <f>HYPERLINK("#Структура!E2836",Структура!E2836)</f>
        <v>27</v>
      </c>
      <c r="K3326" s="114">
        <f>HYPERLINK("#Структура!G2836",Структура!G2836)</f>
        <v>1.52E-2</v>
      </c>
      <c r="L3326" s="120">
        <f>HYPERLINK("#Покупные_изделия!D85",Покупные_изделия!D85)</f>
        <v>8.6999999999999993</v>
      </c>
      <c r="M3326" s="76">
        <f>J3326*L3326</f>
        <v>234.89999999999998</v>
      </c>
      <c r="N3326" s="77"/>
      <c r="O3326" s="77"/>
      <c r="P3326" s="76"/>
      <c r="Q3326" s="76"/>
    </row>
    <row r="3327" spans="4:17" hidden="1" outlineLevel="2" x14ac:dyDescent="0.25">
      <c r="D3327" s="74" t="s">
        <v>1430</v>
      </c>
      <c r="E3327" s="74"/>
      <c r="F3327" s="74"/>
      <c r="G3327" s="74"/>
      <c r="H3327" s="75"/>
      <c r="I3327" s="76"/>
      <c r="J3327" s="78">
        <f>HYPERLINK("#Структура!E2837",Структура!E2837)</f>
        <v>5</v>
      </c>
      <c r="K3327" s="114">
        <f>HYPERLINK("#Структура!G2837",Структура!G2837)</f>
        <v>1.11E-2</v>
      </c>
      <c r="L3327" s="120">
        <f>HYPERLINK("#Покупные_изделия!D136",Покупные_изделия!D136)</f>
        <v>4.2240000000000002</v>
      </c>
      <c r="M3327" s="76">
        <f>J3327*L3327</f>
        <v>21.12</v>
      </c>
      <c r="N3327" s="77"/>
      <c r="O3327" s="77"/>
      <c r="P3327" s="76"/>
      <c r="Q3327" s="76"/>
    </row>
    <row r="3328" spans="4:17" hidden="1" outlineLevel="2" x14ac:dyDescent="0.25">
      <c r="D3328" s="74" t="s">
        <v>1066</v>
      </c>
      <c r="E3328" s="74"/>
      <c r="F3328" s="74"/>
      <c r="G3328" s="74"/>
      <c r="H3328" s="75"/>
      <c r="I3328" s="76"/>
      <c r="J3328" s="78">
        <f>HYPERLINK("#Структура!E2838",Структура!E2838)</f>
        <v>8</v>
      </c>
      <c r="K3328" s="114">
        <f>HYPERLINK("#Структура!G2838",Структура!G2838)</f>
        <v>2.53E-2</v>
      </c>
      <c r="L3328" s="120">
        <f>HYPERLINK("#Покупные_изделия!D137",Покупные_изделия!D137)</f>
        <v>40.163999999999994</v>
      </c>
      <c r="M3328" s="76">
        <f>J3328*L3328</f>
        <v>321.31199999999995</v>
      </c>
      <c r="N3328" s="77"/>
      <c r="O3328" s="77"/>
      <c r="P3328" s="76"/>
      <c r="Q3328" s="76"/>
    </row>
    <row r="3329" spans="3:17" hidden="1" outlineLevel="2" x14ac:dyDescent="0.25">
      <c r="D3329" s="74" t="s">
        <v>625</v>
      </c>
      <c r="E3329" s="74"/>
      <c r="F3329" s="74"/>
      <c r="G3329" s="74"/>
      <c r="H3329" s="75"/>
      <c r="I3329" s="76"/>
      <c r="J3329" s="78">
        <f>HYPERLINK("#Структура!E2839",Структура!E2839)</f>
        <v>40</v>
      </c>
      <c r="K3329" s="114">
        <f>HYPERLINK("#Структура!G2839",Структура!G2839)</f>
        <v>7.1399999999999996E-3</v>
      </c>
      <c r="L3329" s="120">
        <f>HYPERLINK("#Покупные_изделия!D168",Покупные_изделия!D168)</f>
        <v>1.9715672368421051</v>
      </c>
      <c r="M3329" s="76">
        <f>J3329*L3329</f>
        <v>78.862689473684199</v>
      </c>
      <c r="N3329" s="77"/>
      <c r="O3329" s="77"/>
      <c r="P3329" s="76"/>
      <c r="Q3329" s="76"/>
    </row>
    <row r="3330" spans="3:17" hidden="1" outlineLevel="1" collapsed="1" x14ac:dyDescent="0.25">
      <c r="C3330" s="96" t="s">
        <v>1466</v>
      </c>
      <c r="D3330" s="91"/>
      <c r="E3330" s="91"/>
      <c r="F3330" s="91"/>
      <c r="G3330" s="91"/>
      <c r="H3330" s="92"/>
      <c r="I3330" s="93"/>
      <c r="J3330" s="95">
        <f>HYPERLINK("#Структура!E3257",Структура!E3257)</f>
        <v>3</v>
      </c>
      <c r="K3330" s="116">
        <f>HYPERLINK("#Структура!G3257",Структура!G3257)</f>
        <v>208.22336999999999</v>
      </c>
      <c r="L3330" s="93">
        <f>M3330/J3330</f>
        <v>46747.462232922589</v>
      </c>
      <c r="M3330" s="93">
        <f>SUMIF(D3331:D3430,"*",M3331:M3430)*J3330</f>
        <v>140242.38669876778</v>
      </c>
      <c r="N3330" s="125">
        <f>HYPERLINK("#Трудозатраты!B745",Трудозатраты!B745+SUMIF(D3331:D3430,"*",O3331:O3430))</f>
        <v>1705.4449999999999</v>
      </c>
      <c r="O3330" s="94">
        <f>N3330*J3330</f>
        <v>5116.335</v>
      </c>
      <c r="P3330" s="93">
        <f>O3330/60*(1+запас_труд)*стоимость_трудочаса</f>
        <v>200389.78750000001</v>
      </c>
      <c r="Q3330" s="130">
        <f>M3330*(1+наценка_покупное)+P3330</f>
        <v>368680.65153852134</v>
      </c>
    </row>
    <row r="3331" spans="3:17" hidden="1" outlineLevel="2" collapsed="1" x14ac:dyDescent="0.25">
      <c r="D3331" s="97" t="s">
        <v>1465</v>
      </c>
      <c r="E3331" s="98"/>
      <c r="F3331" s="98"/>
      <c r="G3331" s="98"/>
      <c r="H3331" s="99"/>
      <c r="I3331" s="100"/>
      <c r="J3331" s="102">
        <f>HYPERLINK("#Структура!E2954",Структура!E2954)</f>
        <v>1</v>
      </c>
      <c r="K3331" s="112">
        <f>HYPERLINK("#Структура!G2954",Структура!G2954)</f>
        <v>9.7497900000000008</v>
      </c>
      <c r="L3331" s="100">
        <f>M3331/J3331</f>
        <v>2329.4286034210527</v>
      </c>
      <c r="M3331" s="100">
        <f>SUMIF(E3332:E3340,"*",M3332:M3340)*J3331</f>
        <v>2329.4286034210527</v>
      </c>
      <c r="N3331" s="122">
        <f>HYPERLINK("#Трудозатраты!B783",Трудозатраты!B783+SUMIF(E3332:E3340,"*",O3332:O3340))</f>
        <v>73.849999999999994</v>
      </c>
      <c r="O3331" s="101">
        <f>N3331*J3331</f>
        <v>73.849999999999994</v>
      </c>
      <c r="P3331" s="100">
        <f>O3331/60*(1+запас_труд)*стоимость_трудочаса</f>
        <v>2892.458333333333</v>
      </c>
      <c r="Q3331" s="127">
        <f>M3331*(1+наценка_покупное)+P3331</f>
        <v>5687.7726574385961</v>
      </c>
    </row>
    <row r="3332" spans="3:17" hidden="1" outlineLevel="3" collapsed="1" x14ac:dyDescent="0.25">
      <c r="E3332" s="85" t="s">
        <v>1505</v>
      </c>
      <c r="F3332" s="86"/>
      <c r="G3332" s="86"/>
      <c r="H3332" s="87"/>
      <c r="I3332" s="88"/>
      <c r="J3332" s="90">
        <f>HYPERLINK("#Структура!E3087",Структура!E3087)</f>
        <v>1</v>
      </c>
      <c r="K3332" s="113">
        <f>HYPERLINK("#Структура!G3087",Структура!G3087)</f>
        <v>0.54905000000000004</v>
      </c>
      <c r="L3332" s="88">
        <f>M3332/J3332</f>
        <v>103.99680000000001</v>
      </c>
      <c r="M3332" s="88">
        <f>SUMIF(F3333,"*",M3333)*J3332</f>
        <v>103.99680000000001</v>
      </c>
      <c r="N3332" s="123">
        <f>HYPERLINK("#Трудозатраты!B784",Трудозатраты!B784+SUMIF(F3333,"*",O3333))</f>
        <v>13.35</v>
      </c>
      <c r="O3332" s="89">
        <f>N3332*J3332</f>
        <v>13.35</v>
      </c>
      <c r="P3332" s="88">
        <f>O3332/60*(1+запас_труд)*стоимость_трудочаса</f>
        <v>522.875</v>
      </c>
      <c r="Q3332" s="128">
        <f>M3332*(1+наценка_покупное)+P3332</f>
        <v>647.67115999999999</v>
      </c>
    </row>
    <row r="3333" spans="3:17" hidden="1" outlineLevel="4" x14ac:dyDescent="0.25">
      <c r="F3333" s="74" t="s">
        <v>130</v>
      </c>
      <c r="G3333" s="74"/>
      <c r="H3333" s="75"/>
      <c r="I3333" s="76"/>
      <c r="J3333" s="78">
        <f>HYPERLINK("#Структура!E3093",Структура!E3093)</f>
        <v>0.64998</v>
      </c>
      <c r="K3333" s="114" t="str">
        <f>HYPERLINK("#Структура!G3093","")</f>
        <v/>
      </c>
      <c r="L3333" s="120">
        <f>HYPERLINK("#Покупные_изделия!D305",Покупные_изделия!D305)</f>
        <v>160</v>
      </c>
      <c r="M3333" s="76">
        <f>J3333*L3333</f>
        <v>103.99680000000001</v>
      </c>
      <c r="N3333" s="77"/>
      <c r="O3333" s="77"/>
      <c r="P3333" s="76"/>
      <c r="Q3333" s="76"/>
    </row>
    <row r="3334" spans="3:17" hidden="1" outlineLevel="3" collapsed="1" x14ac:dyDescent="0.25">
      <c r="E3334" s="84" t="s">
        <v>1506</v>
      </c>
      <c r="F3334" s="79"/>
      <c r="G3334" s="79"/>
      <c r="H3334" s="80"/>
      <c r="I3334" s="81"/>
      <c r="J3334" s="83">
        <f>HYPERLINK("#Структура!E3088",Структура!E3088)</f>
        <v>1</v>
      </c>
      <c r="K3334" s="115">
        <f>HYPERLINK("#Структура!G3088",Структура!G3088)</f>
        <v>8.54528</v>
      </c>
      <c r="L3334" s="81">
        <f>M3334/J3334</f>
        <v>2057.2112000000002</v>
      </c>
      <c r="M3334" s="81">
        <f>SUMIF(F3335,"*",M3335)*J3334</f>
        <v>2057.2112000000002</v>
      </c>
      <c r="N3334" s="124">
        <f>HYPERLINK("#Трудозатраты!B785",Трудозатраты!B785+SUMIF(F3335,"*",O3335))</f>
        <v>42.5</v>
      </c>
      <c r="O3334" s="82">
        <f>N3334*J3334</f>
        <v>42.5</v>
      </c>
      <c r="P3334" s="81">
        <f>O3334/60*(1+запас_труд)*стоимость_трудочаса</f>
        <v>1664.5833333333335</v>
      </c>
      <c r="Q3334" s="129">
        <f>M3334*(1+наценка_покупное)+P3334</f>
        <v>4133.236773333334</v>
      </c>
    </row>
    <row r="3335" spans="3:17" hidden="1" outlineLevel="4" x14ac:dyDescent="0.25">
      <c r="F3335" s="74" t="s">
        <v>130</v>
      </c>
      <c r="G3335" s="74"/>
      <c r="H3335" s="75"/>
      <c r="I3335" s="76"/>
      <c r="J3335" s="78">
        <f>HYPERLINK("#Структура!E3094",Структура!E3094)</f>
        <v>12.857570000000001</v>
      </c>
      <c r="K3335" s="114" t="str">
        <f>HYPERLINK("#Структура!G3094","")</f>
        <v/>
      </c>
      <c r="L3335" s="120">
        <f>HYPERLINK("#Покупные_изделия!D305",Покупные_изделия!D305)</f>
        <v>160</v>
      </c>
      <c r="M3335" s="76">
        <f>J3335*L3335</f>
        <v>2057.2112000000002</v>
      </c>
      <c r="N3335" s="77"/>
      <c r="O3335" s="77"/>
      <c r="P3335" s="76"/>
      <c r="Q3335" s="76"/>
    </row>
    <row r="3336" spans="3:17" hidden="1" outlineLevel="3" collapsed="1" x14ac:dyDescent="0.25">
      <c r="E3336" s="84" t="s">
        <v>1507</v>
      </c>
      <c r="F3336" s="79"/>
      <c r="G3336" s="79"/>
      <c r="H3336" s="80"/>
      <c r="I3336" s="81"/>
      <c r="J3336" s="83">
        <f>HYPERLINK("#Структура!E3089",Структура!E3089)</f>
        <v>2</v>
      </c>
      <c r="K3336" s="115">
        <f>HYPERLINK("#Структура!G3089",Структура!G3089)</f>
        <v>0.29620000000000002</v>
      </c>
      <c r="L3336" s="81">
        <f>M3336/J3336</f>
        <v>60.495599999999996</v>
      </c>
      <c r="M3336" s="81">
        <f>SUMIF(F3337,"*",M3337)*J3336</f>
        <v>120.99119999999999</v>
      </c>
      <c r="N3336" s="124">
        <f>HYPERLINK("#Трудозатраты!B786",Трудозатраты!B786+SUMIF(F3337,"*",O3337))</f>
        <v>4</v>
      </c>
      <c r="O3336" s="82">
        <f>N3336*J3336</f>
        <v>8</v>
      </c>
      <c r="P3336" s="81">
        <f>O3336/60*(1+запас_труд)*стоимость_трудочаса</f>
        <v>313.33333333333331</v>
      </c>
      <c r="Q3336" s="129">
        <f>M3336*(1+наценка_покупное)+P3336</f>
        <v>458.5227733333333</v>
      </c>
    </row>
    <row r="3337" spans="3:17" hidden="1" outlineLevel="4" x14ac:dyDescent="0.25">
      <c r="F3337" s="74" t="s">
        <v>560</v>
      </c>
      <c r="G3337" s="74"/>
      <c r="H3337" s="75"/>
      <c r="I3337" s="76"/>
      <c r="J3337" s="78">
        <f>HYPERLINK("#Структура!E3095",Структура!E3095)</f>
        <v>1</v>
      </c>
      <c r="K3337" s="114" t="str">
        <f>HYPERLINK("#Структура!G3095","")</f>
        <v/>
      </c>
      <c r="L3337" s="120">
        <f>HYPERLINK("#Покупные_изделия!D377",Покупные_изделия!D377)</f>
        <v>60.495599999999996</v>
      </c>
      <c r="M3337" s="76">
        <f>J3337*L3337</f>
        <v>60.495599999999996</v>
      </c>
      <c r="N3337" s="77"/>
      <c r="O3337" s="77"/>
      <c r="P3337" s="76"/>
      <c r="Q3337" s="76"/>
    </row>
    <row r="3338" spans="3:17" hidden="1" outlineLevel="3" x14ac:dyDescent="0.25">
      <c r="E3338" s="74" t="s">
        <v>1499</v>
      </c>
      <c r="F3338" s="74"/>
      <c r="G3338" s="74"/>
      <c r="H3338" s="75"/>
      <c r="I3338" s="76"/>
      <c r="J3338" s="78">
        <f>HYPERLINK("#Структура!E3090",Структура!E3090)</f>
        <v>6</v>
      </c>
      <c r="K3338" s="114">
        <f>HYPERLINK("#Структура!G3090",Структура!G3090)</f>
        <v>9.5300000000000003E-3</v>
      </c>
      <c r="L3338" s="120">
        <f>HYPERLINK("#Покупные_изделия!D135",Покупные_изделия!D135)</f>
        <v>5.5</v>
      </c>
      <c r="M3338" s="76">
        <f>J3338*L3338</f>
        <v>33</v>
      </c>
      <c r="N3338" s="77"/>
      <c r="O3338" s="77"/>
      <c r="P3338" s="76"/>
      <c r="Q3338" s="76"/>
    </row>
    <row r="3339" spans="3:17" hidden="1" outlineLevel="3" x14ac:dyDescent="0.25">
      <c r="E3339" s="74" t="s">
        <v>625</v>
      </c>
      <c r="F3339" s="74"/>
      <c r="G3339" s="74"/>
      <c r="H3339" s="75"/>
      <c r="I3339" s="76"/>
      <c r="J3339" s="78">
        <f>HYPERLINK("#Структура!E3091",Структура!E3091)</f>
        <v>6</v>
      </c>
      <c r="K3339" s="114">
        <f>HYPERLINK("#Структура!G3091",Структура!G3091)</f>
        <v>7.1399999999999996E-3</v>
      </c>
      <c r="L3339" s="120">
        <f>HYPERLINK("#Покупные_изделия!D168",Покупные_изделия!D168)</f>
        <v>1.9715672368421051</v>
      </c>
      <c r="M3339" s="76">
        <f>J3339*L3339</f>
        <v>11.82940342105263</v>
      </c>
      <c r="N3339" s="77"/>
      <c r="O3339" s="77"/>
      <c r="P3339" s="76"/>
      <c r="Q3339" s="76"/>
    </row>
    <row r="3340" spans="3:17" hidden="1" outlineLevel="3" x14ac:dyDescent="0.25">
      <c r="E3340" s="74" t="s">
        <v>133</v>
      </c>
      <c r="F3340" s="74"/>
      <c r="G3340" s="74"/>
      <c r="H3340" s="75"/>
      <c r="I3340" s="76"/>
      <c r="J3340" s="78">
        <f>HYPERLINK("#Структура!E3092",Структура!E3092)</f>
        <v>0.01</v>
      </c>
      <c r="K3340" s="114" t="str">
        <f>HYPERLINK("#Структура!G3092","")</f>
        <v/>
      </c>
      <c r="L3340" s="120">
        <f>HYPERLINK("#Покупные_изделия!D308",Покупные_изделия!D308)</f>
        <v>240</v>
      </c>
      <c r="M3340" s="76">
        <f>J3340*L3340</f>
        <v>2.4</v>
      </c>
      <c r="N3340" s="77"/>
      <c r="O3340" s="77"/>
      <c r="P3340" s="76"/>
      <c r="Q3340" s="76"/>
    </row>
    <row r="3341" spans="3:17" hidden="1" outlineLevel="2" collapsed="1" x14ac:dyDescent="0.25">
      <c r="D3341" s="84" t="s">
        <v>1075</v>
      </c>
      <c r="E3341" s="79"/>
      <c r="F3341" s="79"/>
      <c r="G3341" s="79"/>
      <c r="H3341" s="80"/>
      <c r="I3341" s="81"/>
      <c r="J3341" s="83">
        <f>HYPERLINK("#Структура!E2955",Структура!E2955)</f>
        <v>42</v>
      </c>
      <c r="K3341" s="115">
        <f>HYPERLINK("#Структура!G2955",Структура!G2955)</f>
        <v>9.3600000000000003E-3</v>
      </c>
      <c r="L3341" s="81">
        <f>M3341/J3341</f>
        <v>3.0928000000000004</v>
      </c>
      <c r="M3341" s="81">
        <f>SUMIF(E3342,"*",M3342)*J3341</f>
        <v>129.89760000000001</v>
      </c>
      <c r="N3341" s="124">
        <f>HYPERLINK("#Трудозатраты!B392",Трудозатраты!B392+SUMIF(E3342,"*",O3342))</f>
        <v>8.75</v>
      </c>
      <c r="O3341" s="82">
        <f>N3341*J3341</f>
        <v>367.5</v>
      </c>
      <c r="P3341" s="81">
        <f>O3341/60*(1+запас_труд)*стоимость_трудочаса</f>
        <v>14393.75</v>
      </c>
      <c r="Q3341" s="129">
        <f>M3341*(1+наценка_покупное)+P3341</f>
        <v>14549.627119999999</v>
      </c>
    </row>
    <row r="3342" spans="3:17" hidden="1" outlineLevel="3" x14ac:dyDescent="0.25">
      <c r="E3342" s="74" t="s">
        <v>130</v>
      </c>
      <c r="F3342" s="74"/>
      <c r="G3342" s="74"/>
      <c r="H3342" s="75"/>
      <c r="I3342" s="76"/>
      <c r="J3342" s="78">
        <f>HYPERLINK("#Структура!E1463",Структура!E1463)</f>
        <v>1.933E-2</v>
      </c>
      <c r="K3342" s="114" t="str">
        <f>HYPERLINK("#Структура!G1463","")</f>
        <v/>
      </c>
      <c r="L3342" s="120">
        <f>HYPERLINK("#Покупные_изделия!D305",Покупные_изделия!D305)</f>
        <v>160</v>
      </c>
      <c r="M3342" s="76">
        <f>J3342*L3342</f>
        <v>3.0928</v>
      </c>
      <c r="N3342" s="77"/>
      <c r="O3342" s="77"/>
      <c r="P3342" s="76"/>
      <c r="Q3342" s="76"/>
    </row>
    <row r="3343" spans="3:17" hidden="1" outlineLevel="2" collapsed="1" x14ac:dyDescent="0.25">
      <c r="D3343" s="84" t="s">
        <v>1467</v>
      </c>
      <c r="E3343" s="79"/>
      <c r="F3343" s="79"/>
      <c r="G3343" s="79"/>
      <c r="H3343" s="80"/>
      <c r="I3343" s="81"/>
      <c r="J3343" s="83">
        <f>HYPERLINK("#Структура!E2956",Структура!E2956)</f>
        <v>1</v>
      </c>
      <c r="K3343" s="115">
        <f>HYPERLINK("#Структура!G2956",Структура!G2956)</f>
        <v>9.2963699999999996</v>
      </c>
      <c r="L3343" s="81">
        <f>M3343/J3343</f>
        <v>1950.8896</v>
      </c>
      <c r="M3343" s="81">
        <f>SUMIF(E3344,"*",M3344)*J3343</f>
        <v>1950.8896</v>
      </c>
      <c r="N3343" s="124">
        <f>HYPERLINK("#Трудозатраты!B747",Трудозатраты!B747+SUMIF(E3344,"*",O3344))</f>
        <v>7</v>
      </c>
      <c r="O3343" s="82">
        <f>N3343*J3343</f>
        <v>7</v>
      </c>
      <c r="P3343" s="81">
        <f>O3343/60*(1+запас_труд)*стоимость_трудочаса</f>
        <v>274.16666666666669</v>
      </c>
      <c r="Q3343" s="129">
        <f>M3343*(1+наценка_покупное)+P3343</f>
        <v>2615.2341866666666</v>
      </c>
    </row>
    <row r="3344" spans="3:17" hidden="1" outlineLevel="3" x14ac:dyDescent="0.25">
      <c r="E3344" s="74" t="s">
        <v>131</v>
      </c>
      <c r="F3344" s="74"/>
      <c r="G3344" s="74"/>
      <c r="H3344" s="75"/>
      <c r="I3344" s="76"/>
      <c r="J3344" s="78">
        <f>HYPERLINK("#Структура!E3033",Структура!E3033)</f>
        <v>12.193059999999999</v>
      </c>
      <c r="K3344" s="114" t="str">
        <f>HYPERLINK("#Структура!G3033","")</f>
        <v/>
      </c>
      <c r="L3344" s="120">
        <f>HYPERLINK("#Покупные_изделия!D306",Покупные_изделия!D306)</f>
        <v>160</v>
      </c>
      <c r="M3344" s="76">
        <f>J3344*L3344</f>
        <v>1950.8896</v>
      </c>
      <c r="N3344" s="77"/>
      <c r="O3344" s="77"/>
      <c r="P3344" s="76"/>
      <c r="Q3344" s="76"/>
    </row>
    <row r="3345" spans="4:17" hidden="1" outlineLevel="2" collapsed="1" x14ac:dyDescent="0.25">
      <c r="D3345" s="84" t="s">
        <v>1468</v>
      </c>
      <c r="E3345" s="79"/>
      <c r="F3345" s="79"/>
      <c r="G3345" s="79"/>
      <c r="H3345" s="80"/>
      <c r="I3345" s="81"/>
      <c r="J3345" s="83">
        <f>HYPERLINK("#Структура!E2957",Структура!E2957)</f>
        <v>1</v>
      </c>
      <c r="K3345" s="115">
        <f>HYPERLINK("#Структура!G2957",Структура!G2957)</f>
        <v>11.67562</v>
      </c>
      <c r="L3345" s="81">
        <f>M3345/J3345</f>
        <v>2246.0592000000001</v>
      </c>
      <c r="M3345" s="81">
        <f>SUMIF(E3346,"*",M3346)*J3345</f>
        <v>2246.0592000000001</v>
      </c>
      <c r="N3345" s="124">
        <f>HYPERLINK("#Трудозатраты!B748",Трудозатраты!B748+SUMIF(E3346,"*",O3346))</f>
        <v>19.5</v>
      </c>
      <c r="O3345" s="82">
        <f>N3345*J3345</f>
        <v>19.5</v>
      </c>
      <c r="P3345" s="81">
        <f>O3345/60*(1+запас_труд)*стоимость_трудочаса</f>
        <v>763.75</v>
      </c>
      <c r="Q3345" s="129">
        <f>M3345*(1+наценка_покупное)+P3345</f>
        <v>3459.0210400000001</v>
      </c>
    </row>
    <row r="3346" spans="4:17" hidden="1" outlineLevel="3" x14ac:dyDescent="0.25">
      <c r="E3346" s="74" t="s">
        <v>131</v>
      </c>
      <c r="F3346" s="74"/>
      <c r="G3346" s="74"/>
      <c r="H3346" s="75"/>
      <c r="I3346" s="76"/>
      <c r="J3346" s="78">
        <f>HYPERLINK("#Структура!E3034",Структура!E3034)</f>
        <v>14.03787</v>
      </c>
      <c r="K3346" s="114" t="str">
        <f>HYPERLINK("#Структура!G3034","")</f>
        <v/>
      </c>
      <c r="L3346" s="120">
        <f>HYPERLINK("#Покупные_изделия!D306",Покупные_изделия!D306)</f>
        <v>160</v>
      </c>
      <c r="M3346" s="76">
        <f>J3346*L3346</f>
        <v>2246.0592000000001</v>
      </c>
      <c r="N3346" s="77"/>
      <c r="O3346" s="77"/>
      <c r="P3346" s="76"/>
      <c r="Q3346" s="76"/>
    </row>
    <row r="3347" spans="4:17" hidden="1" outlineLevel="2" collapsed="1" x14ac:dyDescent="0.25">
      <c r="D3347" s="84" t="s">
        <v>1469</v>
      </c>
      <c r="E3347" s="79"/>
      <c r="F3347" s="79"/>
      <c r="G3347" s="79"/>
      <c r="H3347" s="80"/>
      <c r="I3347" s="81"/>
      <c r="J3347" s="83">
        <f>HYPERLINK("#Структура!E2958",Структура!E2958)</f>
        <v>1</v>
      </c>
      <c r="K3347" s="115">
        <f>HYPERLINK("#Структура!G2958",Структура!G2958)</f>
        <v>10.012890000000001</v>
      </c>
      <c r="L3347" s="81">
        <f>M3347/J3347</f>
        <v>1960.4528</v>
      </c>
      <c r="M3347" s="81">
        <f>SUMIF(E3348,"*",M3348)*J3347</f>
        <v>1960.4528</v>
      </c>
      <c r="N3347" s="124">
        <f>HYPERLINK("#Трудозатраты!B749",Трудозатраты!B749+SUMIF(E3348,"*",O3348))</f>
        <v>11.6</v>
      </c>
      <c r="O3347" s="82">
        <f>N3347*J3347</f>
        <v>11.6</v>
      </c>
      <c r="P3347" s="81">
        <f>O3347/60*(1+запас_труд)*стоимость_трудочаса</f>
        <v>454.33333333333331</v>
      </c>
      <c r="Q3347" s="129">
        <f>M3347*(1+наценка_покупное)+P3347</f>
        <v>2806.8766933333336</v>
      </c>
    </row>
    <row r="3348" spans="4:17" hidden="1" outlineLevel="3" x14ac:dyDescent="0.25">
      <c r="E3348" s="74" t="s">
        <v>131</v>
      </c>
      <c r="F3348" s="74"/>
      <c r="G3348" s="74"/>
      <c r="H3348" s="75"/>
      <c r="I3348" s="76"/>
      <c r="J3348" s="78">
        <f>HYPERLINK("#Структура!E3035",Структура!E3035)</f>
        <v>12.252829999999999</v>
      </c>
      <c r="K3348" s="114" t="str">
        <f>HYPERLINK("#Структура!G3035","")</f>
        <v/>
      </c>
      <c r="L3348" s="120">
        <f>HYPERLINK("#Покупные_изделия!D306",Покупные_изделия!D306)</f>
        <v>160</v>
      </c>
      <c r="M3348" s="76">
        <f>J3348*L3348</f>
        <v>1960.4528</v>
      </c>
      <c r="N3348" s="77"/>
      <c r="O3348" s="77"/>
      <c r="P3348" s="76"/>
      <c r="Q3348" s="76"/>
    </row>
    <row r="3349" spans="4:17" hidden="1" outlineLevel="2" collapsed="1" x14ac:dyDescent="0.25">
      <c r="D3349" s="84" t="s">
        <v>1470</v>
      </c>
      <c r="E3349" s="79"/>
      <c r="F3349" s="79"/>
      <c r="G3349" s="79"/>
      <c r="H3349" s="80"/>
      <c r="I3349" s="81"/>
      <c r="J3349" s="83">
        <f>HYPERLINK("#Структура!E2959",Структура!E2959)</f>
        <v>2</v>
      </c>
      <c r="K3349" s="115">
        <f>HYPERLINK("#Структура!G2959",Структура!G2959)</f>
        <v>3.3669199999999999</v>
      </c>
      <c r="L3349" s="81">
        <f>M3349/J3349</f>
        <v>645.32320000000004</v>
      </c>
      <c r="M3349" s="81">
        <f>SUMIF(E3350,"*",M3350)*J3349</f>
        <v>1290.6464000000001</v>
      </c>
      <c r="N3349" s="124">
        <f>HYPERLINK("#Трудозатраты!B750",Трудозатраты!B750+SUMIF(E3350,"*",O3350))</f>
        <v>11.6</v>
      </c>
      <c r="O3349" s="82">
        <f>N3349*J3349</f>
        <v>23.2</v>
      </c>
      <c r="P3349" s="81">
        <f>O3349/60*(1+запас_труд)*стоимость_трудочаса</f>
        <v>908.66666666666663</v>
      </c>
      <c r="Q3349" s="129">
        <f>M3349*(1+наценка_покупное)+P3349</f>
        <v>2457.4423466666667</v>
      </c>
    </row>
    <row r="3350" spans="4:17" hidden="1" outlineLevel="3" x14ac:dyDescent="0.25">
      <c r="E3350" s="74" t="s">
        <v>131</v>
      </c>
      <c r="F3350" s="74"/>
      <c r="G3350" s="74"/>
      <c r="H3350" s="75"/>
      <c r="I3350" s="76"/>
      <c r="J3350" s="78">
        <f>HYPERLINK("#Структура!E3036",Структура!E3036)</f>
        <v>4.0332699999999999</v>
      </c>
      <c r="K3350" s="114" t="str">
        <f>HYPERLINK("#Структура!G3036","")</f>
        <v/>
      </c>
      <c r="L3350" s="120">
        <f>HYPERLINK("#Покупные_изделия!D306",Покупные_изделия!D306)</f>
        <v>160</v>
      </c>
      <c r="M3350" s="76">
        <f>J3350*L3350</f>
        <v>645.32320000000004</v>
      </c>
      <c r="N3350" s="77"/>
      <c r="O3350" s="77"/>
      <c r="P3350" s="76"/>
      <c r="Q3350" s="76"/>
    </row>
    <row r="3351" spans="4:17" hidden="1" outlineLevel="2" collapsed="1" x14ac:dyDescent="0.25">
      <c r="D3351" s="84" t="s">
        <v>1471</v>
      </c>
      <c r="E3351" s="79"/>
      <c r="F3351" s="79"/>
      <c r="G3351" s="79"/>
      <c r="H3351" s="80"/>
      <c r="I3351" s="81"/>
      <c r="J3351" s="83">
        <f>HYPERLINK("#Структура!E2960",Структура!E2960)</f>
        <v>1</v>
      </c>
      <c r="K3351" s="115">
        <f>HYPERLINK("#Структура!G2960",Структура!G2960)</f>
        <v>3.0434100000000002</v>
      </c>
      <c r="L3351" s="81">
        <f>M3351/J3351</f>
        <v>599.56479999999999</v>
      </c>
      <c r="M3351" s="81">
        <f>SUMIF(E3352,"*",M3352)*J3351</f>
        <v>599.56479999999999</v>
      </c>
      <c r="N3351" s="124">
        <f>HYPERLINK("#Трудозатраты!B751",Трудозатраты!B751+SUMIF(E3352,"*",O3352))</f>
        <v>14.25</v>
      </c>
      <c r="O3351" s="82">
        <f>N3351*J3351</f>
        <v>14.25</v>
      </c>
      <c r="P3351" s="81">
        <f>O3351/60*(1+запас_труд)*стоимость_трудочаса</f>
        <v>558.125</v>
      </c>
      <c r="Q3351" s="129">
        <f>M3351*(1+наценка_покупное)+P3351</f>
        <v>1277.60276</v>
      </c>
    </row>
    <row r="3352" spans="4:17" hidden="1" outlineLevel="3" x14ac:dyDescent="0.25">
      <c r="E3352" s="74" t="s">
        <v>131</v>
      </c>
      <c r="F3352" s="74"/>
      <c r="G3352" s="74"/>
      <c r="H3352" s="75"/>
      <c r="I3352" s="76"/>
      <c r="J3352" s="78">
        <f>HYPERLINK("#Структура!E3037",Структура!E3037)</f>
        <v>3.7472799999999999</v>
      </c>
      <c r="K3352" s="114" t="str">
        <f>HYPERLINK("#Структура!G3037","")</f>
        <v/>
      </c>
      <c r="L3352" s="120">
        <f>HYPERLINK("#Покупные_изделия!D306",Покупные_изделия!D306)</f>
        <v>160</v>
      </c>
      <c r="M3352" s="76">
        <f>J3352*L3352</f>
        <v>599.56479999999999</v>
      </c>
      <c r="N3352" s="77"/>
      <c r="O3352" s="77"/>
      <c r="P3352" s="76"/>
      <c r="Q3352" s="76"/>
    </row>
    <row r="3353" spans="4:17" hidden="1" outlineLevel="2" collapsed="1" x14ac:dyDescent="0.25">
      <c r="D3353" s="84" t="s">
        <v>1472</v>
      </c>
      <c r="E3353" s="79"/>
      <c r="F3353" s="79"/>
      <c r="G3353" s="79"/>
      <c r="H3353" s="80"/>
      <c r="I3353" s="81"/>
      <c r="J3353" s="83">
        <f>HYPERLINK("#Структура!E2961",Структура!E2961)</f>
        <v>1</v>
      </c>
      <c r="K3353" s="115">
        <f>HYPERLINK("#Структура!G2961",Структура!G2961)</f>
        <v>3.0434100000000002</v>
      </c>
      <c r="L3353" s="81">
        <f>M3353/J3353</f>
        <v>560.82240000000002</v>
      </c>
      <c r="M3353" s="81">
        <f>SUMIF(E3354,"*",M3354)*J3353</f>
        <v>560.82240000000002</v>
      </c>
      <c r="N3353" s="124">
        <f>HYPERLINK("#Трудозатраты!B752",Трудозатраты!B752+SUMIF(E3354,"*",O3354))</f>
        <v>14.25</v>
      </c>
      <c r="O3353" s="82">
        <f>N3353*J3353</f>
        <v>14.25</v>
      </c>
      <c r="P3353" s="81">
        <f>O3353/60*(1+запас_труд)*стоимость_трудочаса</f>
        <v>558.125</v>
      </c>
      <c r="Q3353" s="129">
        <f>M3353*(1+наценка_покупное)+P3353</f>
        <v>1231.1118799999999</v>
      </c>
    </row>
    <row r="3354" spans="4:17" hidden="1" outlineLevel="3" x14ac:dyDescent="0.25">
      <c r="E3354" s="74" t="s">
        <v>131</v>
      </c>
      <c r="F3354" s="74"/>
      <c r="G3354" s="74"/>
      <c r="H3354" s="75"/>
      <c r="I3354" s="76"/>
      <c r="J3354" s="78">
        <f>HYPERLINK("#Структура!E3038",Структура!E3038)</f>
        <v>3.5051399999999999</v>
      </c>
      <c r="K3354" s="114" t="str">
        <f>HYPERLINK("#Структура!G3038","")</f>
        <v/>
      </c>
      <c r="L3354" s="120">
        <f>HYPERLINK("#Покупные_изделия!D306",Покупные_изделия!D306)</f>
        <v>160</v>
      </c>
      <c r="M3354" s="76">
        <f>J3354*L3354</f>
        <v>560.82240000000002</v>
      </c>
      <c r="N3354" s="77"/>
      <c r="O3354" s="77"/>
      <c r="P3354" s="76"/>
      <c r="Q3354" s="76"/>
    </row>
    <row r="3355" spans="4:17" hidden="1" outlineLevel="2" collapsed="1" x14ac:dyDescent="0.25">
      <c r="D3355" s="84" t="s">
        <v>1473</v>
      </c>
      <c r="E3355" s="79"/>
      <c r="F3355" s="79"/>
      <c r="G3355" s="79"/>
      <c r="H3355" s="80"/>
      <c r="I3355" s="81"/>
      <c r="J3355" s="83">
        <f>HYPERLINK("#Структура!E2962",Структура!E2962)</f>
        <v>5</v>
      </c>
      <c r="K3355" s="115">
        <f>HYPERLINK("#Структура!G2962",Структура!G2962)</f>
        <v>4.0333399999999999</v>
      </c>
      <c r="L3355" s="81">
        <f>M3355/J3355</f>
        <v>787.22399999999993</v>
      </c>
      <c r="M3355" s="81">
        <f>SUMIF(E3356,"*",M3356)*J3355</f>
        <v>3936.12</v>
      </c>
      <c r="N3355" s="124">
        <f>HYPERLINK("#Трудозатраты!B753",Трудозатраты!B753+SUMIF(E3356,"*",O3356))</f>
        <v>15.25</v>
      </c>
      <c r="O3355" s="82">
        <f>N3355*J3355</f>
        <v>76.25</v>
      </c>
      <c r="P3355" s="81">
        <f>O3355/60*(1+запас_труд)*стоимость_трудочаса</f>
        <v>2986.458333333333</v>
      </c>
      <c r="Q3355" s="129">
        <f>M3355*(1+наценка_покупное)+P3355</f>
        <v>7709.8023333333331</v>
      </c>
    </row>
    <row r="3356" spans="4:17" hidden="1" outlineLevel="3" x14ac:dyDescent="0.25">
      <c r="E3356" s="74" t="s">
        <v>131</v>
      </c>
      <c r="F3356" s="74"/>
      <c r="G3356" s="74"/>
      <c r="H3356" s="75"/>
      <c r="I3356" s="76"/>
      <c r="J3356" s="78">
        <f>HYPERLINK("#Структура!E3039",Структура!E3039)</f>
        <v>4.9201499999999996</v>
      </c>
      <c r="K3356" s="114" t="str">
        <f>HYPERLINK("#Структура!G3039","")</f>
        <v/>
      </c>
      <c r="L3356" s="120">
        <f>HYPERLINK("#Покупные_изделия!D306",Покупные_изделия!D306)</f>
        <v>160</v>
      </c>
      <c r="M3356" s="76">
        <f>J3356*L3356</f>
        <v>787.22399999999993</v>
      </c>
      <c r="N3356" s="77"/>
      <c r="O3356" s="77"/>
      <c r="P3356" s="76"/>
      <c r="Q3356" s="76"/>
    </row>
    <row r="3357" spans="4:17" hidden="1" outlineLevel="2" collapsed="1" x14ac:dyDescent="0.25">
      <c r="D3357" s="84" t="s">
        <v>1474</v>
      </c>
      <c r="E3357" s="79"/>
      <c r="F3357" s="79"/>
      <c r="G3357" s="79"/>
      <c r="H3357" s="80"/>
      <c r="I3357" s="81"/>
      <c r="J3357" s="83">
        <f>HYPERLINK("#Структура!E2963",Структура!E2963)</f>
        <v>1</v>
      </c>
      <c r="K3357" s="115">
        <f>HYPERLINK("#Структура!G2963",Структура!G2963)</f>
        <v>12.538029999999999</v>
      </c>
      <c r="L3357" s="81">
        <f>M3357/J3357</f>
        <v>1930.125192</v>
      </c>
      <c r="M3357" s="81">
        <f>SUMIF(E3358:E3363,"*",M3358:M3363)*J3357</f>
        <v>1930.125192</v>
      </c>
      <c r="N3357" s="124">
        <f>HYPERLINK("#Трудозатраты!B754",Трудозатраты!B754+SUMIF(E3358:E3363,"*",O3358:O3363))</f>
        <v>25.4</v>
      </c>
      <c r="O3357" s="82">
        <f>N3357*J3357</f>
        <v>25.4</v>
      </c>
      <c r="P3357" s="81">
        <f>O3357/60*(1+запас_труд)*стоимость_трудочаса</f>
        <v>994.83333333333326</v>
      </c>
      <c r="Q3357" s="129">
        <f>M3357*(1+наценка_покупное)+P3357</f>
        <v>3310.9835637333335</v>
      </c>
    </row>
    <row r="3358" spans="4:17" hidden="1" outlineLevel="3" x14ac:dyDescent="0.25">
      <c r="E3358" s="74" t="s">
        <v>65</v>
      </c>
      <c r="F3358" s="74"/>
      <c r="G3358" s="74"/>
      <c r="H3358" s="75"/>
      <c r="I3358" s="76"/>
      <c r="J3358" s="78">
        <f>HYPERLINK("#Структура!E3040",Структура!E3040)</f>
        <v>0.08</v>
      </c>
      <c r="K3358" s="114" t="str">
        <f>HYPERLINK("#Структура!G3040","")</f>
        <v/>
      </c>
      <c r="L3358" s="120">
        <f>HYPERLINK("#Покупные_изделия!D197",Покупные_изделия!D197)</f>
        <v>264.50399999999996</v>
      </c>
      <c r="M3358" s="76">
        <f t="shared" ref="M3358:M3363" si="128">J3358*L3358</f>
        <v>21.160319999999999</v>
      </c>
      <c r="N3358" s="77"/>
      <c r="O3358" s="77"/>
      <c r="P3358" s="76"/>
      <c r="Q3358" s="76"/>
    </row>
    <row r="3359" spans="4:17" hidden="1" outlineLevel="3" x14ac:dyDescent="0.25">
      <c r="E3359" s="74" t="s">
        <v>118</v>
      </c>
      <c r="F3359" s="74"/>
      <c r="G3359" s="74"/>
      <c r="H3359" s="75"/>
      <c r="I3359" s="76"/>
      <c r="J3359" s="78">
        <f>HYPERLINK("#Структура!E3041",Структура!E3041)</f>
        <v>15.00135</v>
      </c>
      <c r="K3359" s="114" t="str">
        <f>HYPERLINK("#Структура!G3041","")</f>
        <v/>
      </c>
      <c r="L3359" s="120">
        <f>HYPERLINK("#Покупные_изделия!D293",Покупные_изделия!D293)</f>
        <v>120</v>
      </c>
      <c r="M3359" s="76">
        <f t="shared" si="128"/>
        <v>1800.162</v>
      </c>
      <c r="N3359" s="77"/>
      <c r="O3359" s="77"/>
      <c r="P3359" s="76"/>
      <c r="Q3359" s="76"/>
    </row>
    <row r="3360" spans="4:17" hidden="1" outlineLevel="3" x14ac:dyDescent="0.25">
      <c r="E3360" s="74" t="s">
        <v>155</v>
      </c>
      <c r="F3360" s="74"/>
      <c r="G3360" s="74"/>
      <c r="H3360" s="75"/>
      <c r="I3360" s="76"/>
      <c r="J3360" s="78">
        <f>HYPERLINK("#Структура!E3042",Структура!E3042)</f>
        <v>2.4E-2</v>
      </c>
      <c r="K3360" s="114" t="str">
        <f>HYPERLINK("#Структура!G3042","")</f>
        <v/>
      </c>
      <c r="L3360" s="120">
        <f>HYPERLINK("#Покупные_изделия!D423",Покупные_изделия!D423)</f>
        <v>218.28</v>
      </c>
      <c r="M3360" s="76">
        <f t="shared" si="128"/>
        <v>5.2387199999999998</v>
      </c>
      <c r="N3360" s="77"/>
      <c r="O3360" s="77"/>
      <c r="P3360" s="76"/>
      <c r="Q3360" s="76"/>
    </row>
    <row r="3361" spans="4:17" hidden="1" outlineLevel="3" x14ac:dyDescent="0.25">
      <c r="E3361" s="74" t="s">
        <v>156</v>
      </c>
      <c r="F3361" s="74"/>
      <c r="G3361" s="74"/>
      <c r="H3361" s="75"/>
      <c r="I3361" s="76"/>
      <c r="J3361" s="78">
        <f>HYPERLINK("#Структура!E3043",Структура!E3043)</f>
        <v>7.3999999999999996E-2</v>
      </c>
      <c r="K3361" s="114" t="str">
        <f>HYPERLINK("#Структура!G3043","")</f>
        <v/>
      </c>
      <c r="L3361" s="120">
        <f>HYPERLINK("#Покупные_изделия!D427",Покупные_изделия!D427)</f>
        <v>155.53200000000001</v>
      </c>
      <c r="M3361" s="76">
        <f t="shared" si="128"/>
        <v>11.509368</v>
      </c>
      <c r="N3361" s="77"/>
      <c r="O3361" s="77"/>
      <c r="P3361" s="76"/>
      <c r="Q3361" s="76"/>
    </row>
    <row r="3362" spans="4:17" hidden="1" outlineLevel="3" x14ac:dyDescent="0.25">
      <c r="E3362" s="74" t="s">
        <v>200</v>
      </c>
      <c r="F3362" s="74"/>
      <c r="G3362" s="74"/>
      <c r="H3362" s="75"/>
      <c r="I3362" s="76"/>
      <c r="J3362" s="78">
        <f>HYPERLINK("#Структура!E3044",Структура!E3044)</f>
        <v>9.9000000000000005E-2</v>
      </c>
      <c r="K3362" s="114" t="str">
        <f>HYPERLINK("#Структура!G3044","")</f>
        <v/>
      </c>
      <c r="L3362" s="120">
        <f>HYPERLINK("#Покупные_изделия!D518",Покупные_изделия!D518)</f>
        <v>270</v>
      </c>
      <c r="M3362" s="76">
        <f t="shared" si="128"/>
        <v>26.73</v>
      </c>
      <c r="N3362" s="77"/>
      <c r="O3362" s="77"/>
      <c r="P3362" s="76"/>
      <c r="Q3362" s="76"/>
    </row>
    <row r="3363" spans="4:17" hidden="1" outlineLevel="3" x14ac:dyDescent="0.25">
      <c r="E3363" s="74" t="s">
        <v>215</v>
      </c>
      <c r="F3363" s="74"/>
      <c r="G3363" s="74"/>
      <c r="H3363" s="75"/>
      <c r="I3363" s="76"/>
      <c r="J3363" s="78">
        <f>HYPERLINK("#Структура!E3045",Структура!E3045)</f>
        <v>0.161</v>
      </c>
      <c r="K3363" s="114" t="str">
        <f>HYPERLINK("#Структура!G3045","")</f>
        <v/>
      </c>
      <c r="L3363" s="120">
        <f>HYPERLINK("#Покупные_изделия!D567",Покупные_изделия!D567)</f>
        <v>405.74399999999997</v>
      </c>
      <c r="M3363" s="76">
        <f t="shared" si="128"/>
        <v>65.324783999999994</v>
      </c>
      <c r="N3363" s="77"/>
      <c r="O3363" s="77"/>
      <c r="P3363" s="76"/>
      <c r="Q3363" s="76"/>
    </row>
    <row r="3364" spans="4:17" hidden="1" outlineLevel="2" collapsed="1" x14ac:dyDescent="0.25">
      <c r="D3364" s="84" t="s">
        <v>1475</v>
      </c>
      <c r="E3364" s="79"/>
      <c r="F3364" s="79"/>
      <c r="G3364" s="79"/>
      <c r="H3364" s="80"/>
      <c r="I3364" s="81"/>
      <c r="J3364" s="83">
        <f>HYPERLINK("#Структура!E2964",Структура!E2964)</f>
        <v>1</v>
      </c>
      <c r="K3364" s="115">
        <f>HYPERLINK("#Структура!G2964",Структура!G2964)</f>
        <v>5.9847299999999999</v>
      </c>
      <c r="L3364" s="81">
        <f>M3364/J3364</f>
        <v>1152.104</v>
      </c>
      <c r="M3364" s="81">
        <f>SUMIF(E3365,"*",M3365)*J3364</f>
        <v>1152.104</v>
      </c>
      <c r="N3364" s="124">
        <f>HYPERLINK("#Трудозатраты!B755",Трудозатраты!B755+SUMIF(E3365,"*",O3365))</f>
        <v>17.2</v>
      </c>
      <c r="O3364" s="82">
        <f>N3364*J3364</f>
        <v>17.2</v>
      </c>
      <c r="P3364" s="81">
        <f>O3364/60*(1+запас_труд)*стоимость_трудочаса</f>
        <v>673.66666666666674</v>
      </c>
      <c r="Q3364" s="129">
        <f>M3364*(1+наценка_покупное)+P3364</f>
        <v>2056.1914666666667</v>
      </c>
    </row>
    <row r="3365" spans="4:17" hidden="1" outlineLevel="3" x14ac:dyDescent="0.25">
      <c r="E3365" s="74" t="s">
        <v>131</v>
      </c>
      <c r="F3365" s="74"/>
      <c r="G3365" s="74"/>
      <c r="H3365" s="75"/>
      <c r="I3365" s="76"/>
      <c r="J3365" s="78">
        <f>HYPERLINK("#Структура!E3046",Структура!E3046)</f>
        <v>7.2006500000000004</v>
      </c>
      <c r="K3365" s="114" t="str">
        <f>HYPERLINK("#Структура!G3046","")</f>
        <v/>
      </c>
      <c r="L3365" s="120">
        <f>HYPERLINK("#Покупные_изделия!D306",Покупные_изделия!D306)</f>
        <v>160</v>
      </c>
      <c r="M3365" s="76">
        <f>J3365*L3365</f>
        <v>1152.104</v>
      </c>
      <c r="N3365" s="77"/>
      <c r="O3365" s="77"/>
      <c r="P3365" s="76"/>
      <c r="Q3365" s="76"/>
    </row>
    <row r="3366" spans="4:17" hidden="1" outlineLevel="2" collapsed="1" x14ac:dyDescent="0.25">
      <c r="D3366" s="84" t="s">
        <v>1476</v>
      </c>
      <c r="E3366" s="79"/>
      <c r="F3366" s="79"/>
      <c r="G3366" s="79"/>
      <c r="H3366" s="80"/>
      <c r="I3366" s="81"/>
      <c r="J3366" s="83">
        <f>HYPERLINK("#Структура!E2965",Структура!E2965)</f>
        <v>2</v>
      </c>
      <c r="K3366" s="115">
        <f>HYPERLINK("#Структура!G2965",Структура!G2965)</f>
        <v>1.82331</v>
      </c>
      <c r="L3366" s="81">
        <f>M3366/J3366</f>
        <v>301.67031600000007</v>
      </c>
      <c r="M3366" s="81">
        <f>SUMIF(E3367:E3372,"*",M3367:M3372)*J3366</f>
        <v>603.34063200000014</v>
      </c>
      <c r="N3366" s="124">
        <f>HYPERLINK("#Трудозатраты!B756",Трудозатраты!B756+SUMIF(E3367:E3372,"*",O3367:O3372))</f>
        <v>10.6</v>
      </c>
      <c r="O3366" s="82">
        <f>N3366*J3366</f>
        <v>21.2</v>
      </c>
      <c r="P3366" s="81">
        <f>O3366/60*(1+запас_труд)*стоимость_трудочаса</f>
        <v>830.33333333333337</v>
      </c>
      <c r="Q3366" s="129">
        <f>M3366*(1+наценка_покупное)+P3366</f>
        <v>1554.3420917333335</v>
      </c>
    </row>
    <row r="3367" spans="4:17" hidden="1" outlineLevel="3" x14ac:dyDescent="0.25">
      <c r="E3367" s="74" t="s">
        <v>65</v>
      </c>
      <c r="F3367" s="74"/>
      <c r="G3367" s="74"/>
      <c r="H3367" s="75"/>
      <c r="I3367" s="76"/>
      <c r="J3367" s="78">
        <f>HYPERLINK("#Структура!E3047",Структура!E3047)</f>
        <v>1.2E-2</v>
      </c>
      <c r="K3367" s="114" t="str">
        <f>HYPERLINK("#Структура!G3047","")</f>
        <v/>
      </c>
      <c r="L3367" s="120">
        <f>HYPERLINK("#Покупные_изделия!D197",Покупные_изделия!D197)</f>
        <v>264.50399999999996</v>
      </c>
      <c r="M3367" s="76">
        <f t="shared" ref="M3367:M3372" si="129">J3367*L3367</f>
        <v>3.1740479999999995</v>
      </c>
      <c r="N3367" s="77"/>
      <c r="O3367" s="77"/>
      <c r="P3367" s="76"/>
      <c r="Q3367" s="76"/>
    </row>
    <row r="3368" spans="4:17" hidden="1" outlineLevel="3" x14ac:dyDescent="0.25">
      <c r="E3368" s="74" t="s">
        <v>118</v>
      </c>
      <c r="F3368" s="74"/>
      <c r="G3368" s="74"/>
      <c r="H3368" s="75"/>
      <c r="I3368" s="76"/>
      <c r="J3368" s="78">
        <f>HYPERLINK("#Структура!E3048",Структура!E3048)</f>
        <v>2.34558</v>
      </c>
      <c r="K3368" s="114" t="str">
        <f>HYPERLINK("#Структура!G3048","")</f>
        <v/>
      </c>
      <c r="L3368" s="120">
        <f>HYPERLINK("#Покупные_изделия!D293",Покупные_изделия!D293)</f>
        <v>120</v>
      </c>
      <c r="M3368" s="76">
        <f t="shared" si="129"/>
        <v>281.46960000000001</v>
      </c>
      <c r="N3368" s="77"/>
      <c r="O3368" s="77"/>
      <c r="P3368" s="76"/>
      <c r="Q3368" s="76"/>
    </row>
    <row r="3369" spans="4:17" hidden="1" outlineLevel="3" x14ac:dyDescent="0.25">
      <c r="E3369" s="74" t="s">
        <v>155</v>
      </c>
      <c r="F3369" s="74"/>
      <c r="G3369" s="74"/>
      <c r="H3369" s="75"/>
      <c r="I3369" s="76"/>
      <c r="J3369" s="78">
        <f>HYPERLINK("#Структура!E3049",Структура!E3049)</f>
        <v>7.0000000000000001E-3</v>
      </c>
      <c r="K3369" s="114" t="str">
        <f>HYPERLINK("#Структура!G3049","")</f>
        <v/>
      </c>
      <c r="L3369" s="120">
        <f>HYPERLINK("#Покупные_изделия!D423",Покупные_изделия!D423)</f>
        <v>218.28</v>
      </c>
      <c r="M3369" s="76">
        <f t="shared" si="129"/>
        <v>1.52796</v>
      </c>
      <c r="N3369" s="77"/>
      <c r="O3369" s="77"/>
      <c r="P3369" s="76"/>
      <c r="Q3369" s="76"/>
    </row>
    <row r="3370" spans="4:17" hidden="1" outlineLevel="3" x14ac:dyDescent="0.25">
      <c r="E3370" s="74" t="s">
        <v>156</v>
      </c>
      <c r="F3370" s="74"/>
      <c r="G3370" s="74"/>
      <c r="H3370" s="75"/>
      <c r="I3370" s="76"/>
      <c r="J3370" s="78">
        <f>HYPERLINK("#Структура!E3050",Структура!E3050)</f>
        <v>1.0999999999999999E-2</v>
      </c>
      <c r="K3370" s="114" t="str">
        <f>HYPERLINK("#Структура!G3050","")</f>
        <v/>
      </c>
      <c r="L3370" s="120">
        <f>HYPERLINK("#Покупные_изделия!D427",Покупные_изделия!D427)</f>
        <v>155.53200000000001</v>
      </c>
      <c r="M3370" s="76">
        <f t="shared" si="129"/>
        <v>1.710852</v>
      </c>
      <c r="N3370" s="77"/>
      <c r="O3370" s="77"/>
      <c r="P3370" s="76"/>
      <c r="Q3370" s="76"/>
    </row>
    <row r="3371" spans="4:17" hidden="1" outlineLevel="3" x14ac:dyDescent="0.25">
      <c r="E3371" s="74" t="s">
        <v>200</v>
      </c>
      <c r="F3371" s="74"/>
      <c r="G3371" s="74"/>
      <c r="H3371" s="75"/>
      <c r="I3371" s="76"/>
      <c r="J3371" s="78">
        <f>HYPERLINK("#Структура!E3051",Структура!E3051)</f>
        <v>1.4999999999999999E-2</v>
      </c>
      <c r="K3371" s="114" t="str">
        <f>HYPERLINK("#Структура!G3051","")</f>
        <v/>
      </c>
      <c r="L3371" s="120">
        <f>HYPERLINK("#Покупные_изделия!D518",Покупные_изделия!D518)</f>
        <v>270</v>
      </c>
      <c r="M3371" s="76">
        <f t="shared" si="129"/>
        <v>4.05</v>
      </c>
      <c r="N3371" s="77"/>
      <c r="O3371" s="77"/>
      <c r="P3371" s="76"/>
      <c r="Q3371" s="76"/>
    </row>
    <row r="3372" spans="4:17" hidden="1" outlineLevel="3" x14ac:dyDescent="0.25">
      <c r="E3372" s="74" t="s">
        <v>215</v>
      </c>
      <c r="F3372" s="74"/>
      <c r="G3372" s="74"/>
      <c r="H3372" s="75"/>
      <c r="I3372" s="76"/>
      <c r="J3372" s="78">
        <f>HYPERLINK("#Структура!E3052",Структура!E3052)</f>
        <v>2.4E-2</v>
      </c>
      <c r="K3372" s="114" t="str">
        <f>HYPERLINK("#Структура!G3052","")</f>
        <v/>
      </c>
      <c r="L3372" s="120">
        <f>HYPERLINK("#Покупные_изделия!D567",Покупные_изделия!D567)</f>
        <v>405.74399999999997</v>
      </c>
      <c r="M3372" s="76">
        <f t="shared" si="129"/>
        <v>9.737855999999999</v>
      </c>
      <c r="N3372" s="77"/>
      <c r="O3372" s="77"/>
      <c r="P3372" s="76"/>
      <c r="Q3372" s="76"/>
    </row>
    <row r="3373" spans="4:17" hidden="1" outlineLevel="2" collapsed="1" x14ac:dyDescent="0.25">
      <c r="D3373" s="84" t="s">
        <v>1477</v>
      </c>
      <c r="E3373" s="79"/>
      <c r="F3373" s="79"/>
      <c r="G3373" s="79"/>
      <c r="H3373" s="80"/>
      <c r="I3373" s="81"/>
      <c r="J3373" s="83">
        <f>HYPERLINK("#Структура!E2966",Структура!E2966)</f>
        <v>2</v>
      </c>
      <c r="K3373" s="115">
        <f>HYPERLINK("#Структура!G2966",Структура!G2966)</f>
        <v>3.6834199999999999</v>
      </c>
      <c r="L3373" s="81">
        <f>M3373/J3373</f>
        <v>757.134996</v>
      </c>
      <c r="M3373" s="81">
        <f>SUMIF(E3374:E3378,"*",M3374:M3378)*J3373</f>
        <v>1514.269992</v>
      </c>
      <c r="N3373" s="124">
        <f>HYPERLINK("#Трудозатраты!B757",Трудозатраты!B757+SUMIF(E3374:E3378,"*",O3374:O3378))</f>
        <v>8</v>
      </c>
      <c r="O3373" s="82">
        <f>N3373*J3373</f>
        <v>16</v>
      </c>
      <c r="P3373" s="81">
        <f>O3373/60*(1+запас_труд)*стоимость_трудочаса</f>
        <v>626.66666666666663</v>
      </c>
      <c r="Q3373" s="129">
        <f>M3373*(1+наценка_покупное)+P3373</f>
        <v>2443.7906570666664</v>
      </c>
    </row>
    <row r="3374" spans="4:17" hidden="1" outlineLevel="3" x14ac:dyDescent="0.25">
      <c r="E3374" s="74" t="s">
        <v>44</v>
      </c>
      <c r="F3374" s="74"/>
      <c r="G3374" s="74"/>
      <c r="H3374" s="75"/>
      <c r="I3374" s="76"/>
      <c r="J3374" s="78">
        <f>HYPERLINK("#Структура!E3053",Структура!E3053)</f>
        <v>8.5999999999999993E-2</v>
      </c>
      <c r="K3374" s="114" t="str">
        <f>HYPERLINK("#Структура!G3053","")</f>
        <v/>
      </c>
      <c r="L3374" s="120">
        <f>HYPERLINK("#Покупные_изделия!D63",Покупные_изделия!D63)</f>
        <v>396.00000000000006</v>
      </c>
      <c r="M3374" s="76">
        <f>J3374*L3374</f>
        <v>34.056000000000004</v>
      </c>
      <c r="N3374" s="77"/>
      <c r="O3374" s="77"/>
      <c r="P3374" s="76"/>
      <c r="Q3374" s="76"/>
    </row>
    <row r="3375" spans="4:17" hidden="1" outlineLevel="3" x14ac:dyDescent="0.25">
      <c r="E3375" s="74" t="s">
        <v>116</v>
      </c>
      <c r="F3375" s="74"/>
      <c r="G3375" s="74"/>
      <c r="H3375" s="75"/>
      <c r="I3375" s="76"/>
      <c r="J3375" s="78">
        <f>HYPERLINK("#Структура!E3054",Структура!E3054)</f>
        <v>5.71244</v>
      </c>
      <c r="K3375" s="114" t="str">
        <f>HYPERLINK("#Структура!G3054","")</f>
        <v/>
      </c>
      <c r="L3375" s="120">
        <f>HYPERLINK("#Покупные_изделия!D291",Покупные_изделия!D291)</f>
        <v>120</v>
      </c>
      <c r="M3375" s="76">
        <f>J3375*L3375</f>
        <v>685.49279999999999</v>
      </c>
      <c r="N3375" s="77"/>
      <c r="O3375" s="77"/>
      <c r="P3375" s="76"/>
      <c r="Q3375" s="76"/>
    </row>
    <row r="3376" spans="4:17" hidden="1" outlineLevel="3" x14ac:dyDescent="0.25">
      <c r="E3376" s="74" t="s">
        <v>139</v>
      </c>
      <c r="F3376" s="74"/>
      <c r="G3376" s="74"/>
      <c r="H3376" s="75"/>
      <c r="I3376" s="76"/>
      <c r="J3376" s="78">
        <f>HYPERLINK("#Структура!E3055",Структура!E3055)</f>
        <v>0.01</v>
      </c>
      <c r="K3376" s="114" t="str">
        <f>HYPERLINK("#Структура!G3055","")</f>
        <v/>
      </c>
      <c r="L3376" s="120">
        <f>HYPERLINK("#Покупные_изделия!D360",Покупные_изделия!D360)</f>
        <v>171.87720000000002</v>
      </c>
      <c r="M3376" s="76">
        <f>J3376*L3376</f>
        <v>1.7187720000000002</v>
      </c>
      <c r="N3376" s="77"/>
      <c r="O3376" s="77"/>
      <c r="P3376" s="76"/>
      <c r="Q3376" s="76"/>
    </row>
    <row r="3377" spans="4:17" hidden="1" outlineLevel="3" x14ac:dyDescent="0.25">
      <c r="E3377" s="74" t="s">
        <v>156</v>
      </c>
      <c r="F3377" s="74"/>
      <c r="G3377" s="74"/>
      <c r="H3377" s="75"/>
      <c r="I3377" s="76"/>
      <c r="J3377" s="78">
        <f>HYPERLINK("#Структура!E3056",Структура!E3056)</f>
        <v>5.1999999999999998E-2</v>
      </c>
      <c r="K3377" s="114" t="str">
        <f>HYPERLINK("#Структура!G3056","")</f>
        <v/>
      </c>
      <c r="L3377" s="120">
        <f>HYPERLINK("#Покупные_изделия!D427",Покупные_изделия!D427)</f>
        <v>155.53200000000001</v>
      </c>
      <c r="M3377" s="76">
        <f>J3377*L3377</f>
        <v>8.0876640000000002</v>
      </c>
      <c r="N3377" s="77"/>
      <c r="O3377" s="77"/>
      <c r="P3377" s="76"/>
      <c r="Q3377" s="76"/>
    </row>
    <row r="3378" spans="4:17" hidden="1" outlineLevel="3" x14ac:dyDescent="0.25">
      <c r="E3378" s="74" t="s">
        <v>202</v>
      </c>
      <c r="F3378" s="74"/>
      <c r="G3378" s="74"/>
      <c r="H3378" s="75"/>
      <c r="I3378" s="76"/>
      <c r="J3378" s="78">
        <f>HYPERLINK("#Структура!E3057",Структура!E3057)</f>
        <v>0.06</v>
      </c>
      <c r="K3378" s="114" t="str">
        <f>HYPERLINK("#Структура!G3057","")</f>
        <v/>
      </c>
      <c r="L3378" s="120">
        <f>HYPERLINK("#Покупные_изделия!D521",Покупные_изделия!D521)</f>
        <v>462.99599999999998</v>
      </c>
      <c r="M3378" s="76">
        <f>J3378*L3378</f>
        <v>27.77976</v>
      </c>
      <c r="N3378" s="77"/>
      <c r="O3378" s="77"/>
      <c r="P3378" s="76"/>
      <c r="Q3378" s="76"/>
    </row>
    <row r="3379" spans="4:17" hidden="1" outlineLevel="2" collapsed="1" x14ac:dyDescent="0.25">
      <c r="D3379" s="84" t="s">
        <v>1478</v>
      </c>
      <c r="E3379" s="79"/>
      <c r="F3379" s="79"/>
      <c r="G3379" s="79"/>
      <c r="H3379" s="80"/>
      <c r="I3379" s="81"/>
      <c r="J3379" s="83">
        <f>HYPERLINK("#Структура!E2967",Структура!E2967)</f>
        <v>2</v>
      </c>
      <c r="K3379" s="115">
        <f>HYPERLINK("#Структура!G2967",Структура!G2967)</f>
        <v>3.0872999999999999</v>
      </c>
      <c r="L3379" s="81">
        <f>M3379/J3379</f>
        <v>595.15520000000004</v>
      </c>
      <c r="M3379" s="81">
        <f>SUMIF(E3380,"*",M3380)*J3379</f>
        <v>1190.3104000000001</v>
      </c>
      <c r="N3379" s="124">
        <f>HYPERLINK("#Трудозатраты!B758",Трудозатраты!B758+SUMIF(E3380,"*",O3380))</f>
        <v>17.75</v>
      </c>
      <c r="O3379" s="82">
        <f>N3379*J3379</f>
        <v>35.5</v>
      </c>
      <c r="P3379" s="81">
        <f>O3379/60*(1+запас_труд)*стоимость_трудочаса</f>
        <v>1390.4166666666667</v>
      </c>
      <c r="Q3379" s="129">
        <f>M3379*(1+наценка_покупное)+P3379</f>
        <v>2818.789146666667</v>
      </c>
    </row>
    <row r="3380" spans="4:17" hidden="1" outlineLevel="3" x14ac:dyDescent="0.25">
      <c r="E3380" s="74" t="s">
        <v>131</v>
      </c>
      <c r="F3380" s="74"/>
      <c r="G3380" s="74"/>
      <c r="H3380" s="75"/>
      <c r="I3380" s="76"/>
      <c r="J3380" s="78">
        <f>HYPERLINK("#Структура!E3058",Структура!E3058)</f>
        <v>3.7197200000000001</v>
      </c>
      <c r="K3380" s="114" t="str">
        <f>HYPERLINK("#Структура!G3058","")</f>
        <v/>
      </c>
      <c r="L3380" s="120">
        <f>HYPERLINK("#Покупные_изделия!D306",Покупные_изделия!D306)</f>
        <v>160</v>
      </c>
      <c r="M3380" s="76">
        <f>J3380*L3380</f>
        <v>595.15520000000004</v>
      </c>
      <c r="N3380" s="77"/>
      <c r="O3380" s="77"/>
      <c r="P3380" s="76"/>
      <c r="Q3380" s="76"/>
    </row>
    <row r="3381" spans="4:17" hidden="1" outlineLevel="2" collapsed="1" x14ac:dyDescent="0.25">
      <c r="D3381" s="84" t="s">
        <v>1479</v>
      </c>
      <c r="E3381" s="79"/>
      <c r="F3381" s="79"/>
      <c r="G3381" s="79"/>
      <c r="H3381" s="80"/>
      <c r="I3381" s="81"/>
      <c r="J3381" s="83">
        <f>HYPERLINK("#Структура!E2968",Структура!E2968)</f>
        <v>2</v>
      </c>
      <c r="K3381" s="115">
        <f>HYPERLINK("#Структура!G2968",Структура!G2968)</f>
        <v>3.6834199999999999</v>
      </c>
      <c r="L3381" s="81">
        <f>M3381/J3381</f>
        <v>757.134996</v>
      </c>
      <c r="M3381" s="81">
        <f>SUMIF(E3382:E3386,"*",M3382:M3386)*J3381</f>
        <v>1514.269992</v>
      </c>
      <c r="N3381" s="124">
        <f>HYPERLINK("#Трудозатраты!B759",Трудозатраты!B759+SUMIF(E3382:E3386,"*",O3382:O3386))</f>
        <v>8</v>
      </c>
      <c r="O3381" s="82">
        <f>N3381*J3381</f>
        <v>16</v>
      </c>
      <c r="P3381" s="81">
        <f>O3381/60*(1+запас_труд)*стоимость_трудочаса</f>
        <v>626.66666666666663</v>
      </c>
      <c r="Q3381" s="129">
        <f>M3381*(1+наценка_покупное)+P3381</f>
        <v>2443.7906570666664</v>
      </c>
    </row>
    <row r="3382" spans="4:17" hidden="1" outlineLevel="3" x14ac:dyDescent="0.25">
      <c r="E3382" s="74" t="s">
        <v>44</v>
      </c>
      <c r="F3382" s="74"/>
      <c r="G3382" s="74"/>
      <c r="H3382" s="75"/>
      <c r="I3382" s="76"/>
      <c r="J3382" s="78">
        <f>HYPERLINK("#Структура!E3059",Структура!E3059)</f>
        <v>8.5999999999999993E-2</v>
      </c>
      <c r="K3382" s="114" t="str">
        <f>HYPERLINK("#Структура!G3059","")</f>
        <v/>
      </c>
      <c r="L3382" s="120">
        <f>HYPERLINK("#Покупные_изделия!D63",Покупные_изделия!D63)</f>
        <v>396.00000000000006</v>
      </c>
      <c r="M3382" s="76">
        <f>J3382*L3382</f>
        <v>34.056000000000004</v>
      </c>
      <c r="N3382" s="77"/>
      <c r="O3382" s="77"/>
      <c r="P3382" s="76"/>
      <c r="Q3382" s="76"/>
    </row>
    <row r="3383" spans="4:17" hidden="1" outlineLevel="3" x14ac:dyDescent="0.25">
      <c r="E3383" s="74" t="s">
        <v>116</v>
      </c>
      <c r="F3383" s="74"/>
      <c r="G3383" s="74"/>
      <c r="H3383" s="75"/>
      <c r="I3383" s="76"/>
      <c r="J3383" s="78">
        <f>HYPERLINK("#Структура!E3060",Структура!E3060)</f>
        <v>5.71244</v>
      </c>
      <c r="K3383" s="114" t="str">
        <f>HYPERLINK("#Структура!G3060","")</f>
        <v/>
      </c>
      <c r="L3383" s="120">
        <f>HYPERLINK("#Покупные_изделия!D291",Покупные_изделия!D291)</f>
        <v>120</v>
      </c>
      <c r="M3383" s="76">
        <f>J3383*L3383</f>
        <v>685.49279999999999</v>
      </c>
      <c r="N3383" s="77"/>
      <c r="O3383" s="77"/>
      <c r="P3383" s="76"/>
      <c r="Q3383" s="76"/>
    </row>
    <row r="3384" spans="4:17" hidden="1" outlineLevel="3" x14ac:dyDescent="0.25">
      <c r="E3384" s="74" t="s">
        <v>139</v>
      </c>
      <c r="F3384" s="74"/>
      <c r="G3384" s="74"/>
      <c r="H3384" s="75"/>
      <c r="I3384" s="76"/>
      <c r="J3384" s="78">
        <f>HYPERLINK("#Структура!E3061",Структура!E3061)</f>
        <v>0.01</v>
      </c>
      <c r="K3384" s="114" t="str">
        <f>HYPERLINK("#Структура!G3061","")</f>
        <v/>
      </c>
      <c r="L3384" s="120">
        <f>HYPERLINK("#Покупные_изделия!D360",Покупные_изделия!D360)</f>
        <v>171.87720000000002</v>
      </c>
      <c r="M3384" s="76">
        <f>J3384*L3384</f>
        <v>1.7187720000000002</v>
      </c>
      <c r="N3384" s="77"/>
      <c r="O3384" s="77"/>
      <c r="P3384" s="76"/>
      <c r="Q3384" s="76"/>
    </row>
    <row r="3385" spans="4:17" hidden="1" outlineLevel="3" x14ac:dyDescent="0.25">
      <c r="E3385" s="74" t="s">
        <v>156</v>
      </c>
      <c r="F3385" s="74"/>
      <c r="G3385" s="74"/>
      <c r="H3385" s="75"/>
      <c r="I3385" s="76"/>
      <c r="J3385" s="78">
        <f>HYPERLINK("#Структура!E3062",Структура!E3062)</f>
        <v>5.1999999999999998E-2</v>
      </c>
      <c r="K3385" s="114" t="str">
        <f>HYPERLINK("#Структура!G3062","")</f>
        <v/>
      </c>
      <c r="L3385" s="120">
        <f>HYPERLINK("#Покупные_изделия!D427",Покупные_изделия!D427)</f>
        <v>155.53200000000001</v>
      </c>
      <c r="M3385" s="76">
        <f>J3385*L3385</f>
        <v>8.0876640000000002</v>
      </c>
      <c r="N3385" s="77"/>
      <c r="O3385" s="77"/>
      <c r="P3385" s="76"/>
      <c r="Q3385" s="76"/>
    </row>
    <row r="3386" spans="4:17" hidden="1" outlineLevel="3" x14ac:dyDescent="0.25">
      <c r="E3386" s="74" t="s">
        <v>202</v>
      </c>
      <c r="F3386" s="74"/>
      <c r="G3386" s="74"/>
      <c r="H3386" s="75"/>
      <c r="I3386" s="76"/>
      <c r="J3386" s="78">
        <f>HYPERLINK("#Структура!E3063",Структура!E3063)</f>
        <v>0.06</v>
      </c>
      <c r="K3386" s="114" t="str">
        <f>HYPERLINK("#Структура!G3063","")</f>
        <v/>
      </c>
      <c r="L3386" s="120">
        <f>HYPERLINK("#Покупные_изделия!D521",Покупные_изделия!D521)</f>
        <v>462.99599999999998</v>
      </c>
      <c r="M3386" s="76">
        <f>J3386*L3386</f>
        <v>27.77976</v>
      </c>
      <c r="N3386" s="77"/>
      <c r="O3386" s="77"/>
      <c r="P3386" s="76"/>
      <c r="Q3386" s="76"/>
    </row>
    <row r="3387" spans="4:17" hidden="1" outlineLevel="2" collapsed="1" x14ac:dyDescent="0.25">
      <c r="D3387" s="84" t="s">
        <v>1480</v>
      </c>
      <c r="E3387" s="79"/>
      <c r="F3387" s="79"/>
      <c r="G3387" s="79"/>
      <c r="H3387" s="80"/>
      <c r="I3387" s="81"/>
      <c r="J3387" s="83">
        <f>HYPERLINK("#Структура!E2969",Структура!E2969)</f>
        <v>1</v>
      </c>
      <c r="K3387" s="115">
        <f>HYPERLINK("#Структура!G2969",Структура!G2969)</f>
        <v>4.4265600000000003</v>
      </c>
      <c r="L3387" s="81">
        <f>M3387/J3387</f>
        <v>843.27839999999992</v>
      </c>
      <c r="M3387" s="81">
        <f>SUMIF(E3388,"*",M3388)*J3387</f>
        <v>843.27839999999992</v>
      </c>
      <c r="N3387" s="124">
        <f>HYPERLINK("#Трудозатраты!B760",Трудозатраты!B760+SUMIF(E3388,"*",O3388))</f>
        <v>17.75</v>
      </c>
      <c r="O3387" s="82">
        <f>N3387*J3387</f>
        <v>17.75</v>
      </c>
      <c r="P3387" s="81">
        <f>O3387/60*(1+запас_труд)*стоимость_трудочаса</f>
        <v>695.20833333333337</v>
      </c>
      <c r="Q3387" s="129">
        <f>M3387*(1+наценка_покупное)+P3387</f>
        <v>1707.1424133333333</v>
      </c>
    </row>
    <row r="3388" spans="4:17" hidden="1" outlineLevel="3" x14ac:dyDescent="0.25">
      <c r="E3388" s="74" t="s">
        <v>131</v>
      </c>
      <c r="F3388" s="74"/>
      <c r="G3388" s="74"/>
      <c r="H3388" s="75"/>
      <c r="I3388" s="76"/>
      <c r="J3388" s="78">
        <f>HYPERLINK("#Структура!E3064",Структура!E3064)</f>
        <v>5.2704899999999997</v>
      </c>
      <c r="K3388" s="114" t="str">
        <f>HYPERLINK("#Структура!G3064","")</f>
        <v/>
      </c>
      <c r="L3388" s="120">
        <f>HYPERLINK("#Покупные_изделия!D306",Покупные_изделия!D306)</f>
        <v>160</v>
      </c>
      <c r="M3388" s="76">
        <f>J3388*L3388</f>
        <v>843.27839999999992</v>
      </c>
      <c r="N3388" s="77"/>
      <c r="O3388" s="77"/>
      <c r="P3388" s="76"/>
      <c r="Q3388" s="76"/>
    </row>
    <row r="3389" spans="4:17" hidden="1" outlineLevel="2" collapsed="1" x14ac:dyDescent="0.25">
      <c r="D3389" s="84" t="s">
        <v>1481</v>
      </c>
      <c r="E3389" s="79"/>
      <c r="F3389" s="79"/>
      <c r="G3389" s="79"/>
      <c r="H3389" s="80"/>
      <c r="I3389" s="81"/>
      <c r="J3389" s="83">
        <f>HYPERLINK("#Структура!E2970",Структура!E2970)</f>
        <v>1</v>
      </c>
      <c r="K3389" s="115">
        <f>HYPERLINK("#Структура!G2970",Структура!G2970)</f>
        <v>4.4265600000000003</v>
      </c>
      <c r="L3389" s="81">
        <f>M3389/J3389</f>
        <v>843.27839999999992</v>
      </c>
      <c r="M3389" s="81">
        <f>SUMIF(E3390,"*",M3390)*J3389</f>
        <v>843.27839999999992</v>
      </c>
      <c r="N3389" s="124">
        <f>HYPERLINK("#Трудозатраты!B761",Трудозатраты!B761+SUMIF(E3390,"*",O3390))</f>
        <v>17.75</v>
      </c>
      <c r="O3389" s="82">
        <f>N3389*J3389</f>
        <v>17.75</v>
      </c>
      <c r="P3389" s="81">
        <f>O3389/60*(1+запас_труд)*стоимость_трудочаса</f>
        <v>695.20833333333337</v>
      </c>
      <c r="Q3389" s="129">
        <f>M3389*(1+наценка_покупное)+P3389</f>
        <v>1707.1424133333333</v>
      </c>
    </row>
    <row r="3390" spans="4:17" hidden="1" outlineLevel="3" x14ac:dyDescent="0.25">
      <c r="E3390" s="74" t="s">
        <v>131</v>
      </c>
      <c r="F3390" s="74"/>
      <c r="G3390" s="74"/>
      <c r="H3390" s="75"/>
      <c r="I3390" s="76"/>
      <c r="J3390" s="78">
        <f>HYPERLINK("#Структура!E3065",Структура!E3065)</f>
        <v>5.2704899999999997</v>
      </c>
      <c r="K3390" s="114" t="str">
        <f>HYPERLINK("#Структура!G3065","")</f>
        <v/>
      </c>
      <c r="L3390" s="120">
        <f>HYPERLINK("#Покупные_изделия!D306",Покупные_изделия!D306)</f>
        <v>160</v>
      </c>
      <c r="M3390" s="76">
        <f>J3390*L3390</f>
        <v>843.27839999999992</v>
      </c>
      <c r="N3390" s="77"/>
      <c r="O3390" s="77"/>
      <c r="P3390" s="76"/>
      <c r="Q3390" s="76"/>
    </row>
    <row r="3391" spans="4:17" hidden="1" outlineLevel="2" collapsed="1" x14ac:dyDescent="0.25">
      <c r="D3391" s="84" t="s">
        <v>1482</v>
      </c>
      <c r="E3391" s="79"/>
      <c r="F3391" s="79"/>
      <c r="G3391" s="79"/>
      <c r="H3391" s="80"/>
      <c r="I3391" s="81"/>
      <c r="J3391" s="83">
        <f>HYPERLINK("#Структура!E2971",Структура!E2971)</f>
        <v>1</v>
      </c>
      <c r="K3391" s="115">
        <f>HYPERLINK("#Структура!G2971",Структура!G2971)</f>
        <v>2.5636199999999998</v>
      </c>
      <c r="L3391" s="81">
        <f>M3391/J3391</f>
        <v>499.18399999999997</v>
      </c>
      <c r="M3391" s="81">
        <f>SUMIF(E3392,"*",M3392)*J3391</f>
        <v>499.18399999999997</v>
      </c>
      <c r="N3391" s="124">
        <f>HYPERLINK("#Трудозатраты!B762",Трудозатраты!B762+SUMIF(E3392,"*",O3392))</f>
        <v>17.75</v>
      </c>
      <c r="O3391" s="82">
        <f>N3391*J3391</f>
        <v>17.75</v>
      </c>
      <c r="P3391" s="81">
        <f>O3391/60*(1+запас_труд)*стоимость_трудочаса</f>
        <v>695.20833333333337</v>
      </c>
      <c r="Q3391" s="129">
        <f>M3391*(1+наценка_покупное)+P3391</f>
        <v>1294.2291333333333</v>
      </c>
    </row>
    <row r="3392" spans="4:17" hidden="1" outlineLevel="3" x14ac:dyDescent="0.25">
      <c r="E3392" s="74" t="s">
        <v>131</v>
      </c>
      <c r="F3392" s="74"/>
      <c r="G3392" s="74"/>
      <c r="H3392" s="75"/>
      <c r="I3392" s="76"/>
      <c r="J3392" s="78">
        <f>HYPERLINK("#Структура!E3066",Структура!E3066)</f>
        <v>3.1198999999999999</v>
      </c>
      <c r="K3392" s="114" t="str">
        <f>HYPERLINK("#Структура!G3066","")</f>
        <v/>
      </c>
      <c r="L3392" s="120">
        <f>HYPERLINK("#Покупные_изделия!D306",Покупные_изделия!D306)</f>
        <v>160</v>
      </c>
      <c r="M3392" s="76">
        <f>J3392*L3392</f>
        <v>499.18399999999997</v>
      </c>
      <c r="N3392" s="77"/>
      <c r="O3392" s="77"/>
      <c r="P3392" s="76"/>
      <c r="Q3392" s="76"/>
    </row>
    <row r="3393" spans="4:17" hidden="1" outlineLevel="2" collapsed="1" x14ac:dyDescent="0.25">
      <c r="D3393" s="84" t="s">
        <v>1483</v>
      </c>
      <c r="E3393" s="79"/>
      <c r="F3393" s="79"/>
      <c r="G3393" s="79"/>
      <c r="H3393" s="80"/>
      <c r="I3393" s="81"/>
      <c r="J3393" s="83">
        <f>HYPERLINK("#Структура!E2972",Структура!E2972)</f>
        <v>1</v>
      </c>
      <c r="K3393" s="115">
        <f>HYPERLINK("#Структура!G2972",Структура!G2972)</f>
        <v>2.5636199999999998</v>
      </c>
      <c r="L3393" s="81">
        <f>M3393/J3393</f>
        <v>499.18399999999997</v>
      </c>
      <c r="M3393" s="81">
        <f>SUMIF(E3394,"*",M3394)*J3393</f>
        <v>499.18399999999997</v>
      </c>
      <c r="N3393" s="124">
        <f>HYPERLINK("#Трудозатраты!B763",Трудозатраты!B763+SUMIF(E3394,"*",O3394))</f>
        <v>17.75</v>
      </c>
      <c r="O3393" s="82">
        <f>N3393*J3393</f>
        <v>17.75</v>
      </c>
      <c r="P3393" s="81">
        <f>O3393/60*(1+запас_труд)*стоимость_трудочаса</f>
        <v>695.20833333333337</v>
      </c>
      <c r="Q3393" s="129">
        <f>M3393*(1+наценка_покупное)+P3393</f>
        <v>1294.2291333333333</v>
      </c>
    </row>
    <row r="3394" spans="4:17" hidden="1" outlineLevel="3" x14ac:dyDescent="0.25">
      <c r="E3394" s="74" t="s">
        <v>131</v>
      </c>
      <c r="F3394" s="74"/>
      <c r="G3394" s="74"/>
      <c r="H3394" s="75"/>
      <c r="I3394" s="76"/>
      <c r="J3394" s="78">
        <f>HYPERLINK("#Структура!E3067",Структура!E3067)</f>
        <v>3.1198999999999999</v>
      </c>
      <c r="K3394" s="114" t="str">
        <f>HYPERLINK("#Структура!G3067","")</f>
        <v/>
      </c>
      <c r="L3394" s="120">
        <f>HYPERLINK("#Покупные_изделия!D306",Покупные_изделия!D306)</f>
        <v>160</v>
      </c>
      <c r="M3394" s="76">
        <f>J3394*L3394</f>
        <v>499.18399999999997</v>
      </c>
      <c r="N3394" s="77"/>
      <c r="O3394" s="77"/>
      <c r="P3394" s="76"/>
      <c r="Q3394" s="76"/>
    </row>
    <row r="3395" spans="4:17" hidden="1" outlineLevel="2" collapsed="1" x14ac:dyDescent="0.25">
      <c r="D3395" s="84" t="s">
        <v>1484</v>
      </c>
      <c r="E3395" s="79"/>
      <c r="F3395" s="79"/>
      <c r="G3395" s="79"/>
      <c r="H3395" s="80"/>
      <c r="I3395" s="81"/>
      <c r="J3395" s="83">
        <f>HYPERLINK("#Структура!E2973",Структура!E2973)</f>
        <v>1</v>
      </c>
      <c r="K3395" s="115">
        <f>HYPERLINK("#Структура!G2973",Структура!G2973)</f>
        <v>2.96347</v>
      </c>
      <c r="L3395" s="81">
        <f>M3395/J3395</f>
        <v>574.2432</v>
      </c>
      <c r="M3395" s="81">
        <f>SUMIF(E3396,"*",M3396)*J3395</f>
        <v>574.2432</v>
      </c>
      <c r="N3395" s="124">
        <f>HYPERLINK("#Трудозатраты!B764",Трудозатраты!B764+SUMIF(E3396,"*",O3396))</f>
        <v>17.75</v>
      </c>
      <c r="O3395" s="82">
        <f>N3395*J3395</f>
        <v>17.75</v>
      </c>
      <c r="P3395" s="81">
        <f>O3395/60*(1+запас_труд)*стоимость_трудочаса</f>
        <v>695.20833333333337</v>
      </c>
      <c r="Q3395" s="129">
        <f>M3395*(1+наценка_покупное)+P3395</f>
        <v>1384.3001733333333</v>
      </c>
    </row>
    <row r="3396" spans="4:17" hidden="1" outlineLevel="3" x14ac:dyDescent="0.25">
      <c r="E3396" s="74" t="s">
        <v>131</v>
      </c>
      <c r="F3396" s="74"/>
      <c r="G3396" s="74"/>
      <c r="H3396" s="75"/>
      <c r="I3396" s="76"/>
      <c r="J3396" s="78">
        <f>HYPERLINK("#Структура!E3068",Структура!E3068)</f>
        <v>3.5890200000000001</v>
      </c>
      <c r="K3396" s="114" t="str">
        <f>HYPERLINK("#Структура!G3068","")</f>
        <v/>
      </c>
      <c r="L3396" s="120">
        <f>HYPERLINK("#Покупные_изделия!D306",Покупные_изделия!D306)</f>
        <v>160</v>
      </c>
      <c r="M3396" s="76">
        <f>J3396*L3396</f>
        <v>574.2432</v>
      </c>
      <c r="N3396" s="77"/>
      <c r="O3396" s="77"/>
      <c r="P3396" s="76"/>
      <c r="Q3396" s="76"/>
    </row>
    <row r="3397" spans="4:17" hidden="1" outlineLevel="2" collapsed="1" x14ac:dyDescent="0.25">
      <c r="D3397" s="84" t="s">
        <v>1485</v>
      </c>
      <c r="E3397" s="79"/>
      <c r="F3397" s="79"/>
      <c r="G3397" s="79"/>
      <c r="H3397" s="80"/>
      <c r="I3397" s="81"/>
      <c r="J3397" s="83">
        <f>HYPERLINK("#Структура!E2974",Структура!E2974)</f>
        <v>1</v>
      </c>
      <c r="K3397" s="115">
        <f>HYPERLINK("#Структура!G2974",Структура!G2974)</f>
        <v>2.96347</v>
      </c>
      <c r="L3397" s="81">
        <f>M3397/J3397</f>
        <v>574.2432</v>
      </c>
      <c r="M3397" s="81">
        <f>SUMIF(E3398,"*",M3398)*J3397</f>
        <v>574.2432</v>
      </c>
      <c r="N3397" s="124">
        <f>HYPERLINK("#Трудозатраты!B765",Трудозатраты!B765+SUMIF(E3398,"*",O3398))</f>
        <v>17.75</v>
      </c>
      <c r="O3397" s="82">
        <f>N3397*J3397</f>
        <v>17.75</v>
      </c>
      <c r="P3397" s="81">
        <f>O3397/60*(1+запас_труд)*стоимость_трудочаса</f>
        <v>695.20833333333337</v>
      </c>
      <c r="Q3397" s="129">
        <f>M3397*(1+наценка_покупное)+P3397</f>
        <v>1384.3001733333333</v>
      </c>
    </row>
    <row r="3398" spans="4:17" hidden="1" outlineLevel="3" x14ac:dyDescent="0.25">
      <c r="E3398" s="74" t="s">
        <v>131</v>
      </c>
      <c r="F3398" s="74"/>
      <c r="G3398" s="74"/>
      <c r="H3398" s="75"/>
      <c r="I3398" s="76"/>
      <c r="J3398" s="78">
        <f>HYPERLINK("#Структура!E3069",Структура!E3069)</f>
        <v>3.5890200000000001</v>
      </c>
      <c r="K3398" s="114" t="str">
        <f>HYPERLINK("#Структура!G3069","")</f>
        <v/>
      </c>
      <c r="L3398" s="120">
        <f>HYPERLINK("#Покупные_изделия!D306",Покупные_изделия!D306)</f>
        <v>160</v>
      </c>
      <c r="M3398" s="76">
        <f>J3398*L3398</f>
        <v>574.2432</v>
      </c>
      <c r="N3398" s="77"/>
      <c r="O3398" s="77"/>
      <c r="P3398" s="76"/>
      <c r="Q3398" s="76"/>
    </row>
    <row r="3399" spans="4:17" hidden="1" outlineLevel="2" collapsed="1" x14ac:dyDescent="0.25">
      <c r="D3399" s="84" t="s">
        <v>1486</v>
      </c>
      <c r="E3399" s="79"/>
      <c r="F3399" s="79"/>
      <c r="G3399" s="79"/>
      <c r="H3399" s="80"/>
      <c r="I3399" s="81"/>
      <c r="J3399" s="83">
        <f>HYPERLINK("#Структура!E2975",Структура!E2975)</f>
        <v>2</v>
      </c>
      <c r="K3399" s="115">
        <f>HYPERLINK("#Структура!G2975",Структура!G2975)</f>
        <v>2.5034100000000001</v>
      </c>
      <c r="L3399" s="81">
        <f>M3399/J3399</f>
        <v>473.41119999999995</v>
      </c>
      <c r="M3399" s="81">
        <f>SUMIF(E3400,"*",M3400)*J3399</f>
        <v>946.8223999999999</v>
      </c>
      <c r="N3399" s="124">
        <f>HYPERLINK("#Трудозатраты!B766",Трудозатраты!B766+SUMIF(E3400,"*",O3400))</f>
        <v>15.1</v>
      </c>
      <c r="O3399" s="82">
        <f>N3399*J3399</f>
        <v>30.2</v>
      </c>
      <c r="P3399" s="81">
        <f>O3399/60*(1+запас_труд)*стоимость_трудочаса</f>
        <v>1182.8333333333333</v>
      </c>
      <c r="Q3399" s="129">
        <f>M3399*(1+наценка_покупное)+P3399</f>
        <v>2319.0202133333332</v>
      </c>
    </row>
    <row r="3400" spans="4:17" hidden="1" outlineLevel="3" x14ac:dyDescent="0.25">
      <c r="E3400" s="74" t="s">
        <v>131</v>
      </c>
      <c r="F3400" s="74"/>
      <c r="G3400" s="74"/>
      <c r="H3400" s="75"/>
      <c r="I3400" s="76"/>
      <c r="J3400" s="78">
        <f>HYPERLINK("#Структура!E3070",Структура!E3070)</f>
        <v>2.9588199999999998</v>
      </c>
      <c r="K3400" s="114" t="str">
        <f>HYPERLINK("#Структура!G3070","")</f>
        <v/>
      </c>
      <c r="L3400" s="120">
        <f>HYPERLINK("#Покупные_изделия!D306",Покупные_изделия!D306)</f>
        <v>160</v>
      </c>
      <c r="M3400" s="76">
        <f>J3400*L3400</f>
        <v>473.41119999999995</v>
      </c>
      <c r="N3400" s="77"/>
      <c r="O3400" s="77"/>
      <c r="P3400" s="76"/>
      <c r="Q3400" s="76"/>
    </row>
    <row r="3401" spans="4:17" hidden="1" outlineLevel="2" collapsed="1" x14ac:dyDescent="0.25">
      <c r="D3401" s="84" t="s">
        <v>1487</v>
      </c>
      <c r="E3401" s="79"/>
      <c r="F3401" s="79"/>
      <c r="G3401" s="79"/>
      <c r="H3401" s="80"/>
      <c r="I3401" s="81"/>
      <c r="J3401" s="83">
        <f>HYPERLINK("#Структура!E2976",Структура!E2976)</f>
        <v>1</v>
      </c>
      <c r="K3401" s="115">
        <f>HYPERLINK("#Структура!G2976",Структура!G2976)</f>
        <v>2.9075099999999998</v>
      </c>
      <c r="L3401" s="81">
        <f>M3401/J3401</f>
        <v>549.37440000000004</v>
      </c>
      <c r="M3401" s="81">
        <f>SUMIF(E3402,"*",M3402)*J3401</f>
        <v>549.37440000000004</v>
      </c>
      <c r="N3401" s="124">
        <f>HYPERLINK("#Трудозатраты!B767",Трудозатраты!B767+SUMIF(E3402,"*",O3402))</f>
        <v>15.1</v>
      </c>
      <c r="O3401" s="82">
        <f>N3401*J3401</f>
        <v>15.1</v>
      </c>
      <c r="P3401" s="81">
        <f>O3401/60*(1+запас_труд)*стоимость_трудочаса</f>
        <v>591.41666666666663</v>
      </c>
      <c r="Q3401" s="129">
        <f>M3401*(1+наценка_покупное)+P3401</f>
        <v>1250.6659466666665</v>
      </c>
    </row>
    <row r="3402" spans="4:17" hidden="1" outlineLevel="3" x14ac:dyDescent="0.25">
      <c r="E3402" s="74" t="s">
        <v>131</v>
      </c>
      <c r="F3402" s="74"/>
      <c r="G3402" s="74"/>
      <c r="H3402" s="75"/>
      <c r="I3402" s="76"/>
      <c r="J3402" s="78">
        <f>HYPERLINK("#Структура!E3071",Структура!E3071)</f>
        <v>3.4335900000000001</v>
      </c>
      <c r="K3402" s="114" t="str">
        <f>HYPERLINK("#Структура!G3071","")</f>
        <v/>
      </c>
      <c r="L3402" s="120">
        <f>HYPERLINK("#Покупные_изделия!D306",Покупные_изделия!D306)</f>
        <v>160</v>
      </c>
      <c r="M3402" s="76">
        <f>J3402*L3402</f>
        <v>549.37440000000004</v>
      </c>
      <c r="N3402" s="77"/>
      <c r="O3402" s="77"/>
      <c r="P3402" s="76"/>
      <c r="Q3402" s="76"/>
    </row>
    <row r="3403" spans="4:17" hidden="1" outlineLevel="2" collapsed="1" x14ac:dyDescent="0.25">
      <c r="D3403" s="84" t="s">
        <v>1488</v>
      </c>
      <c r="E3403" s="79"/>
      <c r="F3403" s="79"/>
      <c r="G3403" s="79"/>
      <c r="H3403" s="80"/>
      <c r="I3403" s="81"/>
      <c r="J3403" s="83">
        <f>HYPERLINK("#Структура!E2977",Структура!E2977)</f>
        <v>2</v>
      </c>
      <c r="K3403" s="115">
        <f>HYPERLINK("#Структура!G2977",Структура!G2977)</f>
        <v>10.255559999999999</v>
      </c>
      <c r="L3403" s="81">
        <f>M3403/J3403</f>
        <v>2816.9567999999999</v>
      </c>
      <c r="M3403" s="81">
        <f>SUMIF(E3404,"*",M3404)*J3403</f>
        <v>5633.9135999999999</v>
      </c>
      <c r="N3403" s="124">
        <f>HYPERLINK("#Трудозатраты!B768",Трудозатраты!B768+SUMIF(E3404,"*",O3404))</f>
        <v>69.275000000000006</v>
      </c>
      <c r="O3403" s="82">
        <f>N3403*J3403</f>
        <v>138.55000000000001</v>
      </c>
      <c r="P3403" s="81">
        <f>O3403/60*(1+запас_труд)*стоимость_трудочаса</f>
        <v>5426.5416666666679</v>
      </c>
      <c r="Q3403" s="129">
        <f>M3403*(1+наценка_покупное)+P3403</f>
        <v>12187.237986666667</v>
      </c>
    </row>
    <row r="3404" spans="4:17" hidden="1" outlineLevel="3" x14ac:dyDescent="0.25">
      <c r="E3404" s="74" t="s">
        <v>130</v>
      </c>
      <c r="F3404" s="74"/>
      <c r="G3404" s="74"/>
      <c r="H3404" s="75"/>
      <c r="I3404" s="76"/>
      <c r="J3404" s="78">
        <f>HYPERLINK("#Структура!E3072",Структура!E3072)</f>
        <v>17.605979999999999</v>
      </c>
      <c r="K3404" s="114" t="str">
        <f>HYPERLINK("#Структура!G3072","")</f>
        <v/>
      </c>
      <c r="L3404" s="120">
        <f>HYPERLINK("#Покупные_изделия!D305",Покупные_изделия!D305)</f>
        <v>160</v>
      </c>
      <c r="M3404" s="76">
        <f>J3404*L3404</f>
        <v>2816.9567999999999</v>
      </c>
      <c r="N3404" s="77"/>
      <c r="O3404" s="77"/>
      <c r="P3404" s="76"/>
      <c r="Q3404" s="76"/>
    </row>
    <row r="3405" spans="4:17" hidden="1" outlineLevel="2" collapsed="1" x14ac:dyDescent="0.25">
      <c r="D3405" s="84" t="s">
        <v>1489</v>
      </c>
      <c r="E3405" s="79"/>
      <c r="F3405" s="79"/>
      <c r="G3405" s="79"/>
      <c r="H3405" s="80"/>
      <c r="I3405" s="81"/>
      <c r="J3405" s="83">
        <f>HYPERLINK("#Структура!E2978",Структура!E2978)</f>
        <v>1</v>
      </c>
      <c r="K3405" s="115">
        <f>HYPERLINK("#Структура!G2978",Структура!G2978)</f>
        <v>5.1758499999999996</v>
      </c>
      <c r="L3405" s="81">
        <f>M3405/J3405</f>
        <v>1048.7632000000001</v>
      </c>
      <c r="M3405" s="81">
        <f>SUMIF(E3406,"*",M3406)*J3405</f>
        <v>1048.7632000000001</v>
      </c>
      <c r="N3405" s="124">
        <f>HYPERLINK("#Трудозатраты!B769",Трудозатраты!B769+SUMIF(E3406,"*",O3406))</f>
        <v>17</v>
      </c>
      <c r="O3405" s="82">
        <f>N3405*J3405</f>
        <v>17</v>
      </c>
      <c r="P3405" s="81">
        <f>O3405/60*(1+запас_труд)*стоимость_трудочаса</f>
        <v>665.83333333333337</v>
      </c>
      <c r="Q3405" s="129">
        <f>M3405*(1+наценка_покупное)+P3405</f>
        <v>1924.3491733333335</v>
      </c>
    </row>
    <row r="3406" spans="4:17" hidden="1" outlineLevel="3" x14ac:dyDescent="0.25">
      <c r="E3406" s="74" t="s">
        <v>131</v>
      </c>
      <c r="F3406" s="74"/>
      <c r="G3406" s="74"/>
      <c r="H3406" s="75"/>
      <c r="I3406" s="76"/>
      <c r="J3406" s="78">
        <f>HYPERLINK("#Структура!E3073",Структура!E3073)</f>
        <v>6.5547700000000004</v>
      </c>
      <c r="K3406" s="114" t="str">
        <f>HYPERLINK("#Структура!G3073","")</f>
        <v/>
      </c>
      <c r="L3406" s="120">
        <f>HYPERLINK("#Покупные_изделия!D306",Покупные_изделия!D306)</f>
        <v>160</v>
      </c>
      <c r="M3406" s="76">
        <f>J3406*L3406</f>
        <v>1048.7632000000001</v>
      </c>
      <c r="N3406" s="77"/>
      <c r="O3406" s="77"/>
      <c r="P3406" s="76"/>
      <c r="Q3406" s="76"/>
    </row>
    <row r="3407" spans="4:17" hidden="1" outlineLevel="2" collapsed="1" x14ac:dyDescent="0.25">
      <c r="D3407" s="84" t="s">
        <v>1490</v>
      </c>
      <c r="E3407" s="79"/>
      <c r="F3407" s="79"/>
      <c r="G3407" s="79"/>
      <c r="H3407" s="80"/>
      <c r="I3407" s="81"/>
      <c r="J3407" s="83">
        <f>HYPERLINK("#Структура!E2979",Структура!E2979)</f>
        <v>2</v>
      </c>
      <c r="K3407" s="115">
        <f>HYPERLINK("#Структура!G2979",Структура!G2979)</f>
        <v>6.0571400000000004</v>
      </c>
      <c r="L3407" s="81">
        <f>M3407/J3407</f>
        <v>1649.9312</v>
      </c>
      <c r="M3407" s="81">
        <f>SUMIF(E3408,"*",M3408)*J3407</f>
        <v>3299.8624</v>
      </c>
      <c r="N3407" s="124">
        <f>HYPERLINK("#Трудозатраты!B770",Трудозатраты!B770+SUMIF(E3408,"*",O3408))</f>
        <v>54.085000000000001</v>
      </c>
      <c r="O3407" s="82">
        <f>N3407*J3407</f>
        <v>108.17</v>
      </c>
      <c r="P3407" s="81">
        <f>O3407/60*(1+запас_труд)*стоимость_трудочаса</f>
        <v>4236.6583333333328</v>
      </c>
      <c r="Q3407" s="129">
        <f>M3407*(1+наценка_покупное)+P3407</f>
        <v>8196.4932133333332</v>
      </c>
    </row>
    <row r="3408" spans="4:17" hidden="1" outlineLevel="3" x14ac:dyDescent="0.25">
      <c r="E3408" s="74" t="s">
        <v>130</v>
      </c>
      <c r="F3408" s="74"/>
      <c r="G3408" s="74"/>
      <c r="H3408" s="75"/>
      <c r="I3408" s="76"/>
      <c r="J3408" s="78">
        <f>HYPERLINK("#Структура!E3074",Структура!E3074)</f>
        <v>10.31207</v>
      </c>
      <c r="K3408" s="114" t="str">
        <f>HYPERLINK("#Структура!G3074","")</f>
        <v/>
      </c>
      <c r="L3408" s="120">
        <f>HYPERLINK("#Покупные_изделия!D305",Покупные_изделия!D305)</f>
        <v>160</v>
      </c>
      <c r="M3408" s="76">
        <f>J3408*L3408</f>
        <v>1649.9312</v>
      </c>
      <c r="N3408" s="77"/>
      <c r="O3408" s="77"/>
      <c r="P3408" s="76"/>
      <c r="Q3408" s="76"/>
    </row>
    <row r="3409" spans="4:17" hidden="1" outlineLevel="2" collapsed="1" x14ac:dyDescent="0.25">
      <c r="D3409" s="84" t="s">
        <v>1491</v>
      </c>
      <c r="E3409" s="79"/>
      <c r="F3409" s="79"/>
      <c r="G3409" s="79"/>
      <c r="H3409" s="80"/>
      <c r="I3409" s="81"/>
      <c r="J3409" s="83">
        <f>HYPERLINK("#Структура!E2980",Структура!E2980)</f>
        <v>3</v>
      </c>
      <c r="K3409" s="115">
        <f>HYPERLINK("#Структура!G2980",Структура!G2980)</f>
        <v>9.3829999999999997E-2</v>
      </c>
      <c r="L3409" s="81">
        <f>M3409/J3409</f>
        <v>20.827200000000001</v>
      </c>
      <c r="M3409" s="81">
        <f>SUMIF(E3410,"*",M3410)*J3409</f>
        <v>62.4816</v>
      </c>
      <c r="N3409" s="124">
        <f>HYPERLINK("#Трудозатраты!B771",Трудозатраты!B771+SUMIF(E3410,"*",O3410))</f>
        <v>8.1</v>
      </c>
      <c r="O3409" s="82">
        <f>N3409*J3409</f>
        <v>24.299999999999997</v>
      </c>
      <c r="P3409" s="81">
        <f>O3409/60*(1+запас_труд)*стоимость_трудочаса</f>
        <v>951.74999999999989</v>
      </c>
      <c r="Q3409" s="129">
        <f>M3409*(1+наценка_покупное)+P3409</f>
        <v>1026.7279199999998</v>
      </c>
    </row>
    <row r="3410" spans="4:17" hidden="1" outlineLevel="3" x14ac:dyDescent="0.25">
      <c r="E3410" s="74" t="s">
        <v>131</v>
      </c>
      <c r="F3410" s="74"/>
      <c r="G3410" s="74"/>
      <c r="H3410" s="75"/>
      <c r="I3410" s="76"/>
      <c r="J3410" s="78">
        <f>HYPERLINK("#Структура!E3075",Структура!E3075)</f>
        <v>0.13017000000000001</v>
      </c>
      <c r="K3410" s="114" t="str">
        <f>HYPERLINK("#Структура!G3075","")</f>
        <v/>
      </c>
      <c r="L3410" s="120">
        <f>HYPERLINK("#Покупные_изделия!D306",Покупные_изделия!D306)</f>
        <v>160</v>
      </c>
      <c r="M3410" s="76">
        <f>J3410*L3410</f>
        <v>20.827200000000001</v>
      </c>
      <c r="N3410" s="77"/>
      <c r="O3410" s="77"/>
      <c r="P3410" s="76"/>
      <c r="Q3410" s="76"/>
    </row>
    <row r="3411" spans="4:17" hidden="1" outlineLevel="2" collapsed="1" x14ac:dyDescent="0.25">
      <c r="D3411" s="84" t="s">
        <v>1492</v>
      </c>
      <c r="E3411" s="79"/>
      <c r="F3411" s="79"/>
      <c r="G3411" s="79"/>
      <c r="H3411" s="80"/>
      <c r="I3411" s="81"/>
      <c r="J3411" s="83">
        <f>HYPERLINK("#Структура!E2981",Структура!E2981)</f>
        <v>1</v>
      </c>
      <c r="K3411" s="115">
        <f>HYPERLINK("#Структура!G2981",Структура!G2981)</f>
        <v>5.9099000000000004</v>
      </c>
      <c r="L3411" s="81">
        <f>M3411/J3411</f>
        <v>1501.6239999999998</v>
      </c>
      <c r="M3411" s="81">
        <f>SUMIF(E3412,"*",M3412)*J3411</f>
        <v>1501.6239999999998</v>
      </c>
      <c r="N3411" s="124">
        <f>HYPERLINK("#Трудозатраты!B772",Трудозатраты!B772+SUMIF(E3412,"*",O3412))</f>
        <v>50.305</v>
      </c>
      <c r="O3411" s="82">
        <f>N3411*J3411</f>
        <v>50.305</v>
      </c>
      <c r="P3411" s="81">
        <f>O3411/60*(1+запас_труд)*стоимость_трудочаса</f>
        <v>1970.2791666666667</v>
      </c>
      <c r="Q3411" s="129">
        <f>M3411*(1+наценка_покупное)+P3411</f>
        <v>3772.2279666666664</v>
      </c>
    </row>
    <row r="3412" spans="4:17" hidden="1" outlineLevel="3" x14ac:dyDescent="0.25">
      <c r="E3412" s="74" t="s">
        <v>130</v>
      </c>
      <c r="F3412" s="74"/>
      <c r="G3412" s="74"/>
      <c r="H3412" s="75"/>
      <c r="I3412" s="76"/>
      <c r="J3412" s="78">
        <f>HYPERLINK("#Структура!E3076",Структура!E3076)</f>
        <v>9.3851499999999994</v>
      </c>
      <c r="K3412" s="114" t="str">
        <f>HYPERLINK("#Структура!G3076","")</f>
        <v/>
      </c>
      <c r="L3412" s="120">
        <f>HYPERLINK("#Покупные_изделия!D305",Покупные_изделия!D305)</f>
        <v>160</v>
      </c>
      <c r="M3412" s="76">
        <f>J3412*L3412</f>
        <v>1501.6239999999998</v>
      </c>
      <c r="N3412" s="77"/>
      <c r="O3412" s="77"/>
      <c r="P3412" s="76"/>
      <c r="Q3412" s="76"/>
    </row>
    <row r="3413" spans="4:17" hidden="1" outlineLevel="2" collapsed="1" x14ac:dyDescent="0.25">
      <c r="D3413" s="84" t="s">
        <v>1493</v>
      </c>
      <c r="E3413" s="79"/>
      <c r="F3413" s="79"/>
      <c r="G3413" s="79"/>
      <c r="H3413" s="80"/>
      <c r="I3413" s="81"/>
      <c r="J3413" s="83">
        <f>HYPERLINK("#Структура!E2982",Структура!E2982)</f>
        <v>1</v>
      </c>
      <c r="K3413" s="115">
        <f>HYPERLINK("#Структура!G2982",Структура!G2982)</f>
        <v>2.9692799999999999</v>
      </c>
      <c r="L3413" s="81">
        <f>M3413/J3413</f>
        <v>582.54079999999999</v>
      </c>
      <c r="M3413" s="81">
        <f>SUMIF(E3414,"*",M3414)*J3413</f>
        <v>582.54079999999999</v>
      </c>
      <c r="N3413" s="124">
        <f>HYPERLINK("#Трудозатраты!B773",Трудозатраты!B773+SUMIF(E3414,"*",O3414))</f>
        <v>13.35</v>
      </c>
      <c r="O3413" s="82">
        <f>N3413*J3413</f>
        <v>13.35</v>
      </c>
      <c r="P3413" s="81">
        <f>O3413/60*(1+запас_труд)*стоимость_трудочаса</f>
        <v>522.875</v>
      </c>
      <c r="Q3413" s="129">
        <f>M3413*(1+наценка_покупное)+P3413</f>
        <v>1221.9239600000001</v>
      </c>
    </row>
    <row r="3414" spans="4:17" hidden="1" outlineLevel="3" x14ac:dyDescent="0.25">
      <c r="E3414" s="74" t="s">
        <v>131</v>
      </c>
      <c r="F3414" s="74"/>
      <c r="G3414" s="74"/>
      <c r="H3414" s="75"/>
      <c r="I3414" s="76"/>
      <c r="J3414" s="78">
        <f>HYPERLINK("#Структура!E3077",Структура!E3077)</f>
        <v>3.6408800000000001</v>
      </c>
      <c r="K3414" s="114" t="str">
        <f>HYPERLINK("#Структура!G3077","")</f>
        <v/>
      </c>
      <c r="L3414" s="120">
        <f>HYPERLINK("#Покупные_изделия!D306",Покупные_изделия!D306)</f>
        <v>160</v>
      </c>
      <c r="M3414" s="76">
        <f>J3414*L3414</f>
        <v>582.54079999999999</v>
      </c>
      <c r="N3414" s="77"/>
      <c r="O3414" s="77"/>
      <c r="P3414" s="76"/>
      <c r="Q3414" s="76"/>
    </row>
    <row r="3415" spans="4:17" hidden="1" outlineLevel="2" collapsed="1" x14ac:dyDescent="0.25">
      <c r="D3415" s="84" t="s">
        <v>1494</v>
      </c>
      <c r="E3415" s="79"/>
      <c r="F3415" s="79"/>
      <c r="G3415" s="79"/>
      <c r="H3415" s="80"/>
      <c r="I3415" s="81"/>
      <c r="J3415" s="83">
        <f>HYPERLINK("#Структура!E2983",Структура!E2983)</f>
        <v>1</v>
      </c>
      <c r="K3415" s="115">
        <f>HYPERLINK("#Структура!G2983",Структура!G2983)</f>
        <v>2.11591</v>
      </c>
      <c r="L3415" s="81">
        <f>M3415/J3415</f>
        <v>540.93439999999998</v>
      </c>
      <c r="M3415" s="81">
        <f>SUMIF(E3416,"*",M3416)*J3415</f>
        <v>540.93439999999998</v>
      </c>
      <c r="N3415" s="124">
        <f>HYPERLINK("#Трудозатраты!B774",Трудозатраты!B774+SUMIF(E3416,"*",O3416))</f>
        <v>41.1</v>
      </c>
      <c r="O3415" s="82">
        <f>N3415*J3415</f>
        <v>41.1</v>
      </c>
      <c r="P3415" s="81">
        <f>O3415/60*(1+запас_труд)*стоимость_трудочаса</f>
        <v>1609.7500000000002</v>
      </c>
      <c r="Q3415" s="129">
        <f>M3415*(1+наценка_покупное)+P3415</f>
        <v>2258.8712800000003</v>
      </c>
    </row>
    <row r="3416" spans="4:17" hidden="1" outlineLevel="3" x14ac:dyDescent="0.25">
      <c r="E3416" s="74" t="s">
        <v>130</v>
      </c>
      <c r="F3416" s="74"/>
      <c r="G3416" s="74"/>
      <c r="H3416" s="75"/>
      <c r="I3416" s="76"/>
      <c r="J3416" s="78">
        <f>HYPERLINK("#Структура!E3078",Структура!E3078)</f>
        <v>3.3808400000000001</v>
      </c>
      <c r="K3416" s="114" t="str">
        <f>HYPERLINK("#Структура!G3078","")</f>
        <v/>
      </c>
      <c r="L3416" s="120">
        <f>HYPERLINK("#Покупные_изделия!D305",Покупные_изделия!D305)</f>
        <v>160</v>
      </c>
      <c r="M3416" s="76">
        <f>J3416*L3416</f>
        <v>540.93439999999998</v>
      </c>
      <c r="N3416" s="77"/>
      <c r="O3416" s="77"/>
      <c r="P3416" s="76"/>
      <c r="Q3416" s="76"/>
    </row>
    <row r="3417" spans="4:17" hidden="1" outlineLevel="2" collapsed="1" x14ac:dyDescent="0.25">
      <c r="D3417" s="84" t="s">
        <v>1495</v>
      </c>
      <c r="E3417" s="79"/>
      <c r="F3417" s="79"/>
      <c r="G3417" s="79"/>
      <c r="H3417" s="80"/>
      <c r="I3417" s="81"/>
      <c r="J3417" s="83">
        <f>HYPERLINK("#Структура!E2984",Структура!E2984)</f>
        <v>2</v>
      </c>
      <c r="K3417" s="115">
        <f>HYPERLINK("#Структура!G2984",Структура!G2984)</f>
        <v>3.6627000000000001</v>
      </c>
      <c r="L3417" s="81">
        <f>M3417/J3417</f>
        <v>1005.4224</v>
      </c>
      <c r="M3417" s="81">
        <f>SUMIF(E3418,"*",M3418)*J3417</f>
        <v>2010.8448000000001</v>
      </c>
      <c r="N3417" s="124">
        <f>HYPERLINK("#Трудозатраты!B775",Трудозатраты!B775+SUMIF(E3418,"*",O3418))</f>
        <v>44.11</v>
      </c>
      <c r="O3417" s="82">
        <f>N3417*J3417</f>
        <v>88.22</v>
      </c>
      <c r="P3417" s="81">
        <f>O3417/60*(1+запас_труд)*стоимость_трудочаса</f>
        <v>3455.2833333333333</v>
      </c>
      <c r="Q3417" s="129">
        <f>M3417*(1+наценка_покупное)+P3417</f>
        <v>5868.2970933333327</v>
      </c>
    </row>
    <row r="3418" spans="4:17" hidden="1" outlineLevel="3" x14ac:dyDescent="0.25">
      <c r="E3418" s="74" t="s">
        <v>130</v>
      </c>
      <c r="F3418" s="74"/>
      <c r="G3418" s="74"/>
      <c r="H3418" s="75"/>
      <c r="I3418" s="76"/>
      <c r="J3418" s="78">
        <f>HYPERLINK("#Структура!E3079",Структура!E3079)</f>
        <v>6.2838900000000004</v>
      </c>
      <c r="K3418" s="114" t="str">
        <f>HYPERLINK("#Структура!G3079","")</f>
        <v/>
      </c>
      <c r="L3418" s="120">
        <f>HYPERLINK("#Покупные_изделия!D305",Покупные_изделия!D305)</f>
        <v>160</v>
      </c>
      <c r="M3418" s="76">
        <f>J3418*L3418</f>
        <v>1005.4224</v>
      </c>
      <c r="N3418" s="77"/>
      <c r="O3418" s="77"/>
      <c r="P3418" s="76"/>
      <c r="Q3418" s="76"/>
    </row>
    <row r="3419" spans="4:17" hidden="1" outlineLevel="2" collapsed="1" x14ac:dyDescent="0.25">
      <c r="D3419" s="84" t="s">
        <v>1496</v>
      </c>
      <c r="E3419" s="79"/>
      <c r="F3419" s="79"/>
      <c r="G3419" s="79"/>
      <c r="H3419" s="80"/>
      <c r="I3419" s="81"/>
      <c r="J3419" s="83">
        <f>HYPERLINK("#Структура!E2985",Структура!E2985)</f>
        <v>1</v>
      </c>
      <c r="K3419" s="115">
        <f>HYPERLINK("#Структура!G2985",Структура!G2985)</f>
        <v>1.30003</v>
      </c>
      <c r="L3419" s="81">
        <f>M3419/J3419</f>
        <v>279.79679999999996</v>
      </c>
      <c r="M3419" s="81">
        <f>SUMIF(E3420,"*",M3420)*J3419</f>
        <v>279.79679999999996</v>
      </c>
      <c r="N3419" s="124">
        <f>HYPERLINK("#Трудозатраты!B776",Трудозатраты!B776+SUMIF(E3420,"*",O3420))</f>
        <v>9.85</v>
      </c>
      <c r="O3419" s="82">
        <f>N3419*J3419</f>
        <v>9.85</v>
      </c>
      <c r="P3419" s="81">
        <f>O3419/60*(1+запас_труд)*стоимость_трудочаса</f>
        <v>385.79166666666663</v>
      </c>
      <c r="Q3419" s="129">
        <f>M3419*(1+наценка_покупное)+P3419</f>
        <v>721.54782666666665</v>
      </c>
    </row>
    <row r="3420" spans="4:17" hidden="1" outlineLevel="3" x14ac:dyDescent="0.25">
      <c r="E3420" s="74" t="s">
        <v>131</v>
      </c>
      <c r="F3420" s="74"/>
      <c r="G3420" s="74"/>
      <c r="H3420" s="75"/>
      <c r="I3420" s="76"/>
      <c r="J3420" s="78">
        <f>HYPERLINK("#Структура!E3080",Структура!E3080)</f>
        <v>1.7487299999999999</v>
      </c>
      <c r="K3420" s="114" t="str">
        <f>HYPERLINK("#Структура!G3080","")</f>
        <v/>
      </c>
      <c r="L3420" s="120">
        <f>HYPERLINK("#Покупные_изделия!D306",Покупные_изделия!D306)</f>
        <v>160</v>
      </c>
      <c r="M3420" s="76">
        <f>J3420*L3420</f>
        <v>279.79679999999996</v>
      </c>
      <c r="N3420" s="77"/>
      <c r="O3420" s="77"/>
      <c r="P3420" s="76"/>
      <c r="Q3420" s="76"/>
    </row>
    <row r="3421" spans="4:17" hidden="1" outlineLevel="2" collapsed="1" x14ac:dyDescent="0.25">
      <c r="D3421" s="84" t="s">
        <v>1497</v>
      </c>
      <c r="E3421" s="79"/>
      <c r="F3421" s="79"/>
      <c r="G3421" s="79"/>
      <c r="H3421" s="80"/>
      <c r="I3421" s="81"/>
      <c r="J3421" s="83">
        <f>HYPERLINK("#Структура!E2986",Структура!E2986)</f>
        <v>1</v>
      </c>
      <c r="K3421" s="115">
        <f>HYPERLINK("#Структура!G2986",Структура!G2986)</f>
        <v>1.83189</v>
      </c>
      <c r="L3421" s="81">
        <f>M3421/J3421</f>
        <v>351.27360000000004</v>
      </c>
      <c r="M3421" s="81">
        <f>SUMIF(E3422,"*",M3422)*J3421</f>
        <v>351.27360000000004</v>
      </c>
      <c r="N3421" s="124">
        <f>HYPERLINK("#Трудозатраты!B777",Трудозатраты!B777+SUMIF(E3422,"*",O3422))</f>
        <v>11.6</v>
      </c>
      <c r="O3421" s="82">
        <f>N3421*J3421</f>
        <v>11.6</v>
      </c>
      <c r="P3421" s="81">
        <f>O3421/60*(1+запас_труд)*стоимость_трудочаса</f>
        <v>454.33333333333331</v>
      </c>
      <c r="Q3421" s="129">
        <f>M3421*(1+наценка_покупное)+P3421</f>
        <v>875.86165333333338</v>
      </c>
    </row>
    <row r="3422" spans="4:17" hidden="1" outlineLevel="3" x14ac:dyDescent="0.25">
      <c r="E3422" s="74" t="s">
        <v>131</v>
      </c>
      <c r="F3422" s="74"/>
      <c r="G3422" s="74"/>
      <c r="H3422" s="75"/>
      <c r="I3422" s="76"/>
      <c r="J3422" s="78">
        <f>HYPERLINK("#Структура!E3081",Структура!E3081)</f>
        <v>2.1954600000000002</v>
      </c>
      <c r="K3422" s="114" t="str">
        <f>HYPERLINK("#Структура!G3081","")</f>
        <v/>
      </c>
      <c r="L3422" s="120">
        <f>HYPERLINK("#Покупные_изделия!D306",Покупные_изделия!D306)</f>
        <v>160</v>
      </c>
      <c r="M3422" s="76">
        <f>J3422*L3422</f>
        <v>351.27360000000004</v>
      </c>
      <c r="N3422" s="77"/>
      <c r="O3422" s="77"/>
      <c r="P3422" s="76"/>
      <c r="Q3422" s="76"/>
    </row>
    <row r="3423" spans="4:17" hidden="1" outlineLevel="2" collapsed="1" x14ac:dyDescent="0.25">
      <c r="D3423" s="84" t="s">
        <v>1498</v>
      </c>
      <c r="E3423" s="79"/>
      <c r="F3423" s="79"/>
      <c r="G3423" s="79"/>
      <c r="H3423" s="80"/>
      <c r="I3423" s="81"/>
      <c r="J3423" s="83">
        <f>HYPERLINK("#Структура!E2987",Структура!E2987)</f>
        <v>1</v>
      </c>
      <c r="K3423" s="115">
        <f>HYPERLINK("#Структура!G2987",Структура!G2987)</f>
        <v>2.2185999999999999</v>
      </c>
      <c r="L3423" s="81">
        <f>M3423/J3423</f>
        <v>424.75839999999999</v>
      </c>
      <c r="M3423" s="81">
        <f>SUMIF(E3424,"*",M3424)*J3423</f>
        <v>424.75839999999999</v>
      </c>
      <c r="N3423" s="124">
        <f>HYPERLINK("#Трудозатраты!B782",Трудозатраты!B782+SUMIF(E3424,"*",O3424))</f>
        <v>12.5</v>
      </c>
      <c r="O3423" s="82">
        <f>N3423*J3423</f>
        <v>12.5</v>
      </c>
      <c r="P3423" s="81">
        <f>O3423/60*(1+запас_труд)*стоимость_трудочаса</f>
        <v>489.58333333333337</v>
      </c>
      <c r="Q3423" s="129">
        <f>M3423*(1+наценка_покупное)+P3423</f>
        <v>999.29341333333332</v>
      </c>
    </row>
    <row r="3424" spans="4:17" hidden="1" outlineLevel="3" x14ac:dyDescent="0.25">
      <c r="E3424" s="74" t="s">
        <v>131</v>
      </c>
      <c r="F3424" s="74"/>
      <c r="G3424" s="74"/>
      <c r="H3424" s="75"/>
      <c r="I3424" s="76"/>
      <c r="J3424" s="78">
        <f>HYPERLINK("#Структура!E3086",Структура!E3086)</f>
        <v>2.6547399999999999</v>
      </c>
      <c r="K3424" s="114" t="str">
        <f>HYPERLINK("#Структура!G3086","")</f>
        <v/>
      </c>
      <c r="L3424" s="120">
        <f>HYPERLINK("#Покупные_изделия!D306",Покупные_изделия!D306)</f>
        <v>160</v>
      </c>
      <c r="M3424" s="76">
        <f t="shared" ref="M3424:M3430" si="130">J3424*L3424</f>
        <v>424.75839999999999</v>
      </c>
      <c r="N3424" s="77"/>
      <c r="O3424" s="77"/>
      <c r="P3424" s="76"/>
      <c r="Q3424" s="76"/>
    </row>
    <row r="3425" spans="3:17" hidden="1" outlineLevel="2" x14ac:dyDescent="0.25">
      <c r="D3425" s="74" t="s">
        <v>1290</v>
      </c>
      <c r="E3425" s="74"/>
      <c r="F3425" s="74"/>
      <c r="G3425" s="74"/>
      <c r="H3425" s="75"/>
      <c r="I3425" s="76"/>
      <c r="J3425" s="78">
        <f>HYPERLINK("#Структура!E2988",Структура!E2988)</f>
        <v>2</v>
      </c>
      <c r="K3425" s="114">
        <f>HYPERLINK("#Структура!G2988",Структура!G2988)</f>
        <v>3.1600000000000003E-2</v>
      </c>
      <c r="L3425" s="120">
        <f>HYPERLINK("#Покупные_изделия!D73",Покупные_изделия!D73)</f>
        <v>12.888</v>
      </c>
      <c r="M3425" s="76">
        <f t="shared" si="130"/>
        <v>25.776</v>
      </c>
      <c r="N3425" s="77"/>
      <c r="O3425" s="77"/>
      <c r="P3425" s="76"/>
      <c r="Q3425" s="76"/>
    </row>
    <row r="3426" spans="3:17" hidden="1" outlineLevel="2" x14ac:dyDescent="0.25">
      <c r="D3426" s="74" t="s">
        <v>622</v>
      </c>
      <c r="E3426" s="74"/>
      <c r="F3426" s="74"/>
      <c r="G3426" s="74"/>
      <c r="H3426" s="75"/>
      <c r="I3426" s="76"/>
      <c r="J3426" s="78">
        <f>HYPERLINK("#Структура!E2989",Структура!E2989)</f>
        <v>88</v>
      </c>
      <c r="K3426" s="114">
        <f>HYPERLINK("#Структура!G2989",Структура!G2989)</f>
        <v>1.52E-2</v>
      </c>
      <c r="L3426" s="120">
        <f>HYPERLINK("#Покупные_изделия!D85",Покупные_изделия!D85)</f>
        <v>8.6999999999999993</v>
      </c>
      <c r="M3426" s="76">
        <f t="shared" si="130"/>
        <v>765.59999999999991</v>
      </c>
      <c r="N3426" s="77"/>
      <c r="O3426" s="77"/>
      <c r="P3426" s="76"/>
      <c r="Q3426" s="76"/>
    </row>
    <row r="3427" spans="3:17" hidden="1" outlineLevel="2" x14ac:dyDescent="0.25">
      <c r="D3427" s="74" t="s">
        <v>1499</v>
      </c>
      <c r="E3427" s="74"/>
      <c r="F3427" s="74"/>
      <c r="G3427" s="74"/>
      <c r="H3427" s="75"/>
      <c r="I3427" s="76"/>
      <c r="J3427" s="78">
        <f>HYPERLINK("#Структура!E2990",Структура!E2990)</f>
        <v>4</v>
      </c>
      <c r="K3427" s="114">
        <f>HYPERLINK("#Структура!G2990",Структура!G2990)</f>
        <v>9.5300000000000003E-3</v>
      </c>
      <c r="L3427" s="120">
        <f>HYPERLINK("#Покупные_изделия!D135",Покупные_изделия!D135)</f>
        <v>5.5</v>
      </c>
      <c r="M3427" s="76">
        <f t="shared" si="130"/>
        <v>22</v>
      </c>
      <c r="N3427" s="77"/>
      <c r="O3427" s="77"/>
      <c r="P3427" s="76"/>
      <c r="Q3427" s="76"/>
    </row>
    <row r="3428" spans="3:17" hidden="1" outlineLevel="2" x14ac:dyDescent="0.25">
      <c r="D3428" s="74" t="s">
        <v>1066</v>
      </c>
      <c r="E3428" s="74"/>
      <c r="F3428" s="74"/>
      <c r="G3428" s="74"/>
      <c r="H3428" s="75"/>
      <c r="I3428" s="76"/>
      <c r="J3428" s="78">
        <f>HYPERLINK("#Структура!E2991",Структура!E2991)</f>
        <v>42</v>
      </c>
      <c r="K3428" s="114">
        <f>HYPERLINK("#Структура!G2991",Структура!G2991)</f>
        <v>2.53E-2</v>
      </c>
      <c r="L3428" s="120">
        <f>HYPERLINK("#Покупные_изделия!D137",Покупные_изделия!D137)</f>
        <v>40.163999999999994</v>
      </c>
      <c r="M3428" s="76">
        <f t="shared" si="130"/>
        <v>1686.8879999999997</v>
      </c>
      <c r="N3428" s="77"/>
      <c r="O3428" s="77"/>
      <c r="P3428" s="76"/>
      <c r="Q3428" s="76"/>
    </row>
    <row r="3429" spans="3:17" hidden="1" outlineLevel="2" x14ac:dyDescent="0.25">
      <c r="D3429" s="74" t="s">
        <v>766</v>
      </c>
      <c r="E3429" s="74"/>
      <c r="F3429" s="74"/>
      <c r="G3429" s="74"/>
      <c r="H3429" s="75"/>
      <c r="I3429" s="76"/>
      <c r="J3429" s="78">
        <f>HYPERLINK("#Структура!E2992",Структура!E2992)</f>
        <v>2</v>
      </c>
      <c r="K3429" s="114">
        <f>HYPERLINK("#Структура!G2992",Структура!G2992)</f>
        <v>1.1299999999999999E-2</v>
      </c>
      <c r="L3429" s="120">
        <f>HYPERLINK("#Покупные_изделия!D163",Покупные_изделия!D163)</f>
        <v>4.1525058823529415</v>
      </c>
      <c r="M3429" s="76">
        <f t="shared" si="130"/>
        <v>8.305011764705883</v>
      </c>
      <c r="N3429" s="77"/>
      <c r="O3429" s="77"/>
      <c r="P3429" s="76"/>
      <c r="Q3429" s="76"/>
    </row>
    <row r="3430" spans="3:17" hidden="1" outlineLevel="2" x14ac:dyDescent="0.25">
      <c r="D3430" s="74" t="s">
        <v>625</v>
      </c>
      <c r="E3430" s="74"/>
      <c r="F3430" s="74"/>
      <c r="G3430" s="74"/>
      <c r="H3430" s="75"/>
      <c r="I3430" s="76"/>
      <c r="J3430" s="78">
        <f>HYPERLINK("#Структура!E2993",Структура!E2993)</f>
        <v>134</v>
      </c>
      <c r="K3430" s="114">
        <f>HYPERLINK("#Структура!G2993",Структура!G2993)</f>
        <v>7.1399999999999996E-3</v>
      </c>
      <c r="L3430" s="120">
        <f>HYPERLINK("#Покупные_изделия!D168",Покупные_изделия!D168)</f>
        <v>1.9715672368421051</v>
      </c>
      <c r="M3430" s="76">
        <f t="shared" si="130"/>
        <v>264.19000973684206</v>
      </c>
      <c r="N3430" s="77"/>
      <c r="O3430" s="77"/>
      <c r="P3430" s="76"/>
      <c r="Q3430" s="76"/>
    </row>
    <row r="3431" spans="3:17" hidden="1" outlineLevel="1" collapsed="1" x14ac:dyDescent="0.25">
      <c r="C3431" s="96" t="s">
        <v>1500</v>
      </c>
      <c r="D3431" s="91"/>
      <c r="E3431" s="91"/>
      <c r="F3431" s="91"/>
      <c r="G3431" s="91"/>
      <c r="H3431" s="92"/>
      <c r="I3431" s="93"/>
      <c r="J3431" s="95">
        <f>HYPERLINK("#Структура!E3258",Структура!E3258)</f>
        <v>2</v>
      </c>
      <c r="K3431" s="116">
        <f>HYPERLINK("#Структура!G3258",Структура!G3258)</f>
        <v>207.74825999999999</v>
      </c>
      <c r="L3431" s="93">
        <f>M3431/J3431</f>
        <v>46595.746600159437</v>
      </c>
      <c r="M3431" s="93">
        <f>SUMIF(D3432:D3529,"*",M3432:M3529)*J3431</f>
        <v>93191.493200318873</v>
      </c>
      <c r="N3431" s="125">
        <f>HYPERLINK("#Трудозатраты!B746",Трудозатраты!B746+SUMIF(D3432:D3529,"*",O3432:O3529))</f>
        <v>1480.2950000000001</v>
      </c>
      <c r="O3431" s="94">
        <f>N3431*J3431</f>
        <v>2960.59</v>
      </c>
      <c r="P3431" s="93">
        <f>O3431/60*(1+запас_труд)*стоимость_трудочаса</f>
        <v>115956.44166666667</v>
      </c>
      <c r="Q3431" s="130">
        <f>M3431*(1+наценка_покупное)+P3431</f>
        <v>227786.23350704933</v>
      </c>
    </row>
    <row r="3432" spans="3:17" hidden="1" outlineLevel="2" collapsed="1" x14ac:dyDescent="0.25">
      <c r="D3432" s="97" t="s">
        <v>1465</v>
      </c>
      <c r="E3432" s="98"/>
      <c r="F3432" s="98"/>
      <c r="G3432" s="98"/>
      <c r="H3432" s="99"/>
      <c r="I3432" s="100"/>
      <c r="J3432" s="102">
        <f>HYPERLINK("#Структура!E2994",Структура!E2994)</f>
        <v>1</v>
      </c>
      <c r="K3432" s="112">
        <f>HYPERLINK("#Структура!G2994",Структура!G2994)</f>
        <v>9.7497900000000008</v>
      </c>
      <c r="L3432" s="100">
        <f>M3432/J3432</f>
        <v>2329.4286034210527</v>
      </c>
      <c r="M3432" s="100">
        <f>SUMIF(E3433:E3441,"*",M3433:M3441)*J3432</f>
        <v>2329.4286034210527</v>
      </c>
      <c r="N3432" s="122">
        <f>HYPERLINK("#Трудозатраты!B783",Трудозатраты!B783+SUMIF(E3433:E3441,"*",O3433:O3441))</f>
        <v>73.849999999999994</v>
      </c>
      <c r="O3432" s="101">
        <f>N3432*J3432</f>
        <v>73.849999999999994</v>
      </c>
      <c r="P3432" s="100">
        <f>O3432/60*(1+запас_труд)*стоимость_трудочаса</f>
        <v>2892.458333333333</v>
      </c>
      <c r="Q3432" s="127">
        <f>M3432*(1+наценка_покупное)+P3432</f>
        <v>5687.7726574385961</v>
      </c>
    </row>
    <row r="3433" spans="3:17" hidden="1" outlineLevel="3" collapsed="1" x14ac:dyDescent="0.25">
      <c r="E3433" s="85" t="s">
        <v>1505</v>
      </c>
      <c r="F3433" s="86"/>
      <c r="G3433" s="86"/>
      <c r="H3433" s="87"/>
      <c r="I3433" s="88"/>
      <c r="J3433" s="90">
        <f>HYPERLINK("#Структура!E3087",Структура!E3087)</f>
        <v>1</v>
      </c>
      <c r="K3433" s="113">
        <f>HYPERLINK("#Структура!G3087",Структура!G3087)</f>
        <v>0.54905000000000004</v>
      </c>
      <c r="L3433" s="88">
        <f>M3433/J3433</f>
        <v>103.99680000000001</v>
      </c>
      <c r="M3433" s="88">
        <f>SUMIF(F3434,"*",M3434)*J3433</f>
        <v>103.99680000000001</v>
      </c>
      <c r="N3433" s="123">
        <f>HYPERLINK("#Трудозатраты!B784",Трудозатраты!B784+SUMIF(F3434,"*",O3434))</f>
        <v>13.35</v>
      </c>
      <c r="O3433" s="89">
        <f>N3433*J3433</f>
        <v>13.35</v>
      </c>
      <c r="P3433" s="88">
        <f>O3433/60*(1+запас_труд)*стоимость_трудочаса</f>
        <v>522.875</v>
      </c>
      <c r="Q3433" s="128">
        <f>M3433*(1+наценка_покупное)+P3433</f>
        <v>647.67115999999999</v>
      </c>
    </row>
    <row r="3434" spans="3:17" hidden="1" outlineLevel="4" x14ac:dyDescent="0.25">
      <c r="F3434" s="74" t="s">
        <v>130</v>
      </c>
      <c r="G3434" s="74"/>
      <c r="H3434" s="75"/>
      <c r="I3434" s="76"/>
      <c r="J3434" s="78">
        <f>HYPERLINK("#Структура!E3093",Структура!E3093)</f>
        <v>0.64998</v>
      </c>
      <c r="K3434" s="114" t="str">
        <f>HYPERLINK("#Структура!G3093","")</f>
        <v/>
      </c>
      <c r="L3434" s="120">
        <f>HYPERLINK("#Покупные_изделия!D305",Покупные_изделия!D305)</f>
        <v>160</v>
      </c>
      <c r="M3434" s="76">
        <f>J3434*L3434</f>
        <v>103.99680000000001</v>
      </c>
      <c r="N3434" s="77"/>
      <c r="O3434" s="77"/>
      <c r="P3434" s="76"/>
      <c r="Q3434" s="76"/>
    </row>
    <row r="3435" spans="3:17" hidden="1" outlineLevel="3" collapsed="1" x14ac:dyDescent="0.25">
      <c r="E3435" s="84" t="s">
        <v>1506</v>
      </c>
      <c r="F3435" s="79"/>
      <c r="G3435" s="79"/>
      <c r="H3435" s="80"/>
      <c r="I3435" s="81"/>
      <c r="J3435" s="83">
        <f>HYPERLINK("#Структура!E3088",Структура!E3088)</f>
        <v>1</v>
      </c>
      <c r="K3435" s="115">
        <f>HYPERLINK("#Структура!G3088",Структура!G3088)</f>
        <v>8.54528</v>
      </c>
      <c r="L3435" s="81">
        <f>M3435/J3435</f>
        <v>2057.2112000000002</v>
      </c>
      <c r="M3435" s="81">
        <f>SUMIF(F3436,"*",M3436)*J3435</f>
        <v>2057.2112000000002</v>
      </c>
      <c r="N3435" s="124">
        <f>HYPERLINK("#Трудозатраты!B785",Трудозатраты!B785+SUMIF(F3436,"*",O3436))</f>
        <v>42.5</v>
      </c>
      <c r="O3435" s="82">
        <f>N3435*J3435</f>
        <v>42.5</v>
      </c>
      <c r="P3435" s="81">
        <f>O3435/60*(1+запас_труд)*стоимость_трудочаса</f>
        <v>1664.5833333333335</v>
      </c>
      <c r="Q3435" s="129">
        <f>M3435*(1+наценка_покупное)+P3435</f>
        <v>4133.236773333334</v>
      </c>
    </row>
    <row r="3436" spans="3:17" hidden="1" outlineLevel="4" x14ac:dyDescent="0.25">
      <c r="F3436" s="74" t="s">
        <v>130</v>
      </c>
      <c r="G3436" s="74"/>
      <c r="H3436" s="75"/>
      <c r="I3436" s="76"/>
      <c r="J3436" s="78">
        <f>HYPERLINK("#Структура!E3094",Структура!E3094)</f>
        <v>12.857570000000001</v>
      </c>
      <c r="K3436" s="114" t="str">
        <f>HYPERLINK("#Структура!G3094","")</f>
        <v/>
      </c>
      <c r="L3436" s="120">
        <f>HYPERLINK("#Покупные_изделия!D305",Покупные_изделия!D305)</f>
        <v>160</v>
      </c>
      <c r="M3436" s="76">
        <f>J3436*L3436</f>
        <v>2057.2112000000002</v>
      </c>
      <c r="N3436" s="77"/>
      <c r="O3436" s="77"/>
      <c r="P3436" s="76"/>
      <c r="Q3436" s="76"/>
    </row>
    <row r="3437" spans="3:17" hidden="1" outlineLevel="3" collapsed="1" x14ac:dyDescent="0.25">
      <c r="E3437" s="84" t="s">
        <v>1507</v>
      </c>
      <c r="F3437" s="79"/>
      <c r="G3437" s="79"/>
      <c r="H3437" s="80"/>
      <c r="I3437" s="81"/>
      <c r="J3437" s="83">
        <f>HYPERLINK("#Структура!E3089",Структура!E3089)</f>
        <v>2</v>
      </c>
      <c r="K3437" s="115">
        <f>HYPERLINK("#Структура!G3089",Структура!G3089)</f>
        <v>0.29620000000000002</v>
      </c>
      <c r="L3437" s="81">
        <f>M3437/J3437</f>
        <v>60.495599999999996</v>
      </c>
      <c r="M3437" s="81">
        <f>SUMIF(F3438,"*",M3438)*J3437</f>
        <v>120.99119999999999</v>
      </c>
      <c r="N3437" s="124">
        <f>HYPERLINK("#Трудозатраты!B786",Трудозатраты!B786+SUMIF(F3438,"*",O3438))</f>
        <v>4</v>
      </c>
      <c r="O3437" s="82">
        <f>N3437*J3437</f>
        <v>8</v>
      </c>
      <c r="P3437" s="81">
        <f>O3437/60*(1+запас_труд)*стоимость_трудочаса</f>
        <v>313.33333333333331</v>
      </c>
      <c r="Q3437" s="129">
        <f>M3437*(1+наценка_покупное)+P3437</f>
        <v>458.5227733333333</v>
      </c>
    </row>
    <row r="3438" spans="3:17" hidden="1" outlineLevel="4" x14ac:dyDescent="0.25">
      <c r="F3438" s="74" t="s">
        <v>560</v>
      </c>
      <c r="G3438" s="74"/>
      <c r="H3438" s="75"/>
      <c r="I3438" s="76"/>
      <c r="J3438" s="78">
        <f>HYPERLINK("#Структура!E3095",Структура!E3095)</f>
        <v>1</v>
      </c>
      <c r="K3438" s="114" t="str">
        <f>HYPERLINK("#Структура!G3095","")</f>
        <v/>
      </c>
      <c r="L3438" s="120">
        <f>HYPERLINK("#Покупные_изделия!D377",Покупные_изделия!D377)</f>
        <v>60.495599999999996</v>
      </c>
      <c r="M3438" s="76">
        <f>J3438*L3438</f>
        <v>60.495599999999996</v>
      </c>
      <c r="N3438" s="77"/>
      <c r="O3438" s="77"/>
      <c r="P3438" s="76"/>
      <c r="Q3438" s="76"/>
    </row>
    <row r="3439" spans="3:17" hidden="1" outlineLevel="3" x14ac:dyDescent="0.25">
      <c r="E3439" s="74" t="s">
        <v>1499</v>
      </c>
      <c r="F3439" s="74"/>
      <c r="G3439" s="74"/>
      <c r="H3439" s="75"/>
      <c r="I3439" s="76"/>
      <c r="J3439" s="78">
        <f>HYPERLINK("#Структура!E3090",Структура!E3090)</f>
        <v>6</v>
      </c>
      <c r="K3439" s="114">
        <f>HYPERLINK("#Структура!G3090",Структура!G3090)</f>
        <v>9.5300000000000003E-3</v>
      </c>
      <c r="L3439" s="120">
        <f>HYPERLINK("#Покупные_изделия!D135",Покупные_изделия!D135)</f>
        <v>5.5</v>
      </c>
      <c r="M3439" s="76">
        <f>J3439*L3439</f>
        <v>33</v>
      </c>
      <c r="N3439" s="77"/>
      <c r="O3439" s="77"/>
      <c r="P3439" s="76"/>
      <c r="Q3439" s="76"/>
    </row>
    <row r="3440" spans="3:17" hidden="1" outlineLevel="3" x14ac:dyDescent="0.25">
      <c r="E3440" s="74" t="s">
        <v>625</v>
      </c>
      <c r="F3440" s="74"/>
      <c r="G3440" s="74"/>
      <c r="H3440" s="75"/>
      <c r="I3440" s="76"/>
      <c r="J3440" s="78">
        <f>HYPERLINK("#Структура!E3091",Структура!E3091)</f>
        <v>6</v>
      </c>
      <c r="K3440" s="114">
        <f>HYPERLINK("#Структура!G3091",Структура!G3091)</f>
        <v>7.1399999999999996E-3</v>
      </c>
      <c r="L3440" s="120">
        <f>HYPERLINK("#Покупные_изделия!D168",Покупные_изделия!D168)</f>
        <v>1.9715672368421051</v>
      </c>
      <c r="M3440" s="76">
        <f>J3440*L3440</f>
        <v>11.82940342105263</v>
      </c>
      <c r="N3440" s="77"/>
      <c r="O3440" s="77"/>
      <c r="P3440" s="76"/>
      <c r="Q3440" s="76"/>
    </row>
    <row r="3441" spans="4:17" hidden="1" outlineLevel="3" x14ac:dyDescent="0.25">
      <c r="E3441" s="74" t="s">
        <v>133</v>
      </c>
      <c r="F3441" s="74"/>
      <c r="G3441" s="74"/>
      <c r="H3441" s="75"/>
      <c r="I3441" s="76"/>
      <c r="J3441" s="78">
        <f>HYPERLINK("#Структура!E3092",Структура!E3092)</f>
        <v>0.01</v>
      </c>
      <c r="K3441" s="114" t="str">
        <f>HYPERLINK("#Структура!G3092","")</f>
        <v/>
      </c>
      <c r="L3441" s="120">
        <f>HYPERLINK("#Покупные_изделия!D308",Покупные_изделия!D308)</f>
        <v>240</v>
      </c>
      <c r="M3441" s="76">
        <f>J3441*L3441</f>
        <v>2.4</v>
      </c>
      <c r="N3441" s="77"/>
      <c r="O3441" s="77"/>
      <c r="P3441" s="76"/>
      <c r="Q3441" s="76"/>
    </row>
    <row r="3442" spans="4:17" hidden="1" outlineLevel="2" collapsed="1" x14ac:dyDescent="0.25">
      <c r="D3442" s="84" t="s">
        <v>1075</v>
      </c>
      <c r="E3442" s="79"/>
      <c r="F3442" s="79"/>
      <c r="G3442" s="79"/>
      <c r="H3442" s="80"/>
      <c r="I3442" s="81"/>
      <c r="J3442" s="83">
        <f>HYPERLINK("#Структура!E2995",Структура!E2995)</f>
        <v>42</v>
      </c>
      <c r="K3442" s="115">
        <f>HYPERLINK("#Структура!G2995",Структура!G2995)</f>
        <v>9.3600000000000003E-3</v>
      </c>
      <c r="L3442" s="81">
        <f>M3442/J3442</f>
        <v>3.0928000000000004</v>
      </c>
      <c r="M3442" s="81">
        <f>SUMIF(E3443,"*",M3443)*J3442</f>
        <v>129.89760000000001</v>
      </c>
      <c r="N3442" s="124">
        <f>HYPERLINK("#Трудозатраты!B392",Трудозатраты!B392+SUMIF(E3443,"*",O3443))</f>
        <v>8.75</v>
      </c>
      <c r="O3442" s="82">
        <f>N3442*J3442</f>
        <v>367.5</v>
      </c>
      <c r="P3442" s="81">
        <f>O3442/60*(1+запас_труд)*стоимость_трудочаса</f>
        <v>14393.75</v>
      </c>
      <c r="Q3442" s="129">
        <f>M3442*(1+наценка_покупное)+P3442</f>
        <v>14549.627119999999</v>
      </c>
    </row>
    <row r="3443" spans="4:17" hidden="1" outlineLevel="3" x14ac:dyDescent="0.25">
      <c r="E3443" s="74" t="s">
        <v>130</v>
      </c>
      <c r="F3443" s="74"/>
      <c r="G3443" s="74"/>
      <c r="H3443" s="75"/>
      <c r="I3443" s="76"/>
      <c r="J3443" s="78">
        <f>HYPERLINK("#Структура!E1463",Структура!E1463)</f>
        <v>1.933E-2</v>
      </c>
      <c r="K3443" s="114" t="str">
        <f>HYPERLINK("#Структура!G1463","")</f>
        <v/>
      </c>
      <c r="L3443" s="120">
        <f>HYPERLINK("#Покупные_изделия!D305",Покупные_изделия!D305)</f>
        <v>160</v>
      </c>
      <c r="M3443" s="76">
        <f>J3443*L3443</f>
        <v>3.0928</v>
      </c>
      <c r="N3443" s="77"/>
      <c r="O3443" s="77"/>
      <c r="P3443" s="76"/>
      <c r="Q3443" s="76"/>
    </row>
    <row r="3444" spans="4:17" hidden="1" outlineLevel="2" collapsed="1" x14ac:dyDescent="0.25">
      <c r="D3444" s="84" t="s">
        <v>1467</v>
      </c>
      <c r="E3444" s="79"/>
      <c r="F3444" s="79"/>
      <c r="G3444" s="79"/>
      <c r="H3444" s="80"/>
      <c r="I3444" s="81"/>
      <c r="J3444" s="83">
        <f>HYPERLINK("#Структура!E2996",Структура!E2996)</f>
        <v>1</v>
      </c>
      <c r="K3444" s="115">
        <f>HYPERLINK("#Структура!G2996",Структура!G2996)</f>
        <v>9.2963699999999996</v>
      </c>
      <c r="L3444" s="81">
        <f>M3444/J3444</f>
        <v>1950.8896</v>
      </c>
      <c r="M3444" s="81">
        <f>SUMIF(E3445,"*",M3445)*J3444</f>
        <v>1950.8896</v>
      </c>
      <c r="N3444" s="124">
        <f>HYPERLINK("#Трудозатраты!B747",Трудозатраты!B747+SUMIF(E3445,"*",O3445))</f>
        <v>7</v>
      </c>
      <c r="O3444" s="82">
        <f>N3444*J3444</f>
        <v>7</v>
      </c>
      <c r="P3444" s="81">
        <f>O3444/60*(1+запас_труд)*стоимость_трудочаса</f>
        <v>274.16666666666669</v>
      </c>
      <c r="Q3444" s="129">
        <f>M3444*(1+наценка_покупное)+P3444</f>
        <v>2615.2341866666666</v>
      </c>
    </row>
    <row r="3445" spans="4:17" hidden="1" outlineLevel="3" x14ac:dyDescent="0.25">
      <c r="E3445" s="74" t="s">
        <v>131</v>
      </c>
      <c r="F3445" s="74"/>
      <c r="G3445" s="74"/>
      <c r="H3445" s="75"/>
      <c r="I3445" s="76"/>
      <c r="J3445" s="78">
        <f>HYPERLINK("#Структура!E3033",Структура!E3033)</f>
        <v>12.193059999999999</v>
      </c>
      <c r="K3445" s="114" t="str">
        <f>HYPERLINK("#Структура!G3033","")</f>
        <v/>
      </c>
      <c r="L3445" s="120">
        <f>HYPERLINK("#Покупные_изделия!D306",Покупные_изделия!D306)</f>
        <v>160</v>
      </c>
      <c r="M3445" s="76">
        <f>J3445*L3445</f>
        <v>1950.8896</v>
      </c>
      <c r="N3445" s="77"/>
      <c r="O3445" s="77"/>
      <c r="P3445" s="76"/>
      <c r="Q3445" s="76"/>
    </row>
    <row r="3446" spans="4:17" hidden="1" outlineLevel="2" collapsed="1" x14ac:dyDescent="0.25">
      <c r="D3446" s="84" t="s">
        <v>1468</v>
      </c>
      <c r="E3446" s="79"/>
      <c r="F3446" s="79"/>
      <c r="G3446" s="79"/>
      <c r="H3446" s="80"/>
      <c r="I3446" s="81"/>
      <c r="J3446" s="83">
        <f>HYPERLINK("#Структура!E2997",Структура!E2997)</f>
        <v>1</v>
      </c>
      <c r="K3446" s="115">
        <f>HYPERLINK("#Структура!G2997",Структура!G2997)</f>
        <v>11.67562</v>
      </c>
      <c r="L3446" s="81">
        <f>M3446/J3446</f>
        <v>2246.0592000000001</v>
      </c>
      <c r="M3446" s="81">
        <f>SUMIF(E3447,"*",M3447)*J3446</f>
        <v>2246.0592000000001</v>
      </c>
      <c r="N3446" s="124">
        <f>HYPERLINK("#Трудозатраты!B748",Трудозатраты!B748+SUMIF(E3447,"*",O3447))</f>
        <v>19.5</v>
      </c>
      <c r="O3446" s="82">
        <f>N3446*J3446</f>
        <v>19.5</v>
      </c>
      <c r="P3446" s="81">
        <f>O3446/60*(1+запас_труд)*стоимость_трудочаса</f>
        <v>763.75</v>
      </c>
      <c r="Q3446" s="129">
        <f>M3446*(1+наценка_покупное)+P3446</f>
        <v>3459.0210400000001</v>
      </c>
    </row>
    <row r="3447" spans="4:17" hidden="1" outlineLevel="3" x14ac:dyDescent="0.25">
      <c r="E3447" s="74" t="s">
        <v>131</v>
      </c>
      <c r="F3447" s="74"/>
      <c r="G3447" s="74"/>
      <c r="H3447" s="75"/>
      <c r="I3447" s="76"/>
      <c r="J3447" s="78">
        <f>HYPERLINK("#Структура!E3034",Структура!E3034)</f>
        <v>14.03787</v>
      </c>
      <c r="K3447" s="114" t="str">
        <f>HYPERLINK("#Структура!G3034","")</f>
        <v/>
      </c>
      <c r="L3447" s="120">
        <f>HYPERLINK("#Покупные_изделия!D306",Покупные_изделия!D306)</f>
        <v>160</v>
      </c>
      <c r="M3447" s="76">
        <f>J3447*L3447</f>
        <v>2246.0592000000001</v>
      </c>
      <c r="N3447" s="77"/>
      <c r="O3447" s="77"/>
      <c r="P3447" s="76"/>
      <c r="Q3447" s="76"/>
    </row>
    <row r="3448" spans="4:17" hidden="1" outlineLevel="2" collapsed="1" x14ac:dyDescent="0.25">
      <c r="D3448" s="84" t="s">
        <v>1469</v>
      </c>
      <c r="E3448" s="79"/>
      <c r="F3448" s="79"/>
      <c r="G3448" s="79"/>
      <c r="H3448" s="80"/>
      <c r="I3448" s="81"/>
      <c r="J3448" s="83">
        <f>HYPERLINK("#Структура!E2998",Структура!E2998)</f>
        <v>1</v>
      </c>
      <c r="K3448" s="115">
        <f>HYPERLINK("#Структура!G2998",Структура!G2998)</f>
        <v>10.012890000000001</v>
      </c>
      <c r="L3448" s="81">
        <f>M3448/J3448</f>
        <v>1960.4528</v>
      </c>
      <c r="M3448" s="81">
        <f>SUMIF(E3449,"*",M3449)*J3448</f>
        <v>1960.4528</v>
      </c>
      <c r="N3448" s="124">
        <f>HYPERLINK("#Трудозатраты!B749",Трудозатраты!B749+SUMIF(E3449,"*",O3449))</f>
        <v>11.6</v>
      </c>
      <c r="O3448" s="82">
        <f>N3448*J3448</f>
        <v>11.6</v>
      </c>
      <c r="P3448" s="81">
        <f>O3448/60*(1+запас_труд)*стоимость_трудочаса</f>
        <v>454.33333333333331</v>
      </c>
      <c r="Q3448" s="129">
        <f>M3448*(1+наценка_покупное)+P3448</f>
        <v>2806.8766933333336</v>
      </c>
    </row>
    <row r="3449" spans="4:17" hidden="1" outlineLevel="3" x14ac:dyDescent="0.25">
      <c r="E3449" s="74" t="s">
        <v>131</v>
      </c>
      <c r="F3449" s="74"/>
      <c r="G3449" s="74"/>
      <c r="H3449" s="75"/>
      <c r="I3449" s="76"/>
      <c r="J3449" s="78">
        <f>HYPERLINK("#Структура!E3035",Структура!E3035)</f>
        <v>12.252829999999999</v>
      </c>
      <c r="K3449" s="114" t="str">
        <f>HYPERLINK("#Структура!G3035","")</f>
        <v/>
      </c>
      <c r="L3449" s="120">
        <f>HYPERLINK("#Покупные_изделия!D306",Покупные_изделия!D306)</f>
        <v>160</v>
      </c>
      <c r="M3449" s="76">
        <f>J3449*L3449</f>
        <v>1960.4528</v>
      </c>
      <c r="N3449" s="77"/>
      <c r="O3449" s="77"/>
      <c r="P3449" s="76"/>
      <c r="Q3449" s="76"/>
    </row>
    <row r="3450" spans="4:17" hidden="1" outlineLevel="2" collapsed="1" x14ac:dyDescent="0.25">
      <c r="D3450" s="84" t="s">
        <v>1470</v>
      </c>
      <c r="E3450" s="79"/>
      <c r="F3450" s="79"/>
      <c r="G3450" s="79"/>
      <c r="H3450" s="80"/>
      <c r="I3450" s="81"/>
      <c r="J3450" s="83">
        <f>HYPERLINK("#Структура!E2999",Структура!E2999)</f>
        <v>2</v>
      </c>
      <c r="K3450" s="115">
        <f>HYPERLINK("#Структура!G2999",Структура!G2999)</f>
        <v>3.3669199999999999</v>
      </c>
      <c r="L3450" s="81">
        <f>M3450/J3450</f>
        <v>645.32320000000004</v>
      </c>
      <c r="M3450" s="81">
        <f>SUMIF(E3451,"*",M3451)*J3450</f>
        <v>1290.6464000000001</v>
      </c>
      <c r="N3450" s="124">
        <f>HYPERLINK("#Трудозатраты!B750",Трудозатраты!B750+SUMIF(E3451,"*",O3451))</f>
        <v>11.6</v>
      </c>
      <c r="O3450" s="82">
        <f>N3450*J3450</f>
        <v>23.2</v>
      </c>
      <c r="P3450" s="81">
        <f>O3450/60*(1+запас_труд)*стоимость_трудочаса</f>
        <v>908.66666666666663</v>
      </c>
      <c r="Q3450" s="129">
        <f>M3450*(1+наценка_покупное)+P3450</f>
        <v>2457.4423466666667</v>
      </c>
    </row>
    <row r="3451" spans="4:17" hidden="1" outlineLevel="3" x14ac:dyDescent="0.25">
      <c r="E3451" s="74" t="s">
        <v>131</v>
      </c>
      <c r="F3451" s="74"/>
      <c r="G3451" s="74"/>
      <c r="H3451" s="75"/>
      <c r="I3451" s="76"/>
      <c r="J3451" s="78">
        <f>HYPERLINK("#Структура!E3036",Структура!E3036)</f>
        <v>4.0332699999999999</v>
      </c>
      <c r="K3451" s="114" t="str">
        <f>HYPERLINK("#Структура!G3036","")</f>
        <v/>
      </c>
      <c r="L3451" s="120">
        <f>HYPERLINK("#Покупные_изделия!D306",Покупные_изделия!D306)</f>
        <v>160</v>
      </c>
      <c r="M3451" s="76">
        <f>J3451*L3451</f>
        <v>645.32320000000004</v>
      </c>
      <c r="N3451" s="77"/>
      <c r="O3451" s="77"/>
      <c r="P3451" s="76"/>
      <c r="Q3451" s="76"/>
    </row>
    <row r="3452" spans="4:17" hidden="1" outlineLevel="2" collapsed="1" x14ac:dyDescent="0.25">
      <c r="D3452" s="84" t="s">
        <v>1471</v>
      </c>
      <c r="E3452" s="79"/>
      <c r="F3452" s="79"/>
      <c r="G3452" s="79"/>
      <c r="H3452" s="80"/>
      <c r="I3452" s="81"/>
      <c r="J3452" s="83">
        <f>HYPERLINK("#Структура!E3000",Структура!E3000)</f>
        <v>1</v>
      </c>
      <c r="K3452" s="115">
        <f>HYPERLINK("#Структура!G3000",Структура!G3000)</f>
        <v>3.0434100000000002</v>
      </c>
      <c r="L3452" s="81">
        <f>M3452/J3452</f>
        <v>599.56479999999999</v>
      </c>
      <c r="M3452" s="81">
        <f>SUMIF(E3453,"*",M3453)*J3452</f>
        <v>599.56479999999999</v>
      </c>
      <c r="N3452" s="124">
        <f>HYPERLINK("#Трудозатраты!B751",Трудозатраты!B751+SUMIF(E3453,"*",O3453))</f>
        <v>14.25</v>
      </c>
      <c r="O3452" s="82">
        <f>N3452*J3452</f>
        <v>14.25</v>
      </c>
      <c r="P3452" s="81">
        <f>O3452/60*(1+запас_труд)*стоимость_трудочаса</f>
        <v>558.125</v>
      </c>
      <c r="Q3452" s="129">
        <f>M3452*(1+наценка_покупное)+P3452</f>
        <v>1277.60276</v>
      </c>
    </row>
    <row r="3453" spans="4:17" hidden="1" outlineLevel="3" x14ac:dyDescent="0.25">
      <c r="E3453" s="74" t="s">
        <v>131</v>
      </c>
      <c r="F3453" s="74"/>
      <c r="G3453" s="74"/>
      <c r="H3453" s="75"/>
      <c r="I3453" s="76"/>
      <c r="J3453" s="78">
        <f>HYPERLINK("#Структура!E3037",Структура!E3037)</f>
        <v>3.7472799999999999</v>
      </c>
      <c r="K3453" s="114" t="str">
        <f>HYPERLINK("#Структура!G3037","")</f>
        <v/>
      </c>
      <c r="L3453" s="120">
        <f>HYPERLINK("#Покупные_изделия!D306",Покупные_изделия!D306)</f>
        <v>160</v>
      </c>
      <c r="M3453" s="76">
        <f>J3453*L3453</f>
        <v>599.56479999999999</v>
      </c>
      <c r="N3453" s="77"/>
      <c r="O3453" s="77"/>
      <c r="P3453" s="76"/>
      <c r="Q3453" s="76"/>
    </row>
    <row r="3454" spans="4:17" hidden="1" outlineLevel="2" collapsed="1" x14ac:dyDescent="0.25">
      <c r="D3454" s="84" t="s">
        <v>1472</v>
      </c>
      <c r="E3454" s="79"/>
      <c r="F3454" s="79"/>
      <c r="G3454" s="79"/>
      <c r="H3454" s="80"/>
      <c r="I3454" s="81"/>
      <c r="J3454" s="83">
        <f>HYPERLINK("#Структура!E3001",Структура!E3001)</f>
        <v>1</v>
      </c>
      <c r="K3454" s="115">
        <f>HYPERLINK("#Структура!G3001",Структура!G3001)</f>
        <v>3.0434100000000002</v>
      </c>
      <c r="L3454" s="81">
        <f>M3454/J3454</f>
        <v>560.82240000000002</v>
      </c>
      <c r="M3454" s="81">
        <f>SUMIF(E3455,"*",M3455)*J3454</f>
        <v>560.82240000000002</v>
      </c>
      <c r="N3454" s="124">
        <f>HYPERLINK("#Трудозатраты!B752",Трудозатраты!B752+SUMIF(E3455,"*",O3455))</f>
        <v>14.25</v>
      </c>
      <c r="O3454" s="82">
        <f>N3454*J3454</f>
        <v>14.25</v>
      </c>
      <c r="P3454" s="81">
        <f>O3454/60*(1+запас_труд)*стоимость_трудочаса</f>
        <v>558.125</v>
      </c>
      <c r="Q3454" s="129">
        <f>M3454*(1+наценка_покупное)+P3454</f>
        <v>1231.1118799999999</v>
      </c>
    </row>
    <row r="3455" spans="4:17" hidden="1" outlineLevel="3" x14ac:dyDescent="0.25">
      <c r="E3455" s="74" t="s">
        <v>131</v>
      </c>
      <c r="F3455" s="74"/>
      <c r="G3455" s="74"/>
      <c r="H3455" s="75"/>
      <c r="I3455" s="76"/>
      <c r="J3455" s="78">
        <f>HYPERLINK("#Структура!E3038",Структура!E3038)</f>
        <v>3.5051399999999999</v>
      </c>
      <c r="K3455" s="114" t="str">
        <f>HYPERLINK("#Структура!G3038","")</f>
        <v/>
      </c>
      <c r="L3455" s="120">
        <f>HYPERLINK("#Покупные_изделия!D306",Покупные_изделия!D306)</f>
        <v>160</v>
      </c>
      <c r="M3455" s="76">
        <f>J3455*L3455</f>
        <v>560.82240000000002</v>
      </c>
      <c r="N3455" s="77"/>
      <c r="O3455" s="77"/>
      <c r="P3455" s="76"/>
      <c r="Q3455" s="76"/>
    </row>
    <row r="3456" spans="4:17" hidden="1" outlineLevel="2" collapsed="1" x14ac:dyDescent="0.25">
      <c r="D3456" s="84" t="s">
        <v>1473</v>
      </c>
      <c r="E3456" s="79"/>
      <c r="F3456" s="79"/>
      <c r="G3456" s="79"/>
      <c r="H3456" s="80"/>
      <c r="I3456" s="81"/>
      <c r="J3456" s="83">
        <f>HYPERLINK("#Структура!E3002",Структура!E3002)</f>
        <v>5</v>
      </c>
      <c r="K3456" s="115">
        <f>HYPERLINK("#Структура!G3002",Структура!G3002)</f>
        <v>4.0333399999999999</v>
      </c>
      <c r="L3456" s="81">
        <f>M3456/J3456</f>
        <v>787.22399999999993</v>
      </c>
      <c r="M3456" s="81">
        <f>SUMIF(E3457,"*",M3457)*J3456</f>
        <v>3936.12</v>
      </c>
      <c r="N3456" s="124">
        <f>HYPERLINK("#Трудозатраты!B753",Трудозатраты!B753+SUMIF(E3457,"*",O3457))</f>
        <v>15.25</v>
      </c>
      <c r="O3456" s="82">
        <f>N3456*J3456</f>
        <v>76.25</v>
      </c>
      <c r="P3456" s="81">
        <f>O3456/60*(1+запас_труд)*стоимость_трудочаса</f>
        <v>2986.458333333333</v>
      </c>
      <c r="Q3456" s="129">
        <f>M3456*(1+наценка_покупное)+P3456</f>
        <v>7709.8023333333331</v>
      </c>
    </row>
    <row r="3457" spans="4:17" hidden="1" outlineLevel="3" x14ac:dyDescent="0.25">
      <c r="E3457" s="74" t="s">
        <v>131</v>
      </c>
      <c r="F3457" s="74"/>
      <c r="G3457" s="74"/>
      <c r="H3457" s="75"/>
      <c r="I3457" s="76"/>
      <c r="J3457" s="78">
        <f>HYPERLINK("#Структура!E3039",Структура!E3039)</f>
        <v>4.9201499999999996</v>
      </c>
      <c r="K3457" s="114" t="str">
        <f>HYPERLINK("#Структура!G3039","")</f>
        <v/>
      </c>
      <c r="L3457" s="120">
        <f>HYPERLINK("#Покупные_изделия!D306",Покупные_изделия!D306)</f>
        <v>160</v>
      </c>
      <c r="M3457" s="76">
        <f>J3457*L3457</f>
        <v>787.22399999999993</v>
      </c>
      <c r="N3457" s="77"/>
      <c r="O3457" s="77"/>
      <c r="P3457" s="76"/>
      <c r="Q3457" s="76"/>
    </row>
    <row r="3458" spans="4:17" hidden="1" outlineLevel="2" collapsed="1" x14ac:dyDescent="0.25">
      <c r="D3458" s="84" t="s">
        <v>1474</v>
      </c>
      <c r="E3458" s="79"/>
      <c r="F3458" s="79"/>
      <c r="G3458" s="79"/>
      <c r="H3458" s="80"/>
      <c r="I3458" s="81"/>
      <c r="J3458" s="83">
        <f>HYPERLINK("#Структура!E3003",Структура!E3003)</f>
        <v>1</v>
      </c>
      <c r="K3458" s="115">
        <f>HYPERLINK("#Структура!G3003",Структура!G3003)</f>
        <v>12.538029999999999</v>
      </c>
      <c r="L3458" s="81">
        <f>M3458/J3458</f>
        <v>1930.125192</v>
      </c>
      <c r="M3458" s="81">
        <f>SUMIF(E3459:E3464,"*",M3459:M3464)*J3458</f>
        <v>1930.125192</v>
      </c>
      <c r="N3458" s="124">
        <f>HYPERLINK("#Трудозатраты!B754",Трудозатраты!B754+SUMIF(E3459:E3464,"*",O3459:O3464))</f>
        <v>25.4</v>
      </c>
      <c r="O3458" s="82">
        <f>N3458*J3458</f>
        <v>25.4</v>
      </c>
      <c r="P3458" s="81">
        <f>O3458/60*(1+запас_труд)*стоимость_трудочаса</f>
        <v>994.83333333333326</v>
      </c>
      <c r="Q3458" s="129">
        <f>M3458*(1+наценка_покупное)+P3458</f>
        <v>3310.9835637333335</v>
      </c>
    </row>
    <row r="3459" spans="4:17" hidden="1" outlineLevel="3" x14ac:dyDescent="0.25">
      <c r="E3459" s="74" t="s">
        <v>65</v>
      </c>
      <c r="F3459" s="74"/>
      <c r="G3459" s="74"/>
      <c r="H3459" s="75"/>
      <c r="I3459" s="76"/>
      <c r="J3459" s="78">
        <f>HYPERLINK("#Структура!E3040",Структура!E3040)</f>
        <v>0.08</v>
      </c>
      <c r="K3459" s="114" t="str">
        <f>HYPERLINK("#Структура!G3040","")</f>
        <v/>
      </c>
      <c r="L3459" s="120">
        <f>HYPERLINK("#Покупные_изделия!D197",Покупные_изделия!D197)</f>
        <v>264.50399999999996</v>
      </c>
      <c r="M3459" s="76">
        <f t="shared" ref="M3459:M3464" si="131">J3459*L3459</f>
        <v>21.160319999999999</v>
      </c>
      <c r="N3459" s="77"/>
      <c r="O3459" s="77"/>
      <c r="P3459" s="76"/>
      <c r="Q3459" s="76"/>
    </row>
    <row r="3460" spans="4:17" hidden="1" outlineLevel="3" x14ac:dyDescent="0.25">
      <c r="E3460" s="74" t="s">
        <v>118</v>
      </c>
      <c r="F3460" s="74"/>
      <c r="G3460" s="74"/>
      <c r="H3460" s="75"/>
      <c r="I3460" s="76"/>
      <c r="J3460" s="78">
        <f>HYPERLINK("#Структура!E3041",Структура!E3041)</f>
        <v>15.00135</v>
      </c>
      <c r="K3460" s="114" t="str">
        <f>HYPERLINK("#Структура!G3041","")</f>
        <v/>
      </c>
      <c r="L3460" s="120">
        <f>HYPERLINK("#Покупные_изделия!D293",Покупные_изделия!D293)</f>
        <v>120</v>
      </c>
      <c r="M3460" s="76">
        <f t="shared" si="131"/>
        <v>1800.162</v>
      </c>
      <c r="N3460" s="77"/>
      <c r="O3460" s="77"/>
      <c r="P3460" s="76"/>
      <c r="Q3460" s="76"/>
    </row>
    <row r="3461" spans="4:17" hidden="1" outlineLevel="3" x14ac:dyDescent="0.25">
      <c r="E3461" s="74" t="s">
        <v>155</v>
      </c>
      <c r="F3461" s="74"/>
      <c r="G3461" s="74"/>
      <c r="H3461" s="75"/>
      <c r="I3461" s="76"/>
      <c r="J3461" s="78">
        <f>HYPERLINK("#Структура!E3042",Структура!E3042)</f>
        <v>2.4E-2</v>
      </c>
      <c r="K3461" s="114" t="str">
        <f>HYPERLINK("#Структура!G3042","")</f>
        <v/>
      </c>
      <c r="L3461" s="120">
        <f>HYPERLINK("#Покупные_изделия!D423",Покупные_изделия!D423)</f>
        <v>218.28</v>
      </c>
      <c r="M3461" s="76">
        <f t="shared" si="131"/>
        <v>5.2387199999999998</v>
      </c>
      <c r="N3461" s="77"/>
      <c r="O3461" s="77"/>
      <c r="P3461" s="76"/>
      <c r="Q3461" s="76"/>
    </row>
    <row r="3462" spans="4:17" hidden="1" outlineLevel="3" x14ac:dyDescent="0.25">
      <c r="E3462" s="74" t="s">
        <v>156</v>
      </c>
      <c r="F3462" s="74"/>
      <c r="G3462" s="74"/>
      <c r="H3462" s="75"/>
      <c r="I3462" s="76"/>
      <c r="J3462" s="78">
        <f>HYPERLINK("#Структура!E3043",Структура!E3043)</f>
        <v>7.3999999999999996E-2</v>
      </c>
      <c r="K3462" s="114" t="str">
        <f>HYPERLINK("#Структура!G3043","")</f>
        <v/>
      </c>
      <c r="L3462" s="120">
        <f>HYPERLINK("#Покупные_изделия!D427",Покупные_изделия!D427)</f>
        <v>155.53200000000001</v>
      </c>
      <c r="M3462" s="76">
        <f t="shared" si="131"/>
        <v>11.509368</v>
      </c>
      <c r="N3462" s="77"/>
      <c r="O3462" s="77"/>
      <c r="P3462" s="76"/>
      <c r="Q3462" s="76"/>
    </row>
    <row r="3463" spans="4:17" hidden="1" outlineLevel="3" x14ac:dyDescent="0.25">
      <c r="E3463" s="74" t="s">
        <v>200</v>
      </c>
      <c r="F3463" s="74"/>
      <c r="G3463" s="74"/>
      <c r="H3463" s="75"/>
      <c r="I3463" s="76"/>
      <c r="J3463" s="78">
        <f>HYPERLINK("#Структура!E3044",Структура!E3044)</f>
        <v>9.9000000000000005E-2</v>
      </c>
      <c r="K3463" s="114" t="str">
        <f>HYPERLINK("#Структура!G3044","")</f>
        <v/>
      </c>
      <c r="L3463" s="120">
        <f>HYPERLINK("#Покупные_изделия!D518",Покупные_изделия!D518)</f>
        <v>270</v>
      </c>
      <c r="M3463" s="76">
        <f t="shared" si="131"/>
        <v>26.73</v>
      </c>
      <c r="N3463" s="77"/>
      <c r="O3463" s="77"/>
      <c r="P3463" s="76"/>
      <c r="Q3463" s="76"/>
    </row>
    <row r="3464" spans="4:17" hidden="1" outlineLevel="3" x14ac:dyDescent="0.25">
      <c r="E3464" s="74" t="s">
        <v>215</v>
      </c>
      <c r="F3464" s="74"/>
      <c r="G3464" s="74"/>
      <c r="H3464" s="75"/>
      <c r="I3464" s="76"/>
      <c r="J3464" s="78">
        <f>HYPERLINK("#Структура!E3045",Структура!E3045)</f>
        <v>0.161</v>
      </c>
      <c r="K3464" s="114" t="str">
        <f>HYPERLINK("#Структура!G3045","")</f>
        <v/>
      </c>
      <c r="L3464" s="120">
        <f>HYPERLINK("#Покупные_изделия!D567",Покупные_изделия!D567)</f>
        <v>405.74399999999997</v>
      </c>
      <c r="M3464" s="76">
        <f t="shared" si="131"/>
        <v>65.324783999999994</v>
      </c>
      <c r="N3464" s="77"/>
      <c r="O3464" s="77"/>
      <c r="P3464" s="76"/>
      <c r="Q3464" s="76"/>
    </row>
    <row r="3465" spans="4:17" hidden="1" outlineLevel="2" collapsed="1" x14ac:dyDescent="0.25">
      <c r="D3465" s="84" t="s">
        <v>1475</v>
      </c>
      <c r="E3465" s="79"/>
      <c r="F3465" s="79"/>
      <c r="G3465" s="79"/>
      <c r="H3465" s="80"/>
      <c r="I3465" s="81"/>
      <c r="J3465" s="83">
        <f>HYPERLINK("#Структура!E3004",Структура!E3004)</f>
        <v>1</v>
      </c>
      <c r="K3465" s="115">
        <f>HYPERLINK("#Структура!G3004",Структура!G3004)</f>
        <v>5.9847299999999999</v>
      </c>
      <c r="L3465" s="81">
        <f>M3465/J3465</f>
        <v>1152.104</v>
      </c>
      <c r="M3465" s="81">
        <f>SUMIF(E3466,"*",M3466)*J3465</f>
        <v>1152.104</v>
      </c>
      <c r="N3465" s="124">
        <f>HYPERLINK("#Трудозатраты!B755",Трудозатраты!B755+SUMIF(E3466,"*",O3466))</f>
        <v>17.2</v>
      </c>
      <c r="O3465" s="82">
        <f>N3465*J3465</f>
        <v>17.2</v>
      </c>
      <c r="P3465" s="81">
        <f>O3465/60*(1+запас_труд)*стоимость_трудочаса</f>
        <v>673.66666666666674</v>
      </c>
      <c r="Q3465" s="129">
        <f>M3465*(1+наценка_покупное)+P3465</f>
        <v>2056.1914666666667</v>
      </c>
    </row>
    <row r="3466" spans="4:17" hidden="1" outlineLevel="3" x14ac:dyDescent="0.25">
      <c r="E3466" s="74" t="s">
        <v>131</v>
      </c>
      <c r="F3466" s="74"/>
      <c r="G3466" s="74"/>
      <c r="H3466" s="75"/>
      <c r="I3466" s="76"/>
      <c r="J3466" s="78">
        <f>HYPERLINK("#Структура!E3046",Структура!E3046)</f>
        <v>7.2006500000000004</v>
      </c>
      <c r="K3466" s="114" t="str">
        <f>HYPERLINK("#Структура!G3046","")</f>
        <v/>
      </c>
      <c r="L3466" s="120">
        <f>HYPERLINK("#Покупные_изделия!D306",Покупные_изделия!D306)</f>
        <v>160</v>
      </c>
      <c r="M3466" s="76">
        <f>J3466*L3466</f>
        <v>1152.104</v>
      </c>
      <c r="N3466" s="77"/>
      <c r="O3466" s="77"/>
      <c r="P3466" s="76"/>
      <c r="Q3466" s="76"/>
    </row>
    <row r="3467" spans="4:17" hidden="1" outlineLevel="2" collapsed="1" x14ac:dyDescent="0.25">
      <c r="D3467" s="84" t="s">
        <v>1476</v>
      </c>
      <c r="E3467" s="79"/>
      <c r="F3467" s="79"/>
      <c r="G3467" s="79"/>
      <c r="H3467" s="80"/>
      <c r="I3467" s="81"/>
      <c r="J3467" s="83">
        <f>HYPERLINK("#Структура!E3005",Структура!E3005)</f>
        <v>2</v>
      </c>
      <c r="K3467" s="115">
        <f>HYPERLINK("#Структура!G3005",Структура!G3005)</f>
        <v>1.82331</v>
      </c>
      <c r="L3467" s="81">
        <f>M3467/J3467</f>
        <v>301.67031600000007</v>
      </c>
      <c r="M3467" s="81">
        <f>SUMIF(E3468:E3473,"*",M3468:M3473)*J3467</f>
        <v>603.34063200000014</v>
      </c>
      <c r="N3467" s="124">
        <f>HYPERLINK("#Трудозатраты!B756",Трудозатраты!B756+SUMIF(E3468:E3473,"*",O3468:O3473))</f>
        <v>10.6</v>
      </c>
      <c r="O3467" s="82">
        <f>N3467*J3467</f>
        <v>21.2</v>
      </c>
      <c r="P3467" s="81">
        <f>O3467/60*(1+запас_труд)*стоимость_трудочаса</f>
        <v>830.33333333333337</v>
      </c>
      <c r="Q3467" s="129">
        <f>M3467*(1+наценка_покупное)+P3467</f>
        <v>1554.3420917333335</v>
      </c>
    </row>
    <row r="3468" spans="4:17" hidden="1" outlineLevel="3" x14ac:dyDescent="0.25">
      <c r="E3468" s="74" t="s">
        <v>65</v>
      </c>
      <c r="F3468" s="74"/>
      <c r="G3468" s="74"/>
      <c r="H3468" s="75"/>
      <c r="I3468" s="76"/>
      <c r="J3468" s="78">
        <f>HYPERLINK("#Структура!E3047",Структура!E3047)</f>
        <v>1.2E-2</v>
      </c>
      <c r="K3468" s="114" t="str">
        <f>HYPERLINK("#Структура!G3047","")</f>
        <v/>
      </c>
      <c r="L3468" s="120">
        <f>HYPERLINK("#Покупные_изделия!D197",Покупные_изделия!D197)</f>
        <v>264.50399999999996</v>
      </c>
      <c r="M3468" s="76">
        <f t="shared" ref="M3468:M3473" si="132">J3468*L3468</f>
        <v>3.1740479999999995</v>
      </c>
      <c r="N3468" s="77"/>
      <c r="O3468" s="77"/>
      <c r="P3468" s="76"/>
      <c r="Q3468" s="76"/>
    </row>
    <row r="3469" spans="4:17" hidden="1" outlineLevel="3" x14ac:dyDescent="0.25">
      <c r="E3469" s="74" t="s">
        <v>118</v>
      </c>
      <c r="F3469" s="74"/>
      <c r="G3469" s="74"/>
      <c r="H3469" s="75"/>
      <c r="I3469" s="76"/>
      <c r="J3469" s="78">
        <f>HYPERLINK("#Структура!E3048",Структура!E3048)</f>
        <v>2.34558</v>
      </c>
      <c r="K3469" s="114" t="str">
        <f>HYPERLINK("#Структура!G3048","")</f>
        <v/>
      </c>
      <c r="L3469" s="120">
        <f>HYPERLINK("#Покупные_изделия!D293",Покупные_изделия!D293)</f>
        <v>120</v>
      </c>
      <c r="M3469" s="76">
        <f t="shared" si="132"/>
        <v>281.46960000000001</v>
      </c>
      <c r="N3469" s="77"/>
      <c r="O3469" s="77"/>
      <c r="P3469" s="76"/>
      <c r="Q3469" s="76"/>
    </row>
    <row r="3470" spans="4:17" hidden="1" outlineLevel="3" x14ac:dyDescent="0.25">
      <c r="E3470" s="74" t="s">
        <v>155</v>
      </c>
      <c r="F3470" s="74"/>
      <c r="G3470" s="74"/>
      <c r="H3470" s="75"/>
      <c r="I3470" s="76"/>
      <c r="J3470" s="78">
        <f>HYPERLINK("#Структура!E3049",Структура!E3049)</f>
        <v>7.0000000000000001E-3</v>
      </c>
      <c r="K3470" s="114" t="str">
        <f>HYPERLINK("#Структура!G3049","")</f>
        <v/>
      </c>
      <c r="L3470" s="120">
        <f>HYPERLINK("#Покупные_изделия!D423",Покупные_изделия!D423)</f>
        <v>218.28</v>
      </c>
      <c r="M3470" s="76">
        <f t="shared" si="132"/>
        <v>1.52796</v>
      </c>
      <c r="N3470" s="77"/>
      <c r="O3470" s="77"/>
      <c r="P3470" s="76"/>
      <c r="Q3470" s="76"/>
    </row>
    <row r="3471" spans="4:17" hidden="1" outlineLevel="3" x14ac:dyDescent="0.25">
      <c r="E3471" s="74" t="s">
        <v>156</v>
      </c>
      <c r="F3471" s="74"/>
      <c r="G3471" s="74"/>
      <c r="H3471" s="75"/>
      <c r="I3471" s="76"/>
      <c r="J3471" s="78">
        <f>HYPERLINK("#Структура!E3050",Структура!E3050)</f>
        <v>1.0999999999999999E-2</v>
      </c>
      <c r="K3471" s="114" t="str">
        <f>HYPERLINK("#Структура!G3050","")</f>
        <v/>
      </c>
      <c r="L3471" s="120">
        <f>HYPERLINK("#Покупные_изделия!D427",Покупные_изделия!D427)</f>
        <v>155.53200000000001</v>
      </c>
      <c r="M3471" s="76">
        <f t="shared" si="132"/>
        <v>1.710852</v>
      </c>
      <c r="N3471" s="77"/>
      <c r="O3471" s="77"/>
      <c r="P3471" s="76"/>
      <c r="Q3471" s="76"/>
    </row>
    <row r="3472" spans="4:17" hidden="1" outlineLevel="3" x14ac:dyDescent="0.25">
      <c r="E3472" s="74" t="s">
        <v>200</v>
      </c>
      <c r="F3472" s="74"/>
      <c r="G3472" s="74"/>
      <c r="H3472" s="75"/>
      <c r="I3472" s="76"/>
      <c r="J3472" s="78">
        <f>HYPERLINK("#Структура!E3051",Структура!E3051)</f>
        <v>1.4999999999999999E-2</v>
      </c>
      <c r="K3472" s="114" t="str">
        <f>HYPERLINK("#Структура!G3051","")</f>
        <v/>
      </c>
      <c r="L3472" s="120">
        <f>HYPERLINK("#Покупные_изделия!D518",Покупные_изделия!D518)</f>
        <v>270</v>
      </c>
      <c r="M3472" s="76">
        <f t="shared" si="132"/>
        <v>4.05</v>
      </c>
      <c r="N3472" s="77"/>
      <c r="O3472" s="77"/>
      <c r="P3472" s="76"/>
      <c r="Q3472" s="76"/>
    </row>
    <row r="3473" spans="4:17" hidden="1" outlineLevel="3" x14ac:dyDescent="0.25">
      <c r="E3473" s="74" t="s">
        <v>215</v>
      </c>
      <c r="F3473" s="74"/>
      <c r="G3473" s="74"/>
      <c r="H3473" s="75"/>
      <c r="I3473" s="76"/>
      <c r="J3473" s="78">
        <f>HYPERLINK("#Структура!E3052",Структура!E3052)</f>
        <v>2.4E-2</v>
      </c>
      <c r="K3473" s="114" t="str">
        <f>HYPERLINK("#Структура!G3052","")</f>
        <v/>
      </c>
      <c r="L3473" s="120">
        <f>HYPERLINK("#Покупные_изделия!D567",Покупные_изделия!D567)</f>
        <v>405.74399999999997</v>
      </c>
      <c r="M3473" s="76">
        <f t="shared" si="132"/>
        <v>9.737855999999999</v>
      </c>
      <c r="N3473" s="77"/>
      <c r="O3473" s="77"/>
      <c r="P3473" s="76"/>
      <c r="Q3473" s="76"/>
    </row>
    <row r="3474" spans="4:17" hidden="1" outlineLevel="2" collapsed="1" x14ac:dyDescent="0.25">
      <c r="D3474" s="84" t="s">
        <v>1477</v>
      </c>
      <c r="E3474" s="79"/>
      <c r="F3474" s="79"/>
      <c r="G3474" s="79"/>
      <c r="H3474" s="80"/>
      <c r="I3474" s="81"/>
      <c r="J3474" s="83">
        <f>HYPERLINK("#Структура!E3006",Структура!E3006)</f>
        <v>2</v>
      </c>
      <c r="K3474" s="115">
        <f>HYPERLINK("#Структура!G3006",Структура!G3006)</f>
        <v>3.6834199999999999</v>
      </c>
      <c r="L3474" s="81">
        <f>M3474/J3474</f>
        <v>757.134996</v>
      </c>
      <c r="M3474" s="81">
        <f>SUMIF(E3475:E3479,"*",M3475:M3479)*J3474</f>
        <v>1514.269992</v>
      </c>
      <c r="N3474" s="124">
        <f>HYPERLINK("#Трудозатраты!B757",Трудозатраты!B757+SUMIF(E3475:E3479,"*",O3475:O3479))</f>
        <v>8</v>
      </c>
      <c r="O3474" s="82">
        <f>N3474*J3474</f>
        <v>16</v>
      </c>
      <c r="P3474" s="81">
        <f>O3474/60*(1+запас_труд)*стоимость_трудочаса</f>
        <v>626.66666666666663</v>
      </c>
      <c r="Q3474" s="129">
        <f>M3474*(1+наценка_покупное)+P3474</f>
        <v>2443.7906570666664</v>
      </c>
    </row>
    <row r="3475" spans="4:17" hidden="1" outlineLevel="3" x14ac:dyDescent="0.25">
      <c r="E3475" s="74" t="s">
        <v>44</v>
      </c>
      <c r="F3475" s="74"/>
      <c r="G3475" s="74"/>
      <c r="H3475" s="75"/>
      <c r="I3475" s="76"/>
      <c r="J3475" s="78">
        <f>HYPERLINK("#Структура!E3053",Структура!E3053)</f>
        <v>8.5999999999999993E-2</v>
      </c>
      <c r="K3475" s="114" t="str">
        <f>HYPERLINK("#Структура!G3053","")</f>
        <v/>
      </c>
      <c r="L3475" s="120">
        <f>HYPERLINK("#Покупные_изделия!D63",Покупные_изделия!D63)</f>
        <v>396.00000000000006</v>
      </c>
      <c r="M3475" s="76">
        <f>J3475*L3475</f>
        <v>34.056000000000004</v>
      </c>
      <c r="N3475" s="77"/>
      <c r="O3475" s="77"/>
      <c r="P3475" s="76"/>
      <c r="Q3475" s="76"/>
    </row>
    <row r="3476" spans="4:17" hidden="1" outlineLevel="3" x14ac:dyDescent="0.25">
      <c r="E3476" s="74" t="s">
        <v>116</v>
      </c>
      <c r="F3476" s="74"/>
      <c r="G3476" s="74"/>
      <c r="H3476" s="75"/>
      <c r="I3476" s="76"/>
      <c r="J3476" s="78">
        <f>HYPERLINK("#Структура!E3054",Структура!E3054)</f>
        <v>5.71244</v>
      </c>
      <c r="K3476" s="114" t="str">
        <f>HYPERLINK("#Структура!G3054","")</f>
        <v/>
      </c>
      <c r="L3476" s="120">
        <f>HYPERLINK("#Покупные_изделия!D291",Покупные_изделия!D291)</f>
        <v>120</v>
      </c>
      <c r="M3476" s="76">
        <f>J3476*L3476</f>
        <v>685.49279999999999</v>
      </c>
      <c r="N3476" s="77"/>
      <c r="O3476" s="77"/>
      <c r="P3476" s="76"/>
      <c r="Q3476" s="76"/>
    </row>
    <row r="3477" spans="4:17" hidden="1" outlineLevel="3" x14ac:dyDescent="0.25">
      <c r="E3477" s="74" t="s">
        <v>139</v>
      </c>
      <c r="F3477" s="74"/>
      <c r="G3477" s="74"/>
      <c r="H3477" s="75"/>
      <c r="I3477" s="76"/>
      <c r="J3477" s="78">
        <f>HYPERLINK("#Структура!E3055",Структура!E3055)</f>
        <v>0.01</v>
      </c>
      <c r="K3477" s="114" t="str">
        <f>HYPERLINK("#Структура!G3055","")</f>
        <v/>
      </c>
      <c r="L3477" s="120">
        <f>HYPERLINK("#Покупные_изделия!D360",Покупные_изделия!D360)</f>
        <v>171.87720000000002</v>
      </c>
      <c r="M3477" s="76">
        <f>J3477*L3477</f>
        <v>1.7187720000000002</v>
      </c>
      <c r="N3477" s="77"/>
      <c r="O3477" s="77"/>
      <c r="P3477" s="76"/>
      <c r="Q3477" s="76"/>
    </row>
    <row r="3478" spans="4:17" hidden="1" outlineLevel="3" x14ac:dyDescent="0.25">
      <c r="E3478" s="74" t="s">
        <v>156</v>
      </c>
      <c r="F3478" s="74"/>
      <c r="G3478" s="74"/>
      <c r="H3478" s="75"/>
      <c r="I3478" s="76"/>
      <c r="J3478" s="78">
        <f>HYPERLINK("#Структура!E3056",Структура!E3056)</f>
        <v>5.1999999999999998E-2</v>
      </c>
      <c r="K3478" s="114" t="str">
        <f>HYPERLINK("#Структура!G3056","")</f>
        <v/>
      </c>
      <c r="L3478" s="120">
        <f>HYPERLINK("#Покупные_изделия!D427",Покупные_изделия!D427)</f>
        <v>155.53200000000001</v>
      </c>
      <c r="M3478" s="76">
        <f>J3478*L3478</f>
        <v>8.0876640000000002</v>
      </c>
      <c r="N3478" s="77"/>
      <c r="O3478" s="77"/>
      <c r="P3478" s="76"/>
      <c r="Q3478" s="76"/>
    </row>
    <row r="3479" spans="4:17" hidden="1" outlineLevel="3" x14ac:dyDescent="0.25">
      <c r="E3479" s="74" t="s">
        <v>202</v>
      </c>
      <c r="F3479" s="74"/>
      <c r="G3479" s="74"/>
      <c r="H3479" s="75"/>
      <c r="I3479" s="76"/>
      <c r="J3479" s="78">
        <f>HYPERLINK("#Структура!E3057",Структура!E3057)</f>
        <v>0.06</v>
      </c>
      <c r="K3479" s="114" t="str">
        <f>HYPERLINK("#Структура!G3057","")</f>
        <v/>
      </c>
      <c r="L3479" s="120">
        <f>HYPERLINK("#Покупные_изделия!D521",Покупные_изделия!D521)</f>
        <v>462.99599999999998</v>
      </c>
      <c r="M3479" s="76">
        <f>J3479*L3479</f>
        <v>27.77976</v>
      </c>
      <c r="N3479" s="77"/>
      <c r="O3479" s="77"/>
      <c r="P3479" s="76"/>
      <c r="Q3479" s="76"/>
    </row>
    <row r="3480" spans="4:17" hidden="1" outlineLevel="2" collapsed="1" x14ac:dyDescent="0.25">
      <c r="D3480" s="84" t="s">
        <v>1478</v>
      </c>
      <c r="E3480" s="79"/>
      <c r="F3480" s="79"/>
      <c r="G3480" s="79"/>
      <c r="H3480" s="80"/>
      <c r="I3480" s="81"/>
      <c r="J3480" s="83">
        <f>HYPERLINK("#Структура!E3007",Структура!E3007)</f>
        <v>2</v>
      </c>
      <c r="K3480" s="115">
        <f>HYPERLINK("#Структура!G3007",Структура!G3007)</f>
        <v>3.0872999999999999</v>
      </c>
      <c r="L3480" s="81">
        <f>M3480/J3480</f>
        <v>595.15520000000004</v>
      </c>
      <c r="M3480" s="81">
        <f>SUMIF(E3481,"*",M3481)*J3480</f>
        <v>1190.3104000000001</v>
      </c>
      <c r="N3480" s="124">
        <f>HYPERLINK("#Трудозатраты!B758",Трудозатраты!B758+SUMIF(E3481,"*",O3481))</f>
        <v>17.75</v>
      </c>
      <c r="O3480" s="82">
        <f>N3480*J3480</f>
        <v>35.5</v>
      </c>
      <c r="P3480" s="81">
        <f>O3480/60*(1+запас_труд)*стоимость_трудочаса</f>
        <v>1390.4166666666667</v>
      </c>
      <c r="Q3480" s="129">
        <f>M3480*(1+наценка_покупное)+P3480</f>
        <v>2818.789146666667</v>
      </c>
    </row>
    <row r="3481" spans="4:17" hidden="1" outlineLevel="3" x14ac:dyDescent="0.25">
      <c r="E3481" s="74" t="s">
        <v>131</v>
      </c>
      <c r="F3481" s="74"/>
      <c r="G3481" s="74"/>
      <c r="H3481" s="75"/>
      <c r="I3481" s="76"/>
      <c r="J3481" s="78">
        <f>HYPERLINK("#Структура!E3058",Структура!E3058)</f>
        <v>3.7197200000000001</v>
      </c>
      <c r="K3481" s="114" t="str">
        <f>HYPERLINK("#Структура!G3058","")</f>
        <v/>
      </c>
      <c r="L3481" s="120">
        <f>HYPERLINK("#Покупные_изделия!D306",Покупные_изделия!D306)</f>
        <v>160</v>
      </c>
      <c r="M3481" s="76">
        <f>J3481*L3481</f>
        <v>595.15520000000004</v>
      </c>
      <c r="N3481" s="77"/>
      <c r="O3481" s="77"/>
      <c r="P3481" s="76"/>
      <c r="Q3481" s="76"/>
    </row>
    <row r="3482" spans="4:17" hidden="1" outlineLevel="2" collapsed="1" x14ac:dyDescent="0.25">
      <c r="D3482" s="84" t="s">
        <v>1479</v>
      </c>
      <c r="E3482" s="79"/>
      <c r="F3482" s="79"/>
      <c r="G3482" s="79"/>
      <c r="H3482" s="80"/>
      <c r="I3482" s="81"/>
      <c r="J3482" s="83">
        <f>HYPERLINK("#Структура!E3008",Структура!E3008)</f>
        <v>2</v>
      </c>
      <c r="K3482" s="115">
        <f>HYPERLINK("#Структура!G3008",Структура!G3008)</f>
        <v>3.6834199999999999</v>
      </c>
      <c r="L3482" s="81">
        <f>M3482/J3482</f>
        <v>757.134996</v>
      </c>
      <c r="M3482" s="81">
        <f>SUMIF(E3483:E3487,"*",M3483:M3487)*J3482</f>
        <v>1514.269992</v>
      </c>
      <c r="N3482" s="124">
        <f>HYPERLINK("#Трудозатраты!B759",Трудозатраты!B759+SUMIF(E3483:E3487,"*",O3483:O3487))</f>
        <v>8</v>
      </c>
      <c r="O3482" s="82">
        <f>N3482*J3482</f>
        <v>16</v>
      </c>
      <c r="P3482" s="81">
        <f>O3482/60*(1+запас_труд)*стоимость_трудочаса</f>
        <v>626.66666666666663</v>
      </c>
      <c r="Q3482" s="129">
        <f>M3482*(1+наценка_покупное)+P3482</f>
        <v>2443.7906570666664</v>
      </c>
    </row>
    <row r="3483" spans="4:17" hidden="1" outlineLevel="3" x14ac:dyDescent="0.25">
      <c r="E3483" s="74" t="s">
        <v>44</v>
      </c>
      <c r="F3483" s="74"/>
      <c r="G3483" s="74"/>
      <c r="H3483" s="75"/>
      <c r="I3483" s="76"/>
      <c r="J3483" s="78">
        <f>HYPERLINK("#Структура!E3059",Структура!E3059)</f>
        <v>8.5999999999999993E-2</v>
      </c>
      <c r="K3483" s="114" t="str">
        <f>HYPERLINK("#Структура!G3059","")</f>
        <v/>
      </c>
      <c r="L3483" s="120">
        <f>HYPERLINK("#Покупные_изделия!D63",Покупные_изделия!D63)</f>
        <v>396.00000000000006</v>
      </c>
      <c r="M3483" s="76">
        <f>J3483*L3483</f>
        <v>34.056000000000004</v>
      </c>
      <c r="N3483" s="77"/>
      <c r="O3483" s="77"/>
      <c r="P3483" s="76"/>
      <c r="Q3483" s="76"/>
    </row>
    <row r="3484" spans="4:17" hidden="1" outlineLevel="3" x14ac:dyDescent="0.25">
      <c r="E3484" s="74" t="s">
        <v>116</v>
      </c>
      <c r="F3484" s="74"/>
      <c r="G3484" s="74"/>
      <c r="H3484" s="75"/>
      <c r="I3484" s="76"/>
      <c r="J3484" s="78">
        <f>HYPERLINK("#Структура!E3060",Структура!E3060)</f>
        <v>5.71244</v>
      </c>
      <c r="K3484" s="114" t="str">
        <f>HYPERLINK("#Структура!G3060","")</f>
        <v/>
      </c>
      <c r="L3484" s="120">
        <f>HYPERLINK("#Покупные_изделия!D291",Покупные_изделия!D291)</f>
        <v>120</v>
      </c>
      <c r="M3484" s="76">
        <f>J3484*L3484</f>
        <v>685.49279999999999</v>
      </c>
      <c r="N3484" s="77"/>
      <c r="O3484" s="77"/>
      <c r="P3484" s="76"/>
      <c r="Q3484" s="76"/>
    </row>
    <row r="3485" spans="4:17" hidden="1" outlineLevel="3" x14ac:dyDescent="0.25">
      <c r="E3485" s="74" t="s">
        <v>139</v>
      </c>
      <c r="F3485" s="74"/>
      <c r="G3485" s="74"/>
      <c r="H3485" s="75"/>
      <c r="I3485" s="76"/>
      <c r="J3485" s="78">
        <f>HYPERLINK("#Структура!E3061",Структура!E3061)</f>
        <v>0.01</v>
      </c>
      <c r="K3485" s="114" t="str">
        <f>HYPERLINK("#Структура!G3061","")</f>
        <v/>
      </c>
      <c r="L3485" s="120">
        <f>HYPERLINK("#Покупные_изделия!D360",Покупные_изделия!D360)</f>
        <v>171.87720000000002</v>
      </c>
      <c r="M3485" s="76">
        <f>J3485*L3485</f>
        <v>1.7187720000000002</v>
      </c>
      <c r="N3485" s="77"/>
      <c r="O3485" s="77"/>
      <c r="P3485" s="76"/>
      <c r="Q3485" s="76"/>
    </row>
    <row r="3486" spans="4:17" hidden="1" outlineLevel="3" x14ac:dyDescent="0.25">
      <c r="E3486" s="74" t="s">
        <v>156</v>
      </c>
      <c r="F3486" s="74"/>
      <c r="G3486" s="74"/>
      <c r="H3486" s="75"/>
      <c r="I3486" s="76"/>
      <c r="J3486" s="78">
        <f>HYPERLINK("#Структура!E3062",Структура!E3062)</f>
        <v>5.1999999999999998E-2</v>
      </c>
      <c r="K3486" s="114" t="str">
        <f>HYPERLINK("#Структура!G3062","")</f>
        <v/>
      </c>
      <c r="L3486" s="120">
        <f>HYPERLINK("#Покупные_изделия!D427",Покупные_изделия!D427)</f>
        <v>155.53200000000001</v>
      </c>
      <c r="M3486" s="76">
        <f>J3486*L3486</f>
        <v>8.0876640000000002</v>
      </c>
      <c r="N3486" s="77"/>
      <c r="O3486" s="77"/>
      <c r="P3486" s="76"/>
      <c r="Q3486" s="76"/>
    </row>
    <row r="3487" spans="4:17" hidden="1" outlineLevel="3" x14ac:dyDescent="0.25">
      <c r="E3487" s="74" t="s">
        <v>202</v>
      </c>
      <c r="F3487" s="74"/>
      <c r="G3487" s="74"/>
      <c r="H3487" s="75"/>
      <c r="I3487" s="76"/>
      <c r="J3487" s="78">
        <f>HYPERLINK("#Структура!E3063",Структура!E3063)</f>
        <v>0.06</v>
      </c>
      <c r="K3487" s="114" t="str">
        <f>HYPERLINK("#Структура!G3063","")</f>
        <v/>
      </c>
      <c r="L3487" s="120">
        <f>HYPERLINK("#Покупные_изделия!D521",Покупные_изделия!D521)</f>
        <v>462.99599999999998</v>
      </c>
      <c r="M3487" s="76">
        <f>J3487*L3487</f>
        <v>27.77976</v>
      </c>
      <c r="N3487" s="77"/>
      <c r="O3487" s="77"/>
      <c r="P3487" s="76"/>
      <c r="Q3487" s="76"/>
    </row>
    <row r="3488" spans="4:17" hidden="1" outlineLevel="2" collapsed="1" x14ac:dyDescent="0.25">
      <c r="D3488" s="84" t="s">
        <v>1480</v>
      </c>
      <c r="E3488" s="79"/>
      <c r="F3488" s="79"/>
      <c r="G3488" s="79"/>
      <c r="H3488" s="80"/>
      <c r="I3488" s="81"/>
      <c r="J3488" s="83">
        <f>HYPERLINK("#Структура!E3009",Структура!E3009)</f>
        <v>1</v>
      </c>
      <c r="K3488" s="115">
        <f>HYPERLINK("#Структура!G3009",Структура!G3009)</f>
        <v>4.4265600000000003</v>
      </c>
      <c r="L3488" s="81">
        <f>M3488/J3488</f>
        <v>843.27839999999992</v>
      </c>
      <c r="M3488" s="81">
        <f>SUMIF(E3489,"*",M3489)*J3488</f>
        <v>843.27839999999992</v>
      </c>
      <c r="N3488" s="124">
        <f>HYPERLINK("#Трудозатраты!B760",Трудозатраты!B760+SUMIF(E3489,"*",O3489))</f>
        <v>17.75</v>
      </c>
      <c r="O3488" s="82">
        <f>N3488*J3488</f>
        <v>17.75</v>
      </c>
      <c r="P3488" s="81">
        <f>O3488/60*(1+запас_труд)*стоимость_трудочаса</f>
        <v>695.20833333333337</v>
      </c>
      <c r="Q3488" s="129">
        <f>M3488*(1+наценка_покупное)+P3488</f>
        <v>1707.1424133333333</v>
      </c>
    </row>
    <row r="3489" spans="4:17" hidden="1" outlineLevel="3" x14ac:dyDescent="0.25">
      <c r="E3489" s="74" t="s">
        <v>131</v>
      </c>
      <c r="F3489" s="74"/>
      <c r="G3489" s="74"/>
      <c r="H3489" s="75"/>
      <c r="I3489" s="76"/>
      <c r="J3489" s="78">
        <f>HYPERLINK("#Структура!E3064",Структура!E3064)</f>
        <v>5.2704899999999997</v>
      </c>
      <c r="K3489" s="114" t="str">
        <f>HYPERLINK("#Структура!G3064","")</f>
        <v/>
      </c>
      <c r="L3489" s="120">
        <f>HYPERLINK("#Покупные_изделия!D306",Покупные_изделия!D306)</f>
        <v>160</v>
      </c>
      <c r="M3489" s="76">
        <f>J3489*L3489</f>
        <v>843.27839999999992</v>
      </c>
      <c r="N3489" s="77"/>
      <c r="O3489" s="77"/>
      <c r="P3489" s="76"/>
      <c r="Q3489" s="76"/>
    </row>
    <row r="3490" spans="4:17" hidden="1" outlineLevel="2" collapsed="1" x14ac:dyDescent="0.25">
      <c r="D3490" s="84" t="s">
        <v>1481</v>
      </c>
      <c r="E3490" s="79"/>
      <c r="F3490" s="79"/>
      <c r="G3490" s="79"/>
      <c r="H3490" s="80"/>
      <c r="I3490" s="81"/>
      <c r="J3490" s="83">
        <f>HYPERLINK("#Структура!E3010",Структура!E3010)</f>
        <v>1</v>
      </c>
      <c r="K3490" s="115">
        <f>HYPERLINK("#Структура!G3010",Структура!G3010)</f>
        <v>4.4265600000000003</v>
      </c>
      <c r="L3490" s="81">
        <f>M3490/J3490</f>
        <v>843.27839999999992</v>
      </c>
      <c r="M3490" s="81">
        <f>SUMIF(E3491,"*",M3491)*J3490</f>
        <v>843.27839999999992</v>
      </c>
      <c r="N3490" s="124">
        <f>HYPERLINK("#Трудозатраты!B761",Трудозатраты!B761+SUMIF(E3491,"*",O3491))</f>
        <v>17.75</v>
      </c>
      <c r="O3490" s="82">
        <f>N3490*J3490</f>
        <v>17.75</v>
      </c>
      <c r="P3490" s="81">
        <f>O3490/60*(1+запас_труд)*стоимость_трудочаса</f>
        <v>695.20833333333337</v>
      </c>
      <c r="Q3490" s="129">
        <f>M3490*(1+наценка_покупное)+P3490</f>
        <v>1707.1424133333333</v>
      </c>
    </row>
    <row r="3491" spans="4:17" hidden="1" outlineLevel="3" x14ac:dyDescent="0.25">
      <c r="E3491" s="74" t="s">
        <v>131</v>
      </c>
      <c r="F3491" s="74"/>
      <c r="G3491" s="74"/>
      <c r="H3491" s="75"/>
      <c r="I3491" s="76"/>
      <c r="J3491" s="78">
        <f>HYPERLINK("#Структура!E3065",Структура!E3065)</f>
        <v>5.2704899999999997</v>
      </c>
      <c r="K3491" s="114" t="str">
        <f>HYPERLINK("#Структура!G3065","")</f>
        <v/>
      </c>
      <c r="L3491" s="120">
        <f>HYPERLINK("#Покупные_изделия!D306",Покупные_изделия!D306)</f>
        <v>160</v>
      </c>
      <c r="M3491" s="76">
        <f>J3491*L3491</f>
        <v>843.27839999999992</v>
      </c>
      <c r="N3491" s="77"/>
      <c r="O3491" s="77"/>
      <c r="P3491" s="76"/>
      <c r="Q3491" s="76"/>
    </row>
    <row r="3492" spans="4:17" hidden="1" outlineLevel="2" collapsed="1" x14ac:dyDescent="0.25">
      <c r="D3492" s="84" t="s">
        <v>1482</v>
      </c>
      <c r="E3492" s="79"/>
      <c r="F3492" s="79"/>
      <c r="G3492" s="79"/>
      <c r="H3492" s="80"/>
      <c r="I3492" s="81"/>
      <c r="J3492" s="83">
        <f>HYPERLINK("#Структура!E3011",Структура!E3011)</f>
        <v>1</v>
      </c>
      <c r="K3492" s="115">
        <f>HYPERLINK("#Структура!G3011",Структура!G3011)</f>
        <v>2.5636199999999998</v>
      </c>
      <c r="L3492" s="81">
        <f>M3492/J3492</f>
        <v>499.18399999999997</v>
      </c>
      <c r="M3492" s="81">
        <f>SUMIF(E3493,"*",M3493)*J3492</f>
        <v>499.18399999999997</v>
      </c>
      <c r="N3492" s="124">
        <f>HYPERLINK("#Трудозатраты!B762",Трудозатраты!B762+SUMIF(E3493,"*",O3493))</f>
        <v>17.75</v>
      </c>
      <c r="O3492" s="82">
        <f>N3492*J3492</f>
        <v>17.75</v>
      </c>
      <c r="P3492" s="81">
        <f>O3492/60*(1+запас_труд)*стоимость_трудочаса</f>
        <v>695.20833333333337</v>
      </c>
      <c r="Q3492" s="129">
        <f>M3492*(1+наценка_покупное)+P3492</f>
        <v>1294.2291333333333</v>
      </c>
    </row>
    <row r="3493" spans="4:17" hidden="1" outlineLevel="3" x14ac:dyDescent="0.25">
      <c r="E3493" s="74" t="s">
        <v>131</v>
      </c>
      <c r="F3493" s="74"/>
      <c r="G3493" s="74"/>
      <c r="H3493" s="75"/>
      <c r="I3493" s="76"/>
      <c r="J3493" s="78">
        <f>HYPERLINK("#Структура!E3066",Структура!E3066)</f>
        <v>3.1198999999999999</v>
      </c>
      <c r="K3493" s="114" t="str">
        <f>HYPERLINK("#Структура!G3066","")</f>
        <v/>
      </c>
      <c r="L3493" s="120">
        <f>HYPERLINK("#Покупные_изделия!D306",Покупные_изделия!D306)</f>
        <v>160</v>
      </c>
      <c r="M3493" s="76">
        <f>J3493*L3493</f>
        <v>499.18399999999997</v>
      </c>
      <c r="N3493" s="77"/>
      <c r="O3493" s="77"/>
      <c r="P3493" s="76"/>
      <c r="Q3493" s="76"/>
    </row>
    <row r="3494" spans="4:17" hidden="1" outlineLevel="2" collapsed="1" x14ac:dyDescent="0.25">
      <c r="D3494" s="84" t="s">
        <v>1483</v>
      </c>
      <c r="E3494" s="79"/>
      <c r="F3494" s="79"/>
      <c r="G3494" s="79"/>
      <c r="H3494" s="80"/>
      <c r="I3494" s="81"/>
      <c r="J3494" s="83">
        <f>HYPERLINK("#Структура!E3012",Структура!E3012)</f>
        <v>1</v>
      </c>
      <c r="K3494" s="115">
        <f>HYPERLINK("#Структура!G3012",Структура!G3012)</f>
        <v>2.5636199999999998</v>
      </c>
      <c r="L3494" s="81">
        <f>M3494/J3494</f>
        <v>499.18399999999997</v>
      </c>
      <c r="M3494" s="81">
        <f>SUMIF(E3495,"*",M3495)*J3494</f>
        <v>499.18399999999997</v>
      </c>
      <c r="N3494" s="124">
        <f>HYPERLINK("#Трудозатраты!B763",Трудозатраты!B763+SUMIF(E3495,"*",O3495))</f>
        <v>17.75</v>
      </c>
      <c r="O3494" s="82">
        <f>N3494*J3494</f>
        <v>17.75</v>
      </c>
      <c r="P3494" s="81">
        <f>O3494/60*(1+запас_труд)*стоимость_трудочаса</f>
        <v>695.20833333333337</v>
      </c>
      <c r="Q3494" s="129">
        <f>M3494*(1+наценка_покупное)+P3494</f>
        <v>1294.2291333333333</v>
      </c>
    </row>
    <row r="3495" spans="4:17" hidden="1" outlineLevel="3" x14ac:dyDescent="0.25">
      <c r="E3495" s="74" t="s">
        <v>131</v>
      </c>
      <c r="F3495" s="74"/>
      <c r="G3495" s="74"/>
      <c r="H3495" s="75"/>
      <c r="I3495" s="76"/>
      <c r="J3495" s="78">
        <f>HYPERLINK("#Структура!E3067",Структура!E3067)</f>
        <v>3.1198999999999999</v>
      </c>
      <c r="K3495" s="114" t="str">
        <f>HYPERLINK("#Структура!G3067","")</f>
        <v/>
      </c>
      <c r="L3495" s="120">
        <f>HYPERLINK("#Покупные_изделия!D306",Покупные_изделия!D306)</f>
        <v>160</v>
      </c>
      <c r="M3495" s="76">
        <f>J3495*L3495</f>
        <v>499.18399999999997</v>
      </c>
      <c r="N3495" s="77"/>
      <c r="O3495" s="77"/>
      <c r="P3495" s="76"/>
      <c r="Q3495" s="76"/>
    </row>
    <row r="3496" spans="4:17" hidden="1" outlineLevel="2" collapsed="1" x14ac:dyDescent="0.25">
      <c r="D3496" s="84" t="s">
        <v>1484</v>
      </c>
      <c r="E3496" s="79"/>
      <c r="F3496" s="79"/>
      <c r="G3496" s="79"/>
      <c r="H3496" s="80"/>
      <c r="I3496" s="81"/>
      <c r="J3496" s="83">
        <f>HYPERLINK("#Структура!E3013",Структура!E3013)</f>
        <v>1</v>
      </c>
      <c r="K3496" s="115">
        <f>HYPERLINK("#Структура!G3013",Структура!G3013)</f>
        <v>2.96347</v>
      </c>
      <c r="L3496" s="81">
        <f>M3496/J3496</f>
        <v>574.2432</v>
      </c>
      <c r="M3496" s="81">
        <f>SUMIF(E3497,"*",M3497)*J3496</f>
        <v>574.2432</v>
      </c>
      <c r="N3496" s="124">
        <f>HYPERLINK("#Трудозатраты!B764",Трудозатраты!B764+SUMIF(E3497,"*",O3497))</f>
        <v>17.75</v>
      </c>
      <c r="O3496" s="82">
        <f>N3496*J3496</f>
        <v>17.75</v>
      </c>
      <c r="P3496" s="81">
        <f>O3496/60*(1+запас_труд)*стоимость_трудочаса</f>
        <v>695.20833333333337</v>
      </c>
      <c r="Q3496" s="129">
        <f>M3496*(1+наценка_покупное)+P3496</f>
        <v>1384.3001733333333</v>
      </c>
    </row>
    <row r="3497" spans="4:17" hidden="1" outlineLevel="3" x14ac:dyDescent="0.25">
      <c r="E3497" s="74" t="s">
        <v>131</v>
      </c>
      <c r="F3497" s="74"/>
      <c r="G3497" s="74"/>
      <c r="H3497" s="75"/>
      <c r="I3497" s="76"/>
      <c r="J3497" s="78">
        <f>HYPERLINK("#Структура!E3068",Структура!E3068)</f>
        <v>3.5890200000000001</v>
      </c>
      <c r="K3497" s="114" t="str">
        <f>HYPERLINK("#Структура!G3068","")</f>
        <v/>
      </c>
      <c r="L3497" s="120">
        <f>HYPERLINK("#Покупные_изделия!D306",Покупные_изделия!D306)</f>
        <v>160</v>
      </c>
      <c r="M3497" s="76">
        <f>J3497*L3497</f>
        <v>574.2432</v>
      </c>
      <c r="N3497" s="77"/>
      <c r="O3497" s="77"/>
      <c r="P3497" s="76"/>
      <c r="Q3497" s="76"/>
    </row>
    <row r="3498" spans="4:17" hidden="1" outlineLevel="2" collapsed="1" x14ac:dyDescent="0.25">
      <c r="D3498" s="84" t="s">
        <v>1485</v>
      </c>
      <c r="E3498" s="79"/>
      <c r="F3498" s="79"/>
      <c r="G3498" s="79"/>
      <c r="H3498" s="80"/>
      <c r="I3498" s="81"/>
      <c r="J3498" s="83">
        <f>HYPERLINK("#Структура!E3014",Структура!E3014)</f>
        <v>1</v>
      </c>
      <c r="K3498" s="115">
        <f>HYPERLINK("#Структура!G3014",Структура!G3014)</f>
        <v>2.96347</v>
      </c>
      <c r="L3498" s="81">
        <f>M3498/J3498</f>
        <v>574.2432</v>
      </c>
      <c r="M3498" s="81">
        <f>SUMIF(E3499,"*",M3499)*J3498</f>
        <v>574.2432</v>
      </c>
      <c r="N3498" s="124">
        <f>HYPERLINK("#Трудозатраты!B765",Трудозатраты!B765+SUMIF(E3499,"*",O3499))</f>
        <v>17.75</v>
      </c>
      <c r="O3498" s="82">
        <f>N3498*J3498</f>
        <v>17.75</v>
      </c>
      <c r="P3498" s="81">
        <f>O3498/60*(1+запас_труд)*стоимость_трудочаса</f>
        <v>695.20833333333337</v>
      </c>
      <c r="Q3498" s="129">
        <f>M3498*(1+наценка_покупное)+P3498</f>
        <v>1384.3001733333333</v>
      </c>
    </row>
    <row r="3499" spans="4:17" hidden="1" outlineLevel="3" x14ac:dyDescent="0.25">
      <c r="E3499" s="74" t="s">
        <v>131</v>
      </c>
      <c r="F3499" s="74"/>
      <c r="G3499" s="74"/>
      <c r="H3499" s="75"/>
      <c r="I3499" s="76"/>
      <c r="J3499" s="78">
        <f>HYPERLINK("#Структура!E3069",Структура!E3069)</f>
        <v>3.5890200000000001</v>
      </c>
      <c r="K3499" s="114" t="str">
        <f>HYPERLINK("#Структура!G3069","")</f>
        <v/>
      </c>
      <c r="L3499" s="120">
        <f>HYPERLINK("#Покупные_изделия!D306",Покупные_изделия!D306)</f>
        <v>160</v>
      </c>
      <c r="M3499" s="76">
        <f>J3499*L3499</f>
        <v>574.2432</v>
      </c>
      <c r="N3499" s="77"/>
      <c r="O3499" s="77"/>
      <c r="P3499" s="76"/>
      <c r="Q3499" s="76"/>
    </row>
    <row r="3500" spans="4:17" hidden="1" outlineLevel="2" collapsed="1" x14ac:dyDescent="0.25">
      <c r="D3500" s="84" t="s">
        <v>1486</v>
      </c>
      <c r="E3500" s="79"/>
      <c r="F3500" s="79"/>
      <c r="G3500" s="79"/>
      <c r="H3500" s="80"/>
      <c r="I3500" s="81"/>
      <c r="J3500" s="83">
        <f>HYPERLINK("#Структура!E3015",Структура!E3015)</f>
        <v>2</v>
      </c>
      <c r="K3500" s="115">
        <f>HYPERLINK("#Структура!G3015",Структура!G3015)</f>
        <v>2.5034100000000001</v>
      </c>
      <c r="L3500" s="81">
        <f>M3500/J3500</f>
        <v>473.41119999999995</v>
      </c>
      <c r="M3500" s="81">
        <f>SUMIF(E3501,"*",M3501)*J3500</f>
        <v>946.8223999999999</v>
      </c>
      <c r="N3500" s="124">
        <f>HYPERLINK("#Трудозатраты!B766",Трудозатраты!B766+SUMIF(E3501,"*",O3501))</f>
        <v>15.1</v>
      </c>
      <c r="O3500" s="82">
        <f>N3500*J3500</f>
        <v>30.2</v>
      </c>
      <c r="P3500" s="81">
        <f>O3500/60*(1+запас_труд)*стоимость_трудочаса</f>
        <v>1182.8333333333333</v>
      </c>
      <c r="Q3500" s="129">
        <f>M3500*(1+наценка_покупное)+P3500</f>
        <v>2319.0202133333332</v>
      </c>
    </row>
    <row r="3501" spans="4:17" hidden="1" outlineLevel="3" x14ac:dyDescent="0.25">
      <c r="E3501" s="74" t="s">
        <v>131</v>
      </c>
      <c r="F3501" s="74"/>
      <c r="G3501" s="74"/>
      <c r="H3501" s="75"/>
      <c r="I3501" s="76"/>
      <c r="J3501" s="78">
        <f>HYPERLINK("#Структура!E3070",Структура!E3070)</f>
        <v>2.9588199999999998</v>
      </c>
      <c r="K3501" s="114" t="str">
        <f>HYPERLINK("#Структура!G3070","")</f>
        <v/>
      </c>
      <c r="L3501" s="120">
        <f>HYPERLINK("#Покупные_изделия!D306",Покупные_изделия!D306)</f>
        <v>160</v>
      </c>
      <c r="M3501" s="76">
        <f>J3501*L3501</f>
        <v>473.41119999999995</v>
      </c>
      <c r="N3501" s="77"/>
      <c r="O3501" s="77"/>
      <c r="P3501" s="76"/>
      <c r="Q3501" s="76"/>
    </row>
    <row r="3502" spans="4:17" hidden="1" outlineLevel="2" collapsed="1" x14ac:dyDescent="0.25">
      <c r="D3502" s="84" t="s">
        <v>1487</v>
      </c>
      <c r="E3502" s="79"/>
      <c r="F3502" s="79"/>
      <c r="G3502" s="79"/>
      <c r="H3502" s="80"/>
      <c r="I3502" s="81"/>
      <c r="J3502" s="83">
        <f>HYPERLINK("#Структура!E3016",Структура!E3016)</f>
        <v>1</v>
      </c>
      <c r="K3502" s="115">
        <f>HYPERLINK("#Структура!G3016",Структура!G3016)</f>
        <v>2.9075099999999998</v>
      </c>
      <c r="L3502" s="81">
        <f>M3502/J3502</f>
        <v>549.37440000000004</v>
      </c>
      <c r="M3502" s="81">
        <f>SUMIF(E3503,"*",M3503)*J3502</f>
        <v>549.37440000000004</v>
      </c>
      <c r="N3502" s="124">
        <f>HYPERLINK("#Трудозатраты!B767",Трудозатраты!B767+SUMIF(E3503,"*",O3503))</f>
        <v>15.1</v>
      </c>
      <c r="O3502" s="82">
        <f>N3502*J3502</f>
        <v>15.1</v>
      </c>
      <c r="P3502" s="81">
        <f>O3502/60*(1+запас_труд)*стоимость_трудочаса</f>
        <v>591.41666666666663</v>
      </c>
      <c r="Q3502" s="129">
        <f>M3502*(1+наценка_покупное)+P3502</f>
        <v>1250.6659466666665</v>
      </c>
    </row>
    <row r="3503" spans="4:17" hidden="1" outlineLevel="3" x14ac:dyDescent="0.25">
      <c r="E3503" s="74" t="s">
        <v>131</v>
      </c>
      <c r="F3503" s="74"/>
      <c r="G3503" s="74"/>
      <c r="H3503" s="75"/>
      <c r="I3503" s="76"/>
      <c r="J3503" s="78">
        <f>HYPERLINK("#Структура!E3071",Структура!E3071)</f>
        <v>3.4335900000000001</v>
      </c>
      <c r="K3503" s="114" t="str">
        <f>HYPERLINK("#Структура!G3071","")</f>
        <v/>
      </c>
      <c r="L3503" s="120">
        <f>HYPERLINK("#Покупные_изделия!D306",Покупные_изделия!D306)</f>
        <v>160</v>
      </c>
      <c r="M3503" s="76">
        <f>J3503*L3503</f>
        <v>549.37440000000004</v>
      </c>
      <c r="N3503" s="77"/>
      <c r="O3503" s="77"/>
      <c r="P3503" s="76"/>
      <c r="Q3503" s="76"/>
    </row>
    <row r="3504" spans="4:17" hidden="1" outlineLevel="2" collapsed="1" x14ac:dyDescent="0.25">
      <c r="D3504" s="84" t="s">
        <v>1490</v>
      </c>
      <c r="E3504" s="79"/>
      <c r="F3504" s="79"/>
      <c r="G3504" s="79"/>
      <c r="H3504" s="80"/>
      <c r="I3504" s="81"/>
      <c r="J3504" s="83">
        <f>HYPERLINK("#Структура!E3017",Структура!E3017)</f>
        <v>4</v>
      </c>
      <c r="K3504" s="115">
        <f>HYPERLINK("#Структура!G3017",Структура!G3017)</f>
        <v>6.0571400000000004</v>
      </c>
      <c r="L3504" s="81">
        <f>M3504/J3504</f>
        <v>1649.9312</v>
      </c>
      <c r="M3504" s="81">
        <f>SUMIF(E3505,"*",M3505)*J3504</f>
        <v>6599.7248</v>
      </c>
      <c r="N3504" s="124">
        <f>HYPERLINK("#Трудозатраты!B770",Трудозатраты!B770+SUMIF(E3505,"*",O3505))</f>
        <v>54.085000000000001</v>
      </c>
      <c r="O3504" s="82">
        <f>N3504*J3504</f>
        <v>216.34</v>
      </c>
      <c r="P3504" s="81">
        <f>O3504/60*(1+запас_труд)*стоимость_трудочаса</f>
        <v>8473.3166666666657</v>
      </c>
      <c r="Q3504" s="129">
        <f>M3504*(1+наценка_покупное)+P3504</f>
        <v>16392.986426666666</v>
      </c>
    </row>
    <row r="3505" spans="4:17" hidden="1" outlineLevel="3" x14ac:dyDescent="0.25">
      <c r="E3505" s="74" t="s">
        <v>130</v>
      </c>
      <c r="F3505" s="74"/>
      <c r="G3505" s="74"/>
      <c r="H3505" s="75"/>
      <c r="I3505" s="76"/>
      <c r="J3505" s="78">
        <f>HYPERLINK("#Структура!E3074",Структура!E3074)</f>
        <v>10.31207</v>
      </c>
      <c r="K3505" s="114" t="str">
        <f>HYPERLINK("#Структура!G3074","")</f>
        <v/>
      </c>
      <c r="L3505" s="120">
        <f>HYPERLINK("#Покупные_изделия!D305",Покупные_изделия!D305)</f>
        <v>160</v>
      </c>
      <c r="M3505" s="76">
        <f>J3505*L3505</f>
        <v>1649.9312</v>
      </c>
      <c r="N3505" s="77"/>
      <c r="O3505" s="77"/>
      <c r="P3505" s="76"/>
      <c r="Q3505" s="76"/>
    </row>
    <row r="3506" spans="4:17" hidden="1" outlineLevel="2" collapsed="1" x14ac:dyDescent="0.25">
      <c r="D3506" s="84" t="s">
        <v>1491</v>
      </c>
      <c r="E3506" s="79"/>
      <c r="F3506" s="79"/>
      <c r="G3506" s="79"/>
      <c r="H3506" s="80"/>
      <c r="I3506" s="81"/>
      <c r="J3506" s="83">
        <f>HYPERLINK("#Структура!E3018",Структура!E3018)</f>
        <v>4</v>
      </c>
      <c r="K3506" s="115">
        <f>HYPERLINK("#Структура!G3018",Структура!G3018)</f>
        <v>9.3829999999999997E-2</v>
      </c>
      <c r="L3506" s="81">
        <f>M3506/J3506</f>
        <v>20.827200000000001</v>
      </c>
      <c r="M3506" s="81">
        <f>SUMIF(E3507,"*",M3507)*J3506</f>
        <v>83.308800000000005</v>
      </c>
      <c r="N3506" s="124">
        <f>HYPERLINK("#Трудозатраты!B771",Трудозатраты!B771+SUMIF(E3507,"*",O3507))</f>
        <v>8.1</v>
      </c>
      <c r="O3506" s="82">
        <f>N3506*J3506</f>
        <v>32.4</v>
      </c>
      <c r="P3506" s="81">
        <f>O3506/60*(1+запас_труд)*стоимость_трудочаса</f>
        <v>1268.9999999999998</v>
      </c>
      <c r="Q3506" s="129">
        <f>M3506*(1+наценка_покупное)+P3506</f>
        <v>1368.9705599999998</v>
      </c>
    </row>
    <row r="3507" spans="4:17" hidden="1" outlineLevel="3" x14ac:dyDescent="0.25">
      <c r="E3507" s="74" t="s">
        <v>131</v>
      </c>
      <c r="F3507" s="74"/>
      <c r="G3507" s="74"/>
      <c r="H3507" s="75"/>
      <c r="I3507" s="76"/>
      <c r="J3507" s="78">
        <f>HYPERLINK("#Структура!E3075",Структура!E3075)</f>
        <v>0.13017000000000001</v>
      </c>
      <c r="K3507" s="114" t="str">
        <f>HYPERLINK("#Структура!G3075","")</f>
        <v/>
      </c>
      <c r="L3507" s="120">
        <f>HYPERLINK("#Покупные_изделия!D306",Покупные_изделия!D306)</f>
        <v>160</v>
      </c>
      <c r="M3507" s="76">
        <f>J3507*L3507</f>
        <v>20.827200000000001</v>
      </c>
      <c r="N3507" s="77"/>
      <c r="O3507" s="77"/>
      <c r="P3507" s="76"/>
      <c r="Q3507" s="76"/>
    </row>
    <row r="3508" spans="4:17" hidden="1" outlineLevel="2" collapsed="1" x14ac:dyDescent="0.25">
      <c r="D3508" s="84" t="s">
        <v>1492</v>
      </c>
      <c r="E3508" s="79"/>
      <c r="F3508" s="79"/>
      <c r="G3508" s="79"/>
      <c r="H3508" s="80"/>
      <c r="I3508" s="81"/>
      <c r="J3508" s="83">
        <f>HYPERLINK("#Структура!E3019",Структура!E3019)</f>
        <v>1</v>
      </c>
      <c r="K3508" s="115">
        <f>HYPERLINK("#Структура!G3019",Структура!G3019)</f>
        <v>5.9099000000000004</v>
      </c>
      <c r="L3508" s="81">
        <f>M3508/J3508</f>
        <v>1501.6239999999998</v>
      </c>
      <c r="M3508" s="81">
        <f>SUMIF(E3509,"*",M3509)*J3508</f>
        <v>1501.6239999999998</v>
      </c>
      <c r="N3508" s="124">
        <f>HYPERLINK("#Трудозатраты!B772",Трудозатраты!B772+SUMIF(E3509,"*",O3509))</f>
        <v>50.305</v>
      </c>
      <c r="O3508" s="82">
        <f>N3508*J3508</f>
        <v>50.305</v>
      </c>
      <c r="P3508" s="81">
        <f>O3508/60*(1+запас_труд)*стоимость_трудочаса</f>
        <v>1970.2791666666667</v>
      </c>
      <c r="Q3508" s="129">
        <f>M3508*(1+наценка_покупное)+P3508</f>
        <v>3772.2279666666664</v>
      </c>
    </row>
    <row r="3509" spans="4:17" hidden="1" outlineLevel="3" x14ac:dyDescent="0.25">
      <c r="E3509" s="74" t="s">
        <v>130</v>
      </c>
      <c r="F3509" s="74"/>
      <c r="G3509" s="74"/>
      <c r="H3509" s="75"/>
      <c r="I3509" s="76"/>
      <c r="J3509" s="78">
        <f>HYPERLINK("#Структура!E3076",Структура!E3076)</f>
        <v>9.3851499999999994</v>
      </c>
      <c r="K3509" s="114" t="str">
        <f>HYPERLINK("#Структура!G3076","")</f>
        <v/>
      </c>
      <c r="L3509" s="120">
        <f>HYPERLINK("#Покупные_изделия!D305",Покупные_изделия!D305)</f>
        <v>160</v>
      </c>
      <c r="M3509" s="76">
        <f>J3509*L3509</f>
        <v>1501.6239999999998</v>
      </c>
      <c r="N3509" s="77"/>
      <c r="O3509" s="77"/>
      <c r="P3509" s="76"/>
      <c r="Q3509" s="76"/>
    </row>
    <row r="3510" spans="4:17" hidden="1" outlineLevel="2" collapsed="1" x14ac:dyDescent="0.25">
      <c r="D3510" s="84" t="s">
        <v>1493</v>
      </c>
      <c r="E3510" s="79"/>
      <c r="F3510" s="79"/>
      <c r="G3510" s="79"/>
      <c r="H3510" s="80"/>
      <c r="I3510" s="81"/>
      <c r="J3510" s="83">
        <f>HYPERLINK("#Структура!E3020",Структура!E3020)</f>
        <v>1</v>
      </c>
      <c r="K3510" s="115">
        <f>HYPERLINK("#Структура!G3020",Структура!G3020)</f>
        <v>2.9692799999999999</v>
      </c>
      <c r="L3510" s="81">
        <f>M3510/J3510</f>
        <v>582.54079999999999</v>
      </c>
      <c r="M3510" s="81">
        <f>SUMIF(E3511,"*",M3511)*J3510</f>
        <v>582.54079999999999</v>
      </c>
      <c r="N3510" s="124">
        <f>HYPERLINK("#Трудозатраты!B773",Трудозатраты!B773+SUMIF(E3511,"*",O3511))</f>
        <v>13.35</v>
      </c>
      <c r="O3510" s="82">
        <f>N3510*J3510</f>
        <v>13.35</v>
      </c>
      <c r="P3510" s="81">
        <f>O3510/60*(1+запас_труд)*стоимость_трудочаса</f>
        <v>522.875</v>
      </c>
      <c r="Q3510" s="129">
        <f>M3510*(1+наценка_покупное)+P3510</f>
        <v>1221.9239600000001</v>
      </c>
    </row>
    <row r="3511" spans="4:17" hidden="1" outlineLevel="3" x14ac:dyDescent="0.25">
      <c r="E3511" s="74" t="s">
        <v>131</v>
      </c>
      <c r="F3511" s="74"/>
      <c r="G3511" s="74"/>
      <c r="H3511" s="75"/>
      <c r="I3511" s="76"/>
      <c r="J3511" s="78">
        <f>HYPERLINK("#Структура!E3077",Структура!E3077)</f>
        <v>3.6408800000000001</v>
      </c>
      <c r="K3511" s="114" t="str">
        <f>HYPERLINK("#Структура!G3077","")</f>
        <v/>
      </c>
      <c r="L3511" s="120">
        <f>HYPERLINK("#Покупные_изделия!D306",Покупные_изделия!D306)</f>
        <v>160</v>
      </c>
      <c r="M3511" s="76">
        <f>J3511*L3511</f>
        <v>582.54079999999999</v>
      </c>
      <c r="N3511" s="77"/>
      <c r="O3511" s="77"/>
      <c r="P3511" s="76"/>
      <c r="Q3511" s="76"/>
    </row>
    <row r="3512" spans="4:17" hidden="1" outlineLevel="2" collapsed="1" x14ac:dyDescent="0.25">
      <c r="D3512" s="84" t="s">
        <v>1496</v>
      </c>
      <c r="E3512" s="79"/>
      <c r="F3512" s="79"/>
      <c r="G3512" s="79"/>
      <c r="H3512" s="80"/>
      <c r="I3512" s="81"/>
      <c r="J3512" s="83">
        <f>HYPERLINK("#Структура!E3021",Структура!E3021)</f>
        <v>1</v>
      </c>
      <c r="K3512" s="115">
        <f>HYPERLINK("#Структура!G3021",Структура!G3021)</f>
        <v>1.30003</v>
      </c>
      <c r="L3512" s="81">
        <f>M3512/J3512</f>
        <v>279.79679999999996</v>
      </c>
      <c r="M3512" s="81">
        <f>SUMIF(E3513,"*",M3513)*J3512</f>
        <v>279.79679999999996</v>
      </c>
      <c r="N3512" s="124">
        <f>HYPERLINK("#Трудозатраты!B776",Трудозатраты!B776+SUMIF(E3513,"*",O3513))</f>
        <v>9.85</v>
      </c>
      <c r="O3512" s="82">
        <f>N3512*J3512</f>
        <v>9.85</v>
      </c>
      <c r="P3512" s="81">
        <f>O3512/60*(1+запас_труд)*стоимость_трудочаса</f>
        <v>385.79166666666663</v>
      </c>
      <c r="Q3512" s="129">
        <f>M3512*(1+наценка_покупное)+P3512</f>
        <v>721.54782666666665</v>
      </c>
    </row>
    <row r="3513" spans="4:17" hidden="1" outlineLevel="3" x14ac:dyDescent="0.25">
      <c r="E3513" s="74" t="s">
        <v>131</v>
      </c>
      <c r="F3513" s="74"/>
      <c r="G3513" s="74"/>
      <c r="H3513" s="75"/>
      <c r="I3513" s="76"/>
      <c r="J3513" s="78">
        <f>HYPERLINK("#Структура!E3080",Структура!E3080)</f>
        <v>1.7487299999999999</v>
      </c>
      <c r="K3513" s="114" t="str">
        <f>HYPERLINK("#Структура!G3080","")</f>
        <v/>
      </c>
      <c r="L3513" s="120">
        <f>HYPERLINK("#Покупные_изделия!D306",Покупные_изделия!D306)</f>
        <v>160</v>
      </c>
      <c r="M3513" s="76">
        <f>J3513*L3513</f>
        <v>279.79679999999996</v>
      </c>
      <c r="N3513" s="77"/>
      <c r="O3513" s="77"/>
      <c r="P3513" s="76"/>
      <c r="Q3513" s="76"/>
    </row>
    <row r="3514" spans="4:17" hidden="1" outlineLevel="2" collapsed="1" x14ac:dyDescent="0.25">
      <c r="D3514" s="84" t="s">
        <v>1501</v>
      </c>
      <c r="E3514" s="79"/>
      <c r="F3514" s="79"/>
      <c r="G3514" s="79"/>
      <c r="H3514" s="80"/>
      <c r="I3514" s="81"/>
      <c r="J3514" s="83">
        <f>HYPERLINK("#Структура!E3022",Структура!E3022)</f>
        <v>2</v>
      </c>
      <c r="K3514" s="115">
        <f>HYPERLINK("#Структура!G3022",Структура!G3022)</f>
        <v>7.6093700000000002</v>
      </c>
      <c r="L3514" s="81">
        <f>M3514/J3514</f>
        <v>2104.5792000000001</v>
      </c>
      <c r="M3514" s="81">
        <f>SUMIF(E3515,"*",M3515)*J3514</f>
        <v>4209.1584000000003</v>
      </c>
      <c r="N3514" s="124">
        <f>HYPERLINK("#Трудозатраты!B778",Трудозатраты!B778+SUMIF(E3515,"*",O3515))</f>
        <v>57.9</v>
      </c>
      <c r="O3514" s="82">
        <f>N3514*J3514</f>
        <v>115.8</v>
      </c>
      <c r="P3514" s="81">
        <f>O3514/60*(1+запас_труд)*стоимость_трудочаса</f>
        <v>4535.5</v>
      </c>
      <c r="Q3514" s="129">
        <f>M3514*(1+наценка_покупное)+P3514</f>
        <v>9586.4900799999996</v>
      </c>
    </row>
    <row r="3515" spans="4:17" hidden="1" outlineLevel="3" x14ac:dyDescent="0.25">
      <c r="E3515" s="74" t="s">
        <v>130</v>
      </c>
      <c r="F3515" s="74"/>
      <c r="G3515" s="74"/>
      <c r="H3515" s="75"/>
      <c r="I3515" s="76"/>
      <c r="J3515" s="78">
        <f>HYPERLINK("#Структура!E3082",Структура!E3082)</f>
        <v>13.15362</v>
      </c>
      <c r="K3515" s="114" t="str">
        <f>HYPERLINK("#Структура!G3082","")</f>
        <v/>
      </c>
      <c r="L3515" s="120">
        <f>HYPERLINK("#Покупные_изделия!D305",Покупные_изделия!D305)</f>
        <v>160</v>
      </c>
      <c r="M3515" s="76">
        <f>J3515*L3515</f>
        <v>2104.5792000000001</v>
      </c>
      <c r="N3515" s="77"/>
      <c r="O3515" s="77"/>
      <c r="P3515" s="76"/>
      <c r="Q3515" s="76"/>
    </row>
    <row r="3516" spans="4:17" hidden="1" outlineLevel="2" collapsed="1" x14ac:dyDescent="0.25">
      <c r="D3516" s="84" t="s">
        <v>1502</v>
      </c>
      <c r="E3516" s="79"/>
      <c r="F3516" s="79"/>
      <c r="G3516" s="79"/>
      <c r="H3516" s="80"/>
      <c r="I3516" s="81"/>
      <c r="J3516" s="83">
        <f>HYPERLINK("#Структура!E3023",Структура!E3023)</f>
        <v>1</v>
      </c>
      <c r="K3516" s="115">
        <f>HYPERLINK("#Структура!G3023",Структура!G3023)</f>
        <v>2.05782</v>
      </c>
      <c r="L3516" s="81">
        <f>M3516/J3516</f>
        <v>529.7808</v>
      </c>
      <c r="M3516" s="81">
        <f>SUMIF(E3517,"*",M3517)*J3516</f>
        <v>529.7808</v>
      </c>
      <c r="N3516" s="124">
        <f>HYPERLINK("#Трудозатраты!B779",Трудозатраты!B779+SUMIF(E3517,"*",O3517))</f>
        <v>38.75</v>
      </c>
      <c r="O3516" s="82">
        <f>N3516*J3516</f>
        <v>38.75</v>
      </c>
      <c r="P3516" s="81">
        <f>O3516/60*(1+запас_труд)*стоимость_трудочаса</f>
        <v>1517.7083333333335</v>
      </c>
      <c r="Q3516" s="129">
        <f>M3516*(1+наценка_покупное)+P3516</f>
        <v>2153.4452933333332</v>
      </c>
    </row>
    <row r="3517" spans="4:17" hidden="1" outlineLevel="3" x14ac:dyDescent="0.25">
      <c r="E3517" s="74" t="s">
        <v>130</v>
      </c>
      <c r="F3517" s="74"/>
      <c r="G3517" s="74"/>
      <c r="H3517" s="75"/>
      <c r="I3517" s="76"/>
      <c r="J3517" s="78">
        <f>HYPERLINK("#Структура!E3083",Структура!E3083)</f>
        <v>3.3111299999999999</v>
      </c>
      <c r="K3517" s="114" t="str">
        <f>HYPERLINK("#Структура!G3083","")</f>
        <v/>
      </c>
      <c r="L3517" s="120">
        <f>HYPERLINK("#Покупные_изделия!D305",Покупные_изделия!D305)</f>
        <v>160</v>
      </c>
      <c r="M3517" s="76">
        <f>J3517*L3517</f>
        <v>529.7808</v>
      </c>
      <c r="N3517" s="77"/>
      <c r="O3517" s="77"/>
      <c r="P3517" s="76"/>
      <c r="Q3517" s="76"/>
    </row>
    <row r="3518" spans="4:17" hidden="1" outlineLevel="2" collapsed="1" x14ac:dyDescent="0.25">
      <c r="D3518" s="84" t="s">
        <v>1503</v>
      </c>
      <c r="E3518" s="79"/>
      <c r="F3518" s="79"/>
      <c r="G3518" s="79"/>
      <c r="H3518" s="80"/>
      <c r="I3518" s="81"/>
      <c r="J3518" s="83">
        <f>HYPERLINK("#Структура!E3024",Структура!E3024)</f>
        <v>1</v>
      </c>
      <c r="K3518" s="115">
        <f>HYPERLINK("#Структура!G3024",Структура!G3024)</f>
        <v>3.0305300000000002</v>
      </c>
      <c r="L3518" s="81">
        <f>M3518/J3518</f>
        <v>581.69439999999997</v>
      </c>
      <c r="M3518" s="81">
        <f>SUMIF(E3519,"*",M3519)*J3518</f>
        <v>581.69439999999997</v>
      </c>
      <c r="N3518" s="124">
        <f>HYPERLINK("#Трудозатраты!B780",Трудозатраты!B780+SUMIF(E3519,"*",O3519))</f>
        <v>28.5</v>
      </c>
      <c r="O3518" s="82">
        <f>N3518*J3518</f>
        <v>28.5</v>
      </c>
      <c r="P3518" s="81">
        <f>O3518/60*(1+запас_труд)*стоимость_трудочаса</f>
        <v>1116.25</v>
      </c>
      <c r="Q3518" s="129">
        <f>M3518*(1+наценка_покупное)+P3518</f>
        <v>1814.2832800000001</v>
      </c>
    </row>
    <row r="3519" spans="4:17" hidden="1" outlineLevel="3" x14ac:dyDescent="0.25">
      <c r="E3519" s="74" t="s">
        <v>131</v>
      </c>
      <c r="F3519" s="74"/>
      <c r="G3519" s="74"/>
      <c r="H3519" s="75"/>
      <c r="I3519" s="76"/>
      <c r="J3519" s="78">
        <f>HYPERLINK("#Структура!E3084",Структура!E3084)</f>
        <v>3.6355900000000001</v>
      </c>
      <c r="K3519" s="114" t="str">
        <f>HYPERLINK("#Структура!G3084","")</f>
        <v/>
      </c>
      <c r="L3519" s="120">
        <f>HYPERLINK("#Покупные_изделия!D306",Покупные_изделия!D306)</f>
        <v>160</v>
      </c>
      <c r="M3519" s="76">
        <f>J3519*L3519</f>
        <v>581.69439999999997</v>
      </c>
      <c r="N3519" s="77"/>
      <c r="O3519" s="77"/>
      <c r="P3519" s="76"/>
      <c r="Q3519" s="76"/>
    </row>
    <row r="3520" spans="4:17" hidden="1" outlineLevel="2" collapsed="1" x14ac:dyDescent="0.25">
      <c r="D3520" s="84" t="s">
        <v>1504</v>
      </c>
      <c r="E3520" s="79"/>
      <c r="F3520" s="79"/>
      <c r="G3520" s="79"/>
      <c r="H3520" s="80"/>
      <c r="I3520" s="81"/>
      <c r="J3520" s="83">
        <f>HYPERLINK("#Структура!E3025",Структура!E3025)</f>
        <v>1</v>
      </c>
      <c r="K3520" s="115">
        <f>HYPERLINK("#Структура!G3025",Структура!G3025)</f>
        <v>3.9664999999999999</v>
      </c>
      <c r="L3520" s="81">
        <f>M3520/J3520</f>
        <v>782.01919999999996</v>
      </c>
      <c r="M3520" s="81">
        <f>SUMIF(E3521,"*",M3521)*J3520</f>
        <v>782.01919999999996</v>
      </c>
      <c r="N3520" s="124">
        <f>HYPERLINK("#Трудозатраты!B781",Трудозатраты!B781+SUMIF(E3521,"*",O3521))</f>
        <v>37</v>
      </c>
      <c r="O3520" s="82">
        <f>N3520*J3520</f>
        <v>37</v>
      </c>
      <c r="P3520" s="81">
        <f>O3520/60*(1+запас_труд)*стоимость_трудочаса</f>
        <v>1449.1666666666667</v>
      </c>
      <c r="Q3520" s="129">
        <f>M3520*(1+наценка_покупное)+P3520</f>
        <v>2387.5897066666666</v>
      </c>
    </row>
    <row r="3521" spans="3:17" hidden="1" outlineLevel="3" x14ac:dyDescent="0.25">
      <c r="E3521" s="74" t="s">
        <v>131</v>
      </c>
      <c r="F3521" s="74"/>
      <c r="G3521" s="74"/>
      <c r="H3521" s="75"/>
      <c r="I3521" s="76"/>
      <c r="J3521" s="78">
        <f>HYPERLINK("#Структура!E3085",Структура!E3085)</f>
        <v>4.8876200000000001</v>
      </c>
      <c r="K3521" s="114" t="str">
        <f>HYPERLINK("#Структура!G3085","")</f>
        <v/>
      </c>
      <c r="L3521" s="120">
        <f>HYPERLINK("#Покупные_изделия!D306",Покупные_изделия!D306)</f>
        <v>160</v>
      </c>
      <c r="M3521" s="76">
        <f>J3521*L3521</f>
        <v>782.01919999999996</v>
      </c>
      <c r="N3521" s="77"/>
      <c r="O3521" s="77"/>
      <c r="P3521" s="76"/>
      <c r="Q3521" s="76"/>
    </row>
    <row r="3522" spans="3:17" hidden="1" outlineLevel="2" collapsed="1" x14ac:dyDescent="0.25">
      <c r="D3522" s="84" t="s">
        <v>1498</v>
      </c>
      <c r="E3522" s="79"/>
      <c r="F3522" s="79"/>
      <c r="G3522" s="79"/>
      <c r="H3522" s="80"/>
      <c r="I3522" s="81"/>
      <c r="J3522" s="83">
        <f>HYPERLINK("#Структура!E3026",Структура!E3026)</f>
        <v>1</v>
      </c>
      <c r="K3522" s="115">
        <f>HYPERLINK("#Структура!G3026",Структура!G3026)</f>
        <v>2.2185999999999999</v>
      </c>
      <c r="L3522" s="81">
        <f>M3522/J3522</f>
        <v>424.75839999999999</v>
      </c>
      <c r="M3522" s="81">
        <f>SUMIF(E3523,"*",M3523)*J3522</f>
        <v>424.75839999999999</v>
      </c>
      <c r="N3522" s="124">
        <f>HYPERLINK("#Трудозатраты!B782",Трудозатраты!B782+SUMIF(E3523,"*",O3523))</f>
        <v>12.5</v>
      </c>
      <c r="O3522" s="82">
        <f>N3522*J3522</f>
        <v>12.5</v>
      </c>
      <c r="P3522" s="81">
        <f>O3522/60*(1+запас_труд)*стоимость_трудочаса</f>
        <v>489.58333333333337</v>
      </c>
      <c r="Q3522" s="129">
        <f>M3522*(1+наценка_покупное)+P3522</f>
        <v>999.29341333333332</v>
      </c>
    </row>
    <row r="3523" spans="3:17" hidden="1" outlineLevel="3" x14ac:dyDescent="0.25">
      <c r="E3523" s="74" t="s">
        <v>131</v>
      </c>
      <c r="F3523" s="74"/>
      <c r="G3523" s="74"/>
      <c r="H3523" s="75"/>
      <c r="I3523" s="76"/>
      <c r="J3523" s="78">
        <f>HYPERLINK("#Структура!E3086",Структура!E3086)</f>
        <v>2.6547399999999999</v>
      </c>
      <c r="K3523" s="114" t="str">
        <f>HYPERLINK("#Структура!G3086","")</f>
        <v/>
      </c>
      <c r="L3523" s="120">
        <f>HYPERLINK("#Покупные_изделия!D306",Покупные_изделия!D306)</f>
        <v>160</v>
      </c>
      <c r="M3523" s="76">
        <f t="shared" ref="M3523:M3529" si="133">J3523*L3523</f>
        <v>424.75839999999999</v>
      </c>
      <c r="N3523" s="77"/>
      <c r="O3523" s="77"/>
      <c r="P3523" s="76"/>
      <c r="Q3523" s="76"/>
    </row>
    <row r="3524" spans="3:17" hidden="1" outlineLevel="2" x14ac:dyDescent="0.25">
      <c r="D3524" s="74" t="s">
        <v>1290</v>
      </c>
      <c r="E3524" s="74"/>
      <c r="F3524" s="74"/>
      <c r="G3524" s="74"/>
      <c r="H3524" s="75"/>
      <c r="I3524" s="76"/>
      <c r="J3524" s="78">
        <f>HYPERLINK("#Структура!E3027",Структура!E3027)</f>
        <v>2</v>
      </c>
      <c r="K3524" s="114">
        <f>HYPERLINK("#Структура!G3027",Структура!G3027)</f>
        <v>3.1600000000000003E-2</v>
      </c>
      <c r="L3524" s="120">
        <f>HYPERLINK("#Покупные_изделия!D73",Покупные_изделия!D73)</f>
        <v>12.888</v>
      </c>
      <c r="M3524" s="76">
        <f t="shared" si="133"/>
        <v>25.776</v>
      </c>
      <c r="N3524" s="77"/>
      <c r="O3524" s="77"/>
      <c r="P3524" s="76"/>
      <c r="Q3524" s="76"/>
    </row>
    <row r="3525" spans="3:17" hidden="1" outlineLevel="2" x14ac:dyDescent="0.25">
      <c r="D3525" s="74" t="s">
        <v>622</v>
      </c>
      <c r="E3525" s="74"/>
      <c r="F3525" s="74"/>
      <c r="G3525" s="74"/>
      <c r="H3525" s="75"/>
      <c r="I3525" s="76"/>
      <c r="J3525" s="78">
        <f>HYPERLINK("#Структура!E3028",Структура!E3028)</f>
        <v>89</v>
      </c>
      <c r="K3525" s="114">
        <f>HYPERLINK("#Структура!G3028",Структура!G3028)</f>
        <v>1.52E-2</v>
      </c>
      <c r="L3525" s="120">
        <f>HYPERLINK("#Покупные_изделия!D85",Покупные_изделия!D85)</f>
        <v>8.6999999999999993</v>
      </c>
      <c r="M3525" s="76">
        <f t="shared" si="133"/>
        <v>774.3</v>
      </c>
      <c r="N3525" s="77"/>
      <c r="O3525" s="77"/>
      <c r="P3525" s="76"/>
      <c r="Q3525" s="76"/>
    </row>
    <row r="3526" spans="3:17" hidden="1" outlineLevel="2" x14ac:dyDescent="0.25">
      <c r="D3526" s="74" t="s">
        <v>1499</v>
      </c>
      <c r="E3526" s="74"/>
      <c r="F3526" s="74"/>
      <c r="G3526" s="74"/>
      <c r="H3526" s="75"/>
      <c r="I3526" s="76"/>
      <c r="J3526" s="78">
        <f>HYPERLINK("#Структура!E3029",Структура!E3029)</f>
        <v>4</v>
      </c>
      <c r="K3526" s="114">
        <f>HYPERLINK("#Структура!G3029",Структура!G3029)</f>
        <v>9.5300000000000003E-3</v>
      </c>
      <c r="L3526" s="120">
        <f>HYPERLINK("#Покупные_изделия!D135",Покупные_изделия!D135)</f>
        <v>5.5</v>
      </c>
      <c r="M3526" s="76">
        <f t="shared" si="133"/>
        <v>22</v>
      </c>
      <c r="N3526" s="77"/>
      <c r="O3526" s="77"/>
      <c r="P3526" s="76"/>
      <c r="Q3526" s="76"/>
    </row>
    <row r="3527" spans="3:17" hidden="1" outlineLevel="2" x14ac:dyDescent="0.25">
      <c r="D3527" s="74" t="s">
        <v>1066</v>
      </c>
      <c r="E3527" s="74"/>
      <c r="F3527" s="74"/>
      <c r="G3527" s="74"/>
      <c r="H3527" s="75"/>
      <c r="I3527" s="76"/>
      <c r="J3527" s="78">
        <f>HYPERLINK("#Структура!E3030",Структура!E3030)</f>
        <v>42</v>
      </c>
      <c r="K3527" s="114">
        <f>HYPERLINK("#Структура!G3030",Структура!G3030)</f>
        <v>2.53E-2</v>
      </c>
      <c r="L3527" s="120">
        <f>HYPERLINK("#Покупные_изделия!D137",Покупные_изделия!D137)</f>
        <v>40.163999999999994</v>
      </c>
      <c r="M3527" s="76">
        <f t="shared" si="133"/>
        <v>1686.8879999999997</v>
      </c>
      <c r="N3527" s="77"/>
      <c r="O3527" s="77"/>
      <c r="P3527" s="76"/>
      <c r="Q3527" s="76"/>
    </row>
    <row r="3528" spans="3:17" hidden="1" outlineLevel="2" x14ac:dyDescent="0.25">
      <c r="D3528" s="74" t="s">
        <v>766</v>
      </c>
      <c r="E3528" s="74"/>
      <c r="F3528" s="74"/>
      <c r="G3528" s="74"/>
      <c r="H3528" s="75"/>
      <c r="I3528" s="76"/>
      <c r="J3528" s="78">
        <f>HYPERLINK("#Структура!E3031",Структура!E3031)</f>
        <v>2</v>
      </c>
      <c r="K3528" s="114">
        <f>HYPERLINK("#Структура!G3031",Структура!G3031)</f>
        <v>1.1299999999999999E-2</v>
      </c>
      <c r="L3528" s="120">
        <f>HYPERLINK("#Покупные_изделия!D163",Покупные_изделия!D163)</f>
        <v>4.1525058823529415</v>
      </c>
      <c r="M3528" s="76">
        <f t="shared" si="133"/>
        <v>8.305011764705883</v>
      </c>
      <c r="N3528" s="77"/>
      <c r="O3528" s="77"/>
      <c r="P3528" s="76"/>
      <c r="Q3528" s="76"/>
    </row>
    <row r="3529" spans="3:17" hidden="1" outlineLevel="2" x14ac:dyDescent="0.25">
      <c r="D3529" s="74" t="s">
        <v>625</v>
      </c>
      <c r="E3529" s="74"/>
      <c r="F3529" s="74"/>
      <c r="G3529" s="74"/>
      <c r="H3529" s="75"/>
      <c r="I3529" s="76"/>
      <c r="J3529" s="78">
        <f>HYPERLINK("#Структура!E3032",Структура!E3032)</f>
        <v>135</v>
      </c>
      <c r="K3529" s="114">
        <f>HYPERLINK("#Структура!G3032",Структура!G3032)</f>
        <v>7.1399999999999996E-3</v>
      </c>
      <c r="L3529" s="120">
        <f>HYPERLINK("#Покупные_изделия!D168",Покупные_изделия!D168)</f>
        <v>1.9715672368421051</v>
      </c>
      <c r="M3529" s="76">
        <f t="shared" si="133"/>
        <v>266.16157697368419</v>
      </c>
      <c r="N3529" s="77"/>
      <c r="O3529" s="77"/>
      <c r="P3529" s="76"/>
      <c r="Q3529" s="76"/>
    </row>
    <row r="3530" spans="3:17" hidden="1" outlineLevel="1" collapsed="1" x14ac:dyDescent="0.25">
      <c r="C3530" s="96" t="s">
        <v>1508</v>
      </c>
      <c r="D3530" s="91"/>
      <c r="E3530" s="91"/>
      <c r="F3530" s="91"/>
      <c r="G3530" s="91"/>
      <c r="H3530" s="92"/>
      <c r="I3530" s="93"/>
      <c r="J3530" s="95">
        <f>HYPERLINK("#Структура!E3259",Структура!E3259)</f>
        <v>1</v>
      </c>
      <c r="K3530" s="116">
        <f>HYPERLINK("#Структура!G3259",Структура!G3259)</f>
        <v>63.096229999999998</v>
      </c>
      <c r="L3530" s="93">
        <f>M3530/J3530</f>
        <v>12054.406837878949</v>
      </c>
      <c r="M3530" s="93">
        <f>SUMIF(D3531:D3588,"*",M3531:M3588)*J3530</f>
        <v>12054.406837878949</v>
      </c>
      <c r="N3530" s="125">
        <f>HYPERLINK("#Трудозатраты!B787",Трудозатраты!B787+SUMIF(D3531:D3588,"*",O3531:O3588))</f>
        <v>705.5100000000001</v>
      </c>
      <c r="O3530" s="94">
        <f>N3530*J3530</f>
        <v>705.5100000000001</v>
      </c>
      <c r="P3530" s="93">
        <f>O3530/60*(1+запас_труд)*стоимость_трудочаса</f>
        <v>27632.475000000002</v>
      </c>
      <c r="Q3530" s="130">
        <f>M3530*(1+наценка_покупное)+P3530</f>
        <v>42097.763205454743</v>
      </c>
    </row>
    <row r="3531" spans="3:17" hidden="1" outlineLevel="2" collapsed="1" x14ac:dyDescent="0.25">
      <c r="D3531" s="97" t="s">
        <v>1441</v>
      </c>
      <c r="E3531" s="98"/>
      <c r="F3531" s="98"/>
      <c r="G3531" s="98"/>
      <c r="H3531" s="99"/>
      <c r="I3531" s="100"/>
      <c r="J3531" s="102">
        <f>HYPERLINK("#Структура!E3096",Структура!E3096)</f>
        <v>1</v>
      </c>
      <c r="K3531" s="112">
        <f>HYPERLINK("#Структура!G3096",Структура!G3096)</f>
        <v>17.647379999999998</v>
      </c>
      <c r="L3531" s="100">
        <f>M3531/J3531</f>
        <v>3067.9912271999997</v>
      </c>
      <c r="M3531" s="100">
        <f>SUMIF(E3532:E3544,"*",M3532:M3544)*J3531</f>
        <v>3067.9912271999997</v>
      </c>
      <c r="N3531" s="122">
        <f>HYPERLINK("#Трудозатраты!B724",Трудозатраты!B724+SUMIF(E3532:E3544,"*",O3532:O3544))</f>
        <v>255.89999999999998</v>
      </c>
      <c r="O3531" s="101">
        <f>N3531*J3531</f>
        <v>255.89999999999998</v>
      </c>
      <c r="P3531" s="100">
        <f>O3531/60*(1+запас_труд)*стоимость_трудочаса</f>
        <v>10022.75</v>
      </c>
      <c r="Q3531" s="127">
        <f>M3531*(1+наценка_покупное)+P3531</f>
        <v>13704.33947264</v>
      </c>
    </row>
    <row r="3532" spans="3:17" hidden="1" outlineLevel="3" collapsed="1" x14ac:dyDescent="0.25">
      <c r="E3532" s="85" t="s">
        <v>1440</v>
      </c>
      <c r="F3532" s="86"/>
      <c r="G3532" s="86"/>
      <c r="H3532" s="87"/>
      <c r="I3532" s="88"/>
      <c r="J3532" s="90">
        <f>HYPERLINK("#Структура!E2861",Структура!E2861)</f>
        <v>1</v>
      </c>
      <c r="K3532" s="113">
        <f>HYPERLINK("#Структура!G2861",Структура!G2861)</f>
        <v>5.8282299999999996</v>
      </c>
      <c r="L3532" s="88">
        <f>M3532/J3532</f>
        <v>844.00200000000007</v>
      </c>
      <c r="M3532" s="88">
        <f>SUMIF(F3533,"*",M3533)*J3532</f>
        <v>844.00200000000007</v>
      </c>
      <c r="N3532" s="123">
        <f>HYPERLINK("#Трудозатраты!B725",Трудозатраты!B725+SUMIF(F3533,"*",O3533))</f>
        <v>10</v>
      </c>
      <c r="O3532" s="89">
        <f>N3532*J3532</f>
        <v>10</v>
      </c>
      <c r="P3532" s="88">
        <f>O3532/60*(1+запас_труд)*стоимость_трудочаса</f>
        <v>391.66666666666663</v>
      </c>
      <c r="Q3532" s="128">
        <f>M3532*(1+наценка_покупное)+P3532</f>
        <v>1404.4690666666665</v>
      </c>
    </row>
    <row r="3533" spans="3:17" hidden="1" outlineLevel="4" x14ac:dyDescent="0.25">
      <c r="F3533" s="74" t="s">
        <v>113</v>
      </c>
      <c r="G3533" s="74"/>
      <c r="H3533" s="75"/>
      <c r="I3533" s="76"/>
      <c r="J3533" s="78">
        <f>HYPERLINK("#Структура!E2871",Структура!E2871)</f>
        <v>7.0333500000000004</v>
      </c>
      <c r="K3533" s="114" t="str">
        <f>HYPERLINK("#Структура!G2871","")</f>
        <v/>
      </c>
      <c r="L3533" s="120">
        <f>HYPERLINK("#Покупные_изделия!D286",Покупные_изделия!D286)</f>
        <v>120</v>
      </c>
      <c r="M3533" s="76">
        <f>J3533*L3533</f>
        <v>844.00200000000007</v>
      </c>
      <c r="N3533" s="77"/>
      <c r="O3533" s="77"/>
      <c r="P3533" s="76"/>
      <c r="Q3533" s="76"/>
    </row>
    <row r="3534" spans="3:17" hidden="1" outlineLevel="3" collapsed="1" x14ac:dyDescent="0.25">
      <c r="E3534" s="84" t="s">
        <v>1442</v>
      </c>
      <c r="F3534" s="79"/>
      <c r="G3534" s="79"/>
      <c r="H3534" s="80"/>
      <c r="I3534" s="81"/>
      <c r="J3534" s="83">
        <f>HYPERLINK("#Структура!E2862",Структура!E2862)</f>
        <v>1</v>
      </c>
      <c r="K3534" s="115">
        <f>HYPERLINK("#Структура!G2862",Структура!G2862)</f>
        <v>5.8282299999999996</v>
      </c>
      <c r="L3534" s="81">
        <f>M3534/J3534</f>
        <v>844.00200000000007</v>
      </c>
      <c r="M3534" s="81">
        <f>SUMIF(F3535,"*",M3535)*J3534</f>
        <v>844.00200000000007</v>
      </c>
      <c r="N3534" s="124">
        <f>HYPERLINK("#Трудозатраты!B726",Трудозатраты!B726+SUMIF(F3535,"*",O3535))</f>
        <v>10</v>
      </c>
      <c r="O3534" s="82">
        <f>N3534*J3534</f>
        <v>10</v>
      </c>
      <c r="P3534" s="81">
        <f>O3534/60*(1+запас_труд)*стоимость_трудочаса</f>
        <v>391.66666666666663</v>
      </c>
      <c r="Q3534" s="129">
        <f>M3534*(1+наценка_покупное)+P3534</f>
        <v>1404.4690666666665</v>
      </c>
    </row>
    <row r="3535" spans="3:17" hidden="1" outlineLevel="4" x14ac:dyDescent="0.25">
      <c r="F3535" s="74" t="s">
        <v>113</v>
      </c>
      <c r="G3535" s="74"/>
      <c r="H3535" s="75"/>
      <c r="I3535" s="76"/>
      <c r="J3535" s="78">
        <f>HYPERLINK("#Структура!E2872",Структура!E2872)</f>
        <v>7.0333500000000004</v>
      </c>
      <c r="K3535" s="114" t="str">
        <f>HYPERLINK("#Структура!G2872","")</f>
        <v/>
      </c>
      <c r="L3535" s="120">
        <f>HYPERLINK("#Покупные_изделия!D286",Покупные_изделия!D286)</f>
        <v>120</v>
      </c>
      <c r="M3535" s="76">
        <f>J3535*L3535</f>
        <v>844.00200000000007</v>
      </c>
      <c r="N3535" s="77"/>
      <c r="O3535" s="77"/>
      <c r="P3535" s="76"/>
      <c r="Q3535" s="76"/>
    </row>
    <row r="3536" spans="3:17" hidden="1" outlineLevel="3" collapsed="1" x14ac:dyDescent="0.25">
      <c r="E3536" s="84" t="s">
        <v>1443</v>
      </c>
      <c r="F3536" s="79"/>
      <c r="G3536" s="79"/>
      <c r="H3536" s="80"/>
      <c r="I3536" s="81"/>
      <c r="J3536" s="83">
        <f>HYPERLINK("#Структура!E2863",Структура!E2863)</f>
        <v>10</v>
      </c>
      <c r="K3536" s="115">
        <f>HYPERLINK("#Структура!G2863",Структура!G2863)</f>
        <v>0.59909000000000001</v>
      </c>
      <c r="L3536" s="81">
        <f>M3536/J3536</f>
        <v>74.52</v>
      </c>
      <c r="M3536" s="81">
        <f>SUMIF(F3537,"*",M3537)*J3536</f>
        <v>745.19999999999993</v>
      </c>
      <c r="N3536" s="124">
        <f>HYPERLINK("#Трудозатраты!B727",Трудозатраты!B727+SUMIF(F3537,"*",O3537))</f>
        <v>14.67</v>
      </c>
      <c r="O3536" s="82">
        <f>N3536*J3536</f>
        <v>146.69999999999999</v>
      </c>
      <c r="P3536" s="81">
        <f>O3536/60*(1+запас_труд)*стоимость_трудочаса</f>
        <v>5745.75</v>
      </c>
      <c r="Q3536" s="129">
        <f>M3536*(1+наценка_покупное)+P3536</f>
        <v>6639.99</v>
      </c>
    </row>
    <row r="3537" spans="4:17" hidden="1" outlineLevel="4" x14ac:dyDescent="0.25">
      <c r="F3537" s="74" t="s">
        <v>175</v>
      </c>
      <c r="G3537" s="74"/>
      <c r="H3537" s="75"/>
      <c r="I3537" s="76"/>
      <c r="J3537" s="78">
        <f>HYPERLINK("#Структура!E2873",Структура!E2873)</f>
        <v>0.621</v>
      </c>
      <c r="K3537" s="114" t="str">
        <f>HYPERLINK("#Структура!G2873","")</f>
        <v/>
      </c>
      <c r="L3537" s="120">
        <f>HYPERLINK("#Покупные_изделия!D486",Покупные_изделия!D486)</f>
        <v>120</v>
      </c>
      <c r="M3537" s="76">
        <f t="shared" ref="M3537:M3544" si="134">J3537*L3537</f>
        <v>74.52</v>
      </c>
      <c r="N3537" s="77"/>
      <c r="O3537" s="77"/>
      <c r="P3537" s="76"/>
      <c r="Q3537" s="76"/>
    </row>
    <row r="3538" spans="4:17" hidden="1" outlineLevel="3" x14ac:dyDescent="0.25">
      <c r="E3538" s="74" t="s">
        <v>44</v>
      </c>
      <c r="F3538" s="74"/>
      <c r="G3538" s="74"/>
      <c r="H3538" s="75"/>
      <c r="I3538" s="76"/>
      <c r="J3538" s="78">
        <f>HYPERLINK("#Структура!E2864",Структура!E2864)</f>
        <v>0.76</v>
      </c>
      <c r="K3538" s="114" t="str">
        <f>HYPERLINK("#Структура!G2864","")</f>
        <v/>
      </c>
      <c r="L3538" s="120">
        <f>HYPERLINK("#Покупные_изделия!D63",Покупные_изделия!D63)</f>
        <v>396.00000000000006</v>
      </c>
      <c r="M3538" s="76">
        <f t="shared" si="134"/>
        <v>300.96000000000004</v>
      </c>
      <c r="N3538" s="77"/>
      <c r="O3538" s="77"/>
      <c r="P3538" s="76"/>
      <c r="Q3538" s="76"/>
    </row>
    <row r="3539" spans="4:17" hidden="1" outlineLevel="3" x14ac:dyDescent="0.25">
      <c r="E3539" s="74" t="s">
        <v>67</v>
      </c>
      <c r="F3539" s="74"/>
      <c r="G3539" s="74"/>
      <c r="H3539" s="75"/>
      <c r="I3539" s="76"/>
      <c r="J3539" s="78">
        <f>HYPERLINK("#Структура!E2865",Структура!E2865)</f>
        <v>0.42499999999999999</v>
      </c>
      <c r="K3539" s="114" t="str">
        <f>HYPERLINK("#Структура!G2865","")</f>
        <v/>
      </c>
      <c r="L3539" s="120">
        <f>HYPERLINK("#Покупные_изделия!D203",Покупные_изделия!D203)</f>
        <v>30.003600000000002</v>
      </c>
      <c r="M3539" s="76">
        <f t="shared" si="134"/>
        <v>12.751530000000001</v>
      </c>
      <c r="N3539" s="77"/>
      <c r="O3539" s="77"/>
      <c r="P3539" s="76"/>
      <c r="Q3539" s="76"/>
    </row>
    <row r="3540" spans="4:17" hidden="1" outlineLevel="3" x14ac:dyDescent="0.25">
      <c r="E3540" s="74" t="s">
        <v>139</v>
      </c>
      <c r="F3540" s="74"/>
      <c r="G3540" s="74"/>
      <c r="H3540" s="75"/>
      <c r="I3540" s="76"/>
      <c r="J3540" s="78">
        <f>HYPERLINK("#Структура!E2866",Структура!E2866)</f>
        <v>5.0999999999999997E-2</v>
      </c>
      <c r="K3540" s="114" t="str">
        <f>HYPERLINK("#Структура!G2866","")</f>
        <v/>
      </c>
      <c r="L3540" s="120">
        <f>HYPERLINK("#Покупные_изделия!D360",Покупные_изделия!D360)</f>
        <v>171.87720000000002</v>
      </c>
      <c r="M3540" s="76">
        <f t="shared" si="134"/>
        <v>8.7657372000000002</v>
      </c>
      <c r="N3540" s="77"/>
      <c r="O3540" s="77"/>
      <c r="P3540" s="76"/>
      <c r="Q3540" s="76"/>
    </row>
    <row r="3541" spans="4:17" hidden="1" outlineLevel="3" x14ac:dyDescent="0.25">
      <c r="E3541" s="74" t="s">
        <v>146</v>
      </c>
      <c r="F3541" s="74"/>
      <c r="G3541" s="74"/>
      <c r="H3541" s="75"/>
      <c r="I3541" s="76"/>
      <c r="J3541" s="78">
        <f>HYPERLINK("#Структура!E2867",Структура!E2867)</f>
        <v>0.25</v>
      </c>
      <c r="K3541" s="114" t="str">
        <f>HYPERLINK("#Структура!G2867","")</f>
        <v/>
      </c>
      <c r="L3541" s="120">
        <f>HYPERLINK("#Покупные_изделия!D406",Покупные_изделия!D406)</f>
        <v>105.996</v>
      </c>
      <c r="M3541" s="76">
        <f t="shared" si="134"/>
        <v>26.498999999999999</v>
      </c>
      <c r="N3541" s="77"/>
      <c r="O3541" s="77"/>
      <c r="P3541" s="76"/>
      <c r="Q3541" s="76"/>
    </row>
    <row r="3542" spans="4:17" hidden="1" outlineLevel="3" x14ac:dyDescent="0.25">
      <c r="E3542" s="74" t="s">
        <v>156</v>
      </c>
      <c r="F3542" s="74"/>
      <c r="G3542" s="74"/>
      <c r="H3542" s="75"/>
      <c r="I3542" s="76"/>
      <c r="J3542" s="78">
        <f>HYPERLINK("#Структура!E2868",Структура!E2868)</f>
        <v>0.25</v>
      </c>
      <c r="K3542" s="114" t="str">
        <f>HYPERLINK("#Структура!G2868","")</f>
        <v/>
      </c>
      <c r="L3542" s="120">
        <f>HYPERLINK("#Покупные_изделия!D427",Покупные_изделия!D427)</f>
        <v>155.53200000000001</v>
      </c>
      <c r="M3542" s="76">
        <f t="shared" si="134"/>
        <v>38.883000000000003</v>
      </c>
      <c r="N3542" s="77"/>
      <c r="O3542" s="77"/>
      <c r="P3542" s="76"/>
      <c r="Q3542" s="76"/>
    </row>
    <row r="3543" spans="4:17" hidden="1" outlineLevel="3" x14ac:dyDescent="0.25">
      <c r="E3543" s="74" t="s">
        <v>200</v>
      </c>
      <c r="F3543" s="74"/>
      <c r="G3543" s="74"/>
      <c r="H3543" s="75"/>
      <c r="I3543" s="76"/>
      <c r="J3543" s="78">
        <f>HYPERLINK("#Структура!E2869",Структура!E2869)</f>
        <v>0.04</v>
      </c>
      <c r="K3543" s="114" t="str">
        <f>HYPERLINK("#Структура!G2869","")</f>
        <v/>
      </c>
      <c r="L3543" s="120">
        <f>HYPERLINK("#Покупные_изделия!D518",Покупные_изделия!D518)</f>
        <v>270</v>
      </c>
      <c r="M3543" s="76">
        <f t="shared" si="134"/>
        <v>10.8</v>
      </c>
      <c r="N3543" s="77"/>
      <c r="O3543" s="77"/>
      <c r="P3543" s="76"/>
      <c r="Q3543" s="76"/>
    </row>
    <row r="3544" spans="4:17" hidden="1" outlineLevel="3" x14ac:dyDescent="0.25">
      <c r="E3544" s="74" t="s">
        <v>202</v>
      </c>
      <c r="F3544" s="74"/>
      <c r="G3544" s="74"/>
      <c r="H3544" s="75"/>
      <c r="I3544" s="76"/>
      <c r="J3544" s="78">
        <f>HYPERLINK("#Структура!E2870",Структура!E2870)</f>
        <v>0.51</v>
      </c>
      <c r="K3544" s="114" t="str">
        <f>HYPERLINK("#Структура!G2870","")</f>
        <v/>
      </c>
      <c r="L3544" s="120">
        <f>HYPERLINK("#Покупные_изделия!D521",Покупные_изделия!D521)</f>
        <v>462.99599999999998</v>
      </c>
      <c r="M3544" s="76">
        <f t="shared" si="134"/>
        <v>236.12796</v>
      </c>
      <c r="N3544" s="77"/>
      <c r="O3544" s="77"/>
      <c r="P3544" s="76"/>
      <c r="Q3544" s="76"/>
    </row>
    <row r="3545" spans="4:17" hidden="1" outlineLevel="2" collapsed="1" x14ac:dyDescent="0.25">
      <c r="D3545" s="96" t="s">
        <v>1444</v>
      </c>
      <c r="E3545" s="91"/>
      <c r="F3545" s="91"/>
      <c r="G3545" s="91"/>
      <c r="H3545" s="92"/>
      <c r="I3545" s="93"/>
      <c r="J3545" s="95">
        <f>HYPERLINK("#Структура!E3097",Структура!E3097)</f>
        <v>1</v>
      </c>
      <c r="K3545" s="116">
        <f>HYPERLINK("#Структура!G3097",Структура!G3097)</f>
        <v>14.54622</v>
      </c>
      <c r="L3545" s="93">
        <f>M3545/J3545</f>
        <v>2647.7644787999998</v>
      </c>
      <c r="M3545" s="93">
        <f>SUMIF(E3546:E3558,"*",M3546:M3558)*J3545</f>
        <v>2647.7644787999998</v>
      </c>
      <c r="N3545" s="125">
        <f>HYPERLINK("#Трудозатраты!B728",Трудозатраты!B728+SUMIF(E3546:E3558,"*",O3546:O3558))</f>
        <v>165.26</v>
      </c>
      <c r="O3545" s="94">
        <f>N3545*J3545</f>
        <v>165.26</v>
      </c>
      <c r="P3545" s="93">
        <f>O3545/60*(1+запас_труд)*стоимость_трудочаса</f>
        <v>6472.6833333333334</v>
      </c>
      <c r="Q3545" s="130">
        <f>M3545*(1+наценка_покупное)+P3545</f>
        <v>9650.000707893334</v>
      </c>
    </row>
    <row r="3546" spans="4:17" hidden="1" outlineLevel="3" collapsed="1" x14ac:dyDescent="0.25">
      <c r="E3546" s="85" t="s">
        <v>1443</v>
      </c>
      <c r="F3546" s="86"/>
      <c r="G3546" s="86"/>
      <c r="H3546" s="87"/>
      <c r="I3546" s="88"/>
      <c r="J3546" s="90">
        <f>HYPERLINK("#Структура!E2874",Структура!E2874)</f>
        <v>8</v>
      </c>
      <c r="K3546" s="113">
        <f>HYPERLINK("#Структура!G2874",Структура!G2874)</f>
        <v>0.59909000000000001</v>
      </c>
      <c r="L3546" s="88">
        <f>M3546/J3546</f>
        <v>74.52</v>
      </c>
      <c r="M3546" s="88">
        <f>SUMIF(F3547,"*",M3547)*J3546</f>
        <v>596.16</v>
      </c>
      <c r="N3546" s="123">
        <f>HYPERLINK("#Трудозатраты!B727",Трудозатраты!B727+SUMIF(F3547,"*",O3547))</f>
        <v>14.67</v>
      </c>
      <c r="O3546" s="89">
        <f>N3546*J3546</f>
        <v>117.36</v>
      </c>
      <c r="P3546" s="88">
        <f>O3546/60*(1+запас_труд)*стоимость_трудочаса</f>
        <v>4596.5999999999995</v>
      </c>
      <c r="Q3546" s="128">
        <f>M3546*(1+наценка_покупное)+P3546</f>
        <v>5311.9919999999993</v>
      </c>
    </row>
    <row r="3547" spans="4:17" hidden="1" outlineLevel="4" x14ac:dyDescent="0.25">
      <c r="F3547" s="74" t="s">
        <v>175</v>
      </c>
      <c r="G3547" s="74"/>
      <c r="H3547" s="75"/>
      <c r="I3547" s="76"/>
      <c r="J3547" s="78">
        <f>HYPERLINK("#Структура!E2873",Структура!E2873)</f>
        <v>0.621</v>
      </c>
      <c r="K3547" s="114" t="str">
        <f>HYPERLINK("#Структура!G2873","")</f>
        <v/>
      </c>
      <c r="L3547" s="120">
        <f>HYPERLINK("#Покупные_изделия!D486",Покупные_изделия!D486)</f>
        <v>120</v>
      </c>
      <c r="M3547" s="76">
        <f>J3547*L3547</f>
        <v>74.52</v>
      </c>
      <c r="N3547" s="77"/>
      <c r="O3547" s="77"/>
      <c r="P3547" s="76"/>
      <c r="Q3547" s="76"/>
    </row>
    <row r="3548" spans="4:17" hidden="1" outlineLevel="3" collapsed="1" x14ac:dyDescent="0.25">
      <c r="E3548" s="84" t="s">
        <v>1445</v>
      </c>
      <c r="F3548" s="79"/>
      <c r="G3548" s="79"/>
      <c r="H3548" s="80"/>
      <c r="I3548" s="81"/>
      <c r="J3548" s="83">
        <f>HYPERLINK("#Структура!E2875",Структура!E2875)</f>
        <v>1</v>
      </c>
      <c r="K3548" s="115">
        <f>HYPERLINK("#Структура!G2875",Структура!G2875)</f>
        <v>4.8767399999999999</v>
      </c>
      <c r="L3548" s="81">
        <f>M3548/J3548</f>
        <v>701.8356</v>
      </c>
      <c r="M3548" s="81">
        <f>SUMIF(F3549,"*",M3549)*J3548</f>
        <v>701.8356</v>
      </c>
      <c r="N3548" s="124">
        <f>HYPERLINK("#Трудозатраты!B729",Трудозатраты!B729+SUMIF(F3549,"*",O3549))</f>
        <v>11.7</v>
      </c>
      <c r="O3548" s="82">
        <f>N3548*J3548</f>
        <v>11.7</v>
      </c>
      <c r="P3548" s="81">
        <f>O3548/60*(1+запас_труд)*стоимость_трудочаса</f>
        <v>458.24999999999994</v>
      </c>
      <c r="Q3548" s="129">
        <f>M3548*(1+наценка_покупное)+P3548</f>
        <v>1300.45272</v>
      </c>
    </row>
    <row r="3549" spans="4:17" hidden="1" outlineLevel="4" x14ac:dyDescent="0.25">
      <c r="F3549" s="74" t="s">
        <v>113</v>
      </c>
      <c r="G3549" s="74"/>
      <c r="H3549" s="75"/>
      <c r="I3549" s="76"/>
      <c r="J3549" s="78">
        <f>HYPERLINK("#Структура!E2884",Структура!E2884)</f>
        <v>5.84863</v>
      </c>
      <c r="K3549" s="114" t="str">
        <f>HYPERLINK("#Структура!G2884","")</f>
        <v/>
      </c>
      <c r="L3549" s="120">
        <f>HYPERLINK("#Покупные_изделия!D286",Покупные_изделия!D286)</f>
        <v>120</v>
      </c>
      <c r="M3549" s="76">
        <f>J3549*L3549</f>
        <v>701.8356</v>
      </c>
      <c r="N3549" s="77"/>
      <c r="O3549" s="77"/>
      <c r="P3549" s="76"/>
      <c r="Q3549" s="76"/>
    </row>
    <row r="3550" spans="4:17" hidden="1" outlineLevel="3" collapsed="1" x14ac:dyDescent="0.25">
      <c r="E3550" s="84" t="s">
        <v>1446</v>
      </c>
      <c r="F3550" s="79"/>
      <c r="G3550" s="79"/>
      <c r="H3550" s="80"/>
      <c r="I3550" s="81"/>
      <c r="J3550" s="83">
        <f>HYPERLINK("#Структура!E2876",Структура!E2876)</f>
        <v>1</v>
      </c>
      <c r="K3550" s="115">
        <f>HYPERLINK("#Структура!G2876",Структура!G2876)</f>
        <v>4.8767399999999999</v>
      </c>
      <c r="L3550" s="81">
        <f>M3550/J3550</f>
        <v>701.8356</v>
      </c>
      <c r="M3550" s="81">
        <f>SUMIF(F3551,"*",M3551)*J3550</f>
        <v>701.8356</v>
      </c>
      <c r="N3550" s="124">
        <f>HYPERLINK("#Трудозатраты!B730",Трудозатраты!B730+SUMIF(F3551,"*",O3551))</f>
        <v>11.7</v>
      </c>
      <c r="O3550" s="82">
        <f>N3550*J3550</f>
        <v>11.7</v>
      </c>
      <c r="P3550" s="81">
        <f>O3550/60*(1+запас_труд)*стоимость_трудочаса</f>
        <v>458.24999999999994</v>
      </c>
      <c r="Q3550" s="129">
        <f>M3550*(1+наценка_покупное)+P3550</f>
        <v>1300.45272</v>
      </c>
    </row>
    <row r="3551" spans="4:17" hidden="1" outlineLevel="4" x14ac:dyDescent="0.25">
      <c r="F3551" s="74" t="s">
        <v>113</v>
      </c>
      <c r="G3551" s="74"/>
      <c r="H3551" s="75"/>
      <c r="I3551" s="76"/>
      <c r="J3551" s="78">
        <f>HYPERLINK("#Структура!E2885",Структура!E2885)</f>
        <v>5.84863</v>
      </c>
      <c r="K3551" s="114" t="str">
        <f>HYPERLINK("#Структура!G2885","")</f>
        <v/>
      </c>
      <c r="L3551" s="120">
        <f>HYPERLINK("#Покупные_изделия!D286",Покупные_изделия!D286)</f>
        <v>120</v>
      </c>
      <c r="M3551" s="76">
        <f t="shared" ref="M3551:M3558" si="135">J3551*L3551</f>
        <v>701.8356</v>
      </c>
      <c r="N3551" s="77"/>
      <c r="O3551" s="77"/>
      <c r="P3551" s="76"/>
      <c r="Q3551" s="76"/>
    </row>
    <row r="3552" spans="4:17" hidden="1" outlineLevel="3" x14ac:dyDescent="0.25">
      <c r="E3552" s="74" t="s">
        <v>44</v>
      </c>
      <c r="F3552" s="74"/>
      <c r="G3552" s="74"/>
      <c r="H3552" s="75"/>
      <c r="I3552" s="76"/>
      <c r="J3552" s="78">
        <f>HYPERLINK("#Структура!E2877",Структура!E2877)</f>
        <v>0.751</v>
      </c>
      <c r="K3552" s="114" t="str">
        <f>HYPERLINK("#Структура!G2877","")</f>
        <v/>
      </c>
      <c r="L3552" s="120">
        <f>HYPERLINK("#Покупные_изделия!D63",Покупные_изделия!D63)</f>
        <v>396.00000000000006</v>
      </c>
      <c r="M3552" s="76">
        <f t="shared" si="135"/>
        <v>297.39600000000002</v>
      </c>
      <c r="N3552" s="77"/>
      <c r="O3552" s="77"/>
      <c r="P3552" s="76"/>
      <c r="Q3552" s="76"/>
    </row>
    <row r="3553" spans="4:17" hidden="1" outlineLevel="3" x14ac:dyDescent="0.25">
      <c r="E3553" s="74" t="s">
        <v>67</v>
      </c>
      <c r="F3553" s="74"/>
      <c r="G3553" s="74"/>
      <c r="H3553" s="75"/>
      <c r="I3553" s="76"/>
      <c r="J3553" s="78">
        <f>HYPERLINK("#Структура!E2878",Структура!E2878)</f>
        <v>0.25800000000000001</v>
      </c>
      <c r="K3553" s="114" t="str">
        <f>HYPERLINK("#Структура!G2878","")</f>
        <v/>
      </c>
      <c r="L3553" s="120">
        <f>HYPERLINK("#Покупные_изделия!D203",Покупные_изделия!D203)</f>
        <v>30.003600000000002</v>
      </c>
      <c r="M3553" s="76">
        <f t="shared" si="135"/>
        <v>7.7409288000000007</v>
      </c>
      <c r="N3553" s="77"/>
      <c r="O3553" s="77"/>
      <c r="P3553" s="76"/>
      <c r="Q3553" s="76"/>
    </row>
    <row r="3554" spans="4:17" hidden="1" outlineLevel="3" x14ac:dyDescent="0.25">
      <c r="E3554" s="74" t="s">
        <v>139</v>
      </c>
      <c r="F3554" s="74"/>
      <c r="G3554" s="74"/>
      <c r="H3554" s="75"/>
      <c r="I3554" s="76"/>
      <c r="J3554" s="78">
        <f>HYPERLINK("#Структура!E2879",Структура!E2879)</f>
        <v>0.255</v>
      </c>
      <c r="K3554" s="114" t="str">
        <f>HYPERLINK("#Структура!G2879","")</f>
        <v/>
      </c>
      <c r="L3554" s="120">
        <f>HYPERLINK("#Покупные_изделия!D360",Покупные_изделия!D360)</f>
        <v>171.87720000000002</v>
      </c>
      <c r="M3554" s="76">
        <f t="shared" si="135"/>
        <v>43.828686000000005</v>
      </c>
      <c r="N3554" s="77"/>
      <c r="O3554" s="77"/>
      <c r="P3554" s="76"/>
      <c r="Q3554" s="76"/>
    </row>
    <row r="3555" spans="4:17" hidden="1" outlineLevel="3" x14ac:dyDescent="0.25">
      <c r="E3555" s="74" t="s">
        <v>146</v>
      </c>
      <c r="F3555" s="74"/>
      <c r="G3555" s="74"/>
      <c r="H3555" s="75"/>
      <c r="I3555" s="76"/>
      <c r="J3555" s="78">
        <f>HYPERLINK("#Структура!E2880",Структура!E2880)</f>
        <v>0.152</v>
      </c>
      <c r="K3555" s="114" t="str">
        <f>HYPERLINK("#Структура!G2880","")</f>
        <v/>
      </c>
      <c r="L3555" s="120">
        <f>HYPERLINK("#Покупные_изделия!D406",Покупные_изделия!D406)</f>
        <v>105.996</v>
      </c>
      <c r="M3555" s="76">
        <f t="shared" si="135"/>
        <v>16.111391999999999</v>
      </c>
      <c r="N3555" s="77"/>
      <c r="O3555" s="77"/>
      <c r="P3555" s="76"/>
      <c r="Q3555" s="76"/>
    </row>
    <row r="3556" spans="4:17" hidden="1" outlineLevel="3" x14ac:dyDescent="0.25">
      <c r="E3556" s="74" t="s">
        <v>156</v>
      </c>
      <c r="F3556" s="74"/>
      <c r="G3556" s="74"/>
      <c r="H3556" s="75"/>
      <c r="I3556" s="76"/>
      <c r="J3556" s="78">
        <f>HYPERLINK("#Структура!E2881",Структура!E2881)</f>
        <v>0.23</v>
      </c>
      <c r="K3556" s="114" t="str">
        <f>HYPERLINK("#Структура!G2881","")</f>
        <v/>
      </c>
      <c r="L3556" s="120">
        <f>HYPERLINK("#Покупные_изделия!D427",Покупные_изделия!D427)</f>
        <v>155.53200000000001</v>
      </c>
      <c r="M3556" s="76">
        <f t="shared" si="135"/>
        <v>35.772360000000006</v>
      </c>
      <c r="N3556" s="77"/>
      <c r="O3556" s="77"/>
      <c r="P3556" s="76"/>
      <c r="Q3556" s="76"/>
    </row>
    <row r="3557" spans="4:17" hidden="1" outlineLevel="3" x14ac:dyDescent="0.25">
      <c r="E3557" s="74" t="s">
        <v>200</v>
      </c>
      <c r="F3557" s="74"/>
      <c r="G3557" s="74"/>
      <c r="H3557" s="75"/>
      <c r="I3557" s="76"/>
      <c r="J3557" s="78">
        <f>HYPERLINK("#Структура!E2882",Структура!E2882)</f>
        <v>0.02</v>
      </c>
      <c r="K3557" s="114" t="str">
        <f>HYPERLINK("#Структура!G2882","")</f>
        <v/>
      </c>
      <c r="L3557" s="120">
        <f>HYPERLINK("#Покупные_изделия!D518",Покупные_изделия!D518)</f>
        <v>270</v>
      </c>
      <c r="M3557" s="76">
        <f t="shared" si="135"/>
        <v>5.4</v>
      </c>
      <c r="N3557" s="77"/>
      <c r="O3557" s="77"/>
      <c r="P3557" s="76"/>
      <c r="Q3557" s="76"/>
    </row>
    <row r="3558" spans="4:17" hidden="1" outlineLevel="3" x14ac:dyDescent="0.25">
      <c r="E3558" s="74" t="s">
        <v>202</v>
      </c>
      <c r="F3558" s="74"/>
      <c r="G3558" s="74"/>
      <c r="H3558" s="75"/>
      <c r="I3558" s="76"/>
      <c r="J3558" s="78">
        <f>HYPERLINK("#Структура!E2883",Структура!E2883)</f>
        <v>0.52200000000000002</v>
      </c>
      <c r="K3558" s="114" t="str">
        <f>HYPERLINK("#Структура!G2883","")</f>
        <v/>
      </c>
      <c r="L3558" s="120">
        <f>HYPERLINK("#Покупные_изделия!D521",Покупные_изделия!D521)</f>
        <v>462.99599999999998</v>
      </c>
      <c r="M3558" s="76">
        <f t="shared" si="135"/>
        <v>241.68391199999999</v>
      </c>
      <c r="N3558" s="77"/>
      <c r="O3558" s="77"/>
      <c r="P3558" s="76"/>
      <c r="Q3558" s="76"/>
    </row>
    <row r="3559" spans="4:17" hidden="1" outlineLevel="2" collapsed="1" x14ac:dyDescent="0.25">
      <c r="D3559" s="96" t="s">
        <v>1509</v>
      </c>
      <c r="E3559" s="91"/>
      <c r="F3559" s="91"/>
      <c r="G3559" s="91"/>
      <c r="H3559" s="92"/>
      <c r="I3559" s="93"/>
      <c r="J3559" s="95">
        <f>HYPERLINK("#Структура!E3098",Структура!E3098)</f>
        <v>1</v>
      </c>
      <c r="K3559" s="116">
        <f>HYPERLINK("#Структура!G3098",Структура!G3098)</f>
        <v>8.8182600000000004</v>
      </c>
      <c r="L3559" s="93">
        <f>M3559/J3559</f>
        <v>1541.9180028000003</v>
      </c>
      <c r="M3559" s="93">
        <f>SUMIF(E3560:E3572,"*",M3560:M3572)*J3559</f>
        <v>1541.9180028000003</v>
      </c>
      <c r="N3559" s="125">
        <f>HYPERLINK("#Трудозатраты!B790",Трудозатраты!B790+SUMIF(E3560:E3572,"*",O3560:O3572))</f>
        <v>123.35</v>
      </c>
      <c r="O3559" s="94">
        <f>N3559*J3559</f>
        <v>123.35</v>
      </c>
      <c r="P3559" s="93">
        <f>O3559/60*(1+запас_труд)*стоимость_трудочаса</f>
        <v>4831.208333333333</v>
      </c>
      <c r="Q3559" s="130">
        <f>M3559*(1+наценка_покупное)+P3559</f>
        <v>6681.5099366933337</v>
      </c>
    </row>
    <row r="3560" spans="4:17" hidden="1" outlineLevel="3" collapsed="1" x14ac:dyDescent="0.25">
      <c r="E3560" s="85" t="s">
        <v>1443</v>
      </c>
      <c r="F3560" s="86"/>
      <c r="G3560" s="86"/>
      <c r="H3560" s="87"/>
      <c r="I3560" s="88"/>
      <c r="J3560" s="90">
        <f>HYPERLINK("#Структура!E3116",Структура!E3116)</f>
        <v>5</v>
      </c>
      <c r="K3560" s="113">
        <f>HYPERLINK("#Структура!G3116",Структура!G3116)</f>
        <v>0.59909000000000001</v>
      </c>
      <c r="L3560" s="88">
        <f>M3560/J3560</f>
        <v>74.52</v>
      </c>
      <c r="M3560" s="88">
        <f>SUMIF(F3561,"*",M3561)*J3560</f>
        <v>372.59999999999997</v>
      </c>
      <c r="N3560" s="123">
        <f>HYPERLINK("#Трудозатраты!B727",Трудозатраты!B727+SUMIF(F3561,"*",O3561))</f>
        <v>14.67</v>
      </c>
      <c r="O3560" s="89">
        <f>N3560*J3560</f>
        <v>73.349999999999994</v>
      </c>
      <c r="P3560" s="88">
        <f>O3560/60*(1+запас_труд)*стоимость_трудочаса</f>
        <v>2872.875</v>
      </c>
      <c r="Q3560" s="128">
        <f>M3560*(1+наценка_покупное)+P3560</f>
        <v>3319.9949999999999</v>
      </c>
    </row>
    <row r="3561" spans="4:17" hidden="1" outlineLevel="4" x14ac:dyDescent="0.25">
      <c r="F3561" s="74" t="s">
        <v>175</v>
      </c>
      <c r="G3561" s="74"/>
      <c r="H3561" s="75"/>
      <c r="I3561" s="76"/>
      <c r="J3561" s="78">
        <f>HYPERLINK("#Структура!E2873",Структура!E2873)</f>
        <v>0.621</v>
      </c>
      <c r="K3561" s="114" t="str">
        <f>HYPERLINK("#Структура!G2873","")</f>
        <v/>
      </c>
      <c r="L3561" s="120">
        <f>HYPERLINK("#Покупные_изделия!D486",Покупные_изделия!D486)</f>
        <v>120</v>
      </c>
      <c r="M3561" s="76">
        <f>J3561*L3561</f>
        <v>74.52</v>
      </c>
      <c r="N3561" s="77"/>
      <c r="O3561" s="77"/>
      <c r="P3561" s="76"/>
      <c r="Q3561" s="76"/>
    </row>
    <row r="3562" spans="4:17" hidden="1" outlineLevel="3" collapsed="1" x14ac:dyDescent="0.25">
      <c r="E3562" s="84" t="s">
        <v>1512</v>
      </c>
      <c r="F3562" s="79"/>
      <c r="G3562" s="79"/>
      <c r="H3562" s="80"/>
      <c r="I3562" s="81"/>
      <c r="J3562" s="83">
        <f>HYPERLINK("#Структура!E3117",Структура!E3117)</f>
        <v>1</v>
      </c>
      <c r="K3562" s="115">
        <f>HYPERLINK("#Структура!G3117",Структура!G3117)</f>
        <v>2.9114</v>
      </c>
      <c r="L3562" s="81">
        <f>M3562/J3562</f>
        <v>422.00040000000001</v>
      </c>
      <c r="M3562" s="81">
        <f>SUMIF(F3563,"*",M3563)*J3562</f>
        <v>422.00040000000001</v>
      </c>
      <c r="N3562" s="124">
        <f>HYPERLINK("#Трудозатраты!B791",Трудозатраты!B791+SUMIF(F3563,"*",O3563))</f>
        <v>4.5</v>
      </c>
      <c r="O3562" s="82">
        <f>N3562*J3562</f>
        <v>4.5</v>
      </c>
      <c r="P3562" s="81">
        <f>O3562/60*(1+запас_труд)*стоимость_трудочаса</f>
        <v>176.25</v>
      </c>
      <c r="Q3562" s="129">
        <f>M3562*(1+наценка_покупное)+P3562</f>
        <v>682.65048000000002</v>
      </c>
    </row>
    <row r="3563" spans="4:17" hidden="1" outlineLevel="4" x14ac:dyDescent="0.25">
      <c r="F3563" s="74" t="s">
        <v>113</v>
      </c>
      <c r="G3563" s="74"/>
      <c r="H3563" s="75"/>
      <c r="I3563" s="76"/>
      <c r="J3563" s="78">
        <f>HYPERLINK("#Структура!E3126",Структура!E3126)</f>
        <v>3.51667</v>
      </c>
      <c r="K3563" s="114" t="str">
        <f>HYPERLINK("#Структура!G3126","")</f>
        <v/>
      </c>
      <c r="L3563" s="120">
        <f>HYPERLINK("#Покупные_изделия!D286",Покупные_изделия!D286)</f>
        <v>120</v>
      </c>
      <c r="M3563" s="76">
        <f>J3563*L3563</f>
        <v>422.00040000000001</v>
      </c>
      <c r="N3563" s="77"/>
      <c r="O3563" s="77"/>
      <c r="P3563" s="76"/>
      <c r="Q3563" s="76"/>
    </row>
    <row r="3564" spans="4:17" hidden="1" outlineLevel="3" collapsed="1" x14ac:dyDescent="0.25">
      <c r="E3564" s="84" t="s">
        <v>1513</v>
      </c>
      <c r="F3564" s="79"/>
      <c r="G3564" s="79"/>
      <c r="H3564" s="80"/>
      <c r="I3564" s="81"/>
      <c r="J3564" s="83">
        <f>HYPERLINK("#Структура!E3118",Структура!E3118)</f>
        <v>1</v>
      </c>
      <c r="K3564" s="115">
        <f>HYPERLINK("#Структура!G3118",Структура!G3118)</f>
        <v>2.9114</v>
      </c>
      <c r="L3564" s="81">
        <f>M3564/J3564</f>
        <v>422.00040000000001</v>
      </c>
      <c r="M3564" s="81">
        <f>SUMIF(F3565,"*",M3565)*J3564</f>
        <v>422.00040000000001</v>
      </c>
      <c r="N3564" s="124">
        <f>HYPERLINK("#Трудозатраты!B792",Трудозатраты!B792+SUMIF(F3565,"*",O3565))</f>
        <v>4.5</v>
      </c>
      <c r="O3564" s="82">
        <f>N3564*J3564</f>
        <v>4.5</v>
      </c>
      <c r="P3564" s="81">
        <f>O3564/60*(1+запас_труд)*стоимость_трудочаса</f>
        <v>176.25</v>
      </c>
      <c r="Q3564" s="129">
        <f>M3564*(1+наценка_покупное)+P3564</f>
        <v>682.65048000000002</v>
      </c>
    </row>
    <row r="3565" spans="4:17" hidden="1" outlineLevel="4" x14ac:dyDescent="0.25">
      <c r="F3565" s="74" t="s">
        <v>113</v>
      </c>
      <c r="G3565" s="74"/>
      <c r="H3565" s="75"/>
      <c r="I3565" s="76"/>
      <c r="J3565" s="78">
        <f>HYPERLINK("#Структура!E3127",Структура!E3127)</f>
        <v>3.51667</v>
      </c>
      <c r="K3565" s="114" t="str">
        <f>HYPERLINK("#Структура!G3127","")</f>
        <v/>
      </c>
      <c r="L3565" s="120">
        <f>HYPERLINK("#Покупные_изделия!D286",Покупные_изделия!D286)</f>
        <v>120</v>
      </c>
      <c r="M3565" s="76">
        <f t="shared" ref="M3565:M3572" si="136">J3565*L3565</f>
        <v>422.00040000000001</v>
      </c>
      <c r="N3565" s="77"/>
      <c r="O3565" s="77"/>
      <c r="P3565" s="76"/>
      <c r="Q3565" s="76"/>
    </row>
    <row r="3566" spans="4:17" hidden="1" outlineLevel="3" x14ac:dyDescent="0.25">
      <c r="E3566" s="74" t="s">
        <v>44</v>
      </c>
      <c r="F3566" s="74"/>
      <c r="G3566" s="74"/>
      <c r="H3566" s="75"/>
      <c r="I3566" s="76"/>
      <c r="J3566" s="78">
        <f>HYPERLINK("#Структура!E3119",Структура!E3119)</f>
        <v>0.39</v>
      </c>
      <c r="K3566" s="114" t="str">
        <f>HYPERLINK("#Структура!G3119","")</f>
        <v/>
      </c>
      <c r="L3566" s="120">
        <f>HYPERLINK("#Покупные_изделия!D63",Покупные_изделия!D63)</f>
        <v>396.00000000000006</v>
      </c>
      <c r="M3566" s="76">
        <f t="shared" si="136"/>
        <v>154.44000000000003</v>
      </c>
      <c r="N3566" s="77"/>
      <c r="O3566" s="77"/>
      <c r="P3566" s="76"/>
      <c r="Q3566" s="76"/>
    </row>
    <row r="3567" spans="4:17" hidden="1" outlineLevel="3" x14ac:dyDescent="0.25">
      <c r="E3567" s="74" t="s">
        <v>67</v>
      </c>
      <c r="F3567" s="74"/>
      <c r="G3567" s="74"/>
      <c r="H3567" s="75"/>
      <c r="I3567" s="76"/>
      <c r="J3567" s="78">
        <f>HYPERLINK("#Структура!E3120",Структура!E3120)</f>
        <v>0.221</v>
      </c>
      <c r="K3567" s="114" t="str">
        <f>HYPERLINK("#Структура!G3120","")</f>
        <v/>
      </c>
      <c r="L3567" s="120">
        <f>HYPERLINK("#Покупные_изделия!D203",Покупные_изделия!D203)</f>
        <v>30.003600000000002</v>
      </c>
      <c r="M3567" s="76">
        <f t="shared" si="136"/>
        <v>6.6307956000000008</v>
      </c>
      <c r="N3567" s="77"/>
      <c r="O3567" s="77"/>
      <c r="P3567" s="76"/>
      <c r="Q3567" s="76"/>
    </row>
    <row r="3568" spans="4:17" hidden="1" outlineLevel="3" x14ac:dyDescent="0.25">
      <c r="E3568" s="74" t="s">
        <v>139</v>
      </c>
      <c r="F3568" s="74"/>
      <c r="G3568" s="74"/>
      <c r="H3568" s="75"/>
      <c r="I3568" s="76"/>
      <c r="J3568" s="78">
        <f>HYPERLINK("#Структура!E3121",Структура!E3121)</f>
        <v>2.5999999999999999E-2</v>
      </c>
      <c r="K3568" s="114" t="str">
        <f>HYPERLINK("#Структура!G3121","")</f>
        <v/>
      </c>
      <c r="L3568" s="120">
        <f>HYPERLINK("#Покупные_изделия!D360",Покупные_изделия!D360)</f>
        <v>171.87720000000002</v>
      </c>
      <c r="M3568" s="76">
        <f t="shared" si="136"/>
        <v>4.4688072000000005</v>
      </c>
      <c r="N3568" s="77"/>
      <c r="O3568" s="77"/>
      <c r="P3568" s="76"/>
      <c r="Q3568" s="76"/>
    </row>
    <row r="3569" spans="4:17" hidden="1" outlineLevel="3" x14ac:dyDescent="0.25">
      <c r="E3569" s="74" t="s">
        <v>146</v>
      </c>
      <c r="F3569" s="74"/>
      <c r="G3569" s="74"/>
      <c r="H3569" s="75"/>
      <c r="I3569" s="76"/>
      <c r="J3569" s="78">
        <f>HYPERLINK("#Структура!E3122",Структура!E3122)</f>
        <v>0.13</v>
      </c>
      <c r="K3569" s="114" t="str">
        <f>HYPERLINK("#Структура!G3122","")</f>
        <v/>
      </c>
      <c r="L3569" s="120">
        <f>HYPERLINK("#Покупные_изделия!D406",Покупные_изделия!D406)</f>
        <v>105.996</v>
      </c>
      <c r="M3569" s="76">
        <f t="shared" si="136"/>
        <v>13.77948</v>
      </c>
      <c r="N3569" s="77"/>
      <c r="O3569" s="77"/>
      <c r="P3569" s="76"/>
      <c r="Q3569" s="76"/>
    </row>
    <row r="3570" spans="4:17" hidden="1" outlineLevel="3" x14ac:dyDescent="0.25">
      <c r="E3570" s="74" t="s">
        <v>156</v>
      </c>
      <c r="F3570" s="74"/>
      <c r="G3570" s="74"/>
      <c r="H3570" s="75"/>
      <c r="I3570" s="76"/>
      <c r="J3570" s="78">
        <f>HYPERLINK("#Структура!E3123",Структура!E3123)</f>
        <v>0.13</v>
      </c>
      <c r="K3570" s="114" t="str">
        <f>HYPERLINK("#Структура!G3123","")</f>
        <v/>
      </c>
      <c r="L3570" s="120">
        <f>HYPERLINK("#Покупные_изделия!D427",Покупные_изделия!D427)</f>
        <v>155.53200000000001</v>
      </c>
      <c r="M3570" s="76">
        <f t="shared" si="136"/>
        <v>20.219160000000002</v>
      </c>
      <c r="N3570" s="77"/>
      <c r="O3570" s="77"/>
      <c r="P3570" s="76"/>
      <c r="Q3570" s="76"/>
    </row>
    <row r="3571" spans="4:17" hidden="1" outlineLevel="3" x14ac:dyDescent="0.25">
      <c r="E3571" s="74" t="s">
        <v>200</v>
      </c>
      <c r="F3571" s="74"/>
      <c r="G3571" s="74"/>
      <c r="H3571" s="75"/>
      <c r="I3571" s="76"/>
      <c r="J3571" s="78">
        <f>HYPERLINK("#Структура!E3124",Структура!E3124)</f>
        <v>0.02</v>
      </c>
      <c r="K3571" s="114" t="str">
        <f>HYPERLINK("#Структура!G3124","")</f>
        <v/>
      </c>
      <c r="L3571" s="120">
        <f>HYPERLINK("#Покупные_изделия!D518",Покупные_изделия!D518)</f>
        <v>270</v>
      </c>
      <c r="M3571" s="76">
        <f t="shared" si="136"/>
        <v>5.4</v>
      </c>
      <c r="N3571" s="77"/>
      <c r="O3571" s="77"/>
      <c r="P3571" s="76"/>
      <c r="Q3571" s="76"/>
    </row>
    <row r="3572" spans="4:17" hidden="1" outlineLevel="3" x14ac:dyDescent="0.25">
      <c r="E3572" s="74" t="s">
        <v>202</v>
      </c>
      <c r="F3572" s="74"/>
      <c r="G3572" s="74"/>
      <c r="H3572" s="75"/>
      <c r="I3572" s="76"/>
      <c r="J3572" s="78">
        <f>HYPERLINK("#Структура!E3125",Структура!E3125)</f>
        <v>0.26</v>
      </c>
      <c r="K3572" s="114" t="str">
        <f>HYPERLINK("#Структура!G3125","")</f>
        <v/>
      </c>
      <c r="L3572" s="120">
        <f>HYPERLINK("#Покупные_изделия!D521",Покупные_изделия!D521)</f>
        <v>462.99599999999998</v>
      </c>
      <c r="M3572" s="76">
        <f t="shared" si="136"/>
        <v>120.37895999999999</v>
      </c>
      <c r="N3572" s="77"/>
      <c r="O3572" s="77"/>
      <c r="P3572" s="76"/>
      <c r="Q3572" s="76"/>
    </row>
    <row r="3573" spans="4:17" hidden="1" outlineLevel="2" collapsed="1" x14ac:dyDescent="0.25">
      <c r="D3573" s="84" t="s">
        <v>1433</v>
      </c>
      <c r="E3573" s="79"/>
      <c r="F3573" s="79"/>
      <c r="G3573" s="79"/>
      <c r="H3573" s="80"/>
      <c r="I3573" s="81"/>
      <c r="J3573" s="83">
        <f>HYPERLINK("#Структура!E3099",Структура!E3099)</f>
        <v>2</v>
      </c>
      <c r="K3573" s="115">
        <f>HYPERLINK("#Структура!G3099",Структура!G3099)</f>
        <v>8.9300000000000004E-2</v>
      </c>
      <c r="L3573" s="81">
        <f>M3573/J3573</f>
        <v>18.041599999999999</v>
      </c>
      <c r="M3573" s="81">
        <f>SUMIF(E3574,"*",M3574)*J3573</f>
        <v>36.083199999999998</v>
      </c>
      <c r="N3573" s="124">
        <f>HYPERLINK("#Трудозатраты!B717",Трудозатраты!B717+SUMIF(E3574,"*",O3574))</f>
        <v>2.2999999999999998</v>
      </c>
      <c r="O3573" s="82">
        <f>N3573*J3573</f>
        <v>4.5999999999999996</v>
      </c>
      <c r="P3573" s="81">
        <f>O3573/60*(1+запас_труд)*стоимость_трудочаса</f>
        <v>180.16666666666666</v>
      </c>
      <c r="Q3573" s="129">
        <f>M3573*(1+наценка_покупное)+P3573</f>
        <v>223.46650666666665</v>
      </c>
    </row>
    <row r="3574" spans="4:17" hidden="1" outlineLevel="3" x14ac:dyDescent="0.25">
      <c r="E3574" s="74" t="s">
        <v>131</v>
      </c>
      <c r="F3574" s="74"/>
      <c r="G3574" s="74"/>
      <c r="H3574" s="75"/>
      <c r="I3574" s="76"/>
      <c r="J3574" s="78">
        <f>HYPERLINK("#Структура!E2854",Структура!E2854)</f>
        <v>0.11276</v>
      </c>
      <c r="K3574" s="114" t="str">
        <f>HYPERLINK("#Структура!G2854","")</f>
        <v/>
      </c>
      <c r="L3574" s="120">
        <f>HYPERLINK("#Покупные_изделия!D306",Покупные_изделия!D306)</f>
        <v>160</v>
      </c>
      <c r="M3574" s="76">
        <f>J3574*L3574</f>
        <v>18.041599999999999</v>
      </c>
      <c r="N3574" s="77"/>
      <c r="O3574" s="77"/>
      <c r="P3574" s="76"/>
      <c r="Q3574" s="76"/>
    </row>
    <row r="3575" spans="4:17" hidden="1" outlineLevel="2" collapsed="1" x14ac:dyDescent="0.25">
      <c r="D3575" s="84" t="s">
        <v>1435</v>
      </c>
      <c r="E3575" s="79"/>
      <c r="F3575" s="79"/>
      <c r="G3575" s="79"/>
      <c r="H3575" s="80"/>
      <c r="I3575" s="81"/>
      <c r="J3575" s="83">
        <f>HYPERLINK("#Структура!E3100",Структура!E3100)</f>
        <v>2</v>
      </c>
      <c r="K3575" s="115">
        <f>HYPERLINK("#Структура!G3100",Структура!G3100)</f>
        <v>0.43381999999999998</v>
      </c>
      <c r="L3575" s="81">
        <f>M3575/J3575</f>
        <v>86.135999999999996</v>
      </c>
      <c r="M3575" s="81">
        <f>SUMIF(E3576,"*",M3576)*J3575</f>
        <v>172.27199999999999</v>
      </c>
      <c r="N3575" s="124">
        <f>HYPERLINK("#Трудозатраты!B719",Трудозатраты!B719+SUMIF(E3576,"*",O3576))</f>
        <v>2.8</v>
      </c>
      <c r="O3575" s="82">
        <f>N3575*J3575</f>
        <v>5.6</v>
      </c>
      <c r="P3575" s="81">
        <f>O3575/60*(1+запас_труд)*стоимость_трудочаса</f>
        <v>219.33333333333331</v>
      </c>
      <c r="Q3575" s="129">
        <f>M3575*(1+наценка_покупное)+P3575</f>
        <v>426.05973333333327</v>
      </c>
    </row>
    <row r="3576" spans="4:17" hidden="1" outlineLevel="3" x14ac:dyDescent="0.25">
      <c r="E3576" s="74" t="s">
        <v>131</v>
      </c>
      <c r="F3576" s="74"/>
      <c r="G3576" s="74"/>
      <c r="H3576" s="75"/>
      <c r="I3576" s="76"/>
      <c r="J3576" s="78">
        <f>HYPERLINK("#Структура!E2856",Структура!E2856)</f>
        <v>0.53835</v>
      </c>
      <c r="K3576" s="114" t="str">
        <f>HYPERLINK("#Структура!G2856","")</f>
        <v/>
      </c>
      <c r="L3576" s="120">
        <f>HYPERLINK("#Покупные_изделия!D306",Покупные_изделия!D306)</f>
        <v>160</v>
      </c>
      <c r="M3576" s="76">
        <f>J3576*L3576</f>
        <v>86.135999999999996</v>
      </c>
      <c r="N3576" s="77"/>
      <c r="O3576" s="77"/>
      <c r="P3576" s="76"/>
      <c r="Q3576" s="76"/>
    </row>
    <row r="3577" spans="4:17" hidden="1" outlineLevel="2" collapsed="1" x14ac:dyDescent="0.25">
      <c r="D3577" s="84" t="s">
        <v>1436</v>
      </c>
      <c r="E3577" s="79"/>
      <c r="F3577" s="79"/>
      <c r="G3577" s="79"/>
      <c r="H3577" s="80"/>
      <c r="I3577" s="81"/>
      <c r="J3577" s="83">
        <f>HYPERLINK("#Структура!E3101",Структура!E3101)</f>
        <v>4</v>
      </c>
      <c r="K3577" s="115">
        <f>HYPERLINK("#Структура!G3101",Структура!G3101)</f>
        <v>0.15273999999999999</v>
      </c>
      <c r="L3577" s="81">
        <f>M3577/J3577</f>
        <v>30.747199999999999</v>
      </c>
      <c r="M3577" s="81">
        <f>SUMIF(E3578,"*",M3578)*J3577</f>
        <v>122.9888</v>
      </c>
      <c r="N3577" s="124">
        <f>HYPERLINK("#Трудозатраты!B720",Трудозатраты!B720+SUMIF(E3578,"*",O3578))</f>
        <v>0.5</v>
      </c>
      <c r="O3577" s="82">
        <f>N3577*J3577</f>
        <v>2</v>
      </c>
      <c r="P3577" s="81">
        <f>O3577/60*(1+запас_труд)*стоимость_трудочаса</f>
        <v>78.333333333333329</v>
      </c>
      <c r="Q3577" s="129">
        <f>M3577*(1+наценка_покупное)+P3577</f>
        <v>225.91989333333333</v>
      </c>
    </row>
    <row r="3578" spans="4:17" hidden="1" outlineLevel="3" x14ac:dyDescent="0.25">
      <c r="E3578" s="74" t="s">
        <v>131</v>
      </c>
      <c r="F3578" s="74"/>
      <c r="G3578" s="74"/>
      <c r="H3578" s="75"/>
      <c r="I3578" s="76"/>
      <c r="J3578" s="78">
        <f>HYPERLINK("#Структура!E2857",Структура!E2857)</f>
        <v>0.19217000000000001</v>
      </c>
      <c r="K3578" s="114" t="str">
        <f>HYPERLINK("#Структура!G2857","")</f>
        <v/>
      </c>
      <c r="L3578" s="120">
        <f>HYPERLINK("#Покупные_изделия!D306",Покупные_изделия!D306)</f>
        <v>160</v>
      </c>
      <c r="M3578" s="76">
        <f>J3578*L3578</f>
        <v>30.747199999999999</v>
      </c>
      <c r="N3578" s="77"/>
      <c r="O3578" s="77"/>
      <c r="P3578" s="76"/>
      <c r="Q3578" s="76"/>
    </row>
    <row r="3579" spans="4:17" hidden="1" outlineLevel="2" collapsed="1" x14ac:dyDescent="0.25">
      <c r="D3579" s="84" t="s">
        <v>1437</v>
      </c>
      <c r="E3579" s="79"/>
      <c r="F3579" s="79"/>
      <c r="G3579" s="79"/>
      <c r="H3579" s="80"/>
      <c r="I3579" s="81"/>
      <c r="J3579" s="83">
        <f>HYPERLINK("#Структура!E3102",Структура!E3102)</f>
        <v>2</v>
      </c>
      <c r="K3579" s="115">
        <f>HYPERLINK("#Структура!G3102",Структура!G3102)</f>
        <v>2.30179</v>
      </c>
      <c r="L3579" s="81">
        <f>M3579/J3579</f>
        <v>444.69920000000002</v>
      </c>
      <c r="M3579" s="81">
        <f>SUMIF(E3580,"*",M3580)*J3579</f>
        <v>889.39840000000004</v>
      </c>
      <c r="N3579" s="124">
        <f>HYPERLINK("#Трудозатраты!B721",Трудозатраты!B721+SUMIF(E3580,"*",O3580))</f>
        <v>14.200000000000001</v>
      </c>
      <c r="O3579" s="82">
        <f>N3579*J3579</f>
        <v>28.400000000000002</v>
      </c>
      <c r="P3579" s="81">
        <f>O3579/60*(1+запас_труд)*стоимость_трудочаса</f>
        <v>1112.3333333333335</v>
      </c>
      <c r="Q3579" s="129">
        <f>M3579*(1+наценка_покупное)+P3579</f>
        <v>2179.6114133333335</v>
      </c>
    </row>
    <row r="3580" spans="4:17" hidden="1" outlineLevel="3" x14ac:dyDescent="0.25">
      <c r="E3580" s="74" t="s">
        <v>131</v>
      </c>
      <c r="F3580" s="74"/>
      <c r="G3580" s="74"/>
      <c r="H3580" s="75"/>
      <c r="I3580" s="76"/>
      <c r="J3580" s="78">
        <f>HYPERLINK("#Структура!E2858",Структура!E2858)</f>
        <v>2.7793700000000001</v>
      </c>
      <c r="K3580" s="114" t="str">
        <f>HYPERLINK("#Структура!G2858","")</f>
        <v/>
      </c>
      <c r="L3580" s="120">
        <f>HYPERLINK("#Покупные_изделия!D306",Покупные_изделия!D306)</f>
        <v>160</v>
      </c>
      <c r="M3580" s="76">
        <f>J3580*L3580</f>
        <v>444.69920000000002</v>
      </c>
      <c r="N3580" s="77"/>
      <c r="O3580" s="77"/>
      <c r="P3580" s="76"/>
      <c r="Q3580" s="76"/>
    </row>
    <row r="3581" spans="4:17" hidden="1" outlineLevel="2" collapsed="1" x14ac:dyDescent="0.25">
      <c r="D3581" s="84" t="s">
        <v>1438</v>
      </c>
      <c r="E3581" s="79"/>
      <c r="F3581" s="79"/>
      <c r="G3581" s="79"/>
      <c r="H3581" s="80"/>
      <c r="I3581" s="81"/>
      <c r="J3581" s="83">
        <f>HYPERLINK("#Структура!E3103",Структура!E3103)</f>
        <v>14</v>
      </c>
      <c r="K3581" s="115">
        <f>HYPERLINK("#Структура!G3103",Структура!G3103)</f>
        <v>0.88885000000000003</v>
      </c>
      <c r="L3581" s="81">
        <f>M3581/J3581</f>
        <v>172.27360000000002</v>
      </c>
      <c r="M3581" s="81">
        <f>SUMIF(E3582,"*",M3582)*J3581</f>
        <v>2411.8304000000003</v>
      </c>
      <c r="N3581" s="124">
        <f>HYPERLINK("#Трудозатраты!B722",Трудозатраты!B722+SUMIF(E3582,"*",O3582))</f>
        <v>2.5</v>
      </c>
      <c r="O3581" s="82">
        <f>N3581*J3581</f>
        <v>35</v>
      </c>
      <c r="P3581" s="81">
        <f>O3581/60*(1+запас_труд)*стоимость_трудочаса</f>
        <v>1370.8333333333335</v>
      </c>
      <c r="Q3581" s="129">
        <f>M3581*(1+наценка_покупное)+P3581</f>
        <v>4265.0298133333335</v>
      </c>
    </row>
    <row r="3582" spans="4:17" hidden="1" outlineLevel="3" x14ac:dyDescent="0.25">
      <c r="E3582" s="74" t="s">
        <v>131</v>
      </c>
      <c r="F3582" s="74"/>
      <c r="G3582" s="74"/>
      <c r="H3582" s="75"/>
      <c r="I3582" s="76"/>
      <c r="J3582" s="78">
        <f>HYPERLINK("#Структура!E2859",Структура!E2859)</f>
        <v>1.0767100000000001</v>
      </c>
      <c r="K3582" s="114" t="str">
        <f>HYPERLINK("#Структура!G2859","")</f>
        <v/>
      </c>
      <c r="L3582" s="120">
        <f>HYPERLINK("#Покупные_изделия!D306",Покупные_изделия!D306)</f>
        <v>160</v>
      </c>
      <c r="M3582" s="76">
        <f>J3582*L3582</f>
        <v>172.27360000000002</v>
      </c>
      <c r="N3582" s="77"/>
      <c r="O3582" s="77"/>
      <c r="P3582" s="76"/>
      <c r="Q3582" s="76"/>
    </row>
    <row r="3583" spans="4:17" hidden="1" outlineLevel="2" collapsed="1" x14ac:dyDescent="0.25">
      <c r="D3583" s="84" t="s">
        <v>1439</v>
      </c>
      <c r="E3583" s="79"/>
      <c r="F3583" s="79"/>
      <c r="G3583" s="79"/>
      <c r="H3583" s="80"/>
      <c r="I3583" s="81"/>
      <c r="J3583" s="83">
        <f>HYPERLINK("#Структура!E3104",Структура!E3104)</f>
        <v>1</v>
      </c>
      <c r="K3583" s="115">
        <f>HYPERLINK("#Структура!G3104",Структура!G3104)</f>
        <v>2.5922000000000001</v>
      </c>
      <c r="L3583" s="81">
        <f>M3583/J3583</f>
        <v>500.54079999999999</v>
      </c>
      <c r="M3583" s="81">
        <f>SUMIF(E3584,"*",M3584)*J3583</f>
        <v>500.54079999999999</v>
      </c>
      <c r="N3583" s="124">
        <f>HYPERLINK("#Трудозатраты!B723",Трудозатраты!B723+SUMIF(E3584,"*",O3584))</f>
        <v>18.200000000000003</v>
      </c>
      <c r="O3583" s="82">
        <f>N3583*J3583</f>
        <v>18.200000000000003</v>
      </c>
      <c r="P3583" s="81">
        <f>O3583/60*(1+запас_труд)*стоимость_трудочаса</f>
        <v>712.83333333333348</v>
      </c>
      <c r="Q3583" s="129">
        <f>M3583*(1+наценка_покупное)+P3583</f>
        <v>1313.4822933333335</v>
      </c>
    </row>
    <row r="3584" spans="4:17" hidden="1" outlineLevel="3" x14ac:dyDescent="0.25">
      <c r="E3584" s="74" t="s">
        <v>131</v>
      </c>
      <c r="F3584" s="74"/>
      <c r="G3584" s="74"/>
      <c r="H3584" s="75"/>
      <c r="I3584" s="76"/>
      <c r="J3584" s="78">
        <f>HYPERLINK("#Структура!E2860",Структура!E2860)</f>
        <v>3.1283799999999999</v>
      </c>
      <c r="K3584" s="114" t="str">
        <f>HYPERLINK("#Структура!G2860","")</f>
        <v/>
      </c>
      <c r="L3584" s="120">
        <f>HYPERLINK("#Покупные_изделия!D306",Покупные_изделия!D306)</f>
        <v>160</v>
      </c>
      <c r="M3584" s="76">
        <f>J3584*L3584</f>
        <v>500.54079999999999</v>
      </c>
      <c r="N3584" s="77"/>
      <c r="O3584" s="77"/>
      <c r="P3584" s="76"/>
      <c r="Q3584" s="76"/>
    </row>
    <row r="3585" spans="3:17" hidden="1" outlineLevel="2" collapsed="1" x14ac:dyDescent="0.25">
      <c r="D3585" s="84" t="s">
        <v>1510</v>
      </c>
      <c r="E3585" s="79"/>
      <c r="F3585" s="79"/>
      <c r="G3585" s="79"/>
      <c r="H3585" s="80"/>
      <c r="I3585" s="81"/>
      <c r="J3585" s="83">
        <f>HYPERLINK("#Структура!E3105",Структура!E3105)</f>
        <v>2</v>
      </c>
      <c r="K3585" s="115">
        <f>HYPERLINK("#Структура!G3105",Структура!G3105)</f>
        <v>0.30803000000000003</v>
      </c>
      <c r="L3585" s="81">
        <f>M3585/J3585</f>
        <v>59.684799999999996</v>
      </c>
      <c r="M3585" s="81">
        <f>SUMIF(E3586,"*",M3586)*J3585</f>
        <v>119.36959999999999</v>
      </c>
      <c r="N3585" s="124">
        <f>HYPERLINK("#Трудозатраты!B789",Трудозатраты!B789+SUMIF(E3586,"*",O3586))</f>
        <v>1.1000000000000001</v>
      </c>
      <c r="O3585" s="82">
        <f>N3585*J3585</f>
        <v>2.2000000000000002</v>
      </c>
      <c r="P3585" s="81">
        <f>O3585/60*(1+запас_труд)*стоимость_трудочаса</f>
        <v>86.166666666666671</v>
      </c>
      <c r="Q3585" s="129">
        <f>M3585*(1+наценка_покупное)+P3585</f>
        <v>229.41018666666668</v>
      </c>
    </row>
    <row r="3586" spans="3:17" hidden="1" outlineLevel="3" x14ac:dyDescent="0.25">
      <c r="E3586" s="74" t="s">
        <v>131</v>
      </c>
      <c r="F3586" s="74"/>
      <c r="G3586" s="74"/>
      <c r="H3586" s="75"/>
      <c r="I3586" s="76"/>
      <c r="J3586" s="78">
        <f>HYPERLINK("#Структура!E3115",Структура!E3115)</f>
        <v>0.37302999999999997</v>
      </c>
      <c r="K3586" s="114" t="str">
        <f>HYPERLINK("#Структура!G3115","")</f>
        <v/>
      </c>
      <c r="L3586" s="120">
        <f>HYPERLINK("#Покупные_изделия!D306",Покупные_изделия!D306)</f>
        <v>160</v>
      </c>
      <c r="M3586" s="76">
        <f>J3586*L3586</f>
        <v>59.684799999999996</v>
      </c>
      <c r="N3586" s="77"/>
      <c r="O3586" s="77"/>
      <c r="P3586" s="76"/>
      <c r="Q3586" s="76"/>
    </row>
    <row r="3587" spans="3:17" hidden="1" outlineLevel="2" x14ac:dyDescent="0.25">
      <c r="D3587" s="74" t="s">
        <v>622</v>
      </c>
      <c r="E3587" s="74"/>
      <c r="F3587" s="74"/>
      <c r="G3587" s="74"/>
      <c r="H3587" s="75"/>
      <c r="I3587" s="76"/>
      <c r="J3587" s="78">
        <f>HYPERLINK("#Структура!E3106",Структура!E3106)</f>
        <v>51</v>
      </c>
      <c r="K3587" s="114">
        <f>HYPERLINK("#Структура!G3106",Структура!G3106)</f>
        <v>1.52E-2</v>
      </c>
      <c r="L3587" s="120">
        <f>HYPERLINK("#Покупные_изделия!D85",Покупные_изделия!D85)</f>
        <v>8.6999999999999993</v>
      </c>
      <c r="M3587" s="76">
        <f>J3587*L3587</f>
        <v>443.7</v>
      </c>
      <c r="N3587" s="77"/>
      <c r="O3587" s="77"/>
      <c r="P3587" s="76"/>
      <c r="Q3587" s="76"/>
    </row>
    <row r="3588" spans="3:17" hidden="1" outlineLevel="2" x14ac:dyDescent="0.25">
      <c r="D3588" s="74" t="s">
        <v>625</v>
      </c>
      <c r="E3588" s="74"/>
      <c r="F3588" s="74"/>
      <c r="G3588" s="74"/>
      <c r="H3588" s="75"/>
      <c r="I3588" s="76"/>
      <c r="J3588" s="78">
        <f>HYPERLINK("#Структура!E3107",Структура!E3107)</f>
        <v>51</v>
      </c>
      <c r="K3588" s="114">
        <f>HYPERLINK("#Структура!G3107",Структура!G3107)</f>
        <v>7.1399999999999996E-3</v>
      </c>
      <c r="L3588" s="120">
        <f>HYPERLINK("#Покупные_изделия!D168",Покупные_изделия!D168)</f>
        <v>1.9715672368421051</v>
      </c>
      <c r="M3588" s="76">
        <f>J3588*L3588</f>
        <v>100.54992907894736</v>
      </c>
      <c r="N3588" s="77"/>
      <c r="O3588" s="77"/>
      <c r="P3588" s="76"/>
      <c r="Q3588" s="76"/>
    </row>
    <row r="3589" spans="3:17" hidden="1" outlineLevel="1" collapsed="1" x14ac:dyDescent="0.25">
      <c r="C3589" s="96" t="s">
        <v>1511</v>
      </c>
      <c r="D3589" s="91"/>
      <c r="E3589" s="91"/>
      <c r="F3589" s="91"/>
      <c r="G3589" s="91"/>
      <c r="H3589" s="92"/>
      <c r="I3589" s="93"/>
      <c r="J3589" s="95">
        <f>HYPERLINK("#Структура!E3260",Структура!E3260)</f>
        <v>4</v>
      </c>
      <c r="K3589" s="116">
        <f>HYPERLINK("#Структура!G3260",Структура!G3260)</f>
        <v>29.45993</v>
      </c>
      <c r="L3589" s="93">
        <f>M3589/J3589</f>
        <v>5425.4319057894727</v>
      </c>
      <c r="M3589" s="93">
        <f>SUMIF(D3590:D3625,"*",M3590:M3625)*J3589</f>
        <v>21701.727623157891</v>
      </c>
      <c r="N3589" s="125">
        <f>HYPERLINK("#Трудозатраты!B788",Трудозатраты!B788+SUMIF(D3590:D3625,"*",O3590:O3625))</f>
        <v>403.34999999999997</v>
      </c>
      <c r="O3589" s="94">
        <f>N3589*J3589</f>
        <v>1613.3999999999999</v>
      </c>
      <c r="P3589" s="93">
        <f>O3589/60*(1+запас_труд)*стоимость_трудочаса</f>
        <v>63191.499999999993</v>
      </c>
      <c r="Q3589" s="130">
        <f>M3589*(1+наценка_покупное)+P3589</f>
        <v>89233.573147789459</v>
      </c>
    </row>
    <row r="3590" spans="3:17" hidden="1" outlineLevel="2" collapsed="1" x14ac:dyDescent="0.25">
      <c r="D3590" s="97" t="s">
        <v>1441</v>
      </c>
      <c r="E3590" s="98"/>
      <c r="F3590" s="98"/>
      <c r="G3590" s="98"/>
      <c r="H3590" s="99"/>
      <c r="I3590" s="100"/>
      <c r="J3590" s="102">
        <f>HYPERLINK("#Структура!E3108",Структура!E3108)</f>
        <v>1</v>
      </c>
      <c r="K3590" s="112">
        <f>HYPERLINK("#Структура!G3108",Структура!G3108)</f>
        <v>17.647379999999998</v>
      </c>
      <c r="L3590" s="100">
        <f>M3590/J3590</f>
        <v>3067.9912271999997</v>
      </c>
      <c r="M3590" s="100">
        <f>SUMIF(E3591:E3603,"*",M3591:M3603)*J3590</f>
        <v>3067.9912271999997</v>
      </c>
      <c r="N3590" s="122">
        <f>HYPERLINK("#Трудозатраты!B724",Трудозатраты!B724+SUMIF(E3591:E3603,"*",O3591:O3603))</f>
        <v>255.89999999999998</v>
      </c>
      <c r="O3590" s="101">
        <f>N3590*J3590</f>
        <v>255.89999999999998</v>
      </c>
      <c r="P3590" s="100">
        <f>O3590/60*(1+запас_труд)*стоимость_трудочаса</f>
        <v>10022.75</v>
      </c>
      <c r="Q3590" s="127">
        <f>M3590*(1+наценка_покупное)+P3590</f>
        <v>13704.33947264</v>
      </c>
    </row>
    <row r="3591" spans="3:17" hidden="1" outlineLevel="3" collapsed="1" x14ac:dyDescent="0.25">
      <c r="E3591" s="85" t="s">
        <v>1440</v>
      </c>
      <c r="F3591" s="86"/>
      <c r="G3591" s="86"/>
      <c r="H3591" s="87"/>
      <c r="I3591" s="88"/>
      <c r="J3591" s="90">
        <f>HYPERLINK("#Структура!E2861",Структура!E2861)</f>
        <v>1</v>
      </c>
      <c r="K3591" s="113">
        <f>HYPERLINK("#Структура!G2861",Структура!G2861)</f>
        <v>5.8282299999999996</v>
      </c>
      <c r="L3591" s="88">
        <f>M3591/J3591</f>
        <v>844.00200000000007</v>
      </c>
      <c r="M3591" s="88">
        <f>SUMIF(F3592,"*",M3592)*J3591</f>
        <v>844.00200000000007</v>
      </c>
      <c r="N3591" s="123">
        <f>HYPERLINK("#Трудозатраты!B725",Трудозатраты!B725+SUMIF(F3592,"*",O3592))</f>
        <v>10</v>
      </c>
      <c r="O3591" s="89">
        <f>N3591*J3591</f>
        <v>10</v>
      </c>
      <c r="P3591" s="88">
        <f>O3591/60*(1+запас_труд)*стоимость_трудочаса</f>
        <v>391.66666666666663</v>
      </c>
      <c r="Q3591" s="128">
        <f>M3591*(1+наценка_покупное)+P3591</f>
        <v>1404.4690666666665</v>
      </c>
    </row>
    <row r="3592" spans="3:17" hidden="1" outlineLevel="4" x14ac:dyDescent="0.25">
      <c r="F3592" s="74" t="s">
        <v>113</v>
      </c>
      <c r="G3592" s="74"/>
      <c r="H3592" s="75"/>
      <c r="I3592" s="76"/>
      <c r="J3592" s="78">
        <f>HYPERLINK("#Структура!E2871",Структура!E2871)</f>
        <v>7.0333500000000004</v>
      </c>
      <c r="K3592" s="114" t="str">
        <f>HYPERLINK("#Структура!G2871","")</f>
        <v/>
      </c>
      <c r="L3592" s="120">
        <f>HYPERLINK("#Покупные_изделия!D286",Покупные_изделия!D286)</f>
        <v>120</v>
      </c>
      <c r="M3592" s="76">
        <f>J3592*L3592</f>
        <v>844.00200000000007</v>
      </c>
      <c r="N3592" s="77"/>
      <c r="O3592" s="77"/>
      <c r="P3592" s="76"/>
      <c r="Q3592" s="76"/>
    </row>
    <row r="3593" spans="3:17" hidden="1" outlineLevel="3" collapsed="1" x14ac:dyDescent="0.25">
      <c r="E3593" s="84" t="s">
        <v>1442</v>
      </c>
      <c r="F3593" s="79"/>
      <c r="G3593" s="79"/>
      <c r="H3593" s="80"/>
      <c r="I3593" s="81"/>
      <c r="J3593" s="83">
        <f>HYPERLINK("#Структура!E2862",Структура!E2862)</f>
        <v>1</v>
      </c>
      <c r="K3593" s="115">
        <f>HYPERLINK("#Структура!G2862",Структура!G2862)</f>
        <v>5.8282299999999996</v>
      </c>
      <c r="L3593" s="81">
        <f>M3593/J3593</f>
        <v>844.00200000000007</v>
      </c>
      <c r="M3593" s="81">
        <f>SUMIF(F3594,"*",M3594)*J3593</f>
        <v>844.00200000000007</v>
      </c>
      <c r="N3593" s="124">
        <f>HYPERLINK("#Трудозатраты!B726",Трудозатраты!B726+SUMIF(F3594,"*",O3594))</f>
        <v>10</v>
      </c>
      <c r="O3593" s="82">
        <f>N3593*J3593</f>
        <v>10</v>
      </c>
      <c r="P3593" s="81">
        <f>O3593/60*(1+запас_труд)*стоимость_трудочаса</f>
        <v>391.66666666666663</v>
      </c>
      <c r="Q3593" s="129">
        <f>M3593*(1+наценка_покупное)+P3593</f>
        <v>1404.4690666666665</v>
      </c>
    </row>
    <row r="3594" spans="3:17" hidden="1" outlineLevel="4" x14ac:dyDescent="0.25">
      <c r="F3594" s="74" t="s">
        <v>113</v>
      </c>
      <c r="G3594" s="74"/>
      <c r="H3594" s="75"/>
      <c r="I3594" s="76"/>
      <c r="J3594" s="78">
        <f>HYPERLINK("#Структура!E2872",Структура!E2872)</f>
        <v>7.0333500000000004</v>
      </c>
      <c r="K3594" s="114" t="str">
        <f>HYPERLINK("#Структура!G2872","")</f>
        <v/>
      </c>
      <c r="L3594" s="120">
        <f>HYPERLINK("#Покупные_изделия!D286",Покупные_изделия!D286)</f>
        <v>120</v>
      </c>
      <c r="M3594" s="76">
        <f>J3594*L3594</f>
        <v>844.00200000000007</v>
      </c>
      <c r="N3594" s="77"/>
      <c r="O3594" s="77"/>
      <c r="P3594" s="76"/>
      <c r="Q3594" s="76"/>
    </row>
    <row r="3595" spans="3:17" hidden="1" outlineLevel="3" collapsed="1" x14ac:dyDescent="0.25">
      <c r="E3595" s="84" t="s">
        <v>1443</v>
      </c>
      <c r="F3595" s="79"/>
      <c r="G3595" s="79"/>
      <c r="H3595" s="80"/>
      <c r="I3595" s="81"/>
      <c r="J3595" s="83">
        <f>HYPERLINK("#Структура!E2863",Структура!E2863)</f>
        <v>10</v>
      </c>
      <c r="K3595" s="115">
        <f>HYPERLINK("#Структура!G2863",Структура!G2863)</f>
        <v>0.59909000000000001</v>
      </c>
      <c r="L3595" s="81">
        <f>M3595/J3595</f>
        <v>74.52</v>
      </c>
      <c r="M3595" s="81">
        <f>SUMIF(F3596,"*",M3596)*J3595</f>
        <v>745.19999999999993</v>
      </c>
      <c r="N3595" s="124">
        <f>HYPERLINK("#Трудозатраты!B727",Трудозатраты!B727+SUMIF(F3596,"*",O3596))</f>
        <v>14.67</v>
      </c>
      <c r="O3595" s="82">
        <f>N3595*J3595</f>
        <v>146.69999999999999</v>
      </c>
      <c r="P3595" s="81">
        <f>O3595/60*(1+запас_труд)*стоимость_трудочаса</f>
        <v>5745.75</v>
      </c>
      <c r="Q3595" s="129">
        <f>M3595*(1+наценка_покупное)+P3595</f>
        <v>6639.99</v>
      </c>
    </row>
    <row r="3596" spans="3:17" hidden="1" outlineLevel="4" x14ac:dyDescent="0.25">
      <c r="F3596" s="74" t="s">
        <v>175</v>
      </c>
      <c r="G3596" s="74"/>
      <c r="H3596" s="75"/>
      <c r="I3596" s="76"/>
      <c r="J3596" s="78">
        <f>HYPERLINK("#Структура!E2873",Структура!E2873)</f>
        <v>0.621</v>
      </c>
      <c r="K3596" s="114" t="str">
        <f>HYPERLINK("#Структура!G2873","")</f>
        <v/>
      </c>
      <c r="L3596" s="120">
        <f>HYPERLINK("#Покупные_изделия!D486",Покупные_изделия!D486)</f>
        <v>120</v>
      </c>
      <c r="M3596" s="76">
        <f t="shared" ref="M3596:M3603" si="137">J3596*L3596</f>
        <v>74.52</v>
      </c>
      <c r="N3596" s="77"/>
      <c r="O3596" s="77"/>
      <c r="P3596" s="76"/>
      <c r="Q3596" s="76"/>
    </row>
    <row r="3597" spans="3:17" hidden="1" outlineLevel="3" x14ac:dyDescent="0.25">
      <c r="E3597" s="74" t="s">
        <v>44</v>
      </c>
      <c r="F3597" s="74"/>
      <c r="G3597" s="74"/>
      <c r="H3597" s="75"/>
      <c r="I3597" s="76"/>
      <c r="J3597" s="78">
        <f>HYPERLINK("#Структура!E2864",Структура!E2864)</f>
        <v>0.76</v>
      </c>
      <c r="K3597" s="114" t="str">
        <f>HYPERLINK("#Структура!G2864","")</f>
        <v/>
      </c>
      <c r="L3597" s="120">
        <f>HYPERLINK("#Покупные_изделия!D63",Покупные_изделия!D63)</f>
        <v>396.00000000000006</v>
      </c>
      <c r="M3597" s="76">
        <f t="shared" si="137"/>
        <v>300.96000000000004</v>
      </c>
      <c r="N3597" s="77"/>
      <c r="O3597" s="77"/>
      <c r="P3597" s="76"/>
      <c r="Q3597" s="76"/>
    </row>
    <row r="3598" spans="3:17" hidden="1" outlineLevel="3" x14ac:dyDescent="0.25">
      <c r="E3598" s="74" t="s">
        <v>67</v>
      </c>
      <c r="F3598" s="74"/>
      <c r="G3598" s="74"/>
      <c r="H3598" s="75"/>
      <c r="I3598" s="76"/>
      <c r="J3598" s="78">
        <f>HYPERLINK("#Структура!E2865",Структура!E2865)</f>
        <v>0.42499999999999999</v>
      </c>
      <c r="K3598" s="114" t="str">
        <f>HYPERLINK("#Структура!G2865","")</f>
        <v/>
      </c>
      <c r="L3598" s="120">
        <f>HYPERLINK("#Покупные_изделия!D203",Покупные_изделия!D203)</f>
        <v>30.003600000000002</v>
      </c>
      <c r="M3598" s="76">
        <f t="shared" si="137"/>
        <v>12.751530000000001</v>
      </c>
      <c r="N3598" s="77"/>
      <c r="O3598" s="77"/>
      <c r="P3598" s="76"/>
      <c r="Q3598" s="76"/>
    </row>
    <row r="3599" spans="3:17" hidden="1" outlineLevel="3" x14ac:dyDescent="0.25">
      <c r="E3599" s="74" t="s">
        <v>139</v>
      </c>
      <c r="F3599" s="74"/>
      <c r="G3599" s="74"/>
      <c r="H3599" s="75"/>
      <c r="I3599" s="76"/>
      <c r="J3599" s="78">
        <f>HYPERLINK("#Структура!E2866",Структура!E2866)</f>
        <v>5.0999999999999997E-2</v>
      </c>
      <c r="K3599" s="114" t="str">
        <f>HYPERLINK("#Структура!G2866","")</f>
        <v/>
      </c>
      <c r="L3599" s="120">
        <f>HYPERLINK("#Покупные_изделия!D360",Покупные_изделия!D360)</f>
        <v>171.87720000000002</v>
      </c>
      <c r="M3599" s="76">
        <f t="shared" si="137"/>
        <v>8.7657372000000002</v>
      </c>
      <c r="N3599" s="77"/>
      <c r="O3599" s="77"/>
      <c r="P3599" s="76"/>
      <c r="Q3599" s="76"/>
    </row>
    <row r="3600" spans="3:17" hidden="1" outlineLevel="3" x14ac:dyDescent="0.25">
      <c r="E3600" s="74" t="s">
        <v>146</v>
      </c>
      <c r="F3600" s="74"/>
      <c r="G3600" s="74"/>
      <c r="H3600" s="75"/>
      <c r="I3600" s="76"/>
      <c r="J3600" s="78">
        <f>HYPERLINK("#Структура!E2867",Структура!E2867)</f>
        <v>0.25</v>
      </c>
      <c r="K3600" s="114" t="str">
        <f>HYPERLINK("#Структура!G2867","")</f>
        <v/>
      </c>
      <c r="L3600" s="120">
        <f>HYPERLINK("#Покупные_изделия!D406",Покупные_изделия!D406)</f>
        <v>105.996</v>
      </c>
      <c r="M3600" s="76">
        <f t="shared" si="137"/>
        <v>26.498999999999999</v>
      </c>
      <c r="N3600" s="77"/>
      <c r="O3600" s="77"/>
      <c r="P3600" s="76"/>
      <c r="Q3600" s="76"/>
    </row>
    <row r="3601" spans="4:17" hidden="1" outlineLevel="3" x14ac:dyDescent="0.25">
      <c r="E3601" s="74" t="s">
        <v>156</v>
      </c>
      <c r="F3601" s="74"/>
      <c r="G3601" s="74"/>
      <c r="H3601" s="75"/>
      <c r="I3601" s="76"/>
      <c r="J3601" s="78">
        <f>HYPERLINK("#Структура!E2868",Структура!E2868)</f>
        <v>0.25</v>
      </c>
      <c r="K3601" s="114" t="str">
        <f>HYPERLINK("#Структура!G2868","")</f>
        <v/>
      </c>
      <c r="L3601" s="120">
        <f>HYPERLINK("#Покупные_изделия!D427",Покупные_изделия!D427)</f>
        <v>155.53200000000001</v>
      </c>
      <c r="M3601" s="76">
        <f t="shared" si="137"/>
        <v>38.883000000000003</v>
      </c>
      <c r="N3601" s="77"/>
      <c r="O3601" s="77"/>
      <c r="P3601" s="76"/>
      <c r="Q3601" s="76"/>
    </row>
    <row r="3602" spans="4:17" hidden="1" outlineLevel="3" x14ac:dyDescent="0.25">
      <c r="E3602" s="74" t="s">
        <v>200</v>
      </c>
      <c r="F3602" s="74"/>
      <c r="G3602" s="74"/>
      <c r="H3602" s="75"/>
      <c r="I3602" s="76"/>
      <c r="J3602" s="78">
        <f>HYPERLINK("#Структура!E2869",Структура!E2869)</f>
        <v>0.04</v>
      </c>
      <c r="K3602" s="114" t="str">
        <f>HYPERLINK("#Структура!G2869","")</f>
        <v/>
      </c>
      <c r="L3602" s="120">
        <f>HYPERLINK("#Покупные_изделия!D518",Покупные_изделия!D518)</f>
        <v>270</v>
      </c>
      <c r="M3602" s="76">
        <f t="shared" si="137"/>
        <v>10.8</v>
      </c>
      <c r="N3602" s="77"/>
      <c r="O3602" s="77"/>
      <c r="P3602" s="76"/>
      <c r="Q3602" s="76"/>
    </row>
    <row r="3603" spans="4:17" hidden="1" outlineLevel="3" x14ac:dyDescent="0.25">
      <c r="E3603" s="74" t="s">
        <v>202</v>
      </c>
      <c r="F3603" s="74"/>
      <c r="G3603" s="74"/>
      <c r="H3603" s="75"/>
      <c r="I3603" s="76"/>
      <c r="J3603" s="78">
        <f>HYPERLINK("#Структура!E2870",Структура!E2870)</f>
        <v>0.51</v>
      </c>
      <c r="K3603" s="114" t="str">
        <f>HYPERLINK("#Структура!G2870","")</f>
        <v/>
      </c>
      <c r="L3603" s="120">
        <f>HYPERLINK("#Покупные_изделия!D521",Покупные_изделия!D521)</f>
        <v>462.99599999999998</v>
      </c>
      <c r="M3603" s="76">
        <f t="shared" si="137"/>
        <v>236.12796</v>
      </c>
      <c r="N3603" s="77"/>
      <c r="O3603" s="77"/>
      <c r="P3603" s="76"/>
      <c r="Q3603" s="76"/>
    </row>
    <row r="3604" spans="4:17" hidden="1" outlineLevel="2" collapsed="1" x14ac:dyDescent="0.25">
      <c r="D3604" s="96" t="s">
        <v>1509</v>
      </c>
      <c r="E3604" s="91"/>
      <c r="F3604" s="91"/>
      <c r="G3604" s="91"/>
      <c r="H3604" s="92"/>
      <c r="I3604" s="93"/>
      <c r="J3604" s="95">
        <f>HYPERLINK("#Структура!E3109",Структура!E3109)</f>
        <v>1</v>
      </c>
      <c r="K3604" s="116">
        <f>HYPERLINK("#Структура!G3109",Структура!G3109)</f>
        <v>8.8182600000000004</v>
      </c>
      <c r="L3604" s="93">
        <f>M3604/J3604</f>
        <v>1541.9180028000003</v>
      </c>
      <c r="M3604" s="93">
        <f>SUMIF(E3605:E3617,"*",M3605:M3617)*J3604</f>
        <v>1541.9180028000003</v>
      </c>
      <c r="N3604" s="125">
        <f>HYPERLINK("#Трудозатраты!B790",Трудозатраты!B790+SUMIF(E3605:E3617,"*",O3605:O3617))</f>
        <v>123.35</v>
      </c>
      <c r="O3604" s="94">
        <f>N3604*J3604</f>
        <v>123.35</v>
      </c>
      <c r="P3604" s="93">
        <f>O3604/60*(1+запас_труд)*стоимость_трудочаса</f>
        <v>4831.208333333333</v>
      </c>
      <c r="Q3604" s="130">
        <f>M3604*(1+наценка_покупное)+P3604</f>
        <v>6681.5099366933337</v>
      </c>
    </row>
    <row r="3605" spans="4:17" hidden="1" outlineLevel="3" collapsed="1" x14ac:dyDescent="0.25">
      <c r="E3605" s="85" t="s">
        <v>1443</v>
      </c>
      <c r="F3605" s="86"/>
      <c r="G3605" s="86"/>
      <c r="H3605" s="87"/>
      <c r="I3605" s="88"/>
      <c r="J3605" s="90">
        <f>HYPERLINK("#Структура!E3116",Структура!E3116)</f>
        <v>5</v>
      </c>
      <c r="K3605" s="113">
        <f>HYPERLINK("#Структура!G3116",Структура!G3116)</f>
        <v>0.59909000000000001</v>
      </c>
      <c r="L3605" s="88">
        <f>M3605/J3605</f>
        <v>74.52</v>
      </c>
      <c r="M3605" s="88">
        <f>SUMIF(F3606,"*",M3606)*J3605</f>
        <v>372.59999999999997</v>
      </c>
      <c r="N3605" s="123">
        <f>HYPERLINK("#Трудозатраты!B727",Трудозатраты!B727+SUMIF(F3606,"*",O3606))</f>
        <v>14.67</v>
      </c>
      <c r="O3605" s="89">
        <f>N3605*J3605</f>
        <v>73.349999999999994</v>
      </c>
      <c r="P3605" s="88">
        <f>O3605/60*(1+запас_труд)*стоимость_трудочаса</f>
        <v>2872.875</v>
      </c>
      <c r="Q3605" s="128">
        <f>M3605*(1+наценка_покупное)+P3605</f>
        <v>3319.9949999999999</v>
      </c>
    </row>
    <row r="3606" spans="4:17" hidden="1" outlineLevel="4" x14ac:dyDescent="0.25">
      <c r="F3606" s="74" t="s">
        <v>175</v>
      </c>
      <c r="G3606" s="74"/>
      <c r="H3606" s="75"/>
      <c r="I3606" s="76"/>
      <c r="J3606" s="78">
        <f>HYPERLINK("#Структура!E2873",Структура!E2873)</f>
        <v>0.621</v>
      </c>
      <c r="K3606" s="114" t="str">
        <f>HYPERLINK("#Структура!G2873","")</f>
        <v/>
      </c>
      <c r="L3606" s="120">
        <f>HYPERLINK("#Покупные_изделия!D486",Покупные_изделия!D486)</f>
        <v>120</v>
      </c>
      <c r="M3606" s="76">
        <f>J3606*L3606</f>
        <v>74.52</v>
      </c>
      <c r="N3606" s="77"/>
      <c r="O3606" s="77"/>
      <c r="P3606" s="76"/>
      <c r="Q3606" s="76"/>
    </row>
    <row r="3607" spans="4:17" hidden="1" outlineLevel="3" collapsed="1" x14ac:dyDescent="0.25">
      <c r="E3607" s="84" t="s">
        <v>1512</v>
      </c>
      <c r="F3607" s="79"/>
      <c r="G3607" s="79"/>
      <c r="H3607" s="80"/>
      <c r="I3607" s="81"/>
      <c r="J3607" s="83">
        <f>HYPERLINK("#Структура!E3117",Структура!E3117)</f>
        <v>1</v>
      </c>
      <c r="K3607" s="115">
        <f>HYPERLINK("#Структура!G3117",Структура!G3117)</f>
        <v>2.9114</v>
      </c>
      <c r="L3607" s="81">
        <f>M3607/J3607</f>
        <v>422.00040000000001</v>
      </c>
      <c r="M3607" s="81">
        <f>SUMIF(F3608,"*",M3608)*J3607</f>
        <v>422.00040000000001</v>
      </c>
      <c r="N3607" s="124">
        <f>HYPERLINK("#Трудозатраты!B791",Трудозатраты!B791+SUMIF(F3608,"*",O3608))</f>
        <v>4.5</v>
      </c>
      <c r="O3607" s="82">
        <f>N3607*J3607</f>
        <v>4.5</v>
      </c>
      <c r="P3607" s="81">
        <f>O3607/60*(1+запас_труд)*стоимость_трудочаса</f>
        <v>176.25</v>
      </c>
      <c r="Q3607" s="129">
        <f>M3607*(1+наценка_покупное)+P3607</f>
        <v>682.65048000000002</v>
      </c>
    </row>
    <row r="3608" spans="4:17" hidden="1" outlineLevel="4" x14ac:dyDescent="0.25">
      <c r="F3608" s="74" t="s">
        <v>113</v>
      </c>
      <c r="G3608" s="74"/>
      <c r="H3608" s="75"/>
      <c r="I3608" s="76"/>
      <c r="J3608" s="78">
        <f>HYPERLINK("#Структура!E3126",Структура!E3126)</f>
        <v>3.51667</v>
      </c>
      <c r="K3608" s="114" t="str">
        <f>HYPERLINK("#Структура!G3126","")</f>
        <v/>
      </c>
      <c r="L3608" s="120">
        <f>HYPERLINK("#Покупные_изделия!D286",Покупные_изделия!D286)</f>
        <v>120</v>
      </c>
      <c r="M3608" s="76">
        <f>J3608*L3608</f>
        <v>422.00040000000001</v>
      </c>
      <c r="N3608" s="77"/>
      <c r="O3608" s="77"/>
      <c r="P3608" s="76"/>
      <c r="Q3608" s="76"/>
    </row>
    <row r="3609" spans="4:17" hidden="1" outlineLevel="3" collapsed="1" x14ac:dyDescent="0.25">
      <c r="E3609" s="84" t="s">
        <v>1513</v>
      </c>
      <c r="F3609" s="79"/>
      <c r="G3609" s="79"/>
      <c r="H3609" s="80"/>
      <c r="I3609" s="81"/>
      <c r="J3609" s="83">
        <f>HYPERLINK("#Структура!E3118",Структура!E3118)</f>
        <v>1</v>
      </c>
      <c r="K3609" s="115">
        <f>HYPERLINK("#Структура!G3118",Структура!G3118)</f>
        <v>2.9114</v>
      </c>
      <c r="L3609" s="81">
        <f>M3609/J3609</f>
        <v>422.00040000000001</v>
      </c>
      <c r="M3609" s="81">
        <f>SUMIF(F3610,"*",M3610)*J3609</f>
        <v>422.00040000000001</v>
      </c>
      <c r="N3609" s="124">
        <f>HYPERLINK("#Трудозатраты!B792",Трудозатраты!B792+SUMIF(F3610,"*",O3610))</f>
        <v>4.5</v>
      </c>
      <c r="O3609" s="82">
        <f>N3609*J3609</f>
        <v>4.5</v>
      </c>
      <c r="P3609" s="81">
        <f>O3609/60*(1+запас_труд)*стоимость_трудочаса</f>
        <v>176.25</v>
      </c>
      <c r="Q3609" s="129">
        <f>M3609*(1+наценка_покупное)+P3609</f>
        <v>682.65048000000002</v>
      </c>
    </row>
    <row r="3610" spans="4:17" hidden="1" outlineLevel="4" x14ac:dyDescent="0.25">
      <c r="F3610" s="74" t="s">
        <v>113</v>
      </c>
      <c r="G3610" s="74"/>
      <c r="H3610" s="75"/>
      <c r="I3610" s="76"/>
      <c r="J3610" s="78">
        <f>HYPERLINK("#Структура!E3127",Структура!E3127)</f>
        <v>3.51667</v>
      </c>
      <c r="K3610" s="114" t="str">
        <f>HYPERLINK("#Структура!G3127","")</f>
        <v/>
      </c>
      <c r="L3610" s="120">
        <f>HYPERLINK("#Покупные_изделия!D286",Покупные_изделия!D286)</f>
        <v>120</v>
      </c>
      <c r="M3610" s="76">
        <f t="shared" ref="M3610:M3617" si="138">J3610*L3610</f>
        <v>422.00040000000001</v>
      </c>
      <c r="N3610" s="77"/>
      <c r="O3610" s="77"/>
      <c r="P3610" s="76"/>
      <c r="Q3610" s="76"/>
    </row>
    <row r="3611" spans="4:17" hidden="1" outlineLevel="3" x14ac:dyDescent="0.25">
      <c r="E3611" s="74" t="s">
        <v>44</v>
      </c>
      <c r="F3611" s="74"/>
      <c r="G3611" s="74"/>
      <c r="H3611" s="75"/>
      <c r="I3611" s="76"/>
      <c r="J3611" s="78">
        <f>HYPERLINK("#Структура!E3119",Структура!E3119)</f>
        <v>0.39</v>
      </c>
      <c r="K3611" s="114" t="str">
        <f>HYPERLINK("#Структура!G3119","")</f>
        <v/>
      </c>
      <c r="L3611" s="120">
        <f>HYPERLINK("#Покупные_изделия!D63",Покупные_изделия!D63)</f>
        <v>396.00000000000006</v>
      </c>
      <c r="M3611" s="76">
        <f t="shared" si="138"/>
        <v>154.44000000000003</v>
      </c>
      <c r="N3611" s="77"/>
      <c r="O3611" s="77"/>
      <c r="P3611" s="76"/>
      <c r="Q3611" s="76"/>
    </row>
    <row r="3612" spans="4:17" hidden="1" outlineLevel="3" x14ac:dyDescent="0.25">
      <c r="E3612" s="74" t="s">
        <v>67</v>
      </c>
      <c r="F3612" s="74"/>
      <c r="G3612" s="74"/>
      <c r="H3612" s="75"/>
      <c r="I3612" s="76"/>
      <c r="J3612" s="78">
        <f>HYPERLINK("#Структура!E3120",Структура!E3120)</f>
        <v>0.221</v>
      </c>
      <c r="K3612" s="114" t="str">
        <f>HYPERLINK("#Структура!G3120","")</f>
        <v/>
      </c>
      <c r="L3612" s="120">
        <f>HYPERLINK("#Покупные_изделия!D203",Покупные_изделия!D203)</f>
        <v>30.003600000000002</v>
      </c>
      <c r="M3612" s="76">
        <f t="shared" si="138"/>
        <v>6.6307956000000008</v>
      </c>
      <c r="N3612" s="77"/>
      <c r="O3612" s="77"/>
      <c r="P3612" s="76"/>
      <c r="Q3612" s="76"/>
    </row>
    <row r="3613" spans="4:17" hidden="1" outlineLevel="3" x14ac:dyDescent="0.25">
      <c r="E3613" s="74" t="s">
        <v>139</v>
      </c>
      <c r="F3613" s="74"/>
      <c r="G3613" s="74"/>
      <c r="H3613" s="75"/>
      <c r="I3613" s="76"/>
      <c r="J3613" s="78">
        <f>HYPERLINK("#Структура!E3121",Структура!E3121)</f>
        <v>2.5999999999999999E-2</v>
      </c>
      <c r="K3613" s="114" t="str">
        <f>HYPERLINK("#Структура!G3121","")</f>
        <v/>
      </c>
      <c r="L3613" s="120">
        <f>HYPERLINK("#Покупные_изделия!D360",Покупные_изделия!D360)</f>
        <v>171.87720000000002</v>
      </c>
      <c r="M3613" s="76">
        <f t="shared" si="138"/>
        <v>4.4688072000000005</v>
      </c>
      <c r="N3613" s="77"/>
      <c r="O3613" s="77"/>
      <c r="P3613" s="76"/>
      <c r="Q3613" s="76"/>
    </row>
    <row r="3614" spans="4:17" hidden="1" outlineLevel="3" x14ac:dyDescent="0.25">
      <c r="E3614" s="74" t="s">
        <v>146</v>
      </c>
      <c r="F3614" s="74"/>
      <c r="G3614" s="74"/>
      <c r="H3614" s="75"/>
      <c r="I3614" s="76"/>
      <c r="J3614" s="78">
        <f>HYPERLINK("#Структура!E3122",Структура!E3122)</f>
        <v>0.13</v>
      </c>
      <c r="K3614" s="114" t="str">
        <f>HYPERLINK("#Структура!G3122","")</f>
        <v/>
      </c>
      <c r="L3614" s="120">
        <f>HYPERLINK("#Покупные_изделия!D406",Покупные_изделия!D406)</f>
        <v>105.996</v>
      </c>
      <c r="M3614" s="76">
        <f t="shared" si="138"/>
        <v>13.77948</v>
      </c>
      <c r="N3614" s="77"/>
      <c r="O3614" s="77"/>
      <c r="P3614" s="76"/>
      <c r="Q3614" s="76"/>
    </row>
    <row r="3615" spans="4:17" hidden="1" outlineLevel="3" x14ac:dyDescent="0.25">
      <c r="E3615" s="74" t="s">
        <v>156</v>
      </c>
      <c r="F3615" s="74"/>
      <c r="G3615" s="74"/>
      <c r="H3615" s="75"/>
      <c r="I3615" s="76"/>
      <c r="J3615" s="78">
        <f>HYPERLINK("#Структура!E3123",Структура!E3123)</f>
        <v>0.13</v>
      </c>
      <c r="K3615" s="114" t="str">
        <f>HYPERLINK("#Структура!G3123","")</f>
        <v/>
      </c>
      <c r="L3615" s="120">
        <f>HYPERLINK("#Покупные_изделия!D427",Покупные_изделия!D427)</f>
        <v>155.53200000000001</v>
      </c>
      <c r="M3615" s="76">
        <f t="shared" si="138"/>
        <v>20.219160000000002</v>
      </c>
      <c r="N3615" s="77"/>
      <c r="O3615" s="77"/>
      <c r="P3615" s="76"/>
      <c r="Q3615" s="76"/>
    </row>
    <row r="3616" spans="4:17" hidden="1" outlineLevel="3" x14ac:dyDescent="0.25">
      <c r="E3616" s="74" t="s">
        <v>200</v>
      </c>
      <c r="F3616" s="74"/>
      <c r="G3616" s="74"/>
      <c r="H3616" s="75"/>
      <c r="I3616" s="76"/>
      <c r="J3616" s="78">
        <f>HYPERLINK("#Структура!E3124",Структура!E3124)</f>
        <v>0.02</v>
      </c>
      <c r="K3616" s="114" t="str">
        <f>HYPERLINK("#Структура!G3124","")</f>
        <v/>
      </c>
      <c r="L3616" s="120">
        <f>HYPERLINK("#Покупные_изделия!D518",Покупные_изделия!D518)</f>
        <v>270</v>
      </c>
      <c r="M3616" s="76">
        <f t="shared" si="138"/>
        <v>5.4</v>
      </c>
      <c r="N3616" s="77"/>
      <c r="O3616" s="77"/>
      <c r="P3616" s="76"/>
      <c r="Q3616" s="76"/>
    </row>
    <row r="3617" spans="3:17" hidden="1" outlineLevel="3" x14ac:dyDescent="0.25">
      <c r="E3617" s="74" t="s">
        <v>202</v>
      </c>
      <c r="F3617" s="74"/>
      <c r="G3617" s="74"/>
      <c r="H3617" s="75"/>
      <c r="I3617" s="76"/>
      <c r="J3617" s="78">
        <f>HYPERLINK("#Структура!E3125",Структура!E3125)</f>
        <v>0.26</v>
      </c>
      <c r="K3617" s="114" t="str">
        <f>HYPERLINK("#Структура!G3125","")</f>
        <v/>
      </c>
      <c r="L3617" s="120">
        <f>HYPERLINK("#Покупные_изделия!D521",Покупные_изделия!D521)</f>
        <v>462.99599999999998</v>
      </c>
      <c r="M3617" s="76">
        <f t="shared" si="138"/>
        <v>120.37895999999999</v>
      </c>
      <c r="N3617" s="77"/>
      <c r="O3617" s="77"/>
      <c r="P3617" s="76"/>
      <c r="Q3617" s="76"/>
    </row>
    <row r="3618" spans="3:17" hidden="1" outlineLevel="2" collapsed="1" x14ac:dyDescent="0.25">
      <c r="D3618" s="84" t="s">
        <v>1435</v>
      </c>
      <c r="E3618" s="79"/>
      <c r="F3618" s="79"/>
      <c r="G3618" s="79"/>
      <c r="H3618" s="80"/>
      <c r="I3618" s="81"/>
      <c r="J3618" s="83">
        <f>HYPERLINK("#Структура!E3110",Структура!E3110)</f>
        <v>4</v>
      </c>
      <c r="K3618" s="115">
        <f>HYPERLINK("#Структура!G3110",Структура!G3110)</f>
        <v>0.43381999999999998</v>
      </c>
      <c r="L3618" s="81">
        <f>M3618/J3618</f>
        <v>86.135999999999996</v>
      </c>
      <c r="M3618" s="81">
        <f>SUMIF(E3619,"*",M3619)*J3618</f>
        <v>344.54399999999998</v>
      </c>
      <c r="N3618" s="124">
        <f>HYPERLINK("#Трудозатраты!B719",Трудозатраты!B719+SUMIF(E3619,"*",O3619))</f>
        <v>2.8</v>
      </c>
      <c r="O3618" s="82">
        <f>N3618*J3618</f>
        <v>11.2</v>
      </c>
      <c r="P3618" s="81">
        <f>O3618/60*(1+запас_труд)*стоимость_трудочаса</f>
        <v>438.66666666666663</v>
      </c>
      <c r="Q3618" s="129">
        <f>M3618*(1+наценка_покупное)+P3618</f>
        <v>852.11946666666654</v>
      </c>
    </row>
    <row r="3619" spans="3:17" hidden="1" outlineLevel="3" x14ac:dyDescent="0.25">
      <c r="E3619" s="74" t="s">
        <v>131</v>
      </c>
      <c r="F3619" s="74"/>
      <c r="G3619" s="74"/>
      <c r="H3619" s="75"/>
      <c r="I3619" s="76"/>
      <c r="J3619" s="78">
        <f>HYPERLINK("#Структура!E2856",Структура!E2856)</f>
        <v>0.53835</v>
      </c>
      <c r="K3619" s="114" t="str">
        <f>HYPERLINK("#Структура!G2856","")</f>
        <v/>
      </c>
      <c r="L3619" s="120">
        <f>HYPERLINK("#Покупные_изделия!D306",Покупные_изделия!D306)</f>
        <v>160</v>
      </c>
      <c r="M3619" s="76">
        <f>J3619*L3619</f>
        <v>86.135999999999996</v>
      </c>
      <c r="N3619" s="77"/>
      <c r="O3619" s="77"/>
      <c r="P3619" s="76"/>
      <c r="Q3619" s="76"/>
    </row>
    <row r="3620" spans="3:17" hidden="1" outlineLevel="2" collapsed="1" x14ac:dyDescent="0.25">
      <c r="D3620" s="84" t="s">
        <v>1436</v>
      </c>
      <c r="E3620" s="79"/>
      <c r="F3620" s="79"/>
      <c r="G3620" s="79"/>
      <c r="H3620" s="80"/>
      <c r="I3620" s="81"/>
      <c r="J3620" s="83">
        <f>HYPERLINK("#Структура!E3111",Структура!E3111)</f>
        <v>2</v>
      </c>
      <c r="K3620" s="115">
        <f>HYPERLINK("#Структура!G3111",Структура!G3111)</f>
        <v>0.15273999999999999</v>
      </c>
      <c r="L3620" s="81">
        <f>M3620/J3620</f>
        <v>30.747199999999999</v>
      </c>
      <c r="M3620" s="81">
        <f>SUMIF(E3621,"*",M3621)*J3620</f>
        <v>61.494399999999999</v>
      </c>
      <c r="N3620" s="124">
        <f>HYPERLINK("#Трудозатраты!B720",Трудозатраты!B720+SUMIF(E3621,"*",O3621))</f>
        <v>0.5</v>
      </c>
      <c r="O3620" s="82">
        <f>N3620*J3620</f>
        <v>1</v>
      </c>
      <c r="P3620" s="81">
        <f>O3620/60*(1+запас_труд)*стоимость_трудочаса</f>
        <v>39.166666666666664</v>
      </c>
      <c r="Q3620" s="129">
        <f>M3620*(1+наценка_покупное)+P3620</f>
        <v>112.95994666666667</v>
      </c>
    </row>
    <row r="3621" spans="3:17" hidden="1" outlineLevel="3" x14ac:dyDescent="0.25">
      <c r="E3621" s="74" t="s">
        <v>131</v>
      </c>
      <c r="F3621" s="74"/>
      <c r="G3621" s="74"/>
      <c r="H3621" s="75"/>
      <c r="I3621" s="76"/>
      <c r="J3621" s="78">
        <f>HYPERLINK("#Структура!E2857",Структура!E2857)</f>
        <v>0.19217000000000001</v>
      </c>
      <c r="K3621" s="114" t="str">
        <f>HYPERLINK("#Структура!G2857","")</f>
        <v/>
      </c>
      <c r="L3621" s="120">
        <f>HYPERLINK("#Покупные_изделия!D306",Покупные_изделия!D306)</f>
        <v>160</v>
      </c>
      <c r="M3621" s="76">
        <f>J3621*L3621</f>
        <v>30.747199999999999</v>
      </c>
      <c r="N3621" s="77"/>
      <c r="O3621" s="77"/>
      <c r="P3621" s="76"/>
      <c r="Q3621" s="76"/>
    </row>
    <row r="3622" spans="3:17" hidden="1" outlineLevel="2" collapsed="1" x14ac:dyDescent="0.25">
      <c r="D3622" s="84" t="s">
        <v>1510</v>
      </c>
      <c r="E3622" s="79"/>
      <c r="F3622" s="79"/>
      <c r="G3622" s="79"/>
      <c r="H3622" s="80"/>
      <c r="I3622" s="81"/>
      <c r="J3622" s="83">
        <f>HYPERLINK("#Структура!E3112",Структура!E3112)</f>
        <v>4</v>
      </c>
      <c r="K3622" s="115">
        <f>HYPERLINK("#Структура!G3112",Структура!G3112)</f>
        <v>0.30803000000000003</v>
      </c>
      <c r="L3622" s="81">
        <f>M3622/J3622</f>
        <v>59.684799999999996</v>
      </c>
      <c r="M3622" s="81">
        <f>SUMIF(E3623,"*",M3623)*J3622</f>
        <v>238.73919999999998</v>
      </c>
      <c r="N3622" s="124">
        <f>HYPERLINK("#Трудозатраты!B789",Трудозатраты!B789+SUMIF(E3623,"*",O3623))</f>
        <v>1.1000000000000001</v>
      </c>
      <c r="O3622" s="82">
        <f>N3622*J3622</f>
        <v>4.4000000000000004</v>
      </c>
      <c r="P3622" s="81">
        <f>O3622/60*(1+запас_труд)*стоимость_трудочаса</f>
        <v>172.33333333333334</v>
      </c>
      <c r="Q3622" s="129">
        <f>M3622*(1+наценка_покупное)+P3622</f>
        <v>458.82037333333335</v>
      </c>
    </row>
    <row r="3623" spans="3:17" hidden="1" outlineLevel="3" x14ac:dyDescent="0.25">
      <c r="E3623" s="74" t="s">
        <v>131</v>
      </c>
      <c r="F3623" s="74"/>
      <c r="G3623" s="74"/>
      <c r="H3623" s="75"/>
      <c r="I3623" s="76"/>
      <c r="J3623" s="78">
        <f>HYPERLINK("#Структура!E3115",Структура!E3115)</f>
        <v>0.37302999999999997</v>
      </c>
      <c r="K3623" s="114" t="str">
        <f>HYPERLINK("#Структура!G3115","")</f>
        <v/>
      </c>
      <c r="L3623" s="120">
        <f>HYPERLINK("#Покупные_изделия!D306",Покупные_изделия!D306)</f>
        <v>160</v>
      </c>
      <c r="M3623" s="76">
        <f>J3623*L3623</f>
        <v>59.684799999999996</v>
      </c>
      <c r="N3623" s="77"/>
      <c r="O3623" s="77"/>
      <c r="P3623" s="76"/>
      <c r="Q3623" s="76"/>
    </row>
    <row r="3624" spans="3:17" hidden="1" outlineLevel="2" x14ac:dyDescent="0.25">
      <c r="D3624" s="74" t="s">
        <v>622</v>
      </c>
      <c r="E3624" s="74"/>
      <c r="F3624" s="74"/>
      <c r="G3624" s="74"/>
      <c r="H3624" s="75"/>
      <c r="I3624" s="76"/>
      <c r="J3624" s="78">
        <f>HYPERLINK("#Структура!E3113",Структура!E3113)</f>
        <v>16</v>
      </c>
      <c r="K3624" s="114">
        <f>HYPERLINK("#Структура!G3113",Структура!G3113)</f>
        <v>1.52E-2</v>
      </c>
      <c r="L3624" s="120">
        <f>HYPERLINK("#Покупные_изделия!D85",Покупные_изделия!D85)</f>
        <v>8.6999999999999993</v>
      </c>
      <c r="M3624" s="76">
        <f>J3624*L3624</f>
        <v>139.19999999999999</v>
      </c>
      <c r="N3624" s="77"/>
      <c r="O3624" s="77"/>
      <c r="P3624" s="76"/>
      <c r="Q3624" s="76"/>
    </row>
    <row r="3625" spans="3:17" hidden="1" outlineLevel="2" x14ac:dyDescent="0.25">
      <c r="D3625" s="74" t="s">
        <v>625</v>
      </c>
      <c r="E3625" s="74"/>
      <c r="F3625" s="74"/>
      <c r="G3625" s="74"/>
      <c r="H3625" s="75"/>
      <c r="I3625" s="76"/>
      <c r="J3625" s="78">
        <f>HYPERLINK("#Структура!E3114",Структура!E3114)</f>
        <v>16</v>
      </c>
      <c r="K3625" s="114">
        <f>HYPERLINK("#Структура!G3114",Структура!G3114)</f>
        <v>7.1399999999999996E-3</v>
      </c>
      <c r="L3625" s="120">
        <f>HYPERLINK("#Покупные_изделия!D168",Покупные_изделия!D168)</f>
        <v>1.9715672368421051</v>
      </c>
      <c r="M3625" s="76">
        <f>J3625*L3625</f>
        <v>31.545075789473682</v>
      </c>
      <c r="N3625" s="77"/>
      <c r="O3625" s="77"/>
      <c r="P3625" s="76"/>
      <c r="Q3625" s="76"/>
    </row>
    <row r="3626" spans="3:17" hidden="1" outlineLevel="1" collapsed="1" x14ac:dyDescent="0.25">
      <c r="C3626" s="96" t="s">
        <v>1515</v>
      </c>
      <c r="D3626" s="91"/>
      <c r="E3626" s="91"/>
      <c r="F3626" s="91"/>
      <c r="G3626" s="91"/>
      <c r="H3626" s="92"/>
      <c r="I3626" s="93"/>
      <c r="J3626" s="95">
        <f>HYPERLINK("#Структура!E3261",Структура!E3261)</f>
        <v>5</v>
      </c>
      <c r="K3626" s="116">
        <f>HYPERLINK("#Структура!G3261",Структура!G3261)</f>
        <v>672.53993000000003</v>
      </c>
      <c r="L3626" s="93">
        <f>M3626/J3626</f>
        <v>167548.28315428019</v>
      </c>
      <c r="M3626" s="93">
        <f>SUMIF(D3627:D3711,"*",M3627:M3711)*J3626</f>
        <v>837741.41577140091</v>
      </c>
      <c r="N3626" s="125">
        <f>HYPERLINK("#Трудозатраты!B793",Трудозатраты!B793+SUMIF(D3627:D3711,"*",O3627:O3711))</f>
        <v>3515.8299999999995</v>
      </c>
      <c r="O3626" s="94">
        <f>N3626*J3626</f>
        <v>17579.149999999998</v>
      </c>
      <c r="P3626" s="93">
        <f>O3626/60*(1+запас_труд)*стоимость_трудочаса</f>
        <v>688516.70833333326</v>
      </c>
      <c r="Q3626" s="130">
        <f>M3626*(1+наценка_покупное)+P3626</f>
        <v>1693806.4072590144</v>
      </c>
    </row>
    <row r="3627" spans="3:17" hidden="1" outlineLevel="2" collapsed="1" x14ac:dyDescent="0.25">
      <c r="D3627" s="97" t="s">
        <v>1514</v>
      </c>
      <c r="E3627" s="98"/>
      <c r="F3627" s="98"/>
      <c r="G3627" s="98"/>
      <c r="H3627" s="99"/>
      <c r="I3627" s="100"/>
      <c r="J3627" s="102">
        <f>HYPERLINK("#Структура!E3128",Структура!E3128)</f>
        <v>1</v>
      </c>
      <c r="K3627" s="112">
        <f>HYPERLINK("#Структура!G3128",Структура!G3128)</f>
        <v>9.41831</v>
      </c>
      <c r="L3627" s="100">
        <f>M3627/J3627</f>
        <v>2287.7964723684208</v>
      </c>
      <c r="M3627" s="100">
        <f>SUMIF(E3628:E3635,"*",M3628:M3635)*J3627</f>
        <v>2287.7964723684208</v>
      </c>
      <c r="N3627" s="122">
        <f>HYPERLINK("#Трудозатраты!B825",Трудозатраты!B825+SUMIF(E3628:E3635,"*",O3628:O3635))</f>
        <v>66.400000000000006</v>
      </c>
      <c r="O3627" s="101">
        <f>N3627*J3627</f>
        <v>66.400000000000006</v>
      </c>
      <c r="P3627" s="100">
        <f>O3627/60*(1+запас_труд)*стоимость_трудочаса</f>
        <v>2600.6666666666665</v>
      </c>
      <c r="Q3627" s="127">
        <f>M3627*(1+наценка_покупное)+P3627</f>
        <v>5346.0224335087714</v>
      </c>
    </row>
    <row r="3628" spans="3:17" hidden="1" outlineLevel="3" collapsed="1" x14ac:dyDescent="0.25">
      <c r="E3628" s="85" t="s">
        <v>1507</v>
      </c>
      <c r="F3628" s="86"/>
      <c r="G3628" s="86"/>
      <c r="H3628" s="87"/>
      <c r="I3628" s="88"/>
      <c r="J3628" s="90">
        <f>HYPERLINK("#Структура!E3202",Структура!E3202)</f>
        <v>2</v>
      </c>
      <c r="K3628" s="113">
        <f>HYPERLINK("#Структура!G3202",Структура!G3202)</f>
        <v>0.29620000000000002</v>
      </c>
      <c r="L3628" s="88">
        <f>M3628/J3628</f>
        <v>60.495599999999996</v>
      </c>
      <c r="M3628" s="88">
        <f>SUMIF(F3629,"*",M3629)*J3628</f>
        <v>120.99119999999999</v>
      </c>
      <c r="N3628" s="123">
        <f>HYPERLINK("#Трудозатраты!B786",Трудозатраты!B786+SUMIF(F3629,"*",O3629))</f>
        <v>4</v>
      </c>
      <c r="O3628" s="89">
        <f>N3628*J3628</f>
        <v>8</v>
      </c>
      <c r="P3628" s="88">
        <f>O3628/60*(1+запас_труд)*стоимость_трудочаса</f>
        <v>313.33333333333331</v>
      </c>
      <c r="Q3628" s="128">
        <f>M3628*(1+наценка_покупное)+P3628</f>
        <v>458.5227733333333</v>
      </c>
    </row>
    <row r="3629" spans="3:17" hidden="1" outlineLevel="4" x14ac:dyDescent="0.25">
      <c r="F3629" s="74" t="s">
        <v>560</v>
      </c>
      <c r="G3629" s="74"/>
      <c r="H3629" s="75"/>
      <c r="I3629" s="76"/>
      <c r="J3629" s="78">
        <f>HYPERLINK("#Структура!E3095",Структура!E3095)</f>
        <v>1</v>
      </c>
      <c r="K3629" s="114" t="str">
        <f>HYPERLINK("#Структура!G3095","")</f>
        <v/>
      </c>
      <c r="L3629" s="120">
        <f>HYPERLINK("#Покупные_изделия!D377",Покупные_изделия!D377)</f>
        <v>60.495599999999996</v>
      </c>
      <c r="M3629" s="76">
        <f>J3629*L3629</f>
        <v>60.495599999999996</v>
      </c>
      <c r="N3629" s="77"/>
      <c r="O3629" s="77"/>
      <c r="P3629" s="76"/>
      <c r="Q3629" s="76"/>
    </row>
    <row r="3630" spans="3:17" hidden="1" outlineLevel="3" collapsed="1" x14ac:dyDescent="0.25">
      <c r="E3630" s="84" t="s">
        <v>1549</v>
      </c>
      <c r="F3630" s="79"/>
      <c r="G3630" s="79"/>
      <c r="H3630" s="80"/>
      <c r="I3630" s="81"/>
      <c r="J3630" s="83">
        <f>HYPERLINK("#Структура!E3203",Структура!E3203)</f>
        <v>1</v>
      </c>
      <c r="K3630" s="115">
        <f>HYPERLINK("#Структура!G3203",Структура!G3203)</f>
        <v>8.2085000000000008</v>
      </c>
      <c r="L3630" s="81">
        <f>M3630/J3630</f>
        <v>1969.9584</v>
      </c>
      <c r="M3630" s="81">
        <f>SUMIF(F3631,"*",M3631)*J3630</f>
        <v>1969.9584</v>
      </c>
      <c r="N3630" s="124">
        <f>HYPERLINK("#Трудозатраты!B826",Трудозатраты!B826+SUMIF(F3631,"*",O3631))</f>
        <v>47</v>
      </c>
      <c r="O3630" s="82">
        <f>N3630*J3630</f>
        <v>47</v>
      </c>
      <c r="P3630" s="81">
        <f>O3630/60*(1+запас_труд)*стоимость_трудочаса</f>
        <v>1840.8333333333333</v>
      </c>
      <c r="Q3630" s="129">
        <f>M3630*(1+наценка_покупное)+P3630</f>
        <v>4204.7834133333336</v>
      </c>
    </row>
    <row r="3631" spans="3:17" hidden="1" outlineLevel="4" x14ac:dyDescent="0.25">
      <c r="F3631" s="74" t="s">
        <v>130</v>
      </c>
      <c r="G3631" s="74"/>
      <c r="H3631" s="75"/>
      <c r="I3631" s="76"/>
      <c r="J3631" s="78">
        <f>HYPERLINK("#Структура!E3207",Структура!E3207)</f>
        <v>12.312239999999999</v>
      </c>
      <c r="K3631" s="114" t="str">
        <f>HYPERLINK("#Структура!G3207","")</f>
        <v/>
      </c>
      <c r="L3631" s="120">
        <f>HYPERLINK("#Покупные_изделия!D305",Покупные_изделия!D305)</f>
        <v>160</v>
      </c>
      <c r="M3631" s="76">
        <f>J3631*L3631</f>
        <v>1969.9584</v>
      </c>
      <c r="N3631" s="77"/>
      <c r="O3631" s="77"/>
      <c r="P3631" s="76"/>
      <c r="Q3631" s="76"/>
    </row>
    <row r="3632" spans="3:17" hidden="1" outlineLevel="3" collapsed="1" x14ac:dyDescent="0.25">
      <c r="E3632" s="84" t="s">
        <v>1550</v>
      </c>
      <c r="F3632" s="79"/>
      <c r="G3632" s="79"/>
      <c r="H3632" s="80"/>
      <c r="I3632" s="81"/>
      <c r="J3632" s="83">
        <f>HYPERLINK("#Структура!E3204",Структура!E3204)</f>
        <v>1</v>
      </c>
      <c r="K3632" s="115">
        <f>HYPERLINK("#Структура!G3204",Структура!G3204)</f>
        <v>0.47558</v>
      </c>
      <c r="L3632" s="81">
        <f>M3632/J3632</f>
        <v>90.131200000000007</v>
      </c>
      <c r="M3632" s="81">
        <f>SUMIF(F3633,"*",M3633)*J3632</f>
        <v>90.131200000000007</v>
      </c>
      <c r="N3632" s="124">
        <f>HYPERLINK("#Трудозатраты!B827",Трудозатраты!B827+SUMIF(F3633,"*",O3633))</f>
        <v>1.4000000000000001</v>
      </c>
      <c r="O3632" s="82">
        <f>N3632*J3632</f>
        <v>1.4000000000000001</v>
      </c>
      <c r="P3632" s="81">
        <f>O3632/60*(1+запас_труд)*стоимость_трудочаса</f>
        <v>54.833333333333336</v>
      </c>
      <c r="Q3632" s="129">
        <f>M3632*(1+наценка_покупное)+P3632</f>
        <v>162.99077333333335</v>
      </c>
    </row>
    <row r="3633" spans="4:17" hidden="1" outlineLevel="4" x14ac:dyDescent="0.25">
      <c r="F3633" s="74" t="s">
        <v>130</v>
      </c>
      <c r="G3633" s="74"/>
      <c r="H3633" s="75"/>
      <c r="I3633" s="76"/>
      <c r="J3633" s="78">
        <f>HYPERLINK("#Структура!E3208",Структура!E3208)</f>
        <v>0.56332000000000004</v>
      </c>
      <c r="K3633" s="114" t="str">
        <f>HYPERLINK("#Структура!G3208","")</f>
        <v/>
      </c>
      <c r="L3633" s="120">
        <f>HYPERLINK("#Покупные_изделия!D305",Покупные_изделия!D305)</f>
        <v>160</v>
      </c>
      <c r="M3633" s="76">
        <f>J3633*L3633</f>
        <v>90.131200000000007</v>
      </c>
      <c r="N3633" s="77"/>
      <c r="O3633" s="77"/>
      <c r="P3633" s="76"/>
      <c r="Q3633" s="76"/>
    </row>
    <row r="3634" spans="4:17" hidden="1" outlineLevel="3" x14ac:dyDescent="0.25">
      <c r="E3634" s="74" t="s">
        <v>1001</v>
      </c>
      <c r="F3634" s="74"/>
      <c r="G3634" s="74"/>
      <c r="H3634" s="75"/>
      <c r="I3634" s="76"/>
      <c r="J3634" s="78">
        <f>HYPERLINK("#Структура!E3205",Структура!E3205)</f>
        <v>10</v>
      </c>
      <c r="K3634" s="114">
        <f>HYPERLINK("#Структура!G3205",Структура!G3205)</f>
        <v>9.5300000000000003E-3</v>
      </c>
      <c r="L3634" s="120">
        <f>HYPERLINK("#Покупные_изделия!D124",Покупные_изделия!D124)</f>
        <v>8.6999999999999993</v>
      </c>
      <c r="M3634" s="76">
        <f>J3634*L3634</f>
        <v>87</v>
      </c>
      <c r="N3634" s="77"/>
      <c r="O3634" s="77"/>
      <c r="P3634" s="76"/>
      <c r="Q3634" s="76"/>
    </row>
    <row r="3635" spans="4:17" hidden="1" outlineLevel="3" x14ac:dyDescent="0.25">
      <c r="E3635" s="74" t="s">
        <v>625</v>
      </c>
      <c r="F3635" s="74"/>
      <c r="G3635" s="74"/>
      <c r="H3635" s="75"/>
      <c r="I3635" s="76"/>
      <c r="J3635" s="78">
        <f>HYPERLINK("#Структура!E3206",Структура!E3206)</f>
        <v>10</v>
      </c>
      <c r="K3635" s="114">
        <f>HYPERLINK("#Структура!G3206",Структура!G3206)</f>
        <v>7.1399999999999996E-3</v>
      </c>
      <c r="L3635" s="120">
        <f>HYPERLINK("#Покупные_изделия!D168",Покупные_изделия!D168)</f>
        <v>1.9715672368421051</v>
      </c>
      <c r="M3635" s="76">
        <f>J3635*L3635</f>
        <v>19.71567236842105</v>
      </c>
      <c r="N3635" s="77"/>
      <c r="O3635" s="77"/>
      <c r="P3635" s="76"/>
      <c r="Q3635" s="76"/>
    </row>
    <row r="3636" spans="4:17" hidden="1" outlineLevel="2" collapsed="1" x14ac:dyDescent="0.25">
      <c r="D3636" s="84" t="s">
        <v>1069</v>
      </c>
      <c r="E3636" s="79"/>
      <c r="F3636" s="79"/>
      <c r="G3636" s="79"/>
      <c r="H3636" s="80"/>
      <c r="I3636" s="81"/>
      <c r="J3636" s="83">
        <f>HYPERLINK("#Структура!E3129",Структура!E3129)</f>
        <v>6</v>
      </c>
      <c r="K3636" s="115">
        <f>HYPERLINK("#Структура!G3129",Структура!G3129)</f>
        <v>11.77399</v>
      </c>
      <c r="L3636" s="81">
        <f>M3636/J3636</f>
        <v>2249.12</v>
      </c>
      <c r="M3636" s="81">
        <f>SUMIF(E3637,"*",M3637)*J3636</f>
        <v>13494.72</v>
      </c>
      <c r="N3636" s="124">
        <f>HYPERLINK("#Трудозатраты!B386",Трудозатраты!B386+SUMIF(E3637,"*",O3637))</f>
        <v>7.7</v>
      </c>
      <c r="O3636" s="82">
        <f>N3636*J3636</f>
        <v>46.2</v>
      </c>
      <c r="P3636" s="81">
        <f>O3636/60*(1+запас_труд)*стоимость_трудочаса</f>
        <v>1809.5</v>
      </c>
      <c r="Q3636" s="129">
        <f>M3636*(1+наценка_покупное)+P3636</f>
        <v>18003.163999999997</v>
      </c>
    </row>
    <row r="3637" spans="4:17" hidden="1" outlineLevel="3" x14ac:dyDescent="0.25">
      <c r="E3637" s="74" t="s">
        <v>131</v>
      </c>
      <c r="F3637" s="74"/>
      <c r="G3637" s="74"/>
      <c r="H3637" s="75"/>
      <c r="I3637" s="76"/>
      <c r="J3637" s="78">
        <f>HYPERLINK("#Структура!E1457",Структура!E1457)</f>
        <v>14.057</v>
      </c>
      <c r="K3637" s="114" t="str">
        <f>HYPERLINK("#Структура!G1457","")</f>
        <v/>
      </c>
      <c r="L3637" s="120">
        <f>HYPERLINK("#Покупные_изделия!D306",Покупные_изделия!D306)</f>
        <v>160</v>
      </c>
      <c r="M3637" s="76">
        <f>J3637*L3637</f>
        <v>2249.12</v>
      </c>
      <c r="N3637" s="77"/>
      <c r="O3637" s="77"/>
      <c r="P3637" s="76"/>
      <c r="Q3637" s="76"/>
    </row>
    <row r="3638" spans="4:17" hidden="1" outlineLevel="2" collapsed="1" x14ac:dyDescent="0.25">
      <c r="D3638" s="84" t="s">
        <v>1073</v>
      </c>
      <c r="E3638" s="79"/>
      <c r="F3638" s="79"/>
      <c r="G3638" s="79"/>
      <c r="H3638" s="80"/>
      <c r="I3638" s="81"/>
      <c r="J3638" s="83">
        <f>HYPERLINK("#Структура!E3130",Структура!E3130)</f>
        <v>18</v>
      </c>
      <c r="K3638" s="115">
        <f>HYPERLINK("#Структура!G3130",Структура!G3130)</f>
        <v>3.7842699999999998</v>
      </c>
      <c r="L3638" s="81">
        <f>M3638/J3638</f>
        <v>717.08960000000002</v>
      </c>
      <c r="M3638" s="81">
        <f>SUMIF(E3639,"*",M3639)*J3638</f>
        <v>12907.612800000001</v>
      </c>
      <c r="N3638" s="124">
        <f>HYPERLINK("#Трудозатраты!B390",Трудозатраты!B390+SUMIF(E3639,"*",O3639))</f>
        <v>11.6</v>
      </c>
      <c r="O3638" s="82">
        <f>N3638*J3638</f>
        <v>208.79999999999998</v>
      </c>
      <c r="P3638" s="81">
        <f>O3638/60*(1+запас_труд)*стоимость_трудочаса</f>
        <v>8177.9999999999991</v>
      </c>
      <c r="Q3638" s="129">
        <f>M3638*(1+наценка_покупное)+P3638</f>
        <v>23667.13536</v>
      </c>
    </row>
    <row r="3639" spans="4:17" hidden="1" outlineLevel="3" x14ac:dyDescent="0.25">
      <c r="E3639" s="74" t="s">
        <v>131</v>
      </c>
      <c r="F3639" s="74"/>
      <c r="G3639" s="74"/>
      <c r="H3639" s="75"/>
      <c r="I3639" s="76"/>
      <c r="J3639" s="78">
        <f>HYPERLINK("#Структура!E1461",Структура!E1461)</f>
        <v>4.4818100000000003</v>
      </c>
      <c r="K3639" s="114" t="str">
        <f>HYPERLINK("#Структура!G1461","")</f>
        <v/>
      </c>
      <c r="L3639" s="120">
        <f>HYPERLINK("#Покупные_изделия!D306",Покупные_изделия!D306)</f>
        <v>160</v>
      </c>
      <c r="M3639" s="76">
        <f>J3639*L3639</f>
        <v>717.08960000000002</v>
      </c>
      <c r="N3639" s="77"/>
      <c r="O3639" s="77"/>
      <c r="P3639" s="76"/>
      <c r="Q3639" s="76"/>
    </row>
    <row r="3640" spans="4:17" hidden="1" outlineLevel="2" collapsed="1" x14ac:dyDescent="0.25">
      <c r="D3640" s="84" t="s">
        <v>1075</v>
      </c>
      <c r="E3640" s="79"/>
      <c r="F3640" s="79"/>
      <c r="G3640" s="79"/>
      <c r="H3640" s="80"/>
      <c r="I3640" s="81"/>
      <c r="J3640" s="83">
        <f>HYPERLINK("#Структура!E3131",Структура!E3131)</f>
        <v>102</v>
      </c>
      <c r="K3640" s="115">
        <f>HYPERLINK("#Структура!G3131",Структура!G3131)</f>
        <v>9.3600000000000003E-3</v>
      </c>
      <c r="L3640" s="81">
        <f>M3640/J3640</f>
        <v>3.0928</v>
      </c>
      <c r="M3640" s="81">
        <f>SUMIF(E3641,"*",M3641)*J3640</f>
        <v>315.46559999999999</v>
      </c>
      <c r="N3640" s="124">
        <f>HYPERLINK("#Трудозатраты!B392",Трудозатраты!B392+SUMIF(E3641,"*",O3641))</f>
        <v>8.75</v>
      </c>
      <c r="O3640" s="82">
        <f>N3640*J3640</f>
        <v>892.5</v>
      </c>
      <c r="P3640" s="81">
        <f>O3640/60*(1+запас_труд)*стоимость_трудочаса</f>
        <v>34956.25</v>
      </c>
      <c r="Q3640" s="129">
        <f>M3640*(1+наценка_покупное)+P3640</f>
        <v>35334.808720000001</v>
      </c>
    </row>
    <row r="3641" spans="4:17" hidden="1" outlineLevel="3" x14ac:dyDescent="0.25">
      <c r="E3641" s="74" t="s">
        <v>130</v>
      </c>
      <c r="F3641" s="74"/>
      <c r="G3641" s="74"/>
      <c r="H3641" s="75"/>
      <c r="I3641" s="76"/>
      <c r="J3641" s="78">
        <f>HYPERLINK("#Структура!E1463",Структура!E1463)</f>
        <v>1.933E-2</v>
      </c>
      <c r="K3641" s="114" t="str">
        <f>HYPERLINK("#Структура!G1463","")</f>
        <v/>
      </c>
      <c r="L3641" s="120">
        <f>HYPERLINK("#Покупные_изделия!D305",Покупные_изделия!D305)</f>
        <v>160</v>
      </c>
      <c r="M3641" s="76">
        <f>J3641*L3641</f>
        <v>3.0928</v>
      </c>
      <c r="N3641" s="77"/>
      <c r="O3641" s="77"/>
      <c r="P3641" s="76"/>
      <c r="Q3641" s="76"/>
    </row>
    <row r="3642" spans="4:17" hidden="1" outlineLevel="2" collapsed="1" x14ac:dyDescent="0.25">
      <c r="D3642" s="84" t="s">
        <v>1516</v>
      </c>
      <c r="E3642" s="79"/>
      <c r="F3642" s="79"/>
      <c r="G3642" s="79"/>
      <c r="H3642" s="80"/>
      <c r="I3642" s="81"/>
      <c r="J3642" s="83">
        <f>HYPERLINK("#Структура!E3132",Структура!E3132)</f>
        <v>1</v>
      </c>
      <c r="K3642" s="115">
        <f>HYPERLINK("#Структура!G3132",Структура!G3132)</f>
        <v>5.16052</v>
      </c>
      <c r="L3642" s="81">
        <f>M3642/J3642</f>
        <v>1000.8112</v>
      </c>
      <c r="M3642" s="81">
        <f>SUMIF(E3643,"*",M3643)*J3642</f>
        <v>1000.8112</v>
      </c>
      <c r="N3642" s="124">
        <f>HYPERLINK("#Трудозатраты!B794",Трудозатраты!B794+SUMIF(E3643,"*",O3643))</f>
        <v>16.850000000000001</v>
      </c>
      <c r="O3642" s="82">
        <f>N3642*J3642</f>
        <v>16.850000000000001</v>
      </c>
      <c r="P3642" s="81">
        <f>O3642/60*(1+запас_труд)*стоимость_трудочаса</f>
        <v>659.95833333333348</v>
      </c>
      <c r="Q3642" s="129">
        <f>M3642*(1+наценка_покупное)+P3642</f>
        <v>1860.9317733333335</v>
      </c>
    </row>
    <row r="3643" spans="4:17" hidden="1" outlineLevel="3" x14ac:dyDescent="0.25">
      <c r="E3643" s="74" t="s">
        <v>131</v>
      </c>
      <c r="F3643" s="74"/>
      <c r="G3643" s="74"/>
      <c r="H3643" s="75"/>
      <c r="I3643" s="76"/>
      <c r="J3643" s="78">
        <f>HYPERLINK("#Структура!E3171",Структура!E3171)</f>
        <v>6.2550699999999999</v>
      </c>
      <c r="K3643" s="114" t="str">
        <f>HYPERLINK("#Структура!G3171","")</f>
        <v/>
      </c>
      <c r="L3643" s="120">
        <f>HYPERLINK("#Покупные_изделия!D306",Покупные_изделия!D306)</f>
        <v>160</v>
      </c>
      <c r="M3643" s="76">
        <f>J3643*L3643</f>
        <v>1000.8112</v>
      </c>
      <c r="N3643" s="77"/>
      <c r="O3643" s="77"/>
      <c r="P3643" s="76"/>
      <c r="Q3643" s="76"/>
    </row>
    <row r="3644" spans="4:17" hidden="1" outlineLevel="2" collapsed="1" x14ac:dyDescent="0.25">
      <c r="D3644" s="84" t="s">
        <v>1517</v>
      </c>
      <c r="E3644" s="79"/>
      <c r="F3644" s="79"/>
      <c r="G3644" s="79"/>
      <c r="H3644" s="80"/>
      <c r="I3644" s="81"/>
      <c r="J3644" s="83">
        <f>HYPERLINK("#Структура!E3133",Структура!E3133)</f>
        <v>1</v>
      </c>
      <c r="K3644" s="115">
        <f>HYPERLINK("#Структура!G3133",Структура!G3133)</f>
        <v>5.16052</v>
      </c>
      <c r="L3644" s="81">
        <f>M3644/J3644</f>
        <v>1000.8112</v>
      </c>
      <c r="M3644" s="81">
        <f>SUMIF(E3645,"*",M3645)*J3644</f>
        <v>1000.8112</v>
      </c>
      <c r="N3644" s="124">
        <f>HYPERLINK("#Трудозатраты!B795",Трудозатраты!B795+SUMIF(E3645,"*",O3645))</f>
        <v>16.850000000000001</v>
      </c>
      <c r="O3644" s="82">
        <f>N3644*J3644</f>
        <v>16.850000000000001</v>
      </c>
      <c r="P3644" s="81">
        <f>O3644/60*(1+запас_труд)*стоимость_трудочаса</f>
        <v>659.95833333333348</v>
      </c>
      <c r="Q3644" s="129">
        <f>M3644*(1+наценка_покупное)+P3644</f>
        <v>1860.9317733333335</v>
      </c>
    </row>
    <row r="3645" spans="4:17" hidden="1" outlineLevel="3" x14ac:dyDescent="0.25">
      <c r="E3645" s="74" t="s">
        <v>131</v>
      </c>
      <c r="F3645" s="74"/>
      <c r="G3645" s="74"/>
      <c r="H3645" s="75"/>
      <c r="I3645" s="76"/>
      <c r="J3645" s="78">
        <f>HYPERLINK("#Структура!E3172",Структура!E3172)</f>
        <v>6.2550699999999999</v>
      </c>
      <c r="K3645" s="114" t="str">
        <f>HYPERLINK("#Структура!G3172","")</f>
        <v/>
      </c>
      <c r="L3645" s="120">
        <f>HYPERLINK("#Покупные_изделия!D306",Покупные_изделия!D306)</f>
        <v>160</v>
      </c>
      <c r="M3645" s="76">
        <f>J3645*L3645</f>
        <v>1000.8112</v>
      </c>
      <c r="N3645" s="77"/>
      <c r="O3645" s="77"/>
      <c r="P3645" s="76"/>
      <c r="Q3645" s="76"/>
    </row>
    <row r="3646" spans="4:17" hidden="1" outlineLevel="2" collapsed="1" x14ac:dyDescent="0.25">
      <c r="D3646" s="84" t="s">
        <v>1518</v>
      </c>
      <c r="E3646" s="79"/>
      <c r="F3646" s="79"/>
      <c r="G3646" s="79"/>
      <c r="H3646" s="80"/>
      <c r="I3646" s="81"/>
      <c r="J3646" s="83">
        <f>HYPERLINK("#Структура!E3134",Структура!E3134)</f>
        <v>1</v>
      </c>
      <c r="K3646" s="115">
        <f>HYPERLINK("#Структура!G3134",Структура!G3134)</f>
        <v>8.6579200000000007</v>
      </c>
      <c r="L3646" s="81">
        <f>M3646/J3646</f>
        <v>1660.3312000000001</v>
      </c>
      <c r="M3646" s="81">
        <f>SUMIF(E3647,"*",M3647)*J3646</f>
        <v>1660.3312000000001</v>
      </c>
      <c r="N3646" s="124">
        <f>HYPERLINK("#Трудозатраты!B796",Трудозатраты!B796+SUMIF(E3647,"*",O3647))</f>
        <v>32</v>
      </c>
      <c r="O3646" s="82">
        <f>N3646*J3646</f>
        <v>32</v>
      </c>
      <c r="P3646" s="81">
        <f>O3646/60*(1+запас_труд)*стоимость_трудочаса</f>
        <v>1253.3333333333333</v>
      </c>
      <c r="Q3646" s="129">
        <f>M3646*(1+наценка_покупное)+P3646</f>
        <v>3245.7307733333332</v>
      </c>
    </row>
    <row r="3647" spans="4:17" hidden="1" outlineLevel="3" x14ac:dyDescent="0.25">
      <c r="E3647" s="74" t="s">
        <v>131</v>
      </c>
      <c r="F3647" s="74"/>
      <c r="G3647" s="74"/>
      <c r="H3647" s="75"/>
      <c r="I3647" s="76"/>
      <c r="J3647" s="78">
        <f>HYPERLINK("#Структура!E3173",Структура!E3173)</f>
        <v>10.37707</v>
      </c>
      <c r="K3647" s="114" t="str">
        <f>HYPERLINK("#Структура!G3173","")</f>
        <v/>
      </c>
      <c r="L3647" s="120">
        <f>HYPERLINK("#Покупные_изделия!D306",Покупные_изделия!D306)</f>
        <v>160</v>
      </c>
      <c r="M3647" s="76">
        <f>J3647*L3647</f>
        <v>1660.3312000000001</v>
      </c>
      <c r="N3647" s="77"/>
      <c r="O3647" s="77"/>
      <c r="P3647" s="76"/>
      <c r="Q3647" s="76"/>
    </row>
    <row r="3648" spans="4:17" hidden="1" outlineLevel="2" collapsed="1" x14ac:dyDescent="0.25">
      <c r="D3648" s="84" t="s">
        <v>1519</v>
      </c>
      <c r="E3648" s="79"/>
      <c r="F3648" s="79"/>
      <c r="G3648" s="79"/>
      <c r="H3648" s="80"/>
      <c r="I3648" s="81"/>
      <c r="J3648" s="83">
        <f>HYPERLINK("#Структура!E3135",Структура!E3135)</f>
        <v>2</v>
      </c>
      <c r="K3648" s="115">
        <f>HYPERLINK("#Структура!G3135",Структура!G3135)</f>
        <v>8.0906500000000001</v>
      </c>
      <c r="L3648" s="81">
        <f>M3648/J3648</f>
        <v>1547.7440000000001</v>
      </c>
      <c r="M3648" s="81">
        <f>SUMIF(E3649,"*",M3649)*J3648</f>
        <v>3095.4880000000003</v>
      </c>
      <c r="N3648" s="124">
        <f>HYPERLINK("#Трудозатраты!B797",Трудозатраты!B797+SUMIF(E3649,"*",O3649))</f>
        <v>26</v>
      </c>
      <c r="O3648" s="82">
        <f>N3648*J3648</f>
        <v>52</v>
      </c>
      <c r="P3648" s="81">
        <f>O3648/60*(1+запас_труд)*стоимость_трудочаса</f>
        <v>2036.6666666666667</v>
      </c>
      <c r="Q3648" s="129">
        <f>M3648*(1+наценка_покупное)+P3648</f>
        <v>5751.2522666666673</v>
      </c>
    </row>
    <row r="3649" spans="4:17" hidden="1" outlineLevel="3" x14ac:dyDescent="0.25">
      <c r="E3649" s="74" t="s">
        <v>131</v>
      </c>
      <c r="F3649" s="74"/>
      <c r="G3649" s="74"/>
      <c r="H3649" s="75"/>
      <c r="I3649" s="76"/>
      <c r="J3649" s="78">
        <f>HYPERLINK("#Структура!E3174",Структура!E3174)</f>
        <v>9.6734000000000009</v>
      </c>
      <c r="K3649" s="114" t="str">
        <f>HYPERLINK("#Структура!G3174","")</f>
        <v/>
      </c>
      <c r="L3649" s="120">
        <f>HYPERLINK("#Покупные_изделия!D306",Покупные_изделия!D306)</f>
        <v>160</v>
      </c>
      <c r="M3649" s="76">
        <f>J3649*L3649</f>
        <v>1547.7440000000001</v>
      </c>
      <c r="N3649" s="77"/>
      <c r="O3649" s="77"/>
      <c r="P3649" s="76"/>
      <c r="Q3649" s="76"/>
    </row>
    <row r="3650" spans="4:17" hidden="1" outlineLevel="2" collapsed="1" x14ac:dyDescent="0.25">
      <c r="D3650" s="84" t="s">
        <v>1520</v>
      </c>
      <c r="E3650" s="79"/>
      <c r="F3650" s="79"/>
      <c r="G3650" s="79"/>
      <c r="H3650" s="80"/>
      <c r="I3650" s="81"/>
      <c r="J3650" s="83">
        <f>HYPERLINK("#Структура!E3136",Структура!E3136)</f>
        <v>1</v>
      </c>
      <c r="K3650" s="115">
        <f>HYPERLINK("#Структура!G3136",Структура!G3136)</f>
        <v>8.6653199999999995</v>
      </c>
      <c r="L3650" s="81">
        <f>M3650/J3650</f>
        <v>1660.3312000000001</v>
      </c>
      <c r="M3650" s="81">
        <f>SUMIF(E3651,"*",M3651)*J3650</f>
        <v>1660.3312000000001</v>
      </c>
      <c r="N3650" s="124">
        <f>HYPERLINK("#Трудозатраты!B798",Трудозатраты!B798+SUMIF(E3651,"*",O3651))</f>
        <v>32</v>
      </c>
      <c r="O3650" s="82">
        <f>N3650*J3650</f>
        <v>32</v>
      </c>
      <c r="P3650" s="81">
        <f>O3650/60*(1+запас_труд)*стоимость_трудочаса</f>
        <v>1253.3333333333333</v>
      </c>
      <c r="Q3650" s="129">
        <f>M3650*(1+наценка_покупное)+P3650</f>
        <v>3245.7307733333332</v>
      </c>
    </row>
    <row r="3651" spans="4:17" hidden="1" outlineLevel="3" x14ac:dyDescent="0.25">
      <c r="E3651" s="74" t="s">
        <v>131</v>
      </c>
      <c r="F3651" s="74"/>
      <c r="G3651" s="74"/>
      <c r="H3651" s="75"/>
      <c r="I3651" s="76"/>
      <c r="J3651" s="78">
        <f>HYPERLINK("#Структура!E3175",Структура!E3175)</f>
        <v>10.37707</v>
      </c>
      <c r="K3651" s="114" t="str">
        <f>HYPERLINK("#Структура!G3175","")</f>
        <v/>
      </c>
      <c r="L3651" s="120">
        <f>HYPERLINK("#Покупные_изделия!D306",Покупные_изделия!D306)</f>
        <v>160</v>
      </c>
      <c r="M3651" s="76">
        <f>J3651*L3651</f>
        <v>1660.3312000000001</v>
      </c>
      <c r="N3651" s="77"/>
      <c r="O3651" s="77"/>
      <c r="P3651" s="76"/>
      <c r="Q3651" s="76"/>
    </row>
    <row r="3652" spans="4:17" hidden="1" outlineLevel="2" collapsed="1" x14ac:dyDescent="0.25">
      <c r="D3652" s="84" t="s">
        <v>1521</v>
      </c>
      <c r="E3652" s="79"/>
      <c r="F3652" s="79"/>
      <c r="G3652" s="79"/>
      <c r="H3652" s="80"/>
      <c r="I3652" s="81"/>
      <c r="J3652" s="83">
        <f>HYPERLINK("#Структура!E3137",Структура!E3137)</f>
        <v>2</v>
      </c>
      <c r="K3652" s="115">
        <f>HYPERLINK("#Структура!G3137",Структура!G3137)</f>
        <v>0.3589</v>
      </c>
      <c r="L3652" s="81">
        <f>M3652/J3652</f>
        <v>72.345600000000005</v>
      </c>
      <c r="M3652" s="81">
        <f>SUMIF(E3653,"*",M3653)*J3652</f>
        <v>144.69120000000001</v>
      </c>
      <c r="N3652" s="124">
        <f>HYPERLINK("#Трудозатраты!B799",Трудозатраты!B799+SUMIF(E3653,"*",O3653))</f>
        <v>0.45</v>
      </c>
      <c r="O3652" s="82">
        <f>N3652*J3652</f>
        <v>0.9</v>
      </c>
      <c r="P3652" s="81">
        <f>O3652/60*(1+запас_труд)*стоимость_трудочаса</f>
        <v>35.25</v>
      </c>
      <c r="Q3652" s="129">
        <f>M3652*(1+наценка_покупное)+P3652</f>
        <v>208.87944000000002</v>
      </c>
    </row>
    <row r="3653" spans="4:17" hidden="1" outlineLevel="3" x14ac:dyDescent="0.25">
      <c r="E3653" s="74" t="s">
        <v>131</v>
      </c>
      <c r="F3653" s="74"/>
      <c r="G3653" s="74"/>
      <c r="H3653" s="75"/>
      <c r="I3653" s="76"/>
      <c r="J3653" s="78">
        <f>HYPERLINK("#Структура!E3176",Структура!E3176)</f>
        <v>0.45216000000000001</v>
      </c>
      <c r="K3653" s="114" t="str">
        <f>HYPERLINK("#Структура!G3176","")</f>
        <v/>
      </c>
      <c r="L3653" s="120">
        <f>HYPERLINK("#Покупные_изделия!D306",Покупные_изделия!D306)</f>
        <v>160</v>
      </c>
      <c r="M3653" s="76">
        <f>J3653*L3653</f>
        <v>72.345600000000005</v>
      </c>
      <c r="N3653" s="77"/>
      <c r="O3653" s="77"/>
      <c r="P3653" s="76"/>
      <c r="Q3653" s="76"/>
    </row>
    <row r="3654" spans="4:17" hidden="1" outlineLevel="2" collapsed="1" x14ac:dyDescent="0.25">
      <c r="D3654" s="84" t="s">
        <v>1522</v>
      </c>
      <c r="E3654" s="79"/>
      <c r="F3654" s="79"/>
      <c r="G3654" s="79"/>
      <c r="H3654" s="80"/>
      <c r="I3654" s="81"/>
      <c r="J3654" s="83">
        <f>HYPERLINK("#Структура!E3138",Структура!E3138)</f>
        <v>4</v>
      </c>
      <c r="K3654" s="115">
        <f>HYPERLINK("#Структура!G3138",Структура!G3138)</f>
        <v>5.1883900000000001</v>
      </c>
      <c r="L3654" s="81">
        <f>M3654/J3654</f>
        <v>1462.1343999999999</v>
      </c>
      <c r="M3654" s="81">
        <f>SUMIF(E3655,"*",M3655)*J3654</f>
        <v>5848.5375999999997</v>
      </c>
      <c r="N3654" s="124">
        <f>HYPERLINK("#Трудозатраты!B800",Трудозатраты!B800+SUMIF(E3655,"*",O3655))</f>
        <v>47.505000000000003</v>
      </c>
      <c r="O3654" s="82">
        <f>N3654*J3654</f>
        <v>190.02</v>
      </c>
      <c r="P3654" s="81">
        <f>O3654/60*(1+запас_труд)*стоимость_трудочаса</f>
        <v>7442.4500000000007</v>
      </c>
      <c r="Q3654" s="129">
        <f>M3654*(1+наценка_покупное)+P3654</f>
        <v>14460.69512</v>
      </c>
    </row>
    <row r="3655" spans="4:17" hidden="1" outlineLevel="3" x14ac:dyDescent="0.25">
      <c r="E3655" s="74" t="s">
        <v>130</v>
      </c>
      <c r="F3655" s="74"/>
      <c r="G3655" s="74"/>
      <c r="H3655" s="75"/>
      <c r="I3655" s="76"/>
      <c r="J3655" s="78">
        <f>HYPERLINK("#Структура!E3177",Структура!E3177)</f>
        <v>9.1383399999999995</v>
      </c>
      <c r="K3655" s="114" t="str">
        <f>HYPERLINK("#Структура!G3177","")</f>
        <v/>
      </c>
      <c r="L3655" s="120">
        <f>HYPERLINK("#Покупные_изделия!D305",Покупные_изделия!D305)</f>
        <v>160</v>
      </c>
      <c r="M3655" s="76">
        <f>J3655*L3655</f>
        <v>1462.1343999999999</v>
      </c>
      <c r="N3655" s="77"/>
      <c r="O3655" s="77"/>
      <c r="P3655" s="76"/>
      <c r="Q3655" s="76"/>
    </row>
    <row r="3656" spans="4:17" hidden="1" outlineLevel="2" collapsed="1" x14ac:dyDescent="0.25">
      <c r="D3656" s="84" t="s">
        <v>1523</v>
      </c>
      <c r="E3656" s="79"/>
      <c r="F3656" s="79"/>
      <c r="G3656" s="79"/>
      <c r="H3656" s="80"/>
      <c r="I3656" s="81"/>
      <c r="J3656" s="83">
        <f>HYPERLINK("#Структура!E3139",Структура!E3139)</f>
        <v>12</v>
      </c>
      <c r="K3656" s="115">
        <f>HYPERLINK("#Структура!G3139",Структура!G3139)</f>
        <v>11.57633</v>
      </c>
      <c r="L3656" s="81">
        <f>M3656/J3656</f>
        <v>3270.3520000000003</v>
      </c>
      <c r="M3656" s="81">
        <f>SUMIF(E3657,"*",M3657)*J3656</f>
        <v>39244.224000000002</v>
      </c>
      <c r="N3656" s="124">
        <f>HYPERLINK("#Трудозатраты!B801",Трудозатраты!B801+SUMIF(E3657,"*",O3657))</f>
        <v>68.37</v>
      </c>
      <c r="O3656" s="82">
        <f>N3656*J3656</f>
        <v>820.44</v>
      </c>
      <c r="P3656" s="81">
        <f>O3656/60*(1+запас_труд)*стоимость_трудочаса</f>
        <v>32133.9</v>
      </c>
      <c r="Q3656" s="129">
        <f>M3656*(1+наценка_покупное)+P3656</f>
        <v>79226.968800000002</v>
      </c>
    </row>
    <row r="3657" spans="4:17" hidden="1" outlineLevel="3" x14ac:dyDescent="0.25">
      <c r="E3657" s="74" t="s">
        <v>130</v>
      </c>
      <c r="F3657" s="74"/>
      <c r="G3657" s="74"/>
      <c r="H3657" s="75"/>
      <c r="I3657" s="76"/>
      <c r="J3657" s="78">
        <f>HYPERLINK("#Структура!E3178",Структура!E3178)</f>
        <v>20.439699999999998</v>
      </c>
      <c r="K3657" s="114" t="str">
        <f>HYPERLINK("#Структура!G3178","")</f>
        <v/>
      </c>
      <c r="L3657" s="120">
        <f>HYPERLINK("#Покупные_изделия!D305",Покупные_изделия!D305)</f>
        <v>160</v>
      </c>
      <c r="M3657" s="76">
        <f>J3657*L3657</f>
        <v>3270.3519999999999</v>
      </c>
      <c r="N3657" s="77"/>
      <c r="O3657" s="77"/>
      <c r="P3657" s="76"/>
      <c r="Q3657" s="76"/>
    </row>
    <row r="3658" spans="4:17" hidden="1" outlineLevel="2" collapsed="1" x14ac:dyDescent="0.25">
      <c r="D3658" s="84" t="s">
        <v>1524</v>
      </c>
      <c r="E3658" s="79"/>
      <c r="F3658" s="79"/>
      <c r="G3658" s="79"/>
      <c r="H3658" s="80"/>
      <c r="I3658" s="81"/>
      <c r="J3658" s="83">
        <f>HYPERLINK("#Структура!E3140",Структура!E3140)</f>
        <v>5</v>
      </c>
      <c r="K3658" s="115">
        <f>HYPERLINK("#Структура!G3140",Структура!G3140)</f>
        <v>3.7966700000000002</v>
      </c>
      <c r="L3658" s="81">
        <f>M3658/J3658</f>
        <v>1016.6064</v>
      </c>
      <c r="M3658" s="81">
        <f>SUMIF(E3659,"*",M3659)*J3658</f>
        <v>5083.0320000000002</v>
      </c>
      <c r="N3658" s="124">
        <f>HYPERLINK("#Трудозатраты!B802",Трудозатраты!B802+SUMIF(E3659,"*",O3659))</f>
        <v>41.24</v>
      </c>
      <c r="O3658" s="82">
        <f>N3658*J3658</f>
        <v>206.20000000000002</v>
      </c>
      <c r="P3658" s="81">
        <f>O3658/60*(1+запас_труд)*стоимость_трудочаса</f>
        <v>8076.166666666667</v>
      </c>
      <c r="Q3658" s="129">
        <f>M3658*(1+наценка_покупное)+P3658</f>
        <v>14175.805066666668</v>
      </c>
    </row>
    <row r="3659" spans="4:17" hidden="1" outlineLevel="3" x14ac:dyDescent="0.25">
      <c r="E3659" s="74" t="s">
        <v>130</v>
      </c>
      <c r="F3659" s="74"/>
      <c r="G3659" s="74"/>
      <c r="H3659" s="75"/>
      <c r="I3659" s="76"/>
      <c r="J3659" s="78">
        <f>HYPERLINK("#Структура!E3179",Структура!E3179)</f>
        <v>6.35379</v>
      </c>
      <c r="K3659" s="114" t="str">
        <f>HYPERLINK("#Структура!G3179","")</f>
        <v/>
      </c>
      <c r="L3659" s="120">
        <f>HYPERLINK("#Покупные_изделия!D305",Покупные_изделия!D305)</f>
        <v>160</v>
      </c>
      <c r="M3659" s="76">
        <f>J3659*L3659</f>
        <v>1016.6064</v>
      </c>
      <c r="N3659" s="77"/>
      <c r="O3659" s="77"/>
      <c r="P3659" s="76"/>
      <c r="Q3659" s="76"/>
    </row>
    <row r="3660" spans="4:17" hidden="1" outlineLevel="2" collapsed="1" x14ac:dyDescent="0.25">
      <c r="D3660" s="84" t="s">
        <v>1525</v>
      </c>
      <c r="E3660" s="79"/>
      <c r="F3660" s="79"/>
      <c r="G3660" s="79"/>
      <c r="H3660" s="80"/>
      <c r="I3660" s="81"/>
      <c r="J3660" s="83">
        <f>HYPERLINK("#Структура!E3141",Структура!E3141)</f>
        <v>1</v>
      </c>
      <c r="K3660" s="115">
        <f>HYPERLINK("#Структура!G3141",Структура!G3141)</f>
        <v>7.9070200000000002</v>
      </c>
      <c r="L3660" s="81">
        <f>M3660/J3660</f>
        <v>2233.4448000000002</v>
      </c>
      <c r="M3660" s="81">
        <f>SUMIF(E3661,"*",M3661)*J3660</f>
        <v>2233.4448000000002</v>
      </c>
      <c r="N3660" s="124">
        <f>HYPERLINK("#Трудозатраты!B803",Трудозатраты!B803+SUMIF(E3661,"*",O3661))</f>
        <v>56.36999999999999</v>
      </c>
      <c r="O3660" s="82">
        <f>N3660*J3660</f>
        <v>56.36999999999999</v>
      </c>
      <c r="P3660" s="81">
        <f>O3660/60*(1+запас_труд)*стоимость_трудочаса</f>
        <v>2207.8249999999998</v>
      </c>
      <c r="Q3660" s="129">
        <f>M3660*(1+наценка_покупное)+P3660</f>
        <v>4887.9587599999995</v>
      </c>
    </row>
    <row r="3661" spans="4:17" hidden="1" outlineLevel="3" x14ac:dyDescent="0.25">
      <c r="E3661" s="74" t="s">
        <v>130</v>
      </c>
      <c r="F3661" s="74"/>
      <c r="G3661" s="74"/>
      <c r="H3661" s="75"/>
      <c r="I3661" s="76"/>
      <c r="J3661" s="78">
        <f>HYPERLINK("#Структура!E3180",Структура!E3180)</f>
        <v>13.95903</v>
      </c>
      <c r="K3661" s="114" t="str">
        <f>HYPERLINK("#Структура!G3180","")</f>
        <v/>
      </c>
      <c r="L3661" s="120">
        <f>HYPERLINK("#Покупные_изделия!D305",Покупные_изделия!D305)</f>
        <v>160</v>
      </c>
      <c r="M3661" s="76">
        <f>J3661*L3661</f>
        <v>2233.4448000000002</v>
      </c>
      <c r="N3661" s="77"/>
      <c r="O3661" s="77"/>
      <c r="P3661" s="76"/>
      <c r="Q3661" s="76"/>
    </row>
    <row r="3662" spans="4:17" hidden="1" outlineLevel="2" collapsed="1" x14ac:dyDescent="0.25">
      <c r="D3662" s="84" t="s">
        <v>1526</v>
      </c>
      <c r="E3662" s="79"/>
      <c r="F3662" s="79"/>
      <c r="G3662" s="79"/>
      <c r="H3662" s="80"/>
      <c r="I3662" s="81"/>
      <c r="J3662" s="83">
        <f>HYPERLINK("#Структура!E3142",Структура!E3142)</f>
        <v>6</v>
      </c>
      <c r="K3662" s="115">
        <f>HYPERLINK("#Структура!G3142",Структура!G3142)</f>
        <v>6.2724799999999998</v>
      </c>
      <c r="L3662" s="81">
        <f>M3662/J3662</f>
        <v>2118.8224</v>
      </c>
      <c r="M3662" s="81">
        <f>SUMIF(E3663,"*",M3663)*J3662</f>
        <v>12712.9344</v>
      </c>
      <c r="N3662" s="124">
        <f>HYPERLINK("#Трудозатраты!B804",Трудозатраты!B804+SUMIF(E3663,"*",O3663))</f>
        <v>3</v>
      </c>
      <c r="O3662" s="82">
        <f>N3662*J3662</f>
        <v>18</v>
      </c>
      <c r="P3662" s="81">
        <f>O3662/60*(1+запас_труд)*стоимость_трудочаса</f>
        <v>705</v>
      </c>
      <c r="Q3662" s="129">
        <f>M3662*(1+наценка_покупное)+P3662</f>
        <v>15960.521279999999</v>
      </c>
    </row>
    <row r="3663" spans="4:17" hidden="1" outlineLevel="3" x14ac:dyDescent="0.25">
      <c r="E3663" s="74" t="s">
        <v>131</v>
      </c>
      <c r="F3663" s="74"/>
      <c r="G3663" s="74"/>
      <c r="H3663" s="75"/>
      <c r="I3663" s="76"/>
      <c r="J3663" s="78">
        <f>HYPERLINK("#Структура!E3181",Структура!E3181)</f>
        <v>13.24264</v>
      </c>
      <c r="K3663" s="114" t="str">
        <f>HYPERLINK("#Структура!G3181","")</f>
        <v/>
      </c>
      <c r="L3663" s="120">
        <f>HYPERLINK("#Покупные_изделия!D306",Покупные_изделия!D306)</f>
        <v>160</v>
      </c>
      <c r="M3663" s="76">
        <f>J3663*L3663</f>
        <v>2118.8224</v>
      </c>
      <c r="N3663" s="77"/>
      <c r="O3663" s="77"/>
      <c r="P3663" s="76"/>
      <c r="Q3663" s="76"/>
    </row>
    <row r="3664" spans="4:17" hidden="1" outlineLevel="2" collapsed="1" x14ac:dyDescent="0.25">
      <c r="D3664" s="84" t="s">
        <v>1527</v>
      </c>
      <c r="E3664" s="79"/>
      <c r="F3664" s="79"/>
      <c r="G3664" s="79"/>
      <c r="H3664" s="80"/>
      <c r="I3664" s="81"/>
      <c r="J3664" s="83">
        <f>HYPERLINK("#Структура!E3143",Структура!E3143)</f>
        <v>9</v>
      </c>
      <c r="K3664" s="115">
        <f>HYPERLINK("#Структура!G3143",Структура!G3143)</f>
        <v>1.3864399999999999</v>
      </c>
      <c r="L3664" s="81">
        <f>M3664/J3664</f>
        <v>267.76959999999997</v>
      </c>
      <c r="M3664" s="81">
        <f>SUMIF(E3665,"*",M3665)*J3664</f>
        <v>2409.9263999999998</v>
      </c>
      <c r="N3664" s="124">
        <f>HYPERLINK("#Трудозатраты!B805",Трудозатраты!B805+SUMIF(E3665,"*",O3665))</f>
        <v>6.75</v>
      </c>
      <c r="O3664" s="82">
        <f>N3664*J3664</f>
        <v>60.75</v>
      </c>
      <c r="P3664" s="81">
        <f>O3664/60*(1+запас_труд)*стоимость_трудочаса</f>
        <v>2379.375</v>
      </c>
      <c r="Q3664" s="129">
        <f>M3664*(1+наценка_покупное)+P3664</f>
        <v>5271.2866799999993</v>
      </c>
    </row>
    <row r="3665" spans="4:17" hidden="1" outlineLevel="3" x14ac:dyDescent="0.25">
      <c r="E3665" s="74" t="s">
        <v>131</v>
      </c>
      <c r="F3665" s="74"/>
      <c r="G3665" s="74"/>
      <c r="H3665" s="75"/>
      <c r="I3665" s="76"/>
      <c r="J3665" s="78">
        <f>HYPERLINK("#Структура!E3182",Структура!E3182)</f>
        <v>1.6735599999999999</v>
      </c>
      <c r="K3665" s="114" t="str">
        <f>HYPERLINK("#Структура!G3182","")</f>
        <v/>
      </c>
      <c r="L3665" s="120">
        <f>HYPERLINK("#Покупные_изделия!D306",Покупные_изделия!D306)</f>
        <v>160</v>
      </c>
      <c r="M3665" s="76">
        <f>J3665*L3665</f>
        <v>267.76959999999997</v>
      </c>
      <c r="N3665" s="77"/>
      <c r="O3665" s="77"/>
      <c r="P3665" s="76"/>
      <c r="Q3665" s="76"/>
    </row>
    <row r="3666" spans="4:17" hidden="1" outlineLevel="2" collapsed="1" x14ac:dyDescent="0.25">
      <c r="D3666" s="84" t="s">
        <v>1528</v>
      </c>
      <c r="E3666" s="79"/>
      <c r="F3666" s="79"/>
      <c r="G3666" s="79"/>
      <c r="H3666" s="80"/>
      <c r="I3666" s="81"/>
      <c r="J3666" s="83">
        <f>HYPERLINK("#Структура!E3144",Структура!E3144)</f>
        <v>4</v>
      </c>
      <c r="K3666" s="115">
        <f>HYPERLINK("#Структура!G3144",Структура!G3144)</f>
        <v>2.01166</v>
      </c>
      <c r="L3666" s="81">
        <f>M3666/J3666</f>
        <v>400.31039999999996</v>
      </c>
      <c r="M3666" s="81">
        <f>SUMIF(E3667,"*",M3667)*J3666</f>
        <v>1601.2415999999998</v>
      </c>
      <c r="N3666" s="124">
        <f>HYPERLINK("#Трудозатраты!B806",Трудозатраты!B806+SUMIF(E3667,"*",O3667))</f>
        <v>2</v>
      </c>
      <c r="O3666" s="82">
        <f>N3666*J3666</f>
        <v>8</v>
      </c>
      <c r="P3666" s="81">
        <f>O3666/60*(1+запас_труд)*стоимость_трудочаса</f>
        <v>313.33333333333331</v>
      </c>
      <c r="Q3666" s="129">
        <f>M3666*(1+наценка_покупное)+P3666</f>
        <v>2234.823253333333</v>
      </c>
    </row>
    <row r="3667" spans="4:17" hidden="1" outlineLevel="3" x14ac:dyDescent="0.25">
      <c r="E3667" s="74" t="s">
        <v>131</v>
      </c>
      <c r="F3667" s="74"/>
      <c r="G3667" s="74"/>
      <c r="H3667" s="75"/>
      <c r="I3667" s="76"/>
      <c r="J3667" s="78">
        <f>HYPERLINK("#Структура!E3183",Структура!E3183)</f>
        <v>2.5019399999999998</v>
      </c>
      <c r="K3667" s="114" t="str">
        <f>HYPERLINK("#Структура!G3183","")</f>
        <v/>
      </c>
      <c r="L3667" s="120">
        <f>HYPERLINK("#Покупные_изделия!D306",Покупные_изделия!D306)</f>
        <v>160</v>
      </c>
      <c r="M3667" s="76">
        <f>J3667*L3667</f>
        <v>400.31039999999996</v>
      </c>
      <c r="N3667" s="77"/>
      <c r="O3667" s="77"/>
      <c r="P3667" s="76"/>
      <c r="Q3667" s="76"/>
    </row>
    <row r="3668" spans="4:17" hidden="1" outlineLevel="2" collapsed="1" x14ac:dyDescent="0.25">
      <c r="D3668" s="84" t="s">
        <v>1529</v>
      </c>
      <c r="E3668" s="79"/>
      <c r="F3668" s="79"/>
      <c r="G3668" s="79"/>
      <c r="H3668" s="80"/>
      <c r="I3668" s="81"/>
      <c r="J3668" s="83">
        <f>HYPERLINK("#Структура!E3145",Структура!E3145)</f>
        <v>16</v>
      </c>
      <c r="K3668" s="115">
        <f>HYPERLINK("#Структура!G3145",Структура!G3145)</f>
        <v>2.4446300000000001</v>
      </c>
      <c r="L3668" s="81">
        <f>M3668/J3668</f>
        <v>478.16</v>
      </c>
      <c r="M3668" s="81">
        <f>SUMIF(E3669,"*",M3669)*J3668</f>
        <v>7650.56</v>
      </c>
      <c r="N3668" s="124">
        <f>HYPERLINK("#Трудозатраты!B807",Трудозатраты!B807+SUMIF(E3669,"*",O3669))</f>
        <v>7.5</v>
      </c>
      <c r="O3668" s="82">
        <f>N3668*J3668</f>
        <v>120</v>
      </c>
      <c r="P3668" s="81">
        <f>O3668/60*(1+запас_труд)*стоимость_трудочаса</f>
        <v>4700</v>
      </c>
      <c r="Q3668" s="129">
        <f>M3668*(1+наценка_покупное)+P3668</f>
        <v>13880.672</v>
      </c>
    </row>
    <row r="3669" spans="4:17" hidden="1" outlineLevel="3" x14ac:dyDescent="0.25">
      <c r="E3669" s="74" t="s">
        <v>131</v>
      </c>
      <c r="F3669" s="74"/>
      <c r="G3669" s="74"/>
      <c r="H3669" s="75"/>
      <c r="I3669" s="76"/>
      <c r="J3669" s="78">
        <f>HYPERLINK("#Структура!E3184",Структура!E3184)</f>
        <v>2.9885000000000002</v>
      </c>
      <c r="K3669" s="114" t="str">
        <f>HYPERLINK("#Структура!G3184","")</f>
        <v/>
      </c>
      <c r="L3669" s="120">
        <f>HYPERLINK("#Покупные_изделия!D306",Покупные_изделия!D306)</f>
        <v>160</v>
      </c>
      <c r="M3669" s="76">
        <f>J3669*L3669</f>
        <v>478.16</v>
      </c>
      <c r="N3669" s="77"/>
      <c r="O3669" s="77"/>
      <c r="P3669" s="76"/>
      <c r="Q3669" s="76"/>
    </row>
    <row r="3670" spans="4:17" hidden="1" outlineLevel="2" collapsed="1" x14ac:dyDescent="0.25">
      <c r="D3670" s="84" t="s">
        <v>1530</v>
      </c>
      <c r="E3670" s="79"/>
      <c r="F3670" s="79"/>
      <c r="G3670" s="79"/>
      <c r="H3670" s="80"/>
      <c r="I3670" s="81"/>
      <c r="J3670" s="83">
        <f>HYPERLINK("#Структура!E3146",Структура!E3146)</f>
        <v>8</v>
      </c>
      <c r="K3670" s="115">
        <f>HYPERLINK("#Структура!G3146",Структура!G3146)</f>
        <v>1.3610599999999999</v>
      </c>
      <c r="L3670" s="81">
        <f>M3670/J3670</f>
        <v>262.81759999999997</v>
      </c>
      <c r="M3670" s="81">
        <f>SUMIF(E3671,"*",M3671)*J3670</f>
        <v>2102.5407999999998</v>
      </c>
      <c r="N3670" s="124">
        <f>HYPERLINK("#Трудозатраты!B808",Трудозатраты!B808+SUMIF(E3671,"*",O3671))</f>
        <v>5.55</v>
      </c>
      <c r="O3670" s="82">
        <f>N3670*J3670</f>
        <v>44.4</v>
      </c>
      <c r="P3670" s="81">
        <f>O3670/60*(1+запас_труд)*стоимость_трудочаса</f>
        <v>1739</v>
      </c>
      <c r="Q3670" s="129">
        <f>M3670*(1+наценка_покупное)+P3670</f>
        <v>4262.0489600000001</v>
      </c>
    </row>
    <row r="3671" spans="4:17" hidden="1" outlineLevel="3" x14ac:dyDescent="0.25">
      <c r="E3671" s="74" t="s">
        <v>131</v>
      </c>
      <c r="F3671" s="74"/>
      <c r="G3671" s="74"/>
      <c r="H3671" s="75"/>
      <c r="I3671" s="76"/>
      <c r="J3671" s="78">
        <f>HYPERLINK("#Структура!E3185",Структура!E3185)</f>
        <v>1.6426099999999999</v>
      </c>
      <c r="K3671" s="114" t="str">
        <f>HYPERLINK("#Структура!G3185","")</f>
        <v/>
      </c>
      <c r="L3671" s="120">
        <f>HYPERLINK("#Покупные_изделия!D306",Покупные_изделия!D306)</f>
        <v>160</v>
      </c>
      <c r="M3671" s="76">
        <f>J3671*L3671</f>
        <v>262.81759999999997</v>
      </c>
      <c r="N3671" s="77"/>
      <c r="O3671" s="77"/>
      <c r="P3671" s="76"/>
      <c r="Q3671" s="76"/>
    </row>
    <row r="3672" spans="4:17" hidden="1" outlineLevel="2" collapsed="1" x14ac:dyDescent="0.25">
      <c r="D3672" s="84" t="s">
        <v>1531</v>
      </c>
      <c r="E3672" s="79"/>
      <c r="F3672" s="79"/>
      <c r="G3672" s="79"/>
      <c r="H3672" s="80"/>
      <c r="I3672" s="81"/>
      <c r="J3672" s="83">
        <f>HYPERLINK("#Структура!E3147",Структура!E3147)</f>
        <v>6</v>
      </c>
      <c r="K3672" s="115">
        <f>HYPERLINK("#Структура!G3147",Структура!G3147)</f>
        <v>1.6739200000000001</v>
      </c>
      <c r="L3672" s="81">
        <f>M3672/J3672</f>
        <v>317.74239999999998</v>
      </c>
      <c r="M3672" s="81">
        <f>SUMIF(E3673,"*",M3673)*J3672</f>
        <v>1906.4543999999999</v>
      </c>
      <c r="N3672" s="124">
        <f>HYPERLINK("#Трудозатраты!B809",Трудозатраты!B809+SUMIF(E3673,"*",O3673))</f>
        <v>7.3</v>
      </c>
      <c r="O3672" s="82">
        <f>N3672*J3672</f>
        <v>43.8</v>
      </c>
      <c r="P3672" s="81">
        <f>O3672/60*(1+запас_труд)*стоимость_трудочаса</f>
        <v>1715.5</v>
      </c>
      <c r="Q3672" s="129">
        <f>M3672*(1+наценка_покупное)+P3672</f>
        <v>4003.2452799999996</v>
      </c>
    </row>
    <row r="3673" spans="4:17" hidden="1" outlineLevel="3" x14ac:dyDescent="0.25">
      <c r="E3673" s="74" t="s">
        <v>131</v>
      </c>
      <c r="F3673" s="74"/>
      <c r="G3673" s="74"/>
      <c r="H3673" s="75"/>
      <c r="I3673" s="76"/>
      <c r="J3673" s="78">
        <f>HYPERLINK("#Структура!E3186",Структура!E3186)</f>
        <v>1.9858899999999999</v>
      </c>
      <c r="K3673" s="114" t="str">
        <f>HYPERLINK("#Структура!G3186","")</f>
        <v/>
      </c>
      <c r="L3673" s="120">
        <f>HYPERLINK("#Покупные_изделия!D306",Покупные_изделия!D306)</f>
        <v>160</v>
      </c>
      <c r="M3673" s="76">
        <f>J3673*L3673</f>
        <v>317.74239999999998</v>
      </c>
      <c r="N3673" s="77"/>
      <c r="O3673" s="77"/>
      <c r="P3673" s="76"/>
      <c r="Q3673" s="76"/>
    </row>
    <row r="3674" spans="4:17" hidden="1" outlineLevel="2" collapsed="1" x14ac:dyDescent="0.25">
      <c r="D3674" s="84" t="s">
        <v>1532</v>
      </c>
      <c r="E3674" s="79"/>
      <c r="F3674" s="79"/>
      <c r="G3674" s="79"/>
      <c r="H3674" s="80"/>
      <c r="I3674" s="81"/>
      <c r="J3674" s="83">
        <f>HYPERLINK("#Структура!E3148",Структура!E3148)</f>
        <v>1</v>
      </c>
      <c r="K3674" s="115">
        <f>HYPERLINK("#Структура!G3148",Структура!G3148)</f>
        <v>6.6656599999999999</v>
      </c>
      <c r="L3674" s="81">
        <f>M3674/J3674</f>
        <v>1279.8384000000001</v>
      </c>
      <c r="M3674" s="81">
        <f>SUMIF(E3675,"*",M3675)*J3674</f>
        <v>1279.8384000000001</v>
      </c>
      <c r="N3674" s="124">
        <f>HYPERLINK("#Трудозатраты!B810",Трудозатраты!B810+SUMIF(E3675,"*",O3675))</f>
        <v>19</v>
      </c>
      <c r="O3674" s="82">
        <f>N3674*J3674</f>
        <v>19</v>
      </c>
      <c r="P3674" s="81">
        <f>O3674/60*(1+запас_труд)*стоимость_трудочаса</f>
        <v>744.16666666666663</v>
      </c>
      <c r="Q3674" s="129">
        <f>M3674*(1+наценка_покупное)+P3674</f>
        <v>2279.9727466666668</v>
      </c>
    </row>
    <row r="3675" spans="4:17" hidden="1" outlineLevel="3" x14ac:dyDescent="0.25">
      <c r="E3675" s="74" t="s">
        <v>131</v>
      </c>
      <c r="F3675" s="74"/>
      <c r="G3675" s="74"/>
      <c r="H3675" s="75"/>
      <c r="I3675" s="76"/>
      <c r="J3675" s="78">
        <f>HYPERLINK("#Структура!E3187",Структура!E3187)</f>
        <v>7.99899</v>
      </c>
      <c r="K3675" s="114" t="str">
        <f>HYPERLINK("#Структура!G3187","")</f>
        <v/>
      </c>
      <c r="L3675" s="120">
        <f>HYPERLINK("#Покупные_изделия!D306",Покупные_изделия!D306)</f>
        <v>160</v>
      </c>
      <c r="M3675" s="76">
        <f>J3675*L3675</f>
        <v>1279.8384000000001</v>
      </c>
      <c r="N3675" s="77"/>
      <c r="O3675" s="77"/>
      <c r="P3675" s="76"/>
      <c r="Q3675" s="76"/>
    </row>
    <row r="3676" spans="4:17" hidden="1" outlineLevel="2" collapsed="1" x14ac:dyDescent="0.25">
      <c r="D3676" s="84" t="s">
        <v>1533</v>
      </c>
      <c r="E3676" s="79"/>
      <c r="F3676" s="79"/>
      <c r="G3676" s="79"/>
      <c r="H3676" s="80"/>
      <c r="I3676" s="81"/>
      <c r="J3676" s="83">
        <f>HYPERLINK("#Структура!E3149",Структура!E3149)</f>
        <v>1</v>
      </c>
      <c r="K3676" s="115">
        <f>HYPERLINK("#Структура!G3149",Структура!G3149)</f>
        <v>2.9213</v>
      </c>
      <c r="L3676" s="81">
        <f>M3676/J3676</f>
        <v>557.10559999999998</v>
      </c>
      <c r="M3676" s="81">
        <f>SUMIF(E3677,"*",M3677)*J3676</f>
        <v>557.10559999999998</v>
      </c>
      <c r="N3676" s="124">
        <f>HYPERLINK("#Трудозатраты!B811",Трудозатраты!B811+SUMIF(E3677,"*",O3677))</f>
        <v>12.85</v>
      </c>
      <c r="O3676" s="82">
        <f>N3676*J3676</f>
        <v>12.85</v>
      </c>
      <c r="P3676" s="81">
        <f>O3676/60*(1+запас_труд)*стоимость_трудочаса</f>
        <v>503.29166666666669</v>
      </c>
      <c r="Q3676" s="129">
        <f>M3676*(1+наценка_покупное)+P3676</f>
        <v>1171.8183866666666</v>
      </c>
    </row>
    <row r="3677" spans="4:17" hidden="1" outlineLevel="3" x14ac:dyDescent="0.25">
      <c r="E3677" s="74" t="s">
        <v>131</v>
      </c>
      <c r="F3677" s="74"/>
      <c r="G3677" s="74"/>
      <c r="H3677" s="75"/>
      <c r="I3677" s="76"/>
      <c r="J3677" s="78">
        <f>HYPERLINK("#Структура!E3188",Структура!E3188)</f>
        <v>3.4819100000000001</v>
      </c>
      <c r="K3677" s="114" t="str">
        <f>HYPERLINK("#Структура!G3188","")</f>
        <v/>
      </c>
      <c r="L3677" s="120">
        <f>HYPERLINK("#Покупные_изделия!D306",Покупные_изделия!D306)</f>
        <v>160</v>
      </c>
      <c r="M3677" s="76">
        <f>J3677*L3677</f>
        <v>557.10559999999998</v>
      </c>
      <c r="N3677" s="77"/>
      <c r="O3677" s="77"/>
      <c r="P3677" s="76"/>
      <c r="Q3677" s="76"/>
    </row>
    <row r="3678" spans="4:17" hidden="1" outlineLevel="2" collapsed="1" x14ac:dyDescent="0.25">
      <c r="D3678" s="84" t="s">
        <v>1534</v>
      </c>
      <c r="E3678" s="79"/>
      <c r="F3678" s="79"/>
      <c r="G3678" s="79"/>
      <c r="H3678" s="80"/>
      <c r="I3678" s="81"/>
      <c r="J3678" s="83">
        <f>HYPERLINK("#Структура!E3150",Структура!E3150)</f>
        <v>2</v>
      </c>
      <c r="K3678" s="115">
        <f>HYPERLINK("#Структура!G3150",Структура!G3150)</f>
        <v>0.17945</v>
      </c>
      <c r="L3678" s="81">
        <f>M3678/J3678</f>
        <v>36.172800000000002</v>
      </c>
      <c r="M3678" s="81">
        <f>SUMIF(E3679,"*",M3679)*J3678</f>
        <v>72.345600000000005</v>
      </c>
      <c r="N3678" s="124">
        <f>HYPERLINK("#Трудозатраты!B812",Трудозатраты!B812+SUMIF(E3679,"*",O3679))</f>
        <v>0.6</v>
      </c>
      <c r="O3678" s="82">
        <f>N3678*J3678</f>
        <v>1.2</v>
      </c>
      <c r="P3678" s="81">
        <f>O3678/60*(1+запас_труд)*стоимость_трудочаса</f>
        <v>47</v>
      </c>
      <c r="Q3678" s="129">
        <f>M3678*(1+наценка_покупное)+P3678</f>
        <v>133.81472000000002</v>
      </c>
    </row>
    <row r="3679" spans="4:17" hidden="1" outlineLevel="3" x14ac:dyDescent="0.25">
      <c r="E3679" s="74" t="s">
        <v>131</v>
      </c>
      <c r="F3679" s="74"/>
      <c r="G3679" s="74"/>
      <c r="H3679" s="75"/>
      <c r="I3679" s="76"/>
      <c r="J3679" s="78">
        <f>HYPERLINK("#Структура!E3189",Структура!E3189)</f>
        <v>0.22608</v>
      </c>
      <c r="K3679" s="114" t="str">
        <f>HYPERLINK("#Структура!G3189","")</f>
        <v/>
      </c>
      <c r="L3679" s="120">
        <f>HYPERLINK("#Покупные_изделия!D306",Покупные_изделия!D306)</f>
        <v>160</v>
      </c>
      <c r="M3679" s="76">
        <f>J3679*L3679</f>
        <v>36.172800000000002</v>
      </c>
      <c r="N3679" s="77"/>
      <c r="O3679" s="77"/>
      <c r="P3679" s="76"/>
      <c r="Q3679" s="76"/>
    </row>
    <row r="3680" spans="4:17" hidden="1" outlineLevel="2" collapsed="1" x14ac:dyDescent="0.25">
      <c r="D3680" s="84" t="s">
        <v>1535</v>
      </c>
      <c r="E3680" s="79"/>
      <c r="F3680" s="79"/>
      <c r="G3680" s="79"/>
      <c r="H3680" s="80"/>
      <c r="I3680" s="81"/>
      <c r="J3680" s="83">
        <f>HYPERLINK("#Структура!E3151",Структура!E3151)</f>
        <v>2</v>
      </c>
      <c r="K3680" s="115">
        <f>HYPERLINK("#Структура!G3151",Структура!G3151)</f>
        <v>1.9051800000000001</v>
      </c>
      <c r="L3680" s="81">
        <f>M3680/J3680</f>
        <v>364.08000000000004</v>
      </c>
      <c r="M3680" s="81">
        <f>SUMIF(E3681,"*",M3681)*J3680</f>
        <v>728.16000000000008</v>
      </c>
      <c r="N3680" s="124">
        <f>HYPERLINK("#Трудозатраты!B813",Трудозатраты!B813+SUMIF(E3681,"*",O3681))</f>
        <v>14.5</v>
      </c>
      <c r="O3680" s="82">
        <f>N3680*J3680</f>
        <v>29</v>
      </c>
      <c r="P3680" s="81">
        <f>O3680/60*(1+запас_труд)*стоимость_трудочаса</f>
        <v>1135.8333333333333</v>
      </c>
      <c r="Q3680" s="129">
        <f>M3680*(1+наценка_покупное)+P3680</f>
        <v>2009.6253333333334</v>
      </c>
    </row>
    <row r="3681" spans="4:17" hidden="1" outlineLevel="3" x14ac:dyDescent="0.25">
      <c r="E3681" s="74" t="s">
        <v>131</v>
      </c>
      <c r="F3681" s="74"/>
      <c r="G3681" s="74"/>
      <c r="H3681" s="75"/>
      <c r="I3681" s="76"/>
      <c r="J3681" s="78">
        <f>HYPERLINK("#Структура!E3190",Структура!E3190)</f>
        <v>2.2755000000000001</v>
      </c>
      <c r="K3681" s="114" t="str">
        <f>HYPERLINK("#Структура!G3190","")</f>
        <v/>
      </c>
      <c r="L3681" s="120">
        <f>HYPERLINK("#Покупные_изделия!D306",Покупные_изделия!D306)</f>
        <v>160</v>
      </c>
      <c r="M3681" s="76">
        <f>J3681*L3681</f>
        <v>364.08000000000004</v>
      </c>
      <c r="N3681" s="77"/>
      <c r="O3681" s="77"/>
      <c r="P3681" s="76"/>
      <c r="Q3681" s="76"/>
    </row>
    <row r="3682" spans="4:17" hidden="1" outlineLevel="2" collapsed="1" x14ac:dyDescent="0.25">
      <c r="D3682" s="84" t="s">
        <v>1536</v>
      </c>
      <c r="E3682" s="79"/>
      <c r="F3682" s="79"/>
      <c r="G3682" s="79"/>
      <c r="H3682" s="80"/>
      <c r="I3682" s="81"/>
      <c r="J3682" s="83">
        <f>HYPERLINK("#Структура!E3152",Структура!E3152)</f>
        <v>1</v>
      </c>
      <c r="K3682" s="115">
        <f>HYPERLINK("#Структура!G3152",Структура!G3152)</f>
        <v>6.8507800000000003</v>
      </c>
      <c r="L3682" s="81">
        <f>M3682/J3682</f>
        <v>1922.8111999999999</v>
      </c>
      <c r="M3682" s="81">
        <f>SUMIF(E3683,"*",M3683)*J3682</f>
        <v>1922.8111999999999</v>
      </c>
      <c r="N3682" s="124">
        <f>HYPERLINK("#Трудозатраты!B814",Трудозатраты!B814+SUMIF(E3683,"*",O3683))</f>
        <v>2.6</v>
      </c>
      <c r="O3682" s="82">
        <f>N3682*J3682</f>
        <v>2.6</v>
      </c>
      <c r="P3682" s="81">
        <f>O3682/60*(1+запас_труд)*стоимость_трудочаса</f>
        <v>101.83333333333334</v>
      </c>
      <c r="Q3682" s="129">
        <f>M3682*(1+наценка_покупное)+P3682</f>
        <v>2409.2067733333333</v>
      </c>
    </row>
    <row r="3683" spans="4:17" hidden="1" outlineLevel="3" x14ac:dyDescent="0.25">
      <c r="E3683" s="74" t="s">
        <v>131</v>
      </c>
      <c r="F3683" s="74"/>
      <c r="G3683" s="74"/>
      <c r="H3683" s="75"/>
      <c r="I3683" s="76"/>
      <c r="J3683" s="78">
        <f>HYPERLINK("#Структура!E3191",Структура!E3191)</f>
        <v>12.017569999999999</v>
      </c>
      <c r="K3683" s="114" t="str">
        <f>HYPERLINK("#Структура!G3191","")</f>
        <v/>
      </c>
      <c r="L3683" s="120">
        <f>HYPERLINK("#Покупные_изделия!D306",Покупные_изделия!D306)</f>
        <v>160</v>
      </c>
      <c r="M3683" s="76">
        <f>J3683*L3683</f>
        <v>1922.8111999999999</v>
      </c>
      <c r="N3683" s="77"/>
      <c r="O3683" s="77"/>
      <c r="P3683" s="76"/>
      <c r="Q3683" s="76"/>
    </row>
    <row r="3684" spans="4:17" hidden="1" outlineLevel="2" collapsed="1" x14ac:dyDescent="0.25">
      <c r="D3684" s="84" t="s">
        <v>1537</v>
      </c>
      <c r="E3684" s="79"/>
      <c r="F3684" s="79"/>
      <c r="G3684" s="79"/>
      <c r="H3684" s="80"/>
      <c r="I3684" s="81"/>
      <c r="J3684" s="83">
        <f>HYPERLINK("#Структура!E3153",Структура!E3153)</f>
        <v>3</v>
      </c>
      <c r="K3684" s="115">
        <f>HYPERLINK("#Структура!G3153",Структура!G3153)</f>
        <v>8.9300000000000004E-2</v>
      </c>
      <c r="L3684" s="81">
        <f>M3684/J3684</f>
        <v>18.041599999999999</v>
      </c>
      <c r="M3684" s="81">
        <f>SUMIF(E3685,"*",M3685)*J3684</f>
        <v>54.124799999999993</v>
      </c>
      <c r="N3684" s="124">
        <f>HYPERLINK("#Трудозатраты!B815",Трудозатраты!B815+SUMIF(E3685,"*",O3685))</f>
        <v>0.65</v>
      </c>
      <c r="O3684" s="82">
        <f>N3684*J3684</f>
        <v>1.9500000000000002</v>
      </c>
      <c r="P3684" s="81">
        <f>O3684/60*(1+запас_труд)*стоимость_трудочаса</f>
        <v>76.375</v>
      </c>
      <c r="Q3684" s="129">
        <f>M3684*(1+наценка_покупное)+P3684</f>
        <v>141.32475999999997</v>
      </c>
    </row>
    <row r="3685" spans="4:17" hidden="1" outlineLevel="3" x14ac:dyDescent="0.25">
      <c r="E3685" s="74" t="s">
        <v>131</v>
      </c>
      <c r="F3685" s="74"/>
      <c r="G3685" s="74"/>
      <c r="H3685" s="75"/>
      <c r="I3685" s="76"/>
      <c r="J3685" s="78">
        <f>HYPERLINK("#Структура!E3192",Структура!E3192)</f>
        <v>0.11276</v>
      </c>
      <c r="K3685" s="114" t="str">
        <f>HYPERLINK("#Структура!G3192","")</f>
        <v/>
      </c>
      <c r="L3685" s="120">
        <f>HYPERLINK("#Покупные_изделия!D306",Покупные_изделия!D306)</f>
        <v>160</v>
      </c>
      <c r="M3685" s="76">
        <f>J3685*L3685</f>
        <v>18.041599999999999</v>
      </c>
      <c r="N3685" s="77"/>
      <c r="O3685" s="77"/>
      <c r="P3685" s="76"/>
      <c r="Q3685" s="76"/>
    </row>
    <row r="3686" spans="4:17" hidden="1" outlineLevel="2" collapsed="1" x14ac:dyDescent="0.25">
      <c r="D3686" s="84" t="s">
        <v>1538</v>
      </c>
      <c r="E3686" s="79"/>
      <c r="F3686" s="79"/>
      <c r="G3686" s="79"/>
      <c r="H3686" s="80"/>
      <c r="I3686" s="81"/>
      <c r="J3686" s="83">
        <f>HYPERLINK("#Структура!E3154",Структура!E3154)</f>
        <v>1</v>
      </c>
      <c r="K3686" s="115">
        <f>HYPERLINK("#Структура!G3154",Структура!G3154)</f>
        <v>6.7675799999999997</v>
      </c>
      <c r="L3686" s="81">
        <f>M3686/J3686</f>
        <v>1922.8111999999999</v>
      </c>
      <c r="M3686" s="81">
        <f>SUMIF(E3687,"*",M3687)*J3686</f>
        <v>1922.8111999999999</v>
      </c>
      <c r="N3686" s="124">
        <f>HYPERLINK("#Трудозатраты!B816",Трудозатраты!B816+SUMIF(E3687,"*",O3687))</f>
        <v>3.1</v>
      </c>
      <c r="O3686" s="82">
        <f>N3686*J3686</f>
        <v>3.1</v>
      </c>
      <c r="P3686" s="81">
        <f>O3686/60*(1+запас_труд)*стоимость_трудочаса</f>
        <v>121.41666666666667</v>
      </c>
      <c r="Q3686" s="129">
        <f>M3686*(1+наценка_покупное)+P3686</f>
        <v>2428.7901066666664</v>
      </c>
    </row>
    <row r="3687" spans="4:17" hidden="1" outlineLevel="3" x14ac:dyDescent="0.25">
      <c r="E3687" s="74" t="s">
        <v>131</v>
      </c>
      <c r="F3687" s="74"/>
      <c r="G3687" s="74"/>
      <c r="H3687" s="75"/>
      <c r="I3687" s="76"/>
      <c r="J3687" s="78">
        <f>HYPERLINK("#Структура!E3193",Структура!E3193)</f>
        <v>12.017569999999999</v>
      </c>
      <c r="K3687" s="114" t="str">
        <f>HYPERLINK("#Структура!G3193","")</f>
        <v/>
      </c>
      <c r="L3687" s="120">
        <f>HYPERLINK("#Покупные_изделия!D306",Покупные_изделия!D306)</f>
        <v>160</v>
      </c>
      <c r="M3687" s="76">
        <f>J3687*L3687</f>
        <v>1922.8111999999999</v>
      </c>
      <c r="N3687" s="77"/>
      <c r="O3687" s="77"/>
      <c r="P3687" s="76"/>
      <c r="Q3687" s="76"/>
    </row>
    <row r="3688" spans="4:17" hidden="1" outlineLevel="2" collapsed="1" x14ac:dyDescent="0.25">
      <c r="D3688" s="84" t="s">
        <v>1539</v>
      </c>
      <c r="E3688" s="79"/>
      <c r="F3688" s="79"/>
      <c r="G3688" s="79"/>
      <c r="H3688" s="80"/>
      <c r="I3688" s="81"/>
      <c r="J3688" s="83">
        <f>HYPERLINK("#Структура!E3155",Структура!E3155)</f>
        <v>6</v>
      </c>
      <c r="K3688" s="115">
        <f>HYPERLINK("#Структура!G3155",Структура!G3155)</f>
        <v>2.6830699999999998</v>
      </c>
      <c r="L3688" s="81">
        <f>M3688/J3688</f>
        <v>513.94240000000002</v>
      </c>
      <c r="M3688" s="81">
        <f>SUMIF(E3689,"*",M3689)*J3688</f>
        <v>3083.6544000000004</v>
      </c>
      <c r="N3688" s="124">
        <f>HYPERLINK("#Трудозатраты!B817",Трудозатраты!B817+SUMIF(E3689,"*",O3689))</f>
        <v>11.1</v>
      </c>
      <c r="O3688" s="82">
        <f>N3688*J3688</f>
        <v>66.599999999999994</v>
      </c>
      <c r="P3688" s="81">
        <f>O3688/60*(1+запас_труд)*стоимость_трудочаса</f>
        <v>2608.4999999999995</v>
      </c>
      <c r="Q3688" s="129">
        <f>M3688*(1+наценка_покупное)+P3688</f>
        <v>6308.8852800000004</v>
      </c>
    </row>
    <row r="3689" spans="4:17" hidden="1" outlineLevel="3" x14ac:dyDescent="0.25">
      <c r="E3689" s="74" t="s">
        <v>131</v>
      </c>
      <c r="F3689" s="74"/>
      <c r="G3689" s="74"/>
      <c r="H3689" s="75"/>
      <c r="I3689" s="76"/>
      <c r="J3689" s="78">
        <f>HYPERLINK("#Структура!E3194",Структура!E3194)</f>
        <v>3.2121400000000002</v>
      </c>
      <c r="K3689" s="114" t="str">
        <f>HYPERLINK("#Структура!G3194","")</f>
        <v/>
      </c>
      <c r="L3689" s="120">
        <f>HYPERLINK("#Покупные_изделия!D306",Покупные_изделия!D306)</f>
        <v>160</v>
      </c>
      <c r="M3689" s="76">
        <f>J3689*L3689</f>
        <v>513.94240000000002</v>
      </c>
      <c r="N3689" s="77"/>
      <c r="O3689" s="77"/>
      <c r="P3689" s="76"/>
      <c r="Q3689" s="76"/>
    </row>
    <row r="3690" spans="4:17" hidden="1" outlineLevel="2" collapsed="1" x14ac:dyDescent="0.25">
      <c r="D3690" s="84" t="s">
        <v>1540</v>
      </c>
      <c r="E3690" s="79"/>
      <c r="F3690" s="79"/>
      <c r="G3690" s="79"/>
      <c r="H3690" s="80"/>
      <c r="I3690" s="81"/>
      <c r="J3690" s="83">
        <f>HYPERLINK("#Структура!E3156",Структура!E3156)</f>
        <v>3</v>
      </c>
      <c r="K3690" s="115">
        <f>HYPERLINK("#Структура!G3156",Структура!G3156)</f>
        <v>0.10934000000000001</v>
      </c>
      <c r="L3690" s="81">
        <f>M3690/J3690</f>
        <v>21.703999999999997</v>
      </c>
      <c r="M3690" s="81">
        <f>SUMIF(E3691,"*",M3691)*J3690</f>
        <v>65.111999999999995</v>
      </c>
      <c r="N3690" s="124">
        <f>HYPERLINK("#Трудозатраты!B818",Трудозатраты!B818+SUMIF(E3691,"*",O3691))</f>
        <v>0.45</v>
      </c>
      <c r="O3690" s="82">
        <f>N3690*J3690</f>
        <v>1.35</v>
      </c>
      <c r="P3690" s="81">
        <f>O3690/60*(1+запас_труд)*стоимость_трудочаса</f>
        <v>52.875000000000007</v>
      </c>
      <c r="Q3690" s="129">
        <f>M3690*(1+наценка_покупное)+P3690</f>
        <v>131.0094</v>
      </c>
    </row>
    <row r="3691" spans="4:17" hidden="1" outlineLevel="3" x14ac:dyDescent="0.25">
      <c r="E3691" s="74" t="s">
        <v>131</v>
      </c>
      <c r="F3691" s="74"/>
      <c r="G3691" s="74"/>
      <c r="H3691" s="75"/>
      <c r="I3691" s="76"/>
      <c r="J3691" s="78">
        <f>HYPERLINK("#Структура!E3195",Структура!E3195)</f>
        <v>0.13564999999999999</v>
      </c>
      <c r="K3691" s="114" t="str">
        <f>HYPERLINK("#Структура!G3195","")</f>
        <v/>
      </c>
      <c r="L3691" s="120">
        <f>HYPERLINK("#Покупные_изделия!D306",Покупные_изделия!D306)</f>
        <v>160</v>
      </c>
      <c r="M3691" s="76">
        <f>J3691*L3691</f>
        <v>21.704000000000001</v>
      </c>
      <c r="N3691" s="77"/>
      <c r="O3691" s="77"/>
      <c r="P3691" s="76"/>
      <c r="Q3691" s="76"/>
    </row>
    <row r="3692" spans="4:17" hidden="1" outlineLevel="2" collapsed="1" x14ac:dyDescent="0.25">
      <c r="D3692" s="84" t="s">
        <v>1541</v>
      </c>
      <c r="E3692" s="79"/>
      <c r="F3692" s="79"/>
      <c r="G3692" s="79"/>
      <c r="H3692" s="80"/>
      <c r="I3692" s="81"/>
      <c r="J3692" s="83">
        <f>HYPERLINK("#Структура!E3157",Структура!E3157)</f>
        <v>3</v>
      </c>
      <c r="K3692" s="115">
        <f>HYPERLINK("#Структура!G3157",Структура!G3157)</f>
        <v>6.6170000000000007E-2</v>
      </c>
      <c r="L3692" s="81">
        <f>M3692/J3692</f>
        <v>13.564799999999998</v>
      </c>
      <c r="M3692" s="81">
        <f>SUMIF(E3693,"*",M3693)*J3692</f>
        <v>40.694399999999995</v>
      </c>
      <c r="N3692" s="124">
        <f>HYPERLINK("#Трудозатраты!B819",Трудозатраты!B819+SUMIF(E3693,"*",O3693))</f>
        <v>0.3</v>
      </c>
      <c r="O3692" s="82">
        <f>N3692*J3692</f>
        <v>0.89999999999999991</v>
      </c>
      <c r="P3692" s="81">
        <f>O3692/60*(1+запас_труд)*стоимость_трудочаса</f>
        <v>35.249999999999993</v>
      </c>
      <c r="Q3692" s="129">
        <f>M3692*(1+наценка_покупное)+P3692</f>
        <v>84.083279999999988</v>
      </c>
    </row>
    <row r="3693" spans="4:17" hidden="1" outlineLevel="3" x14ac:dyDescent="0.25">
      <c r="E3693" s="74" t="s">
        <v>131</v>
      </c>
      <c r="F3693" s="74"/>
      <c r="G3693" s="74"/>
      <c r="H3693" s="75"/>
      <c r="I3693" s="76"/>
      <c r="J3693" s="78">
        <f>HYPERLINK("#Структура!E3196",Структура!E3196)</f>
        <v>8.4779999999999994E-2</v>
      </c>
      <c r="K3693" s="114" t="str">
        <f>HYPERLINK("#Структура!G3196","")</f>
        <v/>
      </c>
      <c r="L3693" s="120">
        <f>HYPERLINK("#Покупные_изделия!D306",Покупные_изделия!D306)</f>
        <v>160</v>
      </c>
      <c r="M3693" s="76">
        <f>J3693*L3693</f>
        <v>13.564799999999998</v>
      </c>
      <c r="N3693" s="77"/>
      <c r="O3693" s="77"/>
      <c r="P3693" s="76"/>
      <c r="Q3693" s="76"/>
    </row>
    <row r="3694" spans="4:17" hidden="1" outlineLevel="2" collapsed="1" x14ac:dyDescent="0.25">
      <c r="D3694" s="84" t="s">
        <v>1542</v>
      </c>
      <c r="E3694" s="79"/>
      <c r="F3694" s="79"/>
      <c r="G3694" s="79"/>
      <c r="H3694" s="80"/>
      <c r="I3694" s="81"/>
      <c r="J3694" s="83">
        <f>HYPERLINK("#Структура!E3158",Структура!E3158)</f>
        <v>1</v>
      </c>
      <c r="K3694" s="115">
        <f>HYPERLINK("#Структура!G3158",Структура!G3158)</f>
        <v>1.5971900000000001</v>
      </c>
      <c r="L3694" s="81">
        <f>M3694/J3694</f>
        <v>306.0224</v>
      </c>
      <c r="M3694" s="81">
        <f>SUMIF(E3695,"*",M3695)*J3694</f>
        <v>306.0224</v>
      </c>
      <c r="N3694" s="124">
        <f>HYPERLINK("#Трудозатраты!B820",Трудозатраты!B820+SUMIF(E3695,"*",O3695))</f>
        <v>5.55</v>
      </c>
      <c r="O3694" s="82">
        <f>N3694*J3694</f>
        <v>5.55</v>
      </c>
      <c r="P3694" s="81">
        <f>O3694/60*(1+запас_труд)*стоимость_трудочаса</f>
        <v>217.375</v>
      </c>
      <c r="Q3694" s="129">
        <f>M3694*(1+наценка_покупное)+P3694</f>
        <v>584.60187999999994</v>
      </c>
    </row>
    <row r="3695" spans="4:17" hidden="1" outlineLevel="3" x14ac:dyDescent="0.25">
      <c r="E3695" s="74" t="s">
        <v>131</v>
      </c>
      <c r="F3695" s="74"/>
      <c r="G3695" s="74"/>
      <c r="H3695" s="75"/>
      <c r="I3695" s="76"/>
      <c r="J3695" s="78">
        <f>HYPERLINK("#Структура!E3197",Структура!E3197)</f>
        <v>1.9126399999999999</v>
      </c>
      <c r="K3695" s="114" t="str">
        <f>HYPERLINK("#Структура!G3197","")</f>
        <v/>
      </c>
      <c r="L3695" s="120">
        <f>HYPERLINK("#Покупные_изделия!D306",Покупные_изделия!D306)</f>
        <v>160</v>
      </c>
      <c r="M3695" s="76">
        <f>J3695*L3695</f>
        <v>306.0224</v>
      </c>
      <c r="N3695" s="77"/>
      <c r="O3695" s="77"/>
      <c r="P3695" s="76"/>
      <c r="Q3695" s="76"/>
    </row>
    <row r="3696" spans="4:17" hidden="1" outlineLevel="2" collapsed="1" x14ac:dyDescent="0.25">
      <c r="D3696" s="84" t="s">
        <v>1543</v>
      </c>
      <c r="E3696" s="79"/>
      <c r="F3696" s="79"/>
      <c r="G3696" s="79"/>
      <c r="H3696" s="80"/>
      <c r="I3696" s="81"/>
      <c r="J3696" s="83">
        <f>HYPERLINK("#Структура!E3159",Структура!E3159)</f>
        <v>10</v>
      </c>
      <c r="K3696" s="115">
        <f>HYPERLINK("#Структура!G3159",Структура!G3159)</f>
        <v>7.0004</v>
      </c>
      <c r="L3696" s="81">
        <f>M3696/J3696</f>
        <v>1363.0992000000001</v>
      </c>
      <c r="M3696" s="81">
        <f>SUMIF(E3697,"*",M3697)*J3696</f>
        <v>13630.992000000002</v>
      </c>
      <c r="N3696" s="124">
        <f>HYPERLINK("#Трудозатраты!B821",Трудозатраты!B821+SUMIF(E3697,"*",O3697))</f>
        <v>19</v>
      </c>
      <c r="O3696" s="82">
        <f>N3696*J3696</f>
        <v>190</v>
      </c>
      <c r="P3696" s="81">
        <f>O3696/60*(1+запас_труд)*стоимость_трудочаса</f>
        <v>7441.6666666666661</v>
      </c>
      <c r="Q3696" s="129">
        <f>M3696*(1+наценка_покупное)+P3696</f>
        <v>23798.857066666667</v>
      </c>
    </row>
    <row r="3697" spans="3:17" hidden="1" outlineLevel="3" x14ac:dyDescent="0.25">
      <c r="E3697" s="74" t="s">
        <v>131</v>
      </c>
      <c r="F3697" s="74"/>
      <c r="G3697" s="74"/>
      <c r="H3697" s="75"/>
      <c r="I3697" s="76"/>
      <c r="J3697" s="78">
        <f>HYPERLINK("#Структура!E3198",Структура!E3198)</f>
        <v>8.5193700000000003</v>
      </c>
      <c r="K3697" s="114" t="str">
        <f>HYPERLINK("#Структура!G3198","")</f>
        <v/>
      </c>
      <c r="L3697" s="120">
        <f>HYPERLINK("#Покупные_изделия!D306",Покупные_изделия!D306)</f>
        <v>160</v>
      </c>
      <c r="M3697" s="76">
        <f>J3697*L3697</f>
        <v>1363.0992000000001</v>
      </c>
      <c r="N3697" s="77"/>
      <c r="O3697" s="77"/>
      <c r="P3697" s="76"/>
      <c r="Q3697" s="76"/>
    </row>
    <row r="3698" spans="3:17" hidden="1" outlineLevel="2" collapsed="1" x14ac:dyDescent="0.25">
      <c r="D3698" s="84" t="s">
        <v>1544</v>
      </c>
      <c r="E3698" s="79"/>
      <c r="F3698" s="79"/>
      <c r="G3698" s="79"/>
      <c r="H3698" s="80"/>
      <c r="I3698" s="81"/>
      <c r="J3698" s="83">
        <f>HYPERLINK("#Структура!E3160",Структура!E3160)</f>
        <v>20</v>
      </c>
      <c r="K3698" s="115">
        <f>HYPERLINK("#Структура!G3160",Структура!G3160)</f>
        <v>1.04867</v>
      </c>
      <c r="L3698" s="81">
        <f>M3698/J3698</f>
        <v>207.54079999999999</v>
      </c>
      <c r="M3698" s="81">
        <f>SUMIF(E3699,"*",M3699)*J3698</f>
        <v>4150.8159999999998</v>
      </c>
      <c r="N3698" s="124">
        <f>HYPERLINK("#Трудозатраты!B822",Трудозатраты!B822+SUMIF(E3699,"*",O3699))</f>
        <v>4.5</v>
      </c>
      <c r="O3698" s="82">
        <f>N3698*J3698</f>
        <v>90</v>
      </c>
      <c r="P3698" s="81">
        <f>O3698/60*(1+запас_труд)*стоимость_трудочаса</f>
        <v>3525</v>
      </c>
      <c r="Q3698" s="129">
        <f>M3698*(1+наценка_покупное)+P3698</f>
        <v>8505.9791999999998</v>
      </c>
    </row>
    <row r="3699" spans="3:17" hidden="1" outlineLevel="3" x14ac:dyDescent="0.25">
      <c r="E3699" s="74" t="s">
        <v>131</v>
      </c>
      <c r="F3699" s="74"/>
      <c r="G3699" s="74"/>
      <c r="H3699" s="75"/>
      <c r="I3699" s="76"/>
      <c r="J3699" s="78">
        <f>HYPERLINK("#Структура!E3199",Структура!E3199)</f>
        <v>1.2971299999999999</v>
      </c>
      <c r="K3699" s="114" t="str">
        <f>HYPERLINK("#Структура!G3199","")</f>
        <v/>
      </c>
      <c r="L3699" s="120">
        <f>HYPERLINK("#Покупные_изделия!D306",Покупные_изделия!D306)</f>
        <v>160</v>
      </c>
      <c r="M3699" s="76">
        <f>J3699*L3699</f>
        <v>207.54079999999999</v>
      </c>
      <c r="N3699" s="77"/>
      <c r="O3699" s="77"/>
      <c r="P3699" s="76"/>
      <c r="Q3699" s="76"/>
    </row>
    <row r="3700" spans="3:17" hidden="1" outlineLevel="2" collapsed="1" x14ac:dyDescent="0.25">
      <c r="D3700" s="84" t="s">
        <v>1545</v>
      </c>
      <c r="E3700" s="79"/>
      <c r="F3700" s="79"/>
      <c r="G3700" s="79"/>
      <c r="H3700" s="80"/>
      <c r="I3700" s="81"/>
      <c r="J3700" s="83">
        <f>HYPERLINK("#Структура!E3161",Структура!E3161)</f>
        <v>10</v>
      </c>
      <c r="K3700" s="115">
        <f>HYPERLINK("#Структура!G3161",Структура!G3161)</f>
        <v>3.0847000000000002</v>
      </c>
      <c r="L3700" s="81">
        <f>M3700/J3700</f>
        <v>1167.3600000000001</v>
      </c>
      <c r="M3700" s="81">
        <f>SUMIF(E3701,"*",M3701)*J3700</f>
        <v>11673.600000000002</v>
      </c>
      <c r="N3700" s="124">
        <f>HYPERLINK("#Трудозатраты!B823",Трудозатраты!B823+SUMIF(E3701,"*",O3701))</f>
        <v>2.35</v>
      </c>
      <c r="O3700" s="82">
        <f>N3700*J3700</f>
        <v>23.5</v>
      </c>
      <c r="P3700" s="81">
        <f>O3700/60*(1+запас_труд)*стоимость_трудочаса</f>
        <v>920.41666666666663</v>
      </c>
      <c r="Q3700" s="129">
        <f>M3700*(1+наценка_покупное)+P3700</f>
        <v>14928.736666666668</v>
      </c>
    </row>
    <row r="3701" spans="3:17" hidden="1" outlineLevel="3" x14ac:dyDescent="0.25">
      <c r="E3701" s="74" t="s">
        <v>131</v>
      </c>
      <c r="F3701" s="74"/>
      <c r="G3701" s="74"/>
      <c r="H3701" s="75"/>
      <c r="I3701" s="76"/>
      <c r="J3701" s="78">
        <f>HYPERLINK("#Структура!E3200",Структура!E3200)</f>
        <v>7.2960000000000003</v>
      </c>
      <c r="K3701" s="114" t="str">
        <f>HYPERLINK("#Структура!G3200","")</f>
        <v/>
      </c>
      <c r="L3701" s="120">
        <f>HYPERLINK("#Покупные_изделия!D306",Покупные_изделия!D306)</f>
        <v>160</v>
      </c>
      <c r="M3701" s="76">
        <f>J3701*L3701</f>
        <v>1167.3600000000001</v>
      </c>
      <c r="N3701" s="77"/>
      <c r="O3701" s="77"/>
      <c r="P3701" s="76"/>
      <c r="Q3701" s="76"/>
    </row>
    <row r="3702" spans="3:17" hidden="1" outlineLevel="2" collapsed="1" x14ac:dyDescent="0.25">
      <c r="D3702" s="84" t="s">
        <v>1546</v>
      </c>
      <c r="E3702" s="79"/>
      <c r="F3702" s="79"/>
      <c r="G3702" s="79"/>
      <c r="H3702" s="80"/>
      <c r="I3702" s="81"/>
      <c r="J3702" s="83">
        <f>HYPERLINK("#Структура!E3162",Структура!E3162)</f>
        <v>1</v>
      </c>
      <c r="K3702" s="115">
        <f>HYPERLINK("#Структура!G3162",Структура!G3162)</f>
        <v>1.8851599999999999</v>
      </c>
      <c r="L3702" s="81">
        <f>M3702/J3702</f>
        <v>366.24959999999999</v>
      </c>
      <c r="M3702" s="81">
        <f>SUMIF(E3703,"*",M3703)*J3702</f>
        <v>366.24959999999999</v>
      </c>
      <c r="N3702" s="124">
        <f>HYPERLINK("#Трудозатраты!B824",Трудозатраты!B824+SUMIF(E3703,"*",O3703))</f>
        <v>5.75</v>
      </c>
      <c r="O3702" s="82">
        <f>N3702*J3702</f>
        <v>5.75</v>
      </c>
      <c r="P3702" s="81">
        <f>O3702/60*(1+запас_труд)*стоимость_трудочаса</f>
        <v>225.20833333333334</v>
      </c>
      <c r="Q3702" s="129">
        <f>M3702*(1+наценка_покупное)+P3702</f>
        <v>664.70785333333333</v>
      </c>
    </row>
    <row r="3703" spans="3:17" hidden="1" outlineLevel="3" x14ac:dyDescent="0.25">
      <c r="E3703" s="74" t="s">
        <v>131</v>
      </c>
      <c r="F3703" s="74"/>
      <c r="G3703" s="74"/>
      <c r="H3703" s="75"/>
      <c r="I3703" s="76"/>
      <c r="J3703" s="78">
        <f>HYPERLINK("#Структура!E3201",Структура!E3201)</f>
        <v>2.2890600000000001</v>
      </c>
      <c r="K3703" s="114" t="str">
        <f>HYPERLINK("#Структура!G3201","")</f>
        <v/>
      </c>
      <c r="L3703" s="120">
        <f>HYPERLINK("#Покупные_изделия!D306",Покупные_изделия!D306)</f>
        <v>160</v>
      </c>
      <c r="M3703" s="76">
        <f t="shared" ref="M3703:M3711" si="139">J3703*L3703</f>
        <v>366.24959999999999</v>
      </c>
      <c r="N3703" s="77"/>
      <c r="O3703" s="77"/>
      <c r="P3703" s="76"/>
      <c r="Q3703" s="76"/>
    </row>
    <row r="3704" spans="3:17" hidden="1" outlineLevel="2" x14ac:dyDescent="0.25">
      <c r="D3704" s="74" t="s">
        <v>1547</v>
      </c>
      <c r="E3704" s="74"/>
      <c r="F3704" s="74"/>
      <c r="G3704" s="74"/>
      <c r="H3704" s="75"/>
      <c r="I3704" s="76"/>
      <c r="J3704" s="78">
        <f>HYPERLINK("#Структура!E3163",Структура!E3163)</f>
        <v>100</v>
      </c>
      <c r="K3704" s="114">
        <f>HYPERLINK("#Структура!G3163",Структура!G3163)</f>
        <v>2.9950000000000001E-2</v>
      </c>
      <c r="L3704" s="120">
        <f>HYPERLINK("#Покупные_изделия!D72",Покупные_изделия!D72)</f>
        <v>12.6</v>
      </c>
      <c r="M3704" s="76">
        <f t="shared" si="139"/>
        <v>1260</v>
      </c>
      <c r="N3704" s="77"/>
      <c r="O3704" s="77"/>
      <c r="P3704" s="76"/>
      <c r="Q3704" s="76"/>
    </row>
    <row r="3705" spans="3:17" hidden="1" outlineLevel="2" x14ac:dyDescent="0.25">
      <c r="D3705" s="74" t="s">
        <v>1290</v>
      </c>
      <c r="E3705" s="74"/>
      <c r="F3705" s="74"/>
      <c r="G3705" s="74"/>
      <c r="H3705" s="75"/>
      <c r="I3705" s="76"/>
      <c r="J3705" s="78">
        <f>HYPERLINK("#Структура!E3164",Структура!E3164)</f>
        <v>84</v>
      </c>
      <c r="K3705" s="114">
        <f>HYPERLINK("#Структура!G3164",Структура!G3164)</f>
        <v>3.1600000000000003E-2</v>
      </c>
      <c r="L3705" s="120">
        <f>HYPERLINK("#Покупные_изделия!D73",Покупные_изделия!D73)</f>
        <v>12.888</v>
      </c>
      <c r="M3705" s="76">
        <f t="shared" si="139"/>
        <v>1082.5920000000001</v>
      </c>
      <c r="N3705" s="77"/>
      <c r="O3705" s="77"/>
      <c r="P3705" s="76"/>
      <c r="Q3705" s="76"/>
    </row>
    <row r="3706" spans="3:17" hidden="1" outlineLevel="2" x14ac:dyDescent="0.25">
      <c r="D3706" s="74" t="s">
        <v>623</v>
      </c>
      <c r="E3706" s="74"/>
      <c r="F3706" s="74"/>
      <c r="G3706" s="74"/>
      <c r="H3706" s="75"/>
      <c r="I3706" s="76"/>
      <c r="J3706" s="78">
        <f>HYPERLINK("#Структура!E3165",Структура!E3165)</f>
        <v>107</v>
      </c>
      <c r="K3706" s="114">
        <f>HYPERLINK("#Структура!G3165",Структура!G3165)</f>
        <v>1.67E-2</v>
      </c>
      <c r="L3706" s="120">
        <f>HYPERLINK("#Покупные_изделия!D86",Покупные_изделия!D86)</f>
        <v>8.7719999999999985</v>
      </c>
      <c r="M3706" s="76">
        <f t="shared" si="139"/>
        <v>938.60399999999981</v>
      </c>
      <c r="N3706" s="77"/>
      <c r="O3706" s="77"/>
      <c r="P3706" s="76"/>
      <c r="Q3706" s="76"/>
    </row>
    <row r="3707" spans="3:17" hidden="1" outlineLevel="2" x14ac:dyDescent="0.25">
      <c r="D3707" s="74" t="s">
        <v>1548</v>
      </c>
      <c r="E3707" s="74"/>
      <c r="F3707" s="74"/>
      <c r="G3707" s="74"/>
      <c r="H3707" s="75"/>
      <c r="I3707" s="76"/>
      <c r="J3707" s="78">
        <f>HYPERLINK("#Структура!E3166",Структура!E3166)</f>
        <v>8</v>
      </c>
      <c r="K3707" s="114">
        <f>HYPERLINK("#Структура!G3166",Структура!G3166)</f>
        <v>2.1180000000000001E-2</v>
      </c>
      <c r="L3707" s="120">
        <f>HYPERLINK("#Покупные_изделия!D134",Покупные_изделия!D134)</f>
        <v>88.176000000000002</v>
      </c>
      <c r="M3707" s="76">
        <f t="shared" si="139"/>
        <v>705.40800000000002</v>
      </c>
      <c r="N3707" s="77"/>
      <c r="O3707" s="77"/>
      <c r="P3707" s="76"/>
      <c r="Q3707" s="76"/>
    </row>
    <row r="3708" spans="3:17" hidden="1" outlineLevel="2" x14ac:dyDescent="0.25">
      <c r="D3708" s="74" t="s">
        <v>1066</v>
      </c>
      <c r="E3708" s="74"/>
      <c r="F3708" s="74"/>
      <c r="G3708" s="74"/>
      <c r="H3708" s="75"/>
      <c r="I3708" s="76"/>
      <c r="J3708" s="78">
        <f>HYPERLINK("#Структура!E3167",Структура!E3167)</f>
        <v>102</v>
      </c>
      <c r="K3708" s="114">
        <f>HYPERLINK("#Структура!G3167",Структура!G3167)</f>
        <v>2.53E-2</v>
      </c>
      <c r="L3708" s="120">
        <f>HYPERLINK("#Покупные_изделия!D137",Покупные_изделия!D137)</f>
        <v>40.163999999999994</v>
      </c>
      <c r="M3708" s="76">
        <f t="shared" si="139"/>
        <v>4096.7279999999992</v>
      </c>
      <c r="N3708" s="77"/>
      <c r="O3708" s="77"/>
      <c r="P3708" s="76"/>
      <c r="Q3708" s="76"/>
    </row>
    <row r="3709" spans="3:17" hidden="1" outlineLevel="2" x14ac:dyDescent="0.25">
      <c r="D3709" s="74" t="s">
        <v>766</v>
      </c>
      <c r="E3709" s="74"/>
      <c r="F3709" s="74"/>
      <c r="G3709" s="74"/>
      <c r="H3709" s="75"/>
      <c r="I3709" s="76"/>
      <c r="J3709" s="78">
        <f>HYPERLINK("#Структура!E3168",Структура!E3168)</f>
        <v>192</v>
      </c>
      <c r="K3709" s="114">
        <f>HYPERLINK("#Структура!G3168",Структура!G3168)</f>
        <v>1.1299999999999999E-2</v>
      </c>
      <c r="L3709" s="120">
        <f>HYPERLINK("#Покупные_изделия!D163",Покупные_изделия!D163)</f>
        <v>4.1525058823529415</v>
      </c>
      <c r="M3709" s="76">
        <f t="shared" si="139"/>
        <v>797.28112941176482</v>
      </c>
      <c r="N3709" s="77"/>
      <c r="O3709" s="77"/>
      <c r="P3709" s="76"/>
      <c r="Q3709" s="76"/>
    </row>
    <row r="3710" spans="3:17" hidden="1" outlineLevel="2" x14ac:dyDescent="0.25">
      <c r="D3710" s="74" t="s">
        <v>625</v>
      </c>
      <c r="E3710" s="74"/>
      <c r="F3710" s="74"/>
      <c r="G3710" s="74"/>
      <c r="H3710" s="75"/>
      <c r="I3710" s="76"/>
      <c r="J3710" s="78">
        <f>HYPERLINK("#Структура!E3169",Структура!E3169)</f>
        <v>209</v>
      </c>
      <c r="K3710" s="114">
        <f>HYPERLINK("#Структура!G3169",Структура!G3169)</f>
        <v>7.1399999999999996E-3</v>
      </c>
      <c r="L3710" s="120">
        <f>HYPERLINK("#Покупные_изделия!D168",Покупные_изделия!D168)</f>
        <v>1.9715672368421051</v>
      </c>
      <c r="M3710" s="76">
        <f t="shared" si="139"/>
        <v>412.05755249999999</v>
      </c>
      <c r="N3710" s="77"/>
      <c r="O3710" s="77"/>
      <c r="P3710" s="76"/>
      <c r="Q3710" s="76"/>
    </row>
    <row r="3711" spans="3:17" hidden="1" outlineLevel="2" x14ac:dyDescent="0.25">
      <c r="D3711" s="74" t="s">
        <v>768</v>
      </c>
      <c r="E3711" s="74"/>
      <c r="F3711" s="74"/>
      <c r="G3711" s="74"/>
      <c r="H3711" s="75"/>
      <c r="I3711" s="76"/>
      <c r="J3711" s="78">
        <f>HYPERLINK("#Структура!E3170",Структура!E3170)</f>
        <v>24</v>
      </c>
      <c r="K3711" s="114">
        <f>HYPERLINK("#Структура!G3170",Структура!G3170)</f>
        <v>3.4399999999999999E-3</v>
      </c>
      <c r="L3711" s="120">
        <f>HYPERLINK("#Покупные_изделия!D538",Покупные_изделия!D538)</f>
        <v>1.68</v>
      </c>
      <c r="M3711" s="76">
        <f t="shared" si="139"/>
        <v>40.32</v>
      </c>
      <c r="N3711" s="77"/>
      <c r="O3711" s="77"/>
      <c r="P3711" s="76"/>
      <c r="Q3711" s="76"/>
    </row>
    <row r="3712" spans="3:17" hidden="1" outlineLevel="1" collapsed="1" x14ac:dyDescent="0.25">
      <c r="C3712" s="96" t="s">
        <v>1557</v>
      </c>
      <c r="D3712" s="91"/>
      <c r="E3712" s="91"/>
      <c r="F3712" s="91"/>
      <c r="G3712" s="91"/>
      <c r="H3712" s="92"/>
      <c r="I3712" s="93"/>
      <c r="J3712" s="95">
        <f>HYPERLINK("#Структура!E3262",Структура!E3262)</f>
        <v>1</v>
      </c>
      <c r="K3712" s="116">
        <f>HYPERLINK("#Структура!G3262",Структура!G3262)</f>
        <v>1829.30396</v>
      </c>
      <c r="L3712" s="93">
        <f>M3712/J3712</f>
        <v>411704.53456615005</v>
      </c>
      <c r="M3712" s="93">
        <f>SUMIF(D3713:D4142,"*",M3713:M4142)*J3712</f>
        <v>411704.53456615005</v>
      </c>
      <c r="N3712" s="125">
        <f>HYPERLINK("#Трудозатраты!B842",Трудозатраты!B842+SUMIF(D3713:D4142,"*",O3713:O4142))</f>
        <v>11008.75</v>
      </c>
      <c r="O3712" s="94">
        <f>N3712*J3712</f>
        <v>11008.75</v>
      </c>
      <c r="P3712" s="93">
        <f>O3712/60*(1+запас_труд)*стоимость_трудочаса</f>
        <v>431176.04166666663</v>
      </c>
      <c r="Q3712" s="130">
        <f>M3712*(1+наценка_покупное)+P3712</f>
        <v>925221.48314604664</v>
      </c>
    </row>
    <row r="3713" spans="4:17" hidden="1" outlineLevel="2" collapsed="1" x14ac:dyDescent="0.25">
      <c r="D3713" s="97" t="s">
        <v>849</v>
      </c>
      <c r="E3713" s="98"/>
      <c r="F3713" s="98"/>
      <c r="G3713" s="98"/>
      <c r="H3713" s="99"/>
      <c r="I3713" s="100"/>
      <c r="J3713" s="102">
        <f>HYPERLINK("#Структура!E3306",Структура!E3306)</f>
        <v>1</v>
      </c>
      <c r="K3713" s="112">
        <f>HYPERLINK("#Структура!G3306",Структура!G3306)</f>
        <v>1124.9140600000001</v>
      </c>
      <c r="L3713" s="100">
        <f>M3713/J3713</f>
        <v>201752.03065343175</v>
      </c>
      <c r="M3713" s="100">
        <f>SUMIF(E3714:E4002,"*",M3714:M4002)*J3713</f>
        <v>201752.03065343175</v>
      </c>
      <c r="N3713" s="122">
        <f>HYPERLINK("#Трудозатраты!B185",Трудозатраты!B185+SUMIF(E3714:E4002,"*",O3714:O4002))</f>
        <v>3777.61</v>
      </c>
      <c r="O3713" s="101">
        <f>N3713*J3713</f>
        <v>3777.61</v>
      </c>
      <c r="P3713" s="100">
        <f>O3713/60*(1+запас_труд)*стоимость_трудочаса</f>
        <v>147956.39166666666</v>
      </c>
      <c r="Q3713" s="127">
        <f>M3713*(1+наценка_покупное)+P3713</f>
        <v>390058.82845078479</v>
      </c>
    </row>
    <row r="3714" spans="4:17" hidden="1" outlineLevel="3" collapsed="1" x14ac:dyDescent="0.25">
      <c r="E3714" s="97" t="s">
        <v>848</v>
      </c>
      <c r="F3714" s="98"/>
      <c r="G3714" s="98"/>
      <c r="H3714" s="99"/>
      <c r="I3714" s="100"/>
      <c r="J3714" s="102">
        <f>HYPERLINK("#Структура!E811",Структура!E811)</f>
        <v>1</v>
      </c>
      <c r="K3714" s="112">
        <f>HYPERLINK("#Структура!G811",Структура!G811)</f>
        <v>3.6940300000000001</v>
      </c>
      <c r="L3714" s="100">
        <f>M3714/J3714</f>
        <v>819.51296000000002</v>
      </c>
      <c r="M3714" s="100">
        <f>SUMIF(F3715:F3722,"*",M3715:M3722)*J3714</f>
        <v>819.51296000000002</v>
      </c>
      <c r="N3714" s="122">
        <f>HYPERLINK("#Трудозатраты!B191",Трудозатраты!B191+SUMIF(F3715:F3722,"*",O3715:O3722))</f>
        <v>30.2</v>
      </c>
      <c r="O3714" s="101">
        <f>N3714*J3714</f>
        <v>30.2</v>
      </c>
      <c r="P3714" s="100">
        <f>O3714/60*(1+запас_труд)*стоимость_трудочаса</f>
        <v>1182.8333333333333</v>
      </c>
      <c r="Q3714" s="127">
        <f>M3714*(1+наценка_покупное)+P3714</f>
        <v>2166.2488853333334</v>
      </c>
    </row>
    <row r="3715" spans="4:17" hidden="1" outlineLevel="4" collapsed="1" x14ac:dyDescent="0.25">
      <c r="F3715" s="85" t="s">
        <v>867</v>
      </c>
      <c r="G3715" s="86"/>
      <c r="H3715" s="87"/>
      <c r="I3715" s="88"/>
      <c r="J3715" s="90">
        <f>HYPERLINK("#Структура!E845",Структура!E845)</f>
        <v>1</v>
      </c>
      <c r="K3715" s="113">
        <f>HYPERLINK("#Структура!G845",Структура!G845)</f>
        <v>3.3711600000000002</v>
      </c>
      <c r="L3715" s="88">
        <f>M3715/J3715</f>
        <v>717.57760000000007</v>
      </c>
      <c r="M3715" s="88">
        <f>SUMIF(G3716,"*",M3716)*J3715</f>
        <v>717.57760000000007</v>
      </c>
      <c r="N3715" s="123">
        <f>HYPERLINK("#Трудозатраты!B192",Трудозатраты!B192+SUMIF(G3716,"*",O3716))</f>
        <v>10.1</v>
      </c>
      <c r="O3715" s="89">
        <f>N3715*J3715</f>
        <v>10.1</v>
      </c>
      <c r="P3715" s="88">
        <f>O3715/60*(1+запас_труд)*стоимость_трудочаса</f>
        <v>395.58333333333331</v>
      </c>
      <c r="Q3715" s="128">
        <f>M3715*(1+наценка_покупное)+P3715</f>
        <v>1256.6764533333335</v>
      </c>
    </row>
    <row r="3716" spans="4:17" hidden="1" outlineLevel="5" x14ac:dyDescent="0.25">
      <c r="G3716" s="74" t="s">
        <v>131</v>
      </c>
      <c r="H3716" s="75"/>
      <c r="I3716" s="76"/>
      <c r="J3716" s="78">
        <f>HYPERLINK("#Структура!E850",Структура!E850)</f>
        <v>4.4848600000000003</v>
      </c>
      <c r="K3716" s="114" t="str">
        <f>HYPERLINK("#Структура!G850","")</f>
        <v/>
      </c>
      <c r="L3716" s="120">
        <f>HYPERLINK("#Покупные_изделия!D306",Покупные_изделия!D306)</f>
        <v>160</v>
      </c>
      <c r="M3716" s="76">
        <f>J3716*L3716</f>
        <v>717.57760000000007</v>
      </c>
      <c r="N3716" s="77"/>
      <c r="O3716" s="77"/>
      <c r="P3716" s="76"/>
      <c r="Q3716" s="76"/>
    </row>
    <row r="3717" spans="4:17" hidden="1" outlineLevel="4" collapsed="1" x14ac:dyDescent="0.25">
      <c r="F3717" s="84" t="s">
        <v>868</v>
      </c>
      <c r="G3717" s="79"/>
      <c r="H3717" s="80"/>
      <c r="I3717" s="81"/>
      <c r="J3717" s="83">
        <f>HYPERLINK("#Структура!E846",Структура!E846)</f>
        <v>2</v>
      </c>
      <c r="K3717" s="115">
        <f>HYPERLINK("#Структура!G846",Структура!G846)</f>
        <v>2.1559999999999999E-2</v>
      </c>
      <c r="L3717" s="81">
        <f>M3717/J3717</f>
        <v>4.2736000000000001</v>
      </c>
      <c r="M3717" s="81">
        <f>SUMIF(G3718,"*",M3718)*J3717</f>
        <v>8.5472000000000001</v>
      </c>
      <c r="N3717" s="124">
        <f>HYPERLINK("#Трудозатраты!B193",Трудозатраты!B193+SUMIF(G3718,"*",O3718))</f>
        <v>4.8</v>
      </c>
      <c r="O3717" s="82">
        <f>N3717*J3717</f>
        <v>9.6</v>
      </c>
      <c r="P3717" s="81">
        <f>O3717/60*(1+запас_труд)*стоимость_трудочаса</f>
        <v>376</v>
      </c>
      <c r="Q3717" s="129">
        <f>M3717*(1+наценка_покупное)+P3717</f>
        <v>386.25664</v>
      </c>
    </row>
    <row r="3718" spans="4:17" hidden="1" outlineLevel="5" x14ac:dyDescent="0.25">
      <c r="G3718" s="74" t="s">
        <v>128</v>
      </c>
      <c r="H3718" s="75"/>
      <c r="I3718" s="76"/>
      <c r="J3718" s="78">
        <f>HYPERLINK("#Структура!E851",Структура!E851)</f>
        <v>2.6710000000000001E-2</v>
      </c>
      <c r="K3718" s="114" t="str">
        <f>HYPERLINK("#Структура!G851","")</f>
        <v/>
      </c>
      <c r="L3718" s="120">
        <f>HYPERLINK("#Покупные_изделия!D303",Покупные_изделия!D303)</f>
        <v>160</v>
      </c>
      <c r="M3718" s="76">
        <f>J3718*L3718</f>
        <v>4.2736000000000001</v>
      </c>
      <c r="N3718" s="77"/>
      <c r="O3718" s="77"/>
      <c r="P3718" s="76"/>
      <c r="Q3718" s="76"/>
    </row>
    <row r="3719" spans="4:17" hidden="1" outlineLevel="4" collapsed="1" x14ac:dyDescent="0.25">
      <c r="F3719" s="84" t="s">
        <v>869</v>
      </c>
      <c r="G3719" s="79"/>
      <c r="H3719" s="80"/>
      <c r="I3719" s="81"/>
      <c r="J3719" s="83">
        <f>HYPERLINK("#Структура!E847",Структура!E847)</f>
        <v>1</v>
      </c>
      <c r="K3719" s="115">
        <f>HYPERLINK("#Структура!G847",Структура!G847)</f>
        <v>0.25583</v>
      </c>
      <c r="L3719" s="81">
        <f>M3719/J3719</f>
        <v>48.958399999999997</v>
      </c>
      <c r="M3719" s="81">
        <f>SUMIF(G3720,"*",M3720)*J3719</f>
        <v>48.958399999999997</v>
      </c>
      <c r="N3719" s="124">
        <f>HYPERLINK("#Трудозатраты!B194",Трудозатраты!B194+SUMIF(G3720,"*",O3720))</f>
        <v>6.5</v>
      </c>
      <c r="O3719" s="82">
        <f>N3719*J3719</f>
        <v>6.5</v>
      </c>
      <c r="P3719" s="81">
        <f>O3719/60*(1+запас_труд)*стоимость_трудочаса</f>
        <v>254.58333333333334</v>
      </c>
      <c r="Q3719" s="129">
        <f>M3719*(1+наценка_покупное)+P3719</f>
        <v>313.33341333333334</v>
      </c>
    </row>
    <row r="3720" spans="4:17" hidden="1" outlineLevel="5" x14ac:dyDescent="0.25">
      <c r="G3720" s="74" t="s">
        <v>128</v>
      </c>
      <c r="H3720" s="75"/>
      <c r="I3720" s="76"/>
      <c r="J3720" s="78">
        <f>HYPERLINK("#Структура!E852",Структура!E852)</f>
        <v>0.30598999999999998</v>
      </c>
      <c r="K3720" s="114" t="str">
        <f>HYPERLINK("#Структура!G852","")</f>
        <v/>
      </c>
      <c r="L3720" s="120">
        <f>HYPERLINK("#Покупные_изделия!D303",Покупные_изделия!D303)</f>
        <v>160</v>
      </c>
      <c r="M3720" s="76">
        <f>J3720*L3720</f>
        <v>48.958399999999997</v>
      </c>
      <c r="N3720" s="77"/>
      <c r="O3720" s="77"/>
      <c r="P3720" s="76"/>
      <c r="Q3720" s="76"/>
    </row>
    <row r="3721" spans="4:17" hidden="1" outlineLevel="4" x14ac:dyDescent="0.25">
      <c r="F3721" s="74" t="s">
        <v>870</v>
      </c>
      <c r="G3721" s="74"/>
      <c r="H3721" s="75"/>
      <c r="I3721" s="76"/>
      <c r="J3721" s="78">
        <f>HYPERLINK("#Структура!E848",Структура!E848)</f>
        <v>4</v>
      </c>
      <c r="K3721" s="114">
        <f>HYPERLINK("#Структура!G848",Структура!G848)</f>
        <v>5.5199999999999997E-3</v>
      </c>
      <c r="L3721" s="120">
        <f>HYPERLINK("#Покупные_изделия!D99",Покупные_изделия!D99)</f>
        <v>9.0419999999999998</v>
      </c>
      <c r="M3721" s="76">
        <f>J3721*L3721</f>
        <v>36.167999999999999</v>
      </c>
      <c r="N3721" s="77"/>
      <c r="O3721" s="77"/>
      <c r="P3721" s="76"/>
      <c r="Q3721" s="76"/>
    </row>
    <row r="3722" spans="4:17" hidden="1" outlineLevel="4" x14ac:dyDescent="0.25">
      <c r="F3722" s="74" t="s">
        <v>871</v>
      </c>
      <c r="G3722" s="74"/>
      <c r="H3722" s="75"/>
      <c r="I3722" s="76"/>
      <c r="J3722" s="78">
        <f>HYPERLINK("#Структура!E849",Структура!E849)</f>
        <v>4</v>
      </c>
      <c r="K3722" s="114">
        <f>HYPERLINK("#Структура!G849",Структура!G849)</f>
        <v>3.3E-3</v>
      </c>
      <c r="L3722" s="120">
        <f>HYPERLINK("#Покупные_изделия!D167",Покупные_изделия!D167)</f>
        <v>2.0654400000000002</v>
      </c>
      <c r="M3722" s="76">
        <f>J3722*L3722</f>
        <v>8.2617600000000007</v>
      </c>
      <c r="N3722" s="77"/>
      <c r="O3722" s="77"/>
      <c r="P3722" s="76"/>
      <c r="Q3722" s="76"/>
    </row>
    <row r="3723" spans="4:17" hidden="1" outlineLevel="3" collapsed="1" x14ac:dyDescent="0.25">
      <c r="E3723" s="96" t="s">
        <v>850</v>
      </c>
      <c r="F3723" s="91"/>
      <c r="G3723" s="91"/>
      <c r="H3723" s="92"/>
      <c r="I3723" s="93"/>
      <c r="J3723" s="95">
        <f>HYPERLINK("#Структура!E812",Структура!E812)</f>
        <v>2</v>
      </c>
      <c r="K3723" s="116">
        <f>HYPERLINK("#Структура!G812",Структура!G812)</f>
        <v>1.27704</v>
      </c>
      <c r="L3723" s="93">
        <f>M3723/J3723</f>
        <v>185.60445440000001</v>
      </c>
      <c r="M3723" s="93">
        <f>SUMIF(F3724:F3736,"*",M3724:M3736)*J3723</f>
        <v>371.20890880000002</v>
      </c>
      <c r="N3723" s="125">
        <f>HYPERLINK("#Трудозатраты!B195",Трудозатраты!B195+SUMIF(F3724:F3736,"*",O3724:O3736))</f>
        <v>57.18</v>
      </c>
      <c r="O3723" s="94">
        <f>N3723*J3723</f>
        <v>114.36</v>
      </c>
      <c r="P3723" s="93">
        <f>O3723/60*(1+запас_труд)*стоимость_трудочаса</f>
        <v>4479.0999999999995</v>
      </c>
      <c r="Q3723" s="130">
        <f>M3723*(1+наценка_покупное)+P3723</f>
        <v>4924.5506905599996</v>
      </c>
    </row>
    <row r="3724" spans="4:17" hidden="1" outlineLevel="4" collapsed="1" x14ac:dyDescent="0.25">
      <c r="F3724" s="85" t="s">
        <v>872</v>
      </c>
      <c r="G3724" s="86"/>
      <c r="H3724" s="87"/>
      <c r="I3724" s="88"/>
      <c r="J3724" s="90">
        <f>HYPERLINK("#Структура!E853",Структура!E853)</f>
        <v>1</v>
      </c>
      <c r="K3724" s="113">
        <f>HYPERLINK("#Структура!G853",Структура!G853)</f>
        <v>1.1602600000000001</v>
      </c>
      <c r="L3724" s="88">
        <f>M3724/J3724</f>
        <v>140.84672639999999</v>
      </c>
      <c r="M3724" s="88">
        <f>SUMIF(G3725:G3728,"*",M3725:M3728)*J3724</f>
        <v>140.84672639999999</v>
      </c>
      <c r="N3724" s="123">
        <f>HYPERLINK("#Трудозатраты!B200",Трудозатраты!B200+SUMIF(G3725:G3728,"*",O3725:O3728))</f>
        <v>45.6</v>
      </c>
      <c r="O3724" s="89">
        <f>N3724*J3724</f>
        <v>45.6</v>
      </c>
      <c r="P3724" s="88">
        <f>O3724/60*(1+запас_труд)*стоимость_трудочаса</f>
        <v>1786</v>
      </c>
      <c r="Q3724" s="128">
        <f>M3724*(1+наценка_покупное)+P3724</f>
        <v>1955.0160716800001</v>
      </c>
    </row>
    <row r="3725" spans="4:17" hidden="1" outlineLevel="5" x14ac:dyDescent="0.25">
      <c r="G3725" s="74" t="s">
        <v>64</v>
      </c>
      <c r="H3725" s="75"/>
      <c r="I3725" s="76"/>
      <c r="J3725" s="78">
        <f>HYPERLINK("#Структура!E872",Структура!E872)</f>
        <v>3.0000000000000001E-3</v>
      </c>
      <c r="K3725" s="114" t="str">
        <f>HYPERLINK("#Структура!G872","")</f>
        <v/>
      </c>
      <c r="L3725" s="120">
        <f>HYPERLINK("#Покупные_изделия!D196",Покупные_изделия!D196)</f>
        <v>187.92840000000001</v>
      </c>
      <c r="M3725" s="76">
        <f>J3725*L3725</f>
        <v>0.5637852000000001</v>
      </c>
      <c r="N3725" s="77"/>
      <c r="O3725" s="77"/>
      <c r="P3725" s="76"/>
      <c r="Q3725" s="76"/>
    </row>
    <row r="3726" spans="4:17" hidden="1" outlineLevel="5" x14ac:dyDescent="0.25">
      <c r="G3726" s="74" t="s">
        <v>94</v>
      </c>
      <c r="H3726" s="75"/>
      <c r="I3726" s="76"/>
      <c r="J3726" s="78">
        <f>HYPERLINK("#Структура!E873",Структура!E873)</f>
        <v>1.3979999999999999</v>
      </c>
      <c r="K3726" s="114" t="str">
        <f>HYPERLINK("#Структура!G873","")</f>
        <v/>
      </c>
      <c r="L3726" s="120">
        <f>HYPERLINK("#Покупные_изделия!D263",Покупные_изделия!D263)</f>
        <v>100</v>
      </c>
      <c r="M3726" s="76">
        <f>J3726*L3726</f>
        <v>139.79999999999998</v>
      </c>
      <c r="N3726" s="77"/>
      <c r="O3726" s="77"/>
      <c r="P3726" s="76"/>
      <c r="Q3726" s="76"/>
    </row>
    <row r="3727" spans="4:17" hidden="1" outlineLevel="5" x14ac:dyDescent="0.25">
      <c r="G3727" s="74" t="s">
        <v>139</v>
      </c>
      <c r="H3727" s="75"/>
      <c r="I3727" s="76"/>
      <c r="J3727" s="78">
        <f>HYPERLINK("#Структура!E874",Структура!E874)</f>
        <v>1E-3</v>
      </c>
      <c r="K3727" s="114" t="str">
        <f>HYPERLINK("#Структура!G874","")</f>
        <v/>
      </c>
      <c r="L3727" s="120">
        <f>HYPERLINK("#Покупные_изделия!D360",Покупные_изделия!D360)</f>
        <v>171.87720000000002</v>
      </c>
      <c r="M3727" s="76">
        <f>J3727*L3727</f>
        <v>0.17187720000000001</v>
      </c>
      <c r="N3727" s="77"/>
      <c r="O3727" s="77"/>
      <c r="P3727" s="76"/>
      <c r="Q3727" s="76"/>
    </row>
    <row r="3728" spans="4:17" hidden="1" outlineLevel="5" x14ac:dyDescent="0.25">
      <c r="G3728" s="74" t="s">
        <v>156</v>
      </c>
      <c r="H3728" s="75"/>
      <c r="I3728" s="76"/>
      <c r="J3728" s="78">
        <f>HYPERLINK("#Структура!E875",Структура!E875)</f>
        <v>2E-3</v>
      </c>
      <c r="K3728" s="114" t="str">
        <f>HYPERLINK("#Структура!G875","")</f>
        <v/>
      </c>
      <c r="L3728" s="120">
        <f>HYPERLINK("#Покупные_изделия!D427",Покупные_изделия!D427)</f>
        <v>155.53200000000001</v>
      </c>
      <c r="M3728" s="76">
        <f>J3728*L3728</f>
        <v>0.31106400000000001</v>
      </c>
      <c r="N3728" s="77"/>
      <c r="O3728" s="77"/>
      <c r="P3728" s="76"/>
      <c r="Q3728" s="76"/>
    </row>
    <row r="3729" spans="5:17" hidden="1" outlineLevel="4" collapsed="1" x14ac:dyDescent="0.25">
      <c r="F3729" s="84" t="s">
        <v>873</v>
      </c>
      <c r="G3729" s="79"/>
      <c r="H3729" s="80"/>
      <c r="I3729" s="81"/>
      <c r="J3729" s="83">
        <f>HYPERLINK("#Структура!E854",Структура!E854)</f>
        <v>1</v>
      </c>
      <c r="K3729" s="115">
        <f>HYPERLINK("#Структура!G854",Структура!G854)</f>
        <v>0.10242999999999999</v>
      </c>
      <c r="L3729" s="81">
        <f>M3729/J3729</f>
        <v>23.197728000000005</v>
      </c>
      <c r="M3729" s="81">
        <f>SUMIF(G3730:G3734,"*",M3730:M3734)*J3729</f>
        <v>23.197728000000005</v>
      </c>
      <c r="N3729" s="124">
        <f>HYPERLINK("#Трудозатраты!B203",Трудозатраты!B203+SUMIF(G3730:G3734,"*",O3730:O3734))</f>
        <v>2.58</v>
      </c>
      <c r="O3729" s="82">
        <f>N3729*J3729</f>
        <v>2.58</v>
      </c>
      <c r="P3729" s="81">
        <f>O3729/60*(1+запас_труд)*стоимость_трудочаса</f>
        <v>101.05000000000001</v>
      </c>
      <c r="Q3729" s="129">
        <f>M3729*(1+наценка_покупное)+P3729</f>
        <v>128.88727360000001</v>
      </c>
    </row>
    <row r="3730" spans="5:17" hidden="1" outlineLevel="5" x14ac:dyDescent="0.25">
      <c r="G3730" s="74" t="s">
        <v>65</v>
      </c>
      <c r="H3730" s="75"/>
      <c r="I3730" s="76"/>
      <c r="J3730" s="78">
        <f>HYPERLINK("#Структура!E884",Структура!E884)</f>
        <v>2E-3</v>
      </c>
      <c r="K3730" s="114" t="str">
        <f>HYPERLINK("#Структура!G884","")</f>
        <v/>
      </c>
      <c r="L3730" s="120">
        <f>HYPERLINK("#Покупные_изделия!D197",Покупные_изделия!D197)</f>
        <v>264.50399999999996</v>
      </c>
      <c r="M3730" s="76">
        <f>J3730*L3730</f>
        <v>0.52900799999999992</v>
      </c>
      <c r="N3730" s="77"/>
      <c r="O3730" s="77"/>
      <c r="P3730" s="76"/>
      <c r="Q3730" s="76"/>
    </row>
    <row r="3731" spans="5:17" hidden="1" outlineLevel="5" x14ac:dyDescent="0.25">
      <c r="G3731" s="74" t="s">
        <v>109</v>
      </c>
      <c r="H3731" s="75"/>
      <c r="I3731" s="76"/>
      <c r="J3731" s="78">
        <f>HYPERLINK("#Структура!E885",Структура!E885)</f>
        <v>0.17097000000000001</v>
      </c>
      <c r="K3731" s="114" t="str">
        <f>HYPERLINK("#Структура!G885","")</f>
        <v/>
      </c>
      <c r="L3731" s="120">
        <f>HYPERLINK("#Покупные_изделия!D281",Покупные_изделия!D281)</f>
        <v>120</v>
      </c>
      <c r="M3731" s="76">
        <f>J3731*L3731</f>
        <v>20.516400000000001</v>
      </c>
      <c r="N3731" s="77"/>
      <c r="O3731" s="77"/>
      <c r="P3731" s="76"/>
      <c r="Q3731" s="76"/>
    </row>
    <row r="3732" spans="5:17" hidden="1" outlineLevel="5" x14ac:dyDescent="0.25">
      <c r="G3732" s="74" t="s">
        <v>155</v>
      </c>
      <c r="H3732" s="75"/>
      <c r="I3732" s="76"/>
      <c r="J3732" s="78">
        <f>HYPERLINK("#Структура!E886",Структура!E886)</f>
        <v>1E-3</v>
      </c>
      <c r="K3732" s="114" t="str">
        <f>HYPERLINK("#Структура!G886","")</f>
        <v/>
      </c>
      <c r="L3732" s="120">
        <f>HYPERLINK("#Покупные_изделия!D423",Покупные_изделия!D423)</f>
        <v>218.28</v>
      </c>
      <c r="M3732" s="76">
        <f>J3732*L3732</f>
        <v>0.21828</v>
      </c>
      <c r="N3732" s="77"/>
      <c r="O3732" s="77"/>
      <c r="P3732" s="76"/>
      <c r="Q3732" s="76"/>
    </row>
    <row r="3733" spans="5:17" hidden="1" outlineLevel="5" x14ac:dyDescent="0.25">
      <c r="G3733" s="74" t="s">
        <v>156</v>
      </c>
      <c r="H3733" s="75"/>
      <c r="I3733" s="76"/>
      <c r="J3733" s="78">
        <f>HYPERLINK("#Структура!E887",Структура!E887)</f>
        <v>2E-3</v>
      </c>
      <c r="K3733" s="114" t="str">
        <f>HYPERLINK("#Структура!G887","")</f>
        <v/>
      </c>
      <c r="L3733" s="120">
        <f>HYPERLINK("#Покупные_изделия!D427",Покупные_изделия!D427)</f>
        <v>155.53200000000001</v>
      </c>
      <c r="M3733" s="76">
        <f>J3733*L3733</f>
        <v>0.31106400000000001</v>
      </c>
      <c r="N3733" s="77"/>
      <c r="O3733" s="77"/>
      <c r="P3733" s="76"/>
      <c r="Q3733" s="76"/>
    </row>
    <row r="3734" spans="5:17" hidden="1" outlineLevel="5" x14ac:dyDescent="0.25">
      <c r="G3734" s="74" t="s">
        <v>215</v>
      </c>
      <c r="H3734" s="75"/>
      <c r="I3734" s="76"/>
      <c r="J3734" s="78">
        <f>HYPERLINK("#Структура!E888",Структура!E888)</f>
        <v>4.0000000000000001E-3</v>
      </c>
      <c r="K3734" s="114" t="str">
        <f>HYPERLINK("#Структура!G888","")</f>
        <v/>
      </c>
      <c r="L3734" s="120">
        <f>HYPERLINK("#Покупные_изделия!D567",Покупные_изделия!D567)</f>
        <v>405.74399999999997</v>
      </c>
      <c r="M3734" s="76">
        <f>J3734*L3734</f>
        <v>1.622976</v>
      </c>
      <c r="N3734" s="77"/>
      <c r="O3734" s="77"/>
      <c r="P3734" s="76"/>
      <c r="Q3734" s="76"/>
    </row>
    <row r="3735" spans="5:17" hidden="1" outlineLevel="4" collapsed="1" x14ac:dyDescent="0.25">
      <c r="F3735" s="84" t="s">
        <v>874</v>
      </c>
      <c r="G3735" s="79"/>
      <c r="H3735" s="80"/>
      <c r="I3735" s="81"/>
      <c r="J3735" s="83">
        <f>HYPERLINK("#Структура!E855",Структура!E855)</f>
        <v>1</v>
      </c>
      <c r="K3735" s="115">
        <f>HYPERLINK("#Структура!G855",Структура!G855)</f>
        <v>1.435E-2</v>
      </c>
      <c r="L3735" s="81">
        <f>M3735/J3735</f>
        <v>21.560000000000002</v>
      </c>
      <c r="M3735" s="81">
        <f>SUMIF(G3736,"*",M3736)*J3735</f>
        <v>21.560000000000002</v>
      </c>
      <c r="N3735" s="124">
        <f>HYPERLINK("#Трудозатраты!B881",Трудозатраты!B881+SUMIF(G3736,"*",O3736))</f>
        <v>7</v>
      </c>
      <c r="O3735" s="82">
        <f>N3735*J3735</f>
        <v>7</v>
      </c>
      <c r="P3735" s="81">
        <f>O3735/60*(1+запас_труд)*стоимость_трудочаса</f>
        <v>274.16666666666669</v>
      </c>
      <c r="Q3735" s="129">
        <f>M3735*(1+наценка_покупное)+P3735</f>
        <v>300.0386666666667</v>
      </c>
    </row>
    <row r="3736" spans="5:17" hidden="1" outlineLevel="5" x14ac:dyDescent="0.25">
      <c r="G3736" s="74" t="s">
        <v>165</v>
      </c>
      <c r="H3736" s="75"/>
      <c r="I3736" s="76"/>
      <c r="J3736" s="78">
        <f>HYPERLINK("#Структура!E3752",Структура!E3752)</f>
        <v>2.8000000000000001E-2</v>
      </c>
      <c r="K3736" s="114" t="str">
        <f>HYPERLINK("#Структура!G3752","")</f>
        <v/>
      </c>
      <c r="L3736" s="120">
        <f>HYPERLINK("#Покупные_изделия!D450",Покупные_изделия!D450)</f>
        <v>770.00000000000011</v>
      </c>
      <c r="M3736" s="76">
        <f>J3736*L3736</f>
        <v>21.560000000000002</v>
      </c>
      <c r="N3736" s="77"/>
      <c r="O3736" s="77"/>
      <c r="P3736" s="76"/>
      <c r="Q3736" s="76"/>
    </row>
    <row r="3737" spans="5:17" hidden="1" outlineLevel="3" collapsed="1" x14ac:dyDescent="0.25">
      <c r="E3737" s="96" t="s">
        <v>851</v>
      </c>
      <c r="F3737" s="91"/>
      <c r="G3737" s="91"/>
      <c r="H3737" s="92"/>
      <c r="I3737" s="93"/>
      <c r="J3737" s="95">
        <f>HYPERLINK("#Структура!E813",Структура!E813)</f>
        <v>2</v>
      </c>
      <c r="K3737" s="116">
        <f>HYPERLINK("#Структура!G813",Структура!G813)</f>
        <v>1.5501799999999999</v>
      </c>
      <c r="L3737" s="93">
        <f>M3737/J3737</f>
        <v>522.2090164</v>
      </c>
      <c r="M3737" s="93">
        <f>SUMIF(F3738:F3761,"*",M3738:M3761)*J3737</f>
        <v>1044.4180328</v>
      </c>
      <c r="N3737" s="125">
        <f>HYPERLINK("#Трудозатраты!B196",Трудозатраты!B196+SUMIF(F3738:F3761,"*",O3738:O3761))</f>
        <v>106.56</v>
      </c>
      <c r="O3737" s="94">
        <f>N3737*J3737</f>
        <v>213.12</v>
      </c>
      <c r="P3737" s="93">
        <f>O3737/60*(1+запас_труд)*стоимость_трудочаса</f>
        <v>8347.2000000000007</v>
      </c>
      <c r="Q3737" s="130">
        <f>M3737*(1+наценка_покупное)+P3737</f>
        <v>9600.5016393599999</v>
      </c>
    </row>
    <row r="3738" spans="5:17" hidden="1" outlineLevel="4" collapsed="1" x14ac:dyDescent="0.25">
      <c r="F3738" s="97" t="s">
        <v>875</v>
      </c>
      <c r="G3738" s="98"/>
      <c r="H3738" s="99"/>
      <c r="I3738" s="100"/>
      <c r="J3738" s="102">
        <f>HYPERLINK("#Структура!E856",Структура!E856)</f>
        <v>1</v>
      </c>
      <c r="K3738" s="112">
        <f>HYPERLINK("#Структура!G856",Структура!G856)</f>
        <v>0.32091999999999998</v>
      </c>
      <c r="L3738" s="100">
        <f>M3738/J3738</f>
        <v>85.275841199999988</v>
      </c>
      <c r="M3738" s="100">
        <f>SUMIF(G3739:G3748,"*",M3739:M3748)*J3738</f>
        <v>85.275841199999988</v>
      </c>
      <c r="N3738" s="122">
        <f>HYPERLINK("#Трудозатраты!B205",Трудозатраты!B205+SUMIF(G3739:G3748,"*",O3739:O3748))</f>
        <v>42.2</v>
      </c>
      <c r="O3738" s="101">
        <f>N3738*J3738</f>
        <v>42.2</v>
      </c>
      <c r="P3738" s="100">
        <f>O3738/60*(1+запас_труд)*стоимость_трудочаса</f>
        <v>1652.8333333333335</v>
      </c>
      <c r="Q3738" s="127">
        <f>M3738*(1+наценка_покупное)+P3738</f>
        <v>1755.1643427733334</v>
      </c>
    </row>
    <row r="3739" spans="5:17" hidden="1" outlineLevel="5" collapsed="1" x14ac:dyDescent="0.25">
      <c r="G3739" s="85" t="s">
        <v>879</v>
      </c>
      <c r="H3739" s="87"/>
      <c r="I3739" s="88"/>
      <c r="J3739" s="90">
        <f>HYPERLINK("#Структура!E890",Структура!E890)</f>
        <v>1</v>
      </c>
      <c r="K3739" s="113">
        <f>HYPERLINK("#Структура!G890",Структура!G890)</f>
        <v>0.26562999999999998</v>
      </c>
      <c r="L3739" s="88">
        <f>M3739/J3739</f>
        <v>50.5152</v>
      </c>
      <c r="M3739" s="88">
        <f>SUMIF(H3740,"*",M3740)*J3739</f>
        <v>50.5152</v>
      </c>
      <c r="N3739" s="123">
        <f>HYPERLINK("#Трудозатраты!B206",Трудозатраты!B206+SUMIF(H3740,"*",O3740))</f>
        <v>0.5</v>
      </c>
      <c r="O3739" s="89">
        <f>N3739*J3739</f>
        <v>0.5</v>
      </c>
      <c r="P3739" s="88">
        <f>O3739/60*(1+запас_труд)*стоимость_трудочаса</f>
        <v>19.583333333333332</v>
      </c>
      <c r="Q3739" s="128">
        <f>M3739*(1+наценка_покупное)+P3739</f>
        <v>80.201573333333329</v>
      </c>
    </row>
    <row r="3740" spans="5:17" hidden="1" outlineLevel="6" x14ac:dyDescent="0.25">
      <c r="H3740" s="75" t="s">
        <v>115</v>
      </c>
      <c r="I3740" s="76"/>
      <c r="J3740" s="78">
        <f>HYPERLINK("#Структура!E898",Структура!E898)</f>
        <v>0.42096</v>
      </c>
      <c r="K3740" s="114" t="str">
        <f>HYPERLINK("#Структура!G898","")</f>
        <v/>
      </c>
      <c r="L3740" s="120">
        <f>HYPERLINK("#Покупные_изделия!D289",Покупные_изделия!D289)</f>
        <v>120</v>
      </c>
      <c r="M3740" s="76">
        <f>J3740*L3740</f>
        <v>50.5152</v>
      </c>
      <c r="N3740" s="77"/>
      <c r="O3740" s="77"/>
      <c r="P3740" s="76"/>
      <c r="Q3740" s="76"/>
    </row>
    <row r="3741" spans="5:17" hidden="1" outlineLevel="5" collapsed="1" x14ac:dyDescent="0.25">
      <c r="G3741" s="84" t="s">
        <v>880</v>
      </c>
      <c r="H3741" s="80"/>
      <c r="I3741" s="81"/>
      <c r="J3741" s="83">
        <f>HYPERLINK("#Структура!E891",Структура!E891)</f>
        <v>1</v>
      </c>
      <c r="K3741" s="115">
        <f>HYPERLINK("#Структура!G891",Структура!G891)</f>
        <v>5.5300000000000002E-2</v>
      </c>
      <c r="L3741" s="81">
        <f>M3741/J3741</f>
        <v>27</v>
      </c>
      <c r="M3741" s="81">
        <f>SUMIF(H3742,"*",M3742)*J3741</f>
        <v>27</v>
      </c>
      <c r="N3741" s="124">
        <f>HYPERLINK("#Трудозатраты!B236",Трудозатраты!B236+SUMIF(H3742,"*",O3742))</f>
        <v>34.9</v>
      </c>
      <c r="O3741" s="82">
        <f>N3741*J3741</f>
        <v>34.9</v>
      </c>
      <c r="P3741" s="81">
        <f>O3741/60*(1+запас_труд)*стоимость_трудочаса</f>
        <v>1366.9166666666667</v>
      </c>
      <c r="Q3741" s="129">
        <f>M3741*(1+наценка_покупное)+P3741</f>
        <v>1399.3166666666668</v>
      </c>
    </row>
    <row r="3742" spans="5:17" hidden="1" outlineLevel="6" x14ac:dyDescent="0.25">
      <c r="H3742" s="75" t="s">
        <v>98</v>
      </c>
      <c r="I3742" s="76"/>
      <c r="J3742" s="78">
        <f>HYPERLINK("#Структура!E995",Структура!E995)</f>
        <v>0.27</v>
      </c>
      <c r="K3742" s="114" t="str">
        <f>HYPERLINK("#Структура!G995","")</f>
        <v/>
      </c>
      <c r="L3742" s="120">
        <f>HYPERLINK("#Покупные_изделия!D267",Покупные_изделия!D267)</f>
        <v>100</v>
      </c>
      <c r="M3742" s="76">
        <f t="shared" ref="M3742:M3748" si="140">J3742*L3742</f>
        <v>27</v>
      </c>
      <c r="N3742" s="77"/>
      <c r="O3742" s="77"/>
      <c r="P3742" s="76"/>
      <c r="Q3742" s="76"/>
    </row>
    <row r="3743" spans="5:17" hidden="1" outlineLevel="5" x14ac:dyDescent="0.25">
      <c r="G3743" s="74" t="s">
        <v>65</v>
      </c>
      <c r="H3743" s="75"/>
      <c r="I3743" s="76"/>
      <c r="J3743" s="78">
        <f>HYPERLINK("#Структура!E892",Структура!E892)</f>
        <v>3.0000000000000001E-3</v>
      </c>
      <c r="K3743" s="114" t="str">
        <f>HYPERLINK("#Структура!G892","")</f>
        <v/>
      </c>
      <c r="L3743" s="120">
        <f>HYPERLINK("#Покупные_изделия!D197",Покупные_изделия!D197)</f>
        <v>264.50399999999996</v>
      </c>
      <c r="M3743" s="76">
        <f t="shared" si="140"/>
        <v>0.79351199999999988</v>
      </c>
      <c r="N3743" s="77"/>
      <c r="O3743" s="77"/>
      <c r="P3743" s="76"/>
      <c r="Q3743" s="76"/>
    </row>
    <row r="3744" spans="5:17" hidden="1" outlineLevel="5" x14ac:dyDescent="0.25">
      <c r="G3744" s="74" t="s">
        <v>67</v>
      </c>
      <c r="H3744" s="75"/>
      <c r="I3744" s="76"/>
      <c r="J3744" s="78">
        <f>HYPERLINK("#Структура!E893",Структура!E893)</f>
        <v>3.6999999999999998E-2</v>
      </c>
      <c r="K3744" s="114" t="str">
        <f>HYPERLINK("#Структура!G893","")</f>
        <v/>
      </c>
      <c r="L3744" s="120">
        <f>HYPERLINK("#Покупные_изделия!D203",Покупные_изделия!D203)</f>
        <v>30.003600000000002</v>
      </c>
      <c r="M3744" s="76">
        <f t="shared" si="140"/>
        <v>1.1101331999999999</v>
      </c>
      <c r="N3744" s="77"/>
      <c r="O3744" s="77"/>
      <c r="P3744" s="76"/>
      <c r="Q3744" s="76"/>
    </row>
    <row r="3745" spans="6:17" hidden="1" outlineLevel="5" x14ac:dyDescent="0.25">
      <c r="G3745" s="74" t="s">
        <v>146</v>
      </c>
      <c r="H3745" s="75"/>
      <c r="I3745" s="76"/>
      <c r="J3745" s="78">
        <f>HYPERLINK("#Структура!E894",Структура!E894)</f>
        <v>2.1999999999999999E-2</v>
      </c>
      <c r="K3745" s="114" t="str">
        <f>HYPERLINK("#Структура!G894","")</f>
        <v/>
      </c>
      <c r="L3745" s="120">
        <f>HYPERLINK("#Покупные_изделия!D406",Покупные_изделия!D406)</f>
        <v>105.996</v>
      </c>
      <c r="M3745" s="76">
        <f t="shared" si="140"/>
        <v>2.3319119999999995</v>
      </c>
      <c r="N3745" s="77"/>
      <c r="O3745" s="77"/>
      <c r="P3745" s="76"/>
      <c r="Q3745" s="76"/>
    </row>
    <row r="3746" spans="6:17" hidden="1" outlineLevel="5" x14ac:dyDescent="0.25">
      <c r="G3746" s="74" t="s">
        <v>155</v>
      </c>
      <c r="H3746" s="75"/>
      <c r="I3746" s="76"/>
      <c r="J3746" s="78">
        <f>HYPERLINK("#Структура!E895",Структура!E895)</f>
        <v>1E-3</v>
      </c>
      <c r="K3746" s="114" t="str">
        <f>HYPERLINK("#Структура!G895","")</f>
        <v/>
      </c>
      <c r="L3746" s="120">
        <f>HYPERLINK("#Покупные_изделия!D423",Покупные_изделия!D423)</f>
        <v>218.28</v>
      </c>
      <c r="M3746" s="76">
        <f t="shared" si="140"/>
        <v>0.21828</v>
      </c>
      <c r="N3746" s="77"/>
      <c r="O3746" s="77"/>
      <c r="P3746" s="76"/>
      <c r="Q3746" s="76"/>
    </row>
    <row r="3747" spans="6:17" hidden="1" outlineLevel="5" x14ac:dyDescent="0.25">
      <c r="G3747" s="74" t="s">
        <v>156</v>
      </c>
      <c r="H3747" s="75"/>
      <c r="I3747" s="76"/>
      <c r="J3747" s="78">
        <f>HYPERLINK("#Структура!E896",Структура!E896)</f>
        <v>3.0000000000000001E-3</v>
      </c>
      <c r="K3747" s="114" t="str">
        <f>HYPERLINK("#Структура!G896","")</f>
        <v/>
      </c>
      <c r="L3747" s="120">
        <f>HYPERLINK("#Покупные_изделия!D427",Покупные_изделия!D427)</f>
        <v>155.53200000000001</v>
      </c>
      <c r="M3747" s="76">
        <f t="shared" si="140"/>
        <v>0.46659600000000007</v>
      </c>
      <c r="N3747" s="77"/>
      <c r="O3747" s="77"/>
      <c r="P3747" s="76"/>
      <c r="Q3747" s="76"/>
    </row>
    <row r="3748" spans="6:17" hidden="1" outlineLevel="5" x14ac:dyDescent="0.25">
      <c r="G3748" s="74" t="s">
        <v>215</v>
      </c>
      <c r="H3748" s="75"/>
      <c r="I3748" s="76"/>
      <c r="J3748" s="78">
        <f>HYPERLINK("#Структура!E897",Структура!E897)</f>
        <v>7.0000000000000001E-3</v>
      </c>
      <c r="K3748" s="114" t="str">
        <f>HYPERLINK("#Структура!G897","")</f>
        <v/>
      </c>
      <c r="L3748" s="120">
        <f>HYPERLINK("#Покупные_изделия!D567",Покупные_изделия!D567)</f>
        <v>405.74399999999997</v>
      </c>
      <c r="M3748" s="76">
        <f t="shared" si="140"/>
        <v>2.8402080000000001</v>
      </c>
      <c r="N3748" s="77"/>
      <c r="O3748" s="77"/>
      <c r="P3748" s="76"/>
      <c r="Q3748" s="76"/>
    </row>
    <row r="3749" spans="6:17" hidden="1" outlineLevel="4" collapsed="1" x14ac:dyDescent="0.25">
      <c r="F3749" s="84" t="s">
        <v>876</v>
      </c>
      <c r="G3749" s="79"/>
      <c r="H3749" s="80"/>
      <c r="I3749" s="81"/>
      <c r="J3749" s="83">
        <f>HYPERLINK("#Структура!E857",Структура!E857)</f>
        <v>1</v>
      </c>
      <c r="K3749" s="115">
        <f>HYPERLINK("#Структура!G857",Структура!G857)</f>
        <v>0.99570999999999998</v>
      </c>
      <c r="L3749" s="81">
        <f>M3749/J3749</f>
        <v>144.84672639999999</v>
      </c>
      <c r="M3749" s="81">
        <f>SUMIF(G3750:G3753,"*",M3750:M3753)*J3749</f>
        <v>144.84672639999999</v>
      </c>
      <c r="N3749" s="124">
        <f>HYPERLINK("#Трудозатраты!B201",Трудозатраты!B201+SUMIF(G3750:G3753,"*",O3750:O3753))</f>
        <v>13.2</v>
      </c>
      <c r="O3749" s="82">
        <f>N3749*J3749</f>
        <v>13.2</v>
      </c>
      <c r="P3749" s="81">
        <f>O3749/60*(1+запас_труд)*стоимость_трудочаса</f>
        <v>517</v>
      </c>
      <c r="Q3749" s="129">
        <f>M3749*(1+наценка_покупное)+P3749</f>
        <v>690.81607168000005</v>
      </c>
    </row>
    <row r="3750" spans="6:17" hidden="1" outlineLevel="5" x14ac:dyDescent="0.25">
      <c r="G3750" s="74" t="s">
        <v>64</v>
      </c>
      <c r="H3750" s="75"/>
      <c r="I3750" s="76"/>
      <c r="J3750" s="78">
        <f>HYPERLINK("#Структура!E876",Структура!E876)</f>
        <v>3.0000000000000001E-3</v>
      </c>
      <c r="K3750" s="114" t="str">
        <f>HYPERLINK("#Структура!G876","")</f>
        <v/>
      </c>
      <c r="L3750" s="120">
        <f>HYPERLINK("#Покупные_изделия!D196",Покупные_изделия!D196)</f>
        <v>187.92840000000001</v>
      </c>
      <c r="M3750" s="76">
        <f>J3750*L3750</f>
        <v>0.5637852000000001</v>
      </c>
      <c r="N3750" s="77"/>
      <c r="O3750" s="77"/>
      <c r="P3750" s="76"/>
      <c r="Q3750" s="76"/>
    </row>
    <row r="3751" spans="6:17" hidden="1" outlineLevel="5" x14ac:dyDescent="0.25">
      <c r="G3751" s="74" t="s">
        <v>94</v>
      </c>
      <c r="H3751" s="75"/>
      <c r="I3751" s="76"/>
      <c r="J3751" s="78">
        <f>HYPERLINK("#Структура!E877",Структура!E877)</f>
        <v>1.4379999999999999</v>
      </c>
      <c r="K3751" s="114" t="str">
        <f>HYPERLINK("#Структура!G877","")</f>
        <v/>
      </c>
      <c r="L3751" s="120">
        <f>HYPERLINK("#Покупные_изделия!D263",Покупные_изделия!D263)</f>
        <v>100</v>
      </c>
      <c r="M3751" s="76">
        <f>J3751*L3751</f>
        <v>143.79999999999998</v>
      </c>
      <c r="N3751" s="77"/>
      <c r="O3751" s="77"/>
      <c r="P3751" s="76"/>
      <c r="Q3751" s="76"/>
    </row>
    <row r="3752" spans="6:17" hidden="1" outlineLevel="5" x14ac:dyDescent="0.25">
      <c r="G3752" s="74" t="s">
        <v>139</v>
      </c>
      <c r="H3752" s="75"/>
      <c r="I3752" s="76"/>
      <c r="J3752" s="78">
        <f>HYPERLINK("#Структура!E878",Структура!E878)</f>
        <v>1E-3</v>
      </c>
      <c r="K3752" s="114" t="str">
        <f>HYPERLINK("#Структура!G878","")</f>
        <v/>
      </c>
      <c r="L3752" s="120">
        <f>HYPERLINK("#Покупные_изделия!D360",Покупные_изделия!D360)</f>
        <v>171.87720000000002</v>
      </c>
      <c r="M3752" s="76">
        <f>J3752*L3752</f>
        <v>0.17187720000000001</v>
      </c>
      <c r="N3752" s="77"/>
      <c r="O3752" s="77"/>
      <c r="P3752" s="76"/>
      <c r="Q3752" s="76"/>
    </row>
    <row r="3753" spans="6:17" hidden="1" outlineLevel="5" x14ac:dyDescent="0.25">
      <c r="G3753" s="74" t="s">
        <v>156</v>
      </c>
      <c r="H3753" s="75"/>
      <c r="I3753" s="76"/>
      <c r="J3753" s="78">
        <f>HYPERLINK("#Структура!E879",Структура!E879)</f>
        <v>2E-3</v>
      </c>
      <c r="K3753" s="114" t="str">
        <f>HYPERLINK("#Структура!G879","")</f>
        <v/>
      </c>
      <c r="L3753" s="120">
        <f>HYPERLINK("#Покупные_изделия!D427",Покупные_изделия!D427)</f>
        <v>155.53200000000001</v>
      </c>
      <c r="M3753" s="76">
        <f>J3753*L3753</f>
        <v>0.31106400000000001</v>
      </c>
      <c r="N3753" s="77"/>
      <c r="O3753" s="77"/>
      <c r="P3753" s="76"/>
      <c r="Q3753" s="76"/>
    </row>
    <row r="3754" spans="6:17" hidden="1" outlineLevel="4" collapsed="1" x14ac:dyDescent="0.25">
      <c r="F3754" s="84" t="s">
        <v>873</v>
      </c>
      <c r="G3754" s="79"/>
      <c r="H3754" s="80"/>
      <c r="I3754" s="81"/>
      <c r="J3754" s="83">
        <f>HYPERLINK("#Структура!E858",Структура!E858)</f>
        <v>2</v>
      </c>
      <c r="K3754" s="115">
        <f>HYPERLINK("#Структура!G858",Структура!G858)</f>
        <v>0.10242999999999999</v>
      </c>
      <c r="L3754" s="81">
        <f>M3754/J3754</f>
        <v>23.197728000000005</v>
      </c>
      <c r="M3754" s="81">
        <f>SUMIF(G3755:G3759,"*",M3755:M3759)*J3754</f>
        <v>46.39545600000001</v>
      </c>
      <c r="N3754" s="124">
        <f>HYPERLINK("#Трудозатраты!B203",Трудозатраты!B203+SUMIF(G3755:G3759,"*",O3755:O3759))</f>
        <v>2.58</v>
      </c>
      <c r="O3754" s="82">
        <f>N3754*J3754</f>
        <v>5.16</v>
      </c>
      <c r="P3754" s="81">
        <f>O3754/60*(1+запас_труд)*стоимость_трудочаса</f>
        <v>202.10000000000002</v>
      </c>
      <c r="Q3754" s="129">
        <f>M3754*(1+наценка_покупное)+P3754</f>
        <v>257.77454720000003</v>
      </c>
    </row>
    <row r="3755" spans="6:17" hidden="1" outlineLevel="5" x14ac:dyDescent="0.25">
      <c r="G3755" s="74" t="s">
        <v>65</v>
      </c>
      <c r="H3755" s="75"/>
      <c r="I3755" s="76"/>
      <c r="J3755" s="78">
        <f>HYPERLINK("#Структура!E884",Структура!E884)</f>
        <v>2E-3</v>
      </c>
      <c r="K3755" s="114" t="str">
        <f>HYPERLINK("#Структура!G884","")</f>
        <v/>
      </c>
      <c r="L3755" s="120">
        <f>HYPERLINK("#Покупные_изделия!D197",Покупные_изделия!D197)</f>
        <v>264.50399999999996</v>
      </c>
      <c r="M3755" s="76">
        <f>J3755*L3755</f>
        <v>0.52900799999999992</v>
      </c>
      <c r="N3755" s="77"/>
      <c r="O3755" s="77"/>
      <c r="P3755" s="76"/>
      <c r="Q3755" s="76"/>
    </row>
    <row r="3756" spans="6:17" hidden="1" outlineLevel="5" x14ac:dyDescent="0.25">
      <c r="G3756" s="74" t="s">
        <v>109</v>
      </c>
      <c r="H3756" s="75"/>
      <c r="I3756" s="76"/>
      <c r="J3756" s="78">
        <f>HYPERLINK("#Структура!E885",Структура!E885)</f>
        <v>0.17097000000000001</v>
      </c>
      <c r="K3756" s="114" t="str">
        <f>HYPERLINK("#Структура!G885","")</f>
        <v/>
      </c>
      <c r="L3756" s="120">
        <f>HYPERLINK("#Покупные_изделия!D281",Покупные_изделия!D281)</f>
        <v>120</v>
      </c>
      <c r="M3756" s="76">
        <f>J3756*L3756</f>
        <v>20.516400000000001</v>
      </c>
      <c r="N3756" s="77"/>
      <c r="O3756" s="77"/>
      <c r="P3756" s="76"/>
      <c r="Q3756" s="76"/>
    </row>
    <row r="3757" spans="6:17" hidden="1" outlineLevel="5" x14ac:dyDescent="0.25">
      <c r="G3757" s="74" t="s">
        <v>155</v>
      </c>
      <c r="H3757" s="75"/>
      <c r="I3757" s="76"/>
      <c r="J3757" s="78">
        <f>HYPERLINK("#Структура!E886",Структура!E886)</f>
        <v>1E-3</v>
      </c>
      <c r="K3757" s="114" t="str">
        <f>HYPERLINK("#Структура!G886","")</f>
        <v/>
      </c>
      <c r="L3757" s="120">
        <f>HYPERLINK("#Покупные_изделия!D423",Покупные_изделия!D423)</f>
        <v>218.28</v>
      </c>
      <c r="M3757" s="76">
        <f>J3757*L3757</f>
        <v>0.21828</v>
      </c>
      <c r="N3757" s="77"/>
      <c r="O3757" s="77"/>
      <c r="P3757" s="76"/>
      <c r="Q3757" s="76"/>
    </row>
    <row r="3758" spans="6:17" hidden="1" outlineLevel="5" x14ac:dyDescent="0.25">
      <c r="G3758" s="74" t="s">
        <v>156</v>
      </c>
      <c r="H3758" s="75"/>
      <c r="I3758" s="76"/>
      <c r="J3758" s="78">
        <f>HYPERLINK("#Структура!E887",Структура!E887)</f>
        <v>2E-3</v>
      </c>
      <c r="K3758" s="114" t="str">
        <f>HYPERLINK("#Структура!G887","")</f>
        <v/>
      </c>
      <c r="L3758" s="120">
        <f>HYPERLINK("#Покупные_изделия!D427",Покупные_изделия!D427)</f>
        <v>155.53200000000001</v>
      </c>
      <c r="M3758" s="76">
        <f>J3758*L3758</f>
        <v>0.31106400000000001</v>
      </c>
      <c r="N3758" s="77"/>
      <c r="O3758" s="77"/>
      <c r="P3758" s="76"/>
      <c r="Q3758" s="76"/>
    </row>
    <row r="3759" spans="6:17" hidden="1" outlineLevel="5" x14ac:dyDescent="0.25">
      <c r="G3759" s="74" t="s">
        <v>215</v>
      </c>
      <c r="H3759" s="75"/>
      <c r="I3759" s="76"/>
      <c r="J3759" s="78">
        <f>HYPERLINK("#Структура!E888",Структура!E888)</f>
        <v>4.0000000000000001E-3</v>
      </c>
      <c r="K3759" s="114" t="str">
        <f>HYPERLINK("#Структура!G888","")</f>
        <v/>
      </c>
      <c r="L3759" s="120">
        <f>HYPERLINK("#Покупные_изделия!D567",Покупные_изделия!D567)</f>
        <v>405.74399999999997</v>
      </c>
      <c r="M3759" s="76">
        <f>J3759*L3759</f>
        <v>1.622976</v>
      </c>
      <c r="N3759" s="77"/>
      <c r="O3759" s="77"/>
      <c r="P3759" s="76"/>
      <c r="Q3759" s="76"/>
    </row>
    <row r="3760" spans="6:17" hidden="1" outlineLevel="4" collapsed="1" x14ac:dyDescent="0.25">
      <c r="F3760" s="84" t="s">
        <v>877</v>
      </c>
      <c r="G3760" s="79"/>
      <c r="H3760" s="80"/>
      <c r="I3760" s="81"/>
      <c r="J3760" s="83">
        <f>HYPERLINK("#Структура!E859",Структура!E859)</f>
        <v>1</v>
      </c>
      <c r="K3760" s="115">
        <f>HYPERLINK("#Структура!G859",Структура!G859)</f>
        <v>2.8680000000000001E-2</v>
      </c>
      <c r="L3760" s="81">
        <f>M3760/J3760</f>
        <v>245.69099279999998</v>
      </c>
      <c r="M3760" s="81">
        <f>SUMIF(G3761,"*",M3761)*J3760</f>
        <v>245.69099279999998</v>
      </c>
      <c r="N3760" s="124">
        <f>HYPERLINK("#Трудозатраты!B204",Трудозатраты!B204+SUMIF(G3761,"*",O3761))</f>
        <v>30</v>
      </c>
      <c r="O3760" s="82">
        <f>N3760*J3760</f>
        <v>30</v>
      </c>
      <c r="P3760" s="81">
        <f>O3760/60*(1+запас_труд)*стоимость_трудочаса</f>
        <v>1175</v>
      </c>
      <c r="Q3760" s="129">
        <f>M3760*(1+наценка_покупное)+P3760</f>
        <v>1469.8291913600001</v>
      </c>
    </row>
    <row r="3761" spans="5:17" hidden="1" outlineLevel="5" x14ac:dyDescent="0.25">
      <c r="G3761" s="74" t="s">
        <v>150</v>
      </c>
      <c r="H3761" s="75"/>
      <c r="I3761" s="76"/>
      <c r="J3761" s="78">
        <f>HYPERLINK("#Структура!E889",Структура!E889)</f>
        <v>0.18099999999999999</v>
      </c>
      <c r="K3761" s="114" t="str">
        <f>HYPERLINK("#Структура!G889","")</f>
        <v/>
      </c>
      <c r="L3761" s="120">
        <f>HYPERLINK("#Покупные_изделия!D418",Покупные_изделия!D418)</f>
        <v>1357.4087999999999</v>
      </c>
      <c r="M3761" s="76">
        <f>J3761*L3761</f>
        <v>245.69099279999998</v>
      </c>
      <c r="N3761" s="77"/>
      <c r="O3761" s="77"/>
      <c r="P3761" s="76"/>
      <c r="Q3761" s="76"/>
    </row>
    <row r="3762" spans="5:17" hidden="1" outlineLevel="3" collapsed="1" x14ac:dyDescent="0.25">
      <c r="E3762" s="96" t="s">
        <v>852</v>
      </c>
      <c r="F3762" s="91"/>
      <c r="G3762" s="91"/>
      <c r="H3762" s="92"/>
      <c r="I3762" s="93"/>
      <c r="J3762" s="95">
        <f>HYPERLINK("#Структура!E814",Структура!E814)</f>
        <v>2</v>
      </c>
      <c r="K3762" s="116">
        <f>HYPERLINK("#Структура!G814",Структура!G814)</f>
        <v>1.5501799999999999</v>
      </c>
      <c r="L3762" s="93">
        <f>M3762/J3762</f>
        <v>522.2090164</v>
      </c>
      <c r="M3762" s="93">
        <f>SUMIF(F3763:F3786,"*",M3763:M3786)*J3762</f>
        <v>1044.4180328</v>
      </c>
      <c r="N3762" s="125">
        <f>HYPERLINK("#Трудозатраты!B197",Трудозатраты!B197+SUMIF(F3763:F3786,"*",O3763:O3786))</f>
        <v>106.56</v>
      </c>
      <c r="O3762" s="94">
        <f>N3762*J3762</f>
        <v>213.12</v>
      </c>
      <c r="P3762" s="93">
        <f>O3762/60*(1+запас_труд)*стоимость_трудочаса</f>
        <v>8347.2000000000007</v>
      </c>
      <c r="Q3762" s="130">
        <f>M3762*(1+наценка_покупное)+P3762</f>
        <v>9600.5016393599999</v>
      </c>
    </row>
    <row r="3763" spans="5:17" hidden="1" outlineLevel="4" collapsed="1" x14ac:dyDescent="0.25">
      <c r="F3763" s="97" t="s">
        <v>875</v>
      </c>
      <c r="G3763" s="98"/>
      <c r="H3763" s="99"/>
      <c r="I3763" s="100"/>
      <c r="J3763" s="102">
        <f>HYPERLINK("#Структура!E860",Структура!E860)</f>
        <v>1</v>
      </c>
      <c r="K3763" s="112">
        <f>HYPERLINK("#Структура!G860",Структура!G860)</f>
        <v>0.32091999999999998</v>
      </c>
      <c r="L3763" s="100">
        <f>M3763/J3763</f>
        <v>85.275841199999988</v>
      </c>
      <c r="M3763" s="100">
        <f>SUMIF(G3764:G3773,"*",M3764:M3773)*J3763</f>
        <v>85.275841199999988</v>
      </c>
      <c r="N3763" s="122">
        <f>HYPERLINK("#Трудозатраты!B205",Трудозатраты!B205+SUMIF(G3764:G3773,"*",O3764:O3773))</f>
        <v>42.2</v>
      </c>
      <c r="O3763" s="101">
        <f>N3763*J3763</f>
        <v>42.2</v>
      </c>
      <c r="P3763" s="100">
        <f>O3763/60*(1+запас_труд)*стоимость_трудочаса</f>
        <v>1652.8333333333335</v>
      </c>
      <c r="Q3763" s="127">
        <f>M3763*(1+наценка_покупное)+P3763</f>
        <v>1755.1643427733334</v>
      </c>
    </row>
    <row r="3764" spans="5:17" hidden="1" outlineLevel="5" collapsed="1" x14ac:dyDescent="0.25">
      <c r="G3764" s="85" t="s">
        <v>879</v>
      </c>
      <c r="H3764" s="87"/>
      <c r="I3764" s="88"/>
      <c r="J3764" s="90">
        <f>HYPERLINK("#Структура!E890",Структура!E890)</f>
        <v>1</v>
      </c>
      <c r="K3764" s="113">
        <f>HYPERLINK("#Структура!G890",Структура!G890)</f>
        <v>0.26562999999999998</v>
      </c>
      <c r="L3764" s="88">
        <f>M3764/J3764</f>
        <v>50.5152</v>
      </c>
      <c r="M3764" s="88">
        <f>SUMIF(H3765,"*",M3765)*J3764</f>
        <v>50.5152</v>
      </c>
      <c r="N3764" s="123">
        <f>HYPERLINK("#Трудозатраты!B206",Трудозатраты!B206+SUMIF(H3765,"*",O3765))</f>
        <v>0.5</v>
      </c>
      <c r="O3764" s="89">
        <f>N3764*J3764</f>
        <v>0.5</v>
      </c>
      <c r="P3764" s="88">
        <f>O3764/60*(1+запас_труд)*стоимость_трудочаса</f>
        <v>19.583333333333332</v>
      </c>
      <c r="Q3764" s="128">
        <f>M3764*(1+наценка_покупное)+P3764</f>
        <v>80.201573333333329</v>
      </c>
    </row>
    <row r="3765" spans="5:17" hidden="1" outlineLevel="6" x14ac:dyDescent="0.25">
      <c r="H3765" s="75" t="s">
        <v>115</v>
      </c>
      <c r="I3765" s="76"/>
      <c r="J3765" s="78">
        <f>HYPERLINK("#Структура!E898",Структура!E898)</f>
        <v>0.42096</v>
      </c>
      <c r="K3765" s="114" t="str">
        <f>HYPERLINK("#Структура!G898","")</f>
        <v/>
      </c>
      <c r="L3765" s="120">
        <f>HYPERLINK("#Покупные_изделия!D289",Покупные_изделия!D289)</f>
        <v>120</v>
      </c>
      <c r="M3765" s="76">
        <f>J3765*L3765</f>
        <v>50.5152</v>
      </c>
      <c r="N3765" s="77"/>
      <c r="O3765" s="77"/>
      <c r="P3765" s="76"/>
      <c r="Q3765" s="76"/>
    </row>
    <row r="3766" spans="5:17" hidden="1" outlineLevel="5" collapsed="1" x14ac:dyDescent="0.25">
      <c r="G3766" s="84" t="s">
        <v>880</v>
      </c>
      <c r="H3766" s="80"/>
      <c r="I3766" s="81"/>
      <c r="J3766" s="83">
        <f>HYPERLINK("#Структура!E891",Структура!E891)</f>
        <v>1</v>
      </c>
      <c r="K3766" s="115">
        <f>HYPERLINK("#Структура!G891",Структура!G891)</f>
        <v>5.5300000000000002E-2</v>
      </c>
      <c r="L3766" s="81">
        <f>M3766/J3766</f>
        <v>27</v>
      </c>
      <c r="M3766" s="81">
        <f>SUMIF(H3767,"*",M3767)*J3766</f>
        <v>27</v>
      </c>
      <c r="N3766" s="124">
        <f>HYPERLINK("#Трудозатраты!B236",Трудозатраты!B236+SUMIF(H3767,"*",O3767))</f>
        <v>34.9</v>
      </c>
      <c r="O3766" s="82">
        <f>N3766*J3766</f>
        <v>34.9</v>
      </c>
      <c r="P3766" s="81">
        <f>O3766/60*(1+запас_труд)*стоимость_трудочаса</f>
        <v>1366.9166666666667</v>
      </c>
      <c r="Q3766" s="129">
        <f>M3766*(1+наценка_покупное)+P3766</f>
        <v>1399.3166666666668</v>
      </c>
    </row>
    <row r="3767" spans="5:17" hidden="1" outlineLevel="6" x14ac:dyDescent="0.25">
      <c r="H3767" s="75" t="s">
        <v>98</v>
      </c>
      <c r="I3767" s="76"/>
      <c r="J3767" s="78">
        <f>HYPERLINK("#Структура!E995",Структура!E995)</f>
        <v>0.27</v>
      </c>
      <c r="K3767" s="114" t="str">
        <f>HYPERLINK("#Структура!G995","")</f>
        <v/>
      </c>
      <c r="L3767" s="120">
        <f>HYPERLINK("#Покупные_изделия!D267",Покупные_изделия!D267)</f>
        <v>100</v>
      </c>
      <c r="M3767" s="76">
        <f t="shared" ref="M3767:M3773" si="141">J3767*L3767</f>
        <v>27</v>
      </c>
      <c r="N3767" s="77"/>
      <c r="O3767" s="77"/>
      <c r="P3767" s="76"/>
      <c r="Q3767" s="76"/>
    </row>
    <row r="3768" spans="5:17" hidden="1" outlineLevel="5" x14ac:dyDescent="0.25">
      <c r="G3768" s="74" t="s">
        <v>65</v>
      </c>
      <c r="H3768" s="75"/>
      <c r="I3768" s="76"/>
      <c r="J3768" s="78">
        <f>HYPERLINK("#Структура!E892",Структура!E892)</f>
        <v>3.0000000000000001E-3</v>
      </c>
      <c r="K3768" s="114" t="str">
        <f>HYPERLINK("#Структура!G892","")</f>
        <v/>
      </c>
      <c r="L3768" s="120">
        <f>HYPERLINK("#Покупные_изделия!D197",Покупные_изделия!D197)</f>
        <v>264.50399999999996</v>
      </c>
      <c r="M3768" s="76">
        <f t="shared" si="141"/>
        <v>0.79351199999999988</v>
      </c>
      <c r="N3768" s="77"/>
      <c r="O3768" s="77"/>
      <c r="P3768" s="76"/>
      <c r="Q3768" s="76"/>
    </row>
    <row r="3769" spans="5:17" hidden="1" outlineLevel="5" x14ac:dyDescent="0.25">
      <c r="G3769" s="74" t="s">
        <v>67</v>
      </c>
      <c r="H3769" s="75"/>
      <c r="I3769" s="76"/>
      <c r="J3769" s="78">
        <f>HYPERLINK("#Структура!E893",Структура!E893)</f>
        <v>3.6999999999999998E-2</v>
      </c>
      <c r="K3769" s="114" t="str">
        <f>HYPERLINK("#Структура!G893","")</f>
        <v/>
      </c>
      <c r="L3769" s="120">
        <f>HYPERLINK("#Покупные_изделия!D203",Покупные_изделия!D203)</f>
        <v>30.003600000000002</v>
      </c>
      <c r="M3769" s="76">
        <f t="shared" si="141"/>
        <v>1.1101331999999999</v>
      </c>
      <c r="N3769" s="77"/>
      <c r="O3769" s="77"/>
      <c r="P3769" s="76"/>
      <c r="Q3769" s="76"/>
    </row>
    <row r="3770" spans="5:17" hidden="1" outlineLevel="5" x14ac:dyDescent="0.25">
      <c r="G3770" s="74" t="s">
        <v>146</v>
      </c>
      <c r="H3770" s="75"/>
      <c r="I3770" s="76"/>
      <c r="J3770" s="78">
        <f>HYPERLINK("#Структура!E894",Структура!E894)</f>
        <v>2.1999999999999999E-2</v>
      </c>
      <c r="K3770" s="114" t="str">
        <f>HYPERLINK("#Структура!G894","")</f>
        <v/>
      </c>
      <c r="L3770" s="120">
        <f>HYPERLINK("#Покупные_изделия!D406",Покупные_изделия!D406)</f>
        <v>105.996</v>
      </c>
      <c r="M3770" s="76">
        <f t="shared" si="141"/>
        <v>2.3319119999999995</v>
      </c>
      <c r="N3770" s="77"/>
      <c r="O3770" s="77"/>
      <c r="P3770" s="76"/>
      <c r="Q3770" s="76"/>
    </row>
    <row r="3771" spans="5:17" hidden="1" outlineLevel="5" x14ac:dyDescent="0.25">
      <c r="G3771" s="74" t="s">
        <v>155</v>
      </c>
      <c r="H3771" s="75"/>
      <c r="I3771" s="76"/>
      <c r="J3771" s="78">
        <f>HYPERLINK("#Структура!E895",Структура!E895)</f>
        <v>1E-3</v>
      </c>
      <c r="K3771" s="114" t="str">
        <f>HYPERLINK("#Структура!G895","")</f>
        <v/>
      </c>
      <c r="L3771" s="120">
        <f>HYPERLINK("#Покупные_изделия!D423",Покупные_изделия!D423)</f>
        <v>218.28</v>
      </c>
      <c r="M3771" s="76">
        <f t="shared" si="141"/>
        <v>0.21828</v>
      </c>
      <c r="N3771" s="77"/>
      <c r="O3771" s="77"/>
      <c r="P3771" s="76"/>
      <c r="Q3771" s="76"/>
    </row>
    <row r="3772" spans="5:17" hidden="1" outlineLevel="5" x14ac:dyDescent="0.25">
      <c r="G3772" s="74" t="s">
        <v>156</v>
      </c>
      <c r="H3772" s="75"/>
      <c r="I3772" s="76"/>
      <c r="J3772" s="78">
        <f>HYPERLINK("#Структура!E896",Структура!E896)</f>
        <v>3.0000000000000001E-3</v>
      </c>
      <c r="K3772" s="114" t="str">
        <f>HYPERLINK("#Структура!G896","")</f>
        <v/>
      </c>
      <c r="L3772" s="120">
        <f>HYPERLINK("#Покупные_изделия!D427",Покупные_изделия!D427)</f>
        <v>155.53200000000001</v>
      </c>
      <c r="M3772" s="76">
        <f t="shared" si="141"/>
        <v>0.46659600000000007</v>
      </c>
      <c r="N3772" s="77"/>
      <c r="O3772" s="77"/>
      <c r="P3772" s="76"/>
      <c r="Q3772" s="76"/>
    </row>
    <row r="3773" spans="5:17" hidden="1" outlineLevel="5" x14ac:dyDescent="0.25">
      <c r="G3773" s="74" t="s">
        <v>215</v>
      </c>
      <c r="H3773" s="75"/>
      <c r="I3773" s="76"/>
      <c r="J3773" s="78">
        <f>HYPERLINK("#Структура!E897",Структура!E897)</f>
        <v>7.0000000000000001E-3</v>
      </c>
      <c r="K3773" s="114" t="str">
        <f>HYPERLINK("#Структура!G897","")</f>
        <v/>
      </c>
      <c r="L3773" s="120">
        <f>HYPERLINK("#Покупные_изделия!D567",Покупные_изделия!D567)</f>
        <v>405.74399999999997</v>
      </c>
      <c r="M3773" s="76">
        <f t="shared" si="141"/>
        <v>2.8402080000000001</v>
      </c>
      <c r="N3773" s="77"/>
      <c r="O3773" s="77"/>
      <c r="P3773" s="76"/>
      <c r="Q3773" s="76"/>
    </row>
    <row r="3774" spans="5:17" hidden="1" outlineLevel="4" collapsed="1" x14ac:dyDescent="0.25">
      <c r="F3774" s="84" t="s">
        <v>876</v>
      </c>
      <c r="G3774" s="79"/>
      <c r="H3774" s="80"/>
      <c r="I3774" s="81"/>
      <c r="J3774" s="83">
        <f>HYPERLINK("#Структура!E861",Структура!E861)</f>
        <v>1</v>
      </c>
      <c r="K3774" s="115">
        <f>HYPERLINK("#Структура!G861",Структура!G861)</f>
        <v>0.99570999999999998</v>
      </c>
      <c r="L3774" s="81">
        <f>M3774/J3774</f>
        <v>144.84672639999999</v>
      </c>
      <c r="M3774" s="81">
        <f>SUMIF(G3775:G3778,"*",M3775:M3778)*J3774</f>
        <v>144.84672639999999</v>
      </c>
      <c r="N3774" s="124">
        <f>HYPERLINK("#Трудозатраты!B201",Трудозатраты!B201+SUMIF(G3775:G3778,"*",O3775:O3778))</f>
        <v>13.2</v>
      </c>
      <c r="O3774" s="82">
        <f>N3774*J3774</f>
        <v>13.2</v>
      </c>
      <c r="P3774" s="81">
        <f>O3774/60*(1+запас_труд)*стоимость_трудочаса</f>
        <v>517</v>
      </c>
      <c r="Q3774" s="129">
        <f>M3774*(1+наценка_покупное)+P3774</f>
        <v>690.81607168000005</v>
      </c>
    </row>
    <row r="3775" spans="5:17" hidden="1" outlineLevel="5" x14ac:dyDescent="0.25">
      <c r="G3775" s="74" t="s">
        <v>64</v>
      </c>
      <c r="H3775" s="75"/>
      <c r="I3775" s="76"/>
      <c r="J3775" s="78">
        <f>HYPERLINK("#Структура!E876",Структура!E876)</f>
        <v>3.0000000000000001E-3</v>
      </c>
      <c r="K3775" s="114" t="str">
        <f>HYPERLINK("#Структура!G876","")</f>
        <v/>
      </c>
      <c r="L3775" s="120">
        <f>HYPERLINK("#Покупные_изделия!D196",Покупные_изделия!D196)</f>
        <v>187.92840000000001</v>
      </c>
      <c r="M3775" s="76">
        <f>J3775*L3775</f>
        <v>0.5637852000000001</v>
      </c>
      <c r="N3775" s="77"/>
      <c r="O3775" s="77"/>
      <c r="P3775" s="76"/>
      <c r="Q3775" s="76"/>
    </row>
    <row r="3776" spans="5:17" hidden="1" outlineLevel="5" x14ac:dyDescent="0.25">
      <c r="G3776" s="74" t="s">
        <v>94</v>
      </c>
      <c r="H3776" s="75"/>
      <c r="I3776" s="76"/>
      <c r="J3776" s="78">
        <f>HYPERLINK("#Структура!E877",Структура!E877)</f>
        <v>1.4379999999999999</v>
      </c>
      <c r="K3776" s="114" t="str">
        <f>HYPERLINK("#Структура!G877","")</f>
        <v/>
      </c>
      <c r="L3776" s="120">
        <f>HYPERLINK("#Покупные_изделия!D263",Покупные_изделия!D263)</f>
        <v>100</v>
      </c>
      <c r="M3776" s="76">
        <f>J3776*L3776</f>
        <v>143.79999999999998</v>
      </c>
      <c r="N3776" s="77"/>
      <c r="O3776" s="77"/>
      <c r="P3776" s="76"/>
      <c r="Q3776" s="76"/>
    </row>
    <row r="3777" spans="5:17" hidden="1" outlineLevel="5" x14ac:dyDescent="0.25">
      <c r="G3777" s="74" t="s">
        <v>139</v>
      </c>
      <c r="H3777" s="75"/>
      <c r="I3777" s="76"/>
      <c r="J3777" s="78">
        <f>HYPERLINK("#Структура!E878",Структура!E878)</f>
        <v>1E-3</v>
      </c>
      <c r="K3777" s="114" t="str">
        <f>HYPERLINK("#Структура!G878","")</f>
        <v/>
      </c>
      <c r="L3777" s="120">
        <f>HYPERLINK("#Покупные_изделия!D360",Покупные_изделия!D360)</f>
        <v>171.87720000000002</v>
      </c>
      <c r="M3777" s="76">
        <f>J3777*L3777</f>
        <v>0.17187720000000001</v>
      </c>
      <c r="N3777" s="77"/>
      <c r="O3777" s="77"/>
      <c r="P3777" s="76"/>
      <c r="Q3777" s="76"/>
    </row>
    <row r="3778" spans="5:17" hidden="1" outlineLevel="5" x14ac:dyDescent="0.25">
      <c r="G3778" s="74" t="s">
        <v>156</v>
      </c>
      <c r="H3778" s="75"/>
      <c r="I3778" s="76"/>
      <c r="J3778" s="78">
        <f>HYPERLINK("#Структура!E879",Структура!E879)</f>
        <v>2E-3</v>
      </c>
      <c r="K3778" s="114" t="str">
        <f>HYPERLINK("#Структура!G879","")</f>
        <v/>
      </c>
      <c r="L3778" s="120">
        <f>HYPERLINK("#Покупные_изделия!D427",Покупные_изделия!D427)</f>
        <v>155.53200000000001</v>
      </c>
      <c r="M3778" s="76">
        <f>J3778*L3778</f>
        <v>0.31106400000000001</v>
      </c>
      <c r="N3778" s="77"/>
      <c r="O3778" s="77"/>
      <c r="P3778" s="76"/>
      <c r="Q3778" s="76"/>
    </row>
    <row r="3779" spans="5:17" hidden="1" outlineLevel="4" collapsed="1" x14ac:dyDescent="0.25">
      <c r="F3779" s="84" t="s">
        <v>873</v>
      </c>
      <c r="G3779" s="79"/>
      <c r="H3779" s="80"/>
      <c r="I3779" s="81"/>
      <c r="J3779" s="83">
        <f>HYPERLINK("#Структура!E862",Структура!E862)</f>
        <v>2</v>
      </c>
      <c r="K3779" s="115">
        <f>HYPERLINK("#Структура!G862",Структура!G862)</f>
        <v>0.10242999999999999</v>
      </c>
      <c r="L3779" s="81">
        <f>M3779/J3779</f>
        <v>23.197728000000005</v>
      </c>
      <c r="M3779" s="81">
        <f>SUMIF(G3780:G3784,"*",M3780:M3784)*J3779</f>
        <v>46.39545600000001</v>
      </c>
      <c r="N3779" s="124">
        <f>HYPERLINK("#Трудозатраты!B203",Трудозатраты!B203+SUMIF(G3780:G3784,"*",O3780:O3784))</f>
        <v>2.58</v>
      </c>
      <c r="O3779" s="82">
        <f>N3779*J3779</f>
        <v>5.16</v>
      </c>
      <c r="P3779" s="81">
        <f>O3779/60*(1+запас_труд)*стоимость_трудочаса</f>
        <v>202.10000000000002</v>
      </c>
      <c r="Q3779" s="129">
        <f>M3779*(1+наценка_покупное)+P3779</f>
        <v>257.77454720000003</v>
      </c>
    </row>
    <row r="3780" spans="5:17" hidden="1" outlineLevel="5" x14ac:dyDescent="0.25">
      <c r="G3780" s="74" t="s">
        <v>65</v>
      </c>
      <c r="H3780" s="75"/>
      <c r="I3780" s="76"/>
      <c r="J3780" s="78">
        <f>HYPERLINK("#Структура!E884",Структура!E884)</f>
        <v>2E-3</v>
      </c>
      <c r="K3780" s="114" t="str">
        <f>HYPERLINK("#Структура!G884","")</f>
        <v/>
      </c>
      <c r="L3780" s="120">
        <f>HYPERLINK("#Покупные_изделия!D197",Покупные_изделия!D197)</f>
        <v>264.50399999999996</v>
      </c>
      <c r="M3780" s="76">
        <f>J3780*L3780</f>
        <v>0.52900799999999992</v>
      </c>
      <c r="N3780" s="77"/>
      <c r="O3780" s="77"/>
      <c r="P3780" s="76"/>
      <c r="Q3780" s="76"/>
    </row>
    <row r="3781" spans="5:17" hidden="1" outlineLevel="5" x14ac:dyDescent="0.25">
      <c r="G3781" s="74" t="s">
        <v>109</v>
      </c>
      <c r="H3781" s="75"/>
      <c r="I3781" s="76"/>
      <c r="J3781" s="78">
        <f>HYPERLINK("#Структура!E885",Структура!E885)</f>
        <v>0.17097000000000001</v>
      </c>
      <c r="K3781" s="114" t="str">
        <f>HYPERLINK("#Структура!G885","")</f>
        <v/>
      </c>
      <c r="L3781" s="120">
        <f>HYPERLINK("#Покупные_изделия!D281",Покупные_изделия!D281)</f>
        <v>120</v>
      </c>
      <c r="M3781" s="76">
        <f>J3781*L3781</f>
        <v>20.516400000000001</v>
      </c>
      <c r="N3781" s="77"/>
      <c r="O3781" s="77"/>
      <c r="P3781" s="76"/>
      <c r="Q3781" s="76"/>
    </row>
    <row r="3782" spans="5:17" hidden="1" outlineLevel="5" x14ac:dyDescent="0.25">
      <c r="G3782" s="74" t="s">
        <v>155</v>
      </c>
      <c r="H3782" s="75"/>
      <c r="I3782" s="76"/>
      <c r="J3782" s="78">
        <f>HYPERLINK("#Структура!E886",Структура!E886)</f>
        <v>1E-3</v>
      </c>
      <c r="K3782" s="114" t="str">
        <f>HYPERLINK("#Структура!G886","")</f>
        <v/>
      </c>
      <c r="L3782" s="120">
        <f>HYPERLINK("#Покупные_изделия!D423",Покупные_изделия!D423)</f>
        <v>218.28</v>
      </c>
      <c r="M3782" s="76">
        <f>J3782*L3782</f>
        <v>0.21828</v>
      </c>
      <c r="N3782" s="77"/>
      <c r="O3782" s="77"/>
      <c r="P3782" s="76"/>
      <c r="Q3782" s="76"/>
    </row>
    <row r="3783" spans="5:17" hidden="1" outlineLevel="5" x14ac:dyDescent="0.25">
      <c r="G3783" s="74" t="s">
        <v>156</v>
      </c>
      <c r="H3783" s="75"/>
      <c r="I3783" s="76"/>
      <c r="J3783" s="78">
        <f>HYPERLINK("#Структура!E887",Структура!E887)</f>
        <v>2E-3</v>
      </c>
      <c r="K3783" s="114" t="str">
        <f>HYPERLINK("#Структура!G887","")</f>
        <v/>
      </c>
      <c r="L3783" s="120">
        <f>HYPERLINK("#Покупные_изделия!D427",Покупные_изделия!D427)</f>
        <v>155.53200000000001</v>
      </c>
      <c r="M3783" s="76">
        <f>J3783*L3783</f>
        <v>0.31106400000000001</v>
      </c>
      <c r="N3783" s="77"/>
      <c r="O3783" s="77"/>
      <c r="P3783" s="76"/>
      <c r="Q3783" s="76"/>
    </row>
    <row r="3784" spans="5:17" hidden="1" outlineLevel="5" x14ac:dyDescent="0.25">
      <c r="G3784" s="74" t="s">
        <v>215</v>
      </c>
      <c r="H3784" s="75"/>
      <c r="I3784" s="76"/>
      <c r="J3784" s="78">
        <f>HYPERLINK("#Структура!E888",Структура!E888)</f>
        <v>4.0000000000000001E-3</v>
      </c>
      <c r="K3784" s="114" t="str">
        <f>HYPERLINK("#Структура!G888","")</f>
        <v/>
      </c>
      <c r="L3784" s="120">
        <f>HYPERLINK("#Покупные_изделия!D567",Покупные_изделия!D567)</f>
        <v>405.74399999999997</v>
      </c>
      <c r="M3784" s="76">
        <f>J3784*L3784</f>
        <v>1.622976</v>
      </c>
      <c r="N3784" s="77"/>
      <c r="O3784" s="77"/>
      <c r="P3784" s="76"/>
      <c r="Q3784" s="76"/>
    </row>
    <row r="3785" spans="5:17" hidden="1" outlineLevel="4" collapsed="1" x14ac:dyDescent="0.25">
      <c r="F3785" s="84" t="s">
        <v>877</v>
      </c>
      <c r="G3785" s="79"/>
      <c r="H3785" s="80"/>
      <c r="I3785" s="81"/>
      <c r="J3785" s="83">
        <f>HYPERLINK("#Структура!E863",Структура!E863)</f>
        <v>1</v>
      </c>
      <c r="K3785" s="115">
        <f>HYPERLINK("#Структура!G863",Структура!G863)</f>
        <v>2.8680000000000001E-2</v>
      </c>
      <c r="L3785" s="81">
        <f>M3785/J3785</f>
        <v>245.69099279999998</v>
      </c>
      <c r="M3785" s="81">
        <f>SUMIF(G3786,"*",M3786)*J3785</f>
        <v>245.69099279999998</v>
      </c>
      <c r="N3785" s="124">
        <f>HYPERLINK("#Трудозатраты!B204",Трудозатраты!B204+SUMIF(G3786,"*",O3786))</f>
        <v>30</v>
      </c>
      <c r="O3785" s="82">
        <f>N3785*J3785</f>
        <v>30</v>
      </c>
      <c r="P3785" s="81">
        <f>O3785/60*(1+запас_труд)*стоимость_трудочаса</f>
        <v>1175</v>
      </c>
      <c r="Q3785" s="129">
        <f>M3785*(1+наценка_покупное)+P3785</f>
        <v>1469.8291913600001</v>
      </c>
    </row>
    <row r="3786" spans="5:17" hidden="1" outlineLevel="5" x14ac:dyDescent="0.25">
      <c r="G3786" s="74" t="s">
        <v>150</v>
      </c>
      <c r="H3786" s="75"/>
      <c r="I3786" s="76"/>
      <c r="J3786" s="78">
        <f>HYPERLINK("#Структура!E889",Структура!E889)</f>
        <v>0.18099999999999999</v>
      </c>
      <c r="K3786" s="114" t="str">
        <f>HYPERLINK("#Структура!G889","")</f>
        <v/>
      </c>
      <c r="L3786" s="120">
        <f>HYPERLINK("#Покупные_изделия!D418",Покупные_изделия!D418)</f>
        <v>1357.4087999999999</v>
      </c>
      <c r="M3786" s="76">
        <f>J3786*L3786</f>
        <v>245.69099279999998</v>
      </c>
      <c r="N3786" s="77"/>
      <c r="O3786" s="77"/>
      <c r="P3786" s="76"/>
      <c r="Q3786" s="76"/>
    </row>
    <row r="3787" spans="5:17" hidden="1" outlineLevel="3" collapsed="1" x14ac:dyDescent="0.25">
      <c r="E3787" s="96" t="s">
        <v>853</v>
      </c>
      <c r="F3787" s="91"/>
      <c r="G3787" s="91"/>
      <c r="H3787" s="92"/>
      <c r="I3787" s="93"/>
      <c r="J3787" s="95">
        <f>HYPERLINK("#Структура!E815",Структура!E815)</f>
        <v>1</v>
      </c>
      <c r="K3787" s="116">
        <f>HYPERLINK("#Структура!G815",Структура!G815)</f>
        <v>1.6623699999999999</v>
      </c>
      <c r="L3787" s="93">
        <f>M3787/J3787</f>
        <v>515.01128840000001</v>
      </c>
      <c r="M3787" s="93">
        <f>SUMIF(F3788:F3811,"*",M3788:M3811)*J3787</f>
        <v>515.01128840000001</v>
      </c>
      <c r="N3787" s="125">
        <f>HYPERLINK("#Трудозатраты!B198",Трудозатраты!B198+SUMIF(F3788:F3811,"*",O3788:O3811))</f>
        <v>103.28</v>
      </c>
      <c r="O3787" s="94">
        <f>N3787*J3787</f>
        <v>103.28</v>
      </c>
      <c r="P3787" s="93">
        <f>O3787/60*(1+запас_труд)*стоимость_трудочаса</f>
        <v>4045.1333333333337</v>
      </c>
      <c r="Q3787" s="130">
        <f>M3787*(1+наценка_покупное)+P3787</f>
        <v>4663.1468794133334</v>
      </c>
    </row>
    <row r="3788" spans="5:17" hidden="1" outlineLevel="4" collapsed="1" x14ac:dyDescent="0.25">
      <c r="F3788" s="97" t="s">
        <v>875</v>
      </c>
      <c r="G3788" s="98"/>
      <c r="H3788" s="99"/>
      <c r="I3788" s="100"/>
      <c r="J3788" s="102">
        <f>HYPERLINK("#Структура!E864",Структура!E864)</f>
        <v>1</v>
      </c>
      <c r="K3788" s="112">
        <f>HYPERLINK("#Структура!G864",Структура!G864)</f>
        <v>0.32091999999999998</v>
      </c>
      <c r="L3788" s="100">
        <f>M3788/J3788</f>
        <v>85.275841199999988</v>
      </c>
      <c r="M3788" s="100">
        <f>SUMIF(G3789:G3798,"*",M3789:M3798)*J3788</f>
        <v>85.275841199999988</v>
      </c>
      <c r="N3788" s="122">
        <f>HYPERLINK("#Трудозатраты!B205",Трудозатраты!B205+SUMIF(G3789:G3798,"*",O3789:O3798))</f>
        <v>42.2</v>
      </c>
      <c r="O3788" s="101">
        <f>N3788*J3788</f>
        <v>42.2</v>
      </c>
      <c r="P3788" s="100">
        <f>O3788/60*(1+запас_труд)*стоимость_трудочаса</f>
        <v>1652.8333333333335</v>
      </c>
      <c r="Q3788" s="127">
        <f>M3788*(1+наценка_покупное)+P3788</f>
        <v>1755.1643427733334</v>
      </c>
    </row>
    <row r="3789" spans="5:17" hidden="1" outlineLevel="5" collapsed="1" x14ac:dyDescent="0.25">
      <c r="G3789" s="85" t="s">
        <v>879</v>
      </c>
      <c r="H3789" s="87"/>
      <c r="I3789" s="88"/>
      <c r="J3789" s="90">
        <f>HYPERLINK("#Структура!E890",Структура!E890)</f>
        <v>1</v>
      </c>
      <c r="K3789" s="113">
        <f>HYPERLINK("#Структура!G890",Структура!G890)</f>
        <v>0.26562999999999998</v>
      </c>
      <c r="L3789" s="88">
        <f>M3789/J3789</f>
        <v>50.5152</v>
      </c>
      <c r="M3789" s="88">
        <f>SUMIF(H3790,"*",M3790)*J3789</f>
        <v>50.5152</v>
      </c>
      <c r="N3789" s="123">
        <f>HYPERLINK("#Трудозатраты!B206",Трудозатраты!B206+SUMIF(H3790,"*",O3790))</f>
        <v>0.5</v>
      </c>
      <c r="O3789" s="89">
        <f>N3789*J3789</f>
        <v>0.5</v>
      </c>
      <c r="P3789" s="88">
        <f>O3789/60*(1+запас_труд)*стоимость_трудочаса</f>
        <v>19.583333333333332</v>
      </c>
      <c r="Q3789" s="128">
        <f>M3789*(1+наценка_покупное)+P3789</f>
        <v>80.201573333333329</v>
      </c>
    </row>
    <row r="3790" spans="5:17" hidden="1" outlineLevel="6" x14ac:dyDescent="0.25">
      <c r="H3790" s="75" t="s">
        <v>115</v>
      </c>
      <c r="I3790" s="76"/>
      <c r="J3790" s="78">
        <f>HYPERLINK("#Структура!E898",Структура!E898)</f>
        <v>0.42096</v>
      </c>
      <c r="K3790" s="114" t="str">
        <f>HYPERLINK("#Структура!G898","")</f>
        <v/>
      </c>
      <c r="L3790" s="120">
        <f>HYPERLINK("#Покупные_изделия!D289",Покупные_изделия!D289)</f>
        <v>120</v>
      </c>
      <c r="M3790" s="76">
        <f>J3790*L3790</f>
        <v>50.5152</v>
      </c>
      <c r="N3790" s="77"/>
      <c r="O3790" s="77"/>
      <c r="P3790" s="76"/>
      <c r="Q3790" s="76"/>
    </row>
    <row r="3791" spans="5:17" hidden="1" outlineLevel="5" collapsed="1" x14ac:dyDescent="0.25">
      <c r="G3791" s="84" t="s">
        <v>880</v>
      </c>
      <c r="H3791" s="80"/>
      <c r="I3791" s="81"/>
      <c r="J3791" s="83">
        <f>HYPERLINK("#Структура!E891",Структура!E891)</f>
        <v>1</v>
      </c>
      <c r="K3791" s="115">
        <f>HYPERLINK("#Структура!G891",Структура!G891)</f>
        <v>5.5300000000000002E-2</v>
      </c>
      <c r="L3791" s="81">
        <f>M3791/J3791</f>
        <v>27</v>
      </c>
      <c r="M3791" s="81">
        <f>SUMIF(H3792,"*",M3792)*J3791</f>
        <v>27</v>
      </c>
      <c r="N3791" s="124">
        <f>HYPERLINK("#Трудозатраты!B236",Трудозатраты!B236+SUMIF(H3792,"*",O3792))</f>
        <v>34.9</v>
      </c>
      <c r="O3791" s="82">
        <f>N3791*J3791</f>
        <v>34.9</v>
      </c>
      <c r="P3791" s="81">
        <f>O3791/60*(1+запас_труд)*стоимость_трудочаса</f>
        <v>1366.9166666666667</v>
      </c>
      <c r="Q3791" s="129">
        <f>M3791*(1+наценка_покупное)+P3791</f>
        <v>1399.3166666666668</v>
      </c>
    </row>
    <row r="3792" spans="5:17" hidden="1" outlineLevel="6" x14ac:dyDescent="0.25">
      <c r="H3792" s="75" t="s">
        <v>98</v>
      </c>
      <c r="I3792" s="76"/>
      <c r="J3792" s="78">
        <f>HYPERLINK("#Структура!E995",Структура!E995)</f>
        <v>0.27</v>
      </c>
      <c r="K3792" s="114" t="str">
        <f>HYPERLINK("#Структура!G995","")</f>
        <v/>
      </c>
      <c r="L3792" s="120">
        <f>HYPERLINK("#Покупные_изделия!D267",Покупные_изделия!D267)</f>
        <v>100</v>
      </c>
      <c r="M3792" s="76">
        <f t="shared" ref="M3792:M3798" si="142">J3792*L3792</f>
        <v>27</v>
      </c>
      <c r="N3792" s="77"/>
      <c r="O3792" s="77"/>
      <c r="P3792" s="76"/>
      <c r="Q3792" s="76"/>
    </row>
    <row r="3793" spans="6:17" hidden="1" outlineLevel="5" x14ac:dyDescent="0.25">
      <c r="G3793" s="74" t="s">
        <v>65</v>
      </c>
      <c r="H3793" s="75"/>
      <c r="I3793" s="76"/>
      <c r="J3793" s="78">
        <f>HYPERLINK("#Структура!E892",Структура!E892)</f>
        <v>3.0000000000000001E-3</v>
      </c>
      <c r="K3793" s="114" t="str">
        <f>HYPERLINK("#Структура!G892","")</f>
        <v/>
      </c>
      <c r="L3793" s="120">
        <f>HYPERLINK("#Покупные_изделия!D197",Покупные_изделия!D197)</f>
        <v>264.50399999999996</v>
      </c>
      <c r="M3793" s="76">
        <f t="shared" si="142"/>
        <v>0.79351199999999988</v>
      </c>
      <c r="N3793" s="77"/>
      <c r="O3793" s="77"/>
      <c r="P3793" s="76"/>
      <c r="Q3793" s="76"/>
    </row>
    <row r="3794" spans="6:17" hidden="1" outlineLevel="5" x14ac:dyDescent="0.25">
      <c r="G3794" s="74" t="s">
        <v>67</v>
      </c>
      <c r="H3794" s="75"/>
      <c r="I3794" s="76"/>
      <c r="J3794" s="78">
        <f>HYPERLINK("#Структура!E893",Структура!E893)</f>
        <v>3.6999999999999998E-2</v>
      </c>
      <c r="K3794" s="114" t="str">
        <f>HYPERLINK("#Структура!G893","")</f>
        <v/>
      </c>
      <c r="L3794" s="120">
        <f>HYPERLINK("#Покупные_изделия!D203",Покупные_изделия!D203)</f>
        <v>30.003600000000002</v>
      </c>
      <c r="M3794" s="76">
        <f t="shared" si="142"/>
        <v>1.1101331999999999</v>
      </c>
      <c r="N3794" s="77"/>
      <c r="O3794" s="77"/>
      <c r="P3794" s="76"/>
      <c r="Q3794" s="76"/>
    </row>
    <row r="3795" spans="6:17" hidden="1" outlineLevel="5" x14ac:dyDescent="0.25">
      <c r="G3795" s="74" t="s">
        <v>146</v>
      </c>
      <c r="H3795" s="75"/>
      <c r="I3795" s="76"/>
      <c r="J3795" s="78">
        <f>HYPERLINK("#Структура!E894",Структура!E894)</f>
        <v>2.1999999999999999E-2</v>
      </c>
      <c r="K3795" s="114" t="str">
        <f>HYPERLINK("#Структура!G894","")</f>
        <v/>
      </c>
      <c r="L3795" s="120">
        <f>HYPERLINK("#Покупные_изделия!D406",Покупные_изделия!D406)</f>
        <v>105.996</v>
      </c>
      <c r="M3795" s="76">
        <f t="shared" si="142"/>
        <v>2.3319119999999995</v>
      </c>
      <c r="N3795" s="77"/>
      <c r="O3795" s="77"/>
      <c r="P3795" s="76"/>
      <c r="Q3795" s="76"/>
    </row>
    <row r="3796" spans="6:17" hidden="1" outlineLevel="5" x14ac:dyDescent="0.25">
      <c r="G3796" s="74" t="s">
        <v>155</v>
      </c>
      <c r="H3796" s="75"/>
      <c r="I3796" s="76"/>
      <c r="J3796" s="78">
        <f>HYPERLINK("#Структура!E895",Структура!E895)</f>
        <v>1E-3</v>
      </c>
      <c r="K3796" s="114" t="str">
        <f>HYPERLINK("#Структура!G895","")</f>
        <v/>
      </c>
      <c r="L3796" s="120">
        <f>HYPERLINK("#Покупные_изделия!D423",Покупные_изделия!D423)</f>
        <v>218.28</v>
      </c>
      <c r="M3796" s="76">
        <f t="shared" si="142"/>
        <v>0.21828</v>
      </c>
      <c r="N3796" s="77"/>
      <c r="O3796" s="77"/>
      <c r="P3796" s="76"/>
      <c r="Q3796" s="76"/>
    </row>
    <row r="3797" spans="6:17" hidden="1" outlineLevel="5" x14ac:dyDescent="0.25">
      <c r="G3797" s="74" t="s">
        <v>156</v>
      </c>
      <c r="H3797" s="75"/>
      <c r="I3797" s="76"/>
      <c r="J3797" s="78">
        <f>HYPERLINK("#Структура!E896",Структура!E896)</f>
        <v>3.0000000000000001E-3</v>
      </c>
      <c r="K3797" s="114" t="str">
        <f>HYPERLINK("#Структура!G896","")</f>
        <v/>
      </c>
      <c r="L3797" s="120">
        <f>HYPERLINK("#Покупные_изделия!D427",Покупные_изделия!D427)</f>
        <v>155.53200000000001</v>
      </c>
      <c r="M3797" s="76">
        <f t="shared" si="142"/>
        <v>0.46659600000000007</v>
      </c>
      <c r="N3797" s="77"/>
      <c r="O3797" s="77"/>
      <c r="P3797" s="76"/>
      <c r="Q3797" s="76"/>
    </row>
    <row r="3798" spans="6:17" hidden="1" outlineLevel="5" x14ac:dyDescent="0.25">
      <c r="G3798" s="74" t="s">
        <v>215</v>
      </c>
      <c r="H3798" s="75"/>
      <c r="I3798" s="76"/>
      <c r="J3798" s="78">
        <f>HYPERLINK("#Структура!E897",Структура!E897)</f>
        <v>7.0000000000000001E-3</v>
      </c>
      <c r="K3798" s="114" t="str">
        <f>HYPERLINK("#Структура!G897","")</f>
        <v/>
      </c>
      <c r="L3798" s="120">
        <f>HYPERLINK("#Покупные_изделия!D567",Покупные_изделия!D567)</f>
        <v>405.74399999999997</v>
      </c>
      <c r="M3798" s="76">
        <f t="shared" si="142"/>
        <v>2.8402080000000001</v>
      </c>
      <c r="N3798" s="77"/>
      <c r="O3798" s="77"/>
      <c r="P3798" s="76"/>
      <c r="Q3798" s="76"/>
    </row>
    <row r="3799" spans="6:17" hidden="1" outlineLevel="4" collapsed="1" x14ac:dyDescent="0.25">
      <c r="F3799" s="84" t="s">
        <v>878</v>
      </c>
      <c r="G3799" s="79"/>
      <c r="H3799" s="80"/>
      <c r="I3799" s="81"/>
      <c r="J3799" s="83">
        <f>HYPERLINK("#Структура!E865",Структура!E865)</f>
        <v>1</v>
      </c>
      <c r="K3799" s="115">
        <f>HYPERLINK("#Структура!G865",Структура!G865)</f>
        <v>1.2103299999999999</v>
      </c>
      <c r="L3799" s="81">
        <f>M3799/J3799</f>
        <v>160.84672640000002</v>
      </c>
      <c r="M3799" s="81">
        <f>SUMIF(G3800:G3803,"*",M3800:M3803)*J3799</f>
        <v>160.84672640000002</v>
      </c>
      <c r="N3799" s="124">
        <f>HYPERLINK("#Трудозатраты!B202",Трудозатраты!B202+SUMIF(G3800:G3803,"*",O3800:O3803))</f>
        <v>12.5</v>
      </c>
      <c r="O3799" s="82">
        <f>N3799*J3799</f>
        <v>12.5</v>
      </c>
      <c r="P3799" s="81">
        <f>O3799/60*(1+запас_труд)*стоимость_трудочаса</f>
        <v>489.58333333333337</v>
      </c>
      <c r="Q3799" s="129">
        <f>M3799*(1+наценка_покупное)+P3799</f>
        <v>682.59940501333335</v>
      </c>
    </row>
    <row r="3800" spans="6:17" hidden="1" outlineLevel="5" x14ac:dyDescent="0.25">
      <c r="G3800" s="74" t="s">
        <v>64</v>
      </c>
      <c r="H3800" s="75"/>
      <c r="I3800" s="76"/>
      <c r="J3800" s="78">
        <f>HYPERLINK("#Структура!E880",Структура!E880)</f>
        <v>3.0000000000000001E-3</v>
      </c>
      <c r="K3800" s="114" t="str">
        <f>HYPERLINK("#Структура!G880","")</f>
        <v/>
      </c>
      <c r="L3800" s="120">
        <f>HYPERLINK("#Покупные_изделия!D196",Покупные_изделия!D196)</f>
        <v>187.92840000000001</v>
      </c>
      <c r="M3800" s="76">
        <f>J3800*L3800</f>
        <v>0.5637852000000001</v>
      </c>
      <c r="N3800" s="77"/>
      <c r="O3800" s="77"/>
      <c r="P3800" s="76"/>
      <c r="Q3800" s="76"/>
    </row>
    <row r="3801" spans="6:17" hidden="1" outlineLevel="5" x14ac:dyDescent="0.25">
      <c r="G3801" s="74" t="s">
        <v>94</v>
      </c>
      <c r="H3801" s="75"/>
      <c r="I3801" s="76"/>
      <c r="J3801" s="78">
        <f>HYPERLINK("#Структура!E881",Структура!E881)</f>
        <v>1.5980000000000001</v>
      </c>
      <c r="K3801" s="114" t="str">
        <f>HYPERLINK("#Структура!G881","")</f>
        <v/>
      </c>
      <c r="L3801" s="120">
        <f>HYPERLINK("#Покупные_изделия!D263",Покупные_изделия!D263)</f>
        <v>100</v>
      </c>
      <c r="M3801" s="76">
        <f>J3801*L3801</f>
        <v>159.80000000000001</v>
      </c>
      <c r="N3801" s="77"/>
      <c r="O3801" s="77"/>
      <c r="P3801" s="76"/>
      <c r="Q3801" s="76"/>
    </row>
    <row r="3802" spans="6:17" hidden="1" outlineLevel="5" x14ac:dyDescent="0.25">
      <c r="G3802" s="74" t="s">
        <v>139</v>
      </c>
      <c r="H3802" s="75"/>
      <c r="I3802" s="76"/>
      <c r="J3802" s="78">
        <f>HYPERLINK("#Структура!E882",Структура!E882)</f>
        <v>1E-3</v>
      </c>
      <c r="K3802" s="114" t="str">
        <f>HYPERLINK("#Структура!G882","")</f>
        <v/>
      </c>
      <c r="L3802" s="120">
        <f>HYPERLINK("#Покупные_изделия!D360",Покупные_изделия!D360)</f>
        <v>171.87720000000002</v>
      </c>
      <c r="M3802" s="76">
        <f>J3802*L3802</f>
        <v>0.17187720000000001</v>
      </c>
      <c r="N3802" s="77"/>
      <c r="O3802" s="77"/>
      <c r="P3802" s="76"/>
      <c r="Q3802" s="76"/>
    </row>
    <row r="3803" spans="6:17" hidden="1" outlineLevel="5" x14ac:dyDescent="0.25">
      <c r="G3803" s="74" t="s">
        <v>156</v>
      </c>
      <c r="H3803" s="75"/>
      <c r="I3803" s="76"/>
      <c r="J3803" s="78">
        <f>HYPERLINK("#Структура!E883",Структура!E883)</f>
        <v>2E-3</v>
      </c>
      <c r="K3803" s="114" t="str">
        <f>HYPERLINK("#Структура!G883","")</f>
        <v/>
      </c>
      <c r="L3803" s="120">
        <f>HYPERLINK("#Покупные_изделия!D427",Покупные_изделия!D427)</f>
        <v>155.53200000000001</v>
      </c>
      <c r="M3803" s="76">
        <f>J3803*L3803</f>
        <v>0.31106400000000001</v>
      </c>
      <c r="N3803" s="77"/>
      <c r="O3803" s="77"/>
      <c r="P3803" s="76"/>
      <c r="Q3803" s="76"/>
    </row>
    <row r="3804" spans="6:17" hidden="1" outlineLevel="4" collapsed="1" x14ac:dyDescent="0.25">
      <c r="F3804" s="84" t="s">
        <v>873</v>
      </c>
      <c r="G3804" s="79"/>
      <c r="H3804" s="80"/>
      <c r="I3804" s="81"/>
      <c r="J3804" s="83">
        <f>HYPERLINK("#Структура!E866",Структура!E866)</f>
        <v>1</v>
      </c>
      <c r="K3804" s="115">
        <f>HYPERLINK("#Структура!G866",Структура!G866)</f>
        <v>0.10242999999999999</v>
      </c>
      <c r="L3804" s="81">
        <f>M3804/J3804</f>
        <v>23.197728000000005</v>
      </c>
      <c r="M3804" s="81">
        <f>SUMIF(G3805:G3809,"*",M3805:M3809)*J3804</f>
        <v>23.197728000000005</v>
      </c>
      <c r="N3804" s="124">
        <f>HYPERLINK("#Трудозатраты!B203",Трудозатраты!B203+SUMIF(G3805:G3809,"*",O3805:O3809))</f>
        <v>2.58</v>
      </c>
      <c r="O3804" s="82">
        <f>N3804*J3804</f>
        <v>2.58</v>
      </c>
      <c r="P3804" s="81">
        <f>O3804/60*(1+запас_труд)*стоимость_трудочаса</f>
        <v>101.05000000000001</v>
      </c>
      <c r="Q3804" s="129">
        <f>M3804*(1+наценка_покупное)+P3804</f>
        <v>128.88727360000001</v>
      </c>
    </row>
    <row r="3805" spans="6:17" hidden="1" outlineLevel="5" x14ac:dyDescent="0.25">
      <c r="G3805" s="74" t="s">
        <v>65</v>
      </c>
      <c r="H3805" s="75"/>
      <c r="I3805" s="76"/>
      <c r="J3805" s="78">
        <f>HYPERLINK("#Структура!E884",Структура!E884)</f>
        <v>2E-3</v>
      </c>
      <c r="K3805" s="114" t="str">
        <f>HYPERLINK("#Структура!G884","")</f>
        <v/>
      </c>
      <c r="L3805" s="120">
        <f>HYPERLINK("#Покупные_изделия!D197",Покупные_изделия!D197)</f>
        <v>264.50399999999996</v>
      </c>
      <c r="M3805" s="76">
        <f>J3805*L3805</f>
        <v>0.52900799999999992</v>
      </c>
      <c r="N3805" s="77"/>
      <c r="O3805" s="77"/>
      <c r="P3805" s="76"/>
      <c r="Q3805" s="76"/>
    </row>
    <row r="3806" spans="6:17" hidden="1" outlineLevel="5" x14ac:dyDescent="0.25">
      <c r="G3806" s="74" t="s">
        <v>109</v>
      </c>
      <c r="H3806" s="75"/>
      <c r="I3806" s="76"/>
      <c r="J3806" s="78">
        <f>HYPERLINK("#Структура!E885",Структура!E885)</f>
        <v>0.17097000000000001</v>
      </c>
      <c r="K3806" s="114" t="str">
        <f>HYPERLINK("#Структура!G885","")</f>
        <v/>
      </c>
      <c r="L3806" s="120">
        <f>HYPERLINK("#Покупные_изделия!D281",Покупные_изделия!D281)</f>
        <v>120</v>
      </c>
      <c r="M3806" s="76">
        <f>J3806*L3806</f>
        <v>20.516400000000001</v>
      </c>
      <c r="N3806" s="77"/>
      <c r="O3806" s="77"/>
      <c r="P3806" s="76"/>
      <c r="Q3806" s="76"/>
    </row>
    <row r="3807" spans="6:17" hidden="1" outlineLevel="5" x14ac:dyDescent="0.25">
      <c r="G3807" s="74" t="s">
        <v>155</v>
      </c>
      <c r="H3807" s="75"/>
      <c r="I3807" s="76"/>
      <c r="J3807" s="78">
        <f>HYPERLINK("#Структура!E886",Структура!E886)</f>
        <v>1E-3</v>
      </c>
      <c r="K3807" s="114" t="str">
        <f>HYPERLINK("#Структура!G886","")</f>
        <v/>
      </c>
      <c r="L3807" s="120">
        <f>HYPERLINK("#Покупные_изделия!D423",Покупные_изделия!D423)</f>
        <v>218.28</v>
      </c>
      <c r="M3807" s="76">
        <f>J3807*L3807</f>
        <v>0.21828</v>
      </c>
      <c r="N3807" s="77"/>
      <c r="O3807" s="77"/>
      <c r="P3807" s="76"/>
      <c r="Q3807" s="76"/>
    </row>
    <row r="3808" spans="6:17" hidden="1" outlineLevel="5" x14ac:dyDescent="0.25">
      <c r="G3808" s="74" t="s">
        <v>156</v>
      </c>
      <c r="H3808" s="75"/>
      <c r="I3808" s="76"/>
      <c r="J3808" s="78">
        <f>HYPERLINK("#Структура!E887",Структура!E887)</f>
        <v>2E-3</v>
      </c>
      <c r="K3808" s="114" t="str">
        <f>HYPERLINK("#Структура!G887","")</f>
        <v/>
      </c>
      <c r="L3808" s="120">
        <f>HYPERLINK("#Покупные_изделия!D427",Покупные_изделия!D427)</f>
        <v>155.53200000000001</v>
      </c>
      <c r="M3808" s="76">
        <f>J3808*L3808</f>
        <v>0.31106400000000001</v>
      </c>
      <c r="N3808" s="77"/>
      <c r="O3808" s="77"/>
      <c r="P3808" s="76"/>
      <c r="Q3808" s="76"/>
    </row>
    <row r="3809" spans="5:17" hidden="1" outlineLevel="5" x14ac:dyDescent="0.25">
      <c r="G3809" s="74" t="s">
        <v>215</v>
      </c>
      <c r="H3809" s="75"/>
      <c r="I3809" s="76"/>
      <c r="J3809" s="78">
        <f>HYPERLINK("#Структура!E888",Структура!E888)</f>
        <v>4.0000000000000001E-3</v>
      </c>
      <c r="K3809" s="114" t="str">
        <f>HYPERLINK("#Структура!G888","")</f>
        <v/>
      </c>
      <c r="L3809" s="120">
        <f>HYPERLINK("#Покупные_изделия!D567",Покупные_изделия!D567)</f>
        <v>405.74399999999997</v>
      </c>
      <c r="M3809" s="76">
        <f>J3809*L3809</f>
        <v>1.622976</v>
      </c>
      <c r="N3809" s="77"/>
      <c r="O3809" s="77"/>
      <c r="P3809" s="76"/>
      <c r="Q3809" s="76"/>
    </row>
    <row r="3810" spans="5:17" hidden="1" outlineLevel="4" collapsed="1" x14ac:dyDescent="0.25">
      <c r="F3810" s="84" t="s">
        <v>877</v>
      </c>
      <c r="G3810" s="79"/>
      <c r="H3810" s="80"/>
      <c r="I3810" s="81"/>
      <c r="J3810" s="83">
        <f>HYPERLINK("#Структура!E867",Структура!E867)</f>
        <v>1</v>
      </c>
      <c r="K3810" s="115">
        <f>HYPERLINK("#Структура!G867",Структура!G867)</f>
        <v>2.8680000000000001E-2</v>
      </c>
      <c r="L3810" s="81">
        <f>M3810/J3810</f>
        <v>245.69099279999998</v>
      </c>
      <c r="M3810" s="81">
        <f>SUMIF(G3811,"*",M3811)*J3810</f>
        <v>245.69099279999998</v>
      </c>
      <c r="N3810" s="124">
        <f>HYPERLINK("#Трудозатраты!B204",Трудозатраты!B204+SUMIF(G3811,"*",O3811))</f>
        <v>30</v>
      </c>
      <c r="O3810" s="82">
        <f>N3810*J3810</f>
        <v>30</v>
      </c>
      <c r="P3810" s="81">
        <f>O3810/60*(1+запас_труд)*стоимость_трудочаса</f>
        <v>1175</v>
      </c>
      <c r="Q3810" s="129">
        <f>M3810*(1+наценка_покупное)+P3810</f>
        <v>1469.8291913600001</v>
      </c>
    </row>
    <row r="3811" spans="5:17" hidden="1" outlineLevel="5" x14ac:dyDescent="0.25">
      <c r="G3811" s="74" t="s">
        <v>150</v>
      </c>
      <c r="H3811" s="75"/>
      <c r="I3811" s="76"/>
      <c r="J3811" s="78">
        <f>HYPERLINK("#Структура!E889",Структура!E889)</f>
        <v>0.18099999999999999</v>
      </c>
      <c r="K3811" s="114" t="str">
        <f>HYPERLINK("#Структура!G889","")</f>
        <v/>
      </c>
      <c r="L3811" s="120">
        <f>HYPERLINK("#Покупные_изделия!D418",Покупные_изделия!D418)</f>
        <v>1357.4087999999999</v>
      </c>
      <c r="M3811" s="76">
        <f>J3811*L3811</f>
        <v>245.69099279999998</v>
      </c>
      <c r="N3811" s="77"/>
      <c r="O3811" s="77"/>
      <c r="P3811" s="76"/>
      <c r="Q3811" s="76"/>
    </row>
    <row r="3812" spans="5:17" hidden="1" outlineLevel="3" collapsed="1" x14ac:dyDescent="0.25">
      <c r="E3812" s="96" t="s">
        <v>854</v>
      </c>
      <c r="F3812" s="91"/>
      <c r="G3812" s="91"/>
      <c r="H3812" s="92"/>
      <c r="I3812" s="93"/>
      <c r="J3812" s="95">
        <f>HYPERLINK("#Структура!E816",Структура!E816)</f>
        <v>1</v>
      </c>
      <c r="K3812" s="116">
        <f>HYPERLINK("#Структура!G816",Структура!G816)</f>
        <v>1.6623699999999999</v>
      </c>
      <c r="L3812" s="93">
        <f>M3812/J3812</f>
        <v>515.01128840000001</v>
      </c>
      <c r="M3812" s="93">
        <f>SUMIF(F3813:F3836,"*",M3813:M3836)*J3812</f>
        <v>515.01128840000001</v>
      </c>
      <c r="N3812" s="125">
        <f>HYPERLINK("#Трудозатраты!B199",Трудозатраты!B199+SUMIF(F3813:F3836,"*",O3813:O3836))</f>
        <v>103.28</v>
      </c>
      <c r="O3812" s="94">
        <f>N3812*J3812</f>
        <v>103.28</v>
      </c>
      <c r="P3812" s="93">
        <f>O3812/60*(1+запас_труд)*стоимость_трудочаса</f>
        <v>4045.1333333333337</v>
      </c>
      <c r="Q3812" s="130">
        <f>M3812*(1+наценка_покупное)+P3812</f>
        <v>4663.1468794133334</v>
      </c>
    </row>
    <row r="3813" spans="5:17" hidden="1" outlineLevel="4" collapsed="1" x14ac:dyDescent="0.25">
      <c r="F3813" s="97" t="s">
        <v>875</v>
      </c>
      <c r="G3813" s="98"/>
      <c r="H3813" s="99"/>
      <c r="I3813" s="100"/>
      <c r="J3813" s="102">
        <f>HYPERLINK("#Структура!E868",Структура!E868)</f>
        <v>1</v>
      </c>
      <c r="K3813" s="112">
        <f>HYPERLINK("#Структура!G868",Структура!G868)</f>
        <v>0.32091999999999998</v>
      </c>
      <c r="L3813" s="100">
        <f>M3813/J3813</f>
        <v>85.275841199999988</v>
      </c>
      <c r="M3813" s="100">
        <f>SUMIF(G3814:G3823,"*",M3814:M3823)*J3813</f>
        <v>85.275841199999988</v>
      </c>
      <c r="N3813" s="122">
        <f>HYPERLINK("#Трудозатраты!B205",Трудозатраты!B205+SUMIF(G3814:G3823,"*",O3814:O3823))</f>
        <v>42.2</v>
      </c>
      <c r="O3813" s="101">
        <f>N3813*J3813</f>
        <v>42.2</v>
      </c>
      <c r="P3813" s="100">
        <f>O3813/60*(1+запас_труд)*стоимость_трудочаса</f>
        <v>1652.8333333333335</v>
      </c>
      <c r="Q3813" s="127">
        <f>M3813*(1+наценка_покупное)+P3813</f>
        <v>1755.1643427733334</v>
      </c>
    </row>
    <row r="3814" spans="5:17" hidden="1" outlineLevel="5" collapsed="1" x14ac:dyDescent="0.25">
      <c r="G3814" s="85" t="s">
        <v>879</v>
      </c>
      <c r="H3814" s="87"/>
      <c r="I3814" s="88"/>
      <c r="J3814" s="90">
        <f>HYPERLINK("#Структура!E890",Структура!E890)</f>
        <v>1</v>
      </c>
      <c r="K3814" s="113">
        <f>HYPERLINK("#Структура!G890",Структура!G890)</f>
        <v>0.26562999999999998</v>
      </c>
      <c r="L3814" s="88">
        <f>M3814/J3814</f>
        <v>50.5152</v>
      </c>
      <c r="M3814" s="88">
        <f>SUMIF(H3815,"*",M3815)*J3814</f>
        <v>50.5152</v>
      </c>
      <c r="N3814" s="123">
        <f>HYPERLINK("#Трудозатраты!B206",Трудозатраты!B206+SUMIF(H3815,"*",O3815))</f>
        <v>0.5</v>
      </c>
      <c r="O3814" s="89">
        <f>N3814*J3814</f>
        <v>0.5</v>
      </c>
      <c r="P3814" s="88">
        <f>O3814/60*(1+запас_труд)*стоимость_трудочаса</f>
        <v>19.583333333333332</v>
      </c>
      <c r="Q3814" s="128">
        <f>M3814*(1+наценка_покупное)+P3814</f>
        <v>80.201573333333329</v>
      </c>
    </row>
    <row r="3815" spans="5:17" hidden="1" outlineLevel="6" x14ac:dyDescent="0.25">
      <c r="H3815" s="75" t="s">
        <v>115</v>
      </c>
      <c r="I3815" s="76"/>
      <c r="J3815" s="78">
        <f>HYPERLINK("#Структура!E898",Структура!E898)</f>
        <v>0.42096</v>
      </c>
      <c r="K3815" s="114" t="str">
        <f>HYPERLINK("#Структура!G898","")</f>
        <v/>
      </c>
      <c r="L3815" s="120">
        <f>HYPERLINK("#Покупные_изделия!D289",Покупные_изделия!D289)</f>
        <v>120</v>
      </c>
      <c r="M3815" s="76">
        <f>J3815*L3815</f>
        <v>50.5152</v>
      </c>
      <c r="N3815" s="77"/>
      <c r="O3815" s="77"/>
      <c r="P3815" s="76"/>
      <c r="Q3815" s="76"/>
    </row>
    <row r="3816" spans="5:17" hidden="1" outlineLevel="5" collapsed="1" x14ac:dyDescent="0.25">
      <c r="G3816" s="84" t="s">
        <v>880</v>
      </c>
      <c r="H3816" s="80"/>
      <c r="I3816" s="81"/>
      <c r="J3816" s="83">
        <f>HYPERLINK("#Структура!E891",Структура!E891)</f>
        <v>1</v>
      </c>
      <c r="K3816" s="115">
        <f>HYPERLINK("#Структура!G891",Структура!G891)</f>
        <v>5.5300000000000002E-2</v>
      </c>
      <c r="L3816" s="81">
        <f>M3816/J3816</f>
        <v>27</v>
      </c>
      <c r="M3816" s="81">
        <f>SUMIF(H3817,"*",M3817)*J3816</f>
        <v>27</v>
      </c>
      <c r="N3816" s="124">
        <f>HYPERLINK("#Трудозатраты!B236",Трудозатраты!B236+SUMIF(H3817,"*",O3817))</f>
        <v>34.9</v>
      </c>
      <c r="O3816" s="82">
        <f>N3816*J3816</f>
        <v>34.9</v>
      </c>
      <c r="P3816" s="81">
        <f>O3816/60*(1+запас_труд)*стоимость_трудочаса</f>
        <v>1366.9166666666667</v>
      </c>
      <c r="Q3816" s="129">
        <f>M3816*(1+наценка_покупное)+P3816</f>
        <v>1399.3166666666668</v>
      </c>
    </row>
    <row r="3817" spans="5:17" hidden="1" outlineLevel="6" x14ac:dyDescent="0.25">
      <c r="H3817" s="75" t="s">
        <v>98</v>
      </c>
      <c r="I3817" s="76"/>
      <c r="J3817" s="78">
        <f>HYPERLINK("#Структура!E995",Структура!E995)</f>
        <v>0.27</v>
      </c>
      <c r="K3817" s="114" t="str">
        <f>HYPERLINK("#Структура!G995","")</f>
        <v/>
      </c>
      <c r="L3817" s="120">
        <f>HYPERLINK("#Покупные_изделия!D267",Покупные_изделия!D267)</f>
        <v>100</v>
      </c>
      <c r="M3817" s="76">
        <f t="shared" ref="M3817:M3823" si="143">J3817*L3817</f>
        <v>27</v>
      </c>
      <c r="N3817" s="77"/>
      <c r="O3817" s="77"/>
      <c r="P3817" s="76"/>
      <c r="Q3817" s="76"/>
    </row>
    <row r="3818" spans="5:17" hidden="1" outlineLevel="5" x14ac:dyDescent="0.25">
      <c r="G3818" s="74" t="s">
        <v>65</v>
      </c>
      <c r="H3818" s="75"/>
      <c r="I3818" s="76"/>
      <c r="J3818" s="78">
        <f>HYPERLINK("#Структура!E892",Структура!E892)</f>
        <v>3.0000000000000001E-3</v>
      </c>
      <c r="K3818" s="114" t="str">
        <f>HYPERLINK("#Структура!G892","")</f>
        <v/>
      </c>
      <c r="L3818" s="120">
        <f>HYPERLINK("#Покупные_изделия!D197",Покупные_изделия!D197)</f>
        <v>264.50399999999996</v>
      </c>
      <c r="M3818" s="76">
        <f t="shared" si="143"/>
        <v>0.79351199999999988</v>
      </c>
      <c r="N3818" s="77"/>
      <c r="O3818" s="77"/>
      <c r="P3818" s="76"/>
      <c r="Q3818" s="76"/>
    </row>
    <row r="3819" spans="5:17" hidden="1" outlineLevel="5" x14ac:dyDescent="0.25">
      <c r="G3819" s="74" t="s">
        <v>67</v>
      </c>
      <c r="H3819" s="75"/>
      <c r="I3819" s="76"/>
      <c r="J3819" s="78">
        <f>HYPERLINK("#Структура!E893",Структура!E893)</f>
        <v>3.6999999999999998E-2</v>
      </c>
      <c r="K3819" s="114" t="str">
        <f>HYPERLINK("#Структура!G893","")</f>
        <v/>
      </c>
      <c r="L3819" s="120">
        <f>HYPERLINK("#Покупные_изделия!D203",Покупные_изделия!D203)</f>
        <v>30.003600000000002</v>
      </c>
      <c r="M3819" s="76">
        <f t="shared" si="143"/>
        <v>1.1101331999999999</v>
      </c>
      <c r="N3819" s="77"/>
      <c r="O3819" s="77"/>
      <c r="P3819" s="76"/>
      <c r="Q3819" s="76"/>
    </row>
    <row r="3820" spans="5:17" hidden="1" outlineLevel="5" x14ac:dyDescent="0.25">
      <c r="G3820" s="74" t="s">
        <v>146</v>
      </c>
      <c r="H3820" s="75"/>
      <c r="I3820" s="76"/>
      <c r="J3820" s="78">
        <f>HYPERLINK("#Структура!E894",Структура!E894)</f>
        <v>2.1999999999999999E-2</v>
      </c>
      <c r="K3820" s="114" t="str">
        <f>HYPERLINK("#Структура!G894","")</f>
        <v/>
      </c>
      <c r="L3820" s="120">
        <f>HYPERLINK("#Покупные_изделия!D406",Покупные_изделия!D406)</f>
        <v>105.996</v>
      </c>
      <c r="M3820" s="76">
        <f t="shared" si="143"/>
        <v>2.3319119999999995</v>
      </c>
      <c r="N3820" s="77"/>
      <c r="O3820" s="77"/>
      <c r="P3820" s="76"/>
      <c r="Q3820" s="76"/>
    </row>
    <row r="3821" spans="5:17" hidden="1" outlineLevel="5" x14ac:dyDescent="0.25">
      <c r="G3821" s="74" t="s">
        <v>155</v>
      </c>
      <c r="H3821" s="75"/>
      <c r="I3821" s="76"/>
      <c r="J3821" s="78">
        <f>HYPERLINK("#Структура!E895",Структура!E895)</f>
        <v>1E-3</v>
      </c>
      <c r="K3821" s="114" t="str">
        <f>HYPERLINK("#Структура!G895","")</f>
        <v/>
      </c>
      <c r="L3821" s="120">
        <f>HYPERLINK("#Покупные_изделия!D423",Покупные_изделия!D423)</f>
        <v>218.28</v>
      </c>
      <c r="M3821" s="76">
        <f t="shared" si="143"/>
        <v>0.21828</v>
      </c>
      <c r="N3821" s="77"/>
      <c r="O3821" s="77"/>
      <c r="P3821" s="76"/>
      <c r="Q3821" s="76"/>
    </row>
    <row r="3822" spans="5:17" hidden="1" outlineLevel="5" x14ac:dyDescent="0.25">
      <c r="G3822" s="74" t="s">
        <v>156</v>
      </c>
      <c r="H3822" s="75"/>
      <c r="I3822" s="76"/>
      <c r="J3822" s="78">
        <f>HYPERLINK("#Структура!E896",Структура!E896)</f>
        <v>3.0000000000000001E-3</v>
      </c>
      <c r="K3822" s="114" t="str">
        <f>HYPERLINK("#Структура!G896","")</f>
        <v/>
      </c>
      <c r="L3822" s="120">
        <f>HYPERLINK("#Покупные_изделия!D427",Покупные_изделия!D427)</f>
        <v>155.53200000000001</v>
      </c>
      <c r="M3822" s="76">
        <f t="shared" si="143"/>
        <v>0.46659600000000007</v>
      </c>
      <c r="N3822" s="77"/>
      <c r="O3822" s="77"/>
      <c r="P3822" s="76"/>
      <c r="Q3822" s="76"/>
    </row>
    <row r="3823" spans="5:17" hidden="1" outlineLevel="5" x14ac:dyDescent="0.25">
      <c r="G3823" s="74" t="s">
        <v>215</v>
      </c>
      <c r="H3823" s="75"/>
      <c r="I3823" s="76"/>
      <c r="J3823" s="78">
        <f>HYPERLINK("#Структура!E897",Структура!E897)</f>
        <v>7.0000000000000001E-3</v>
      </c>
      <c r="K3823" s="114" t="str">
        <f>HYPERLINK("#Структура!G897","")</f>
        <v/>
      </c>
      <c r="L3823" s="120">
        <f>HYPERLINK("#Покупные_изделия!D567",Покупные_изделия!D567)</f>
        <v>405.74399999999997</v>
      </c>
      <c r="M3823" s="76">
        <f t="shared" si="143"/>
        <v>2.8402080000000001</v>
      </c>
      <c r="N3823" s="77"/>
      <c r="O3823" s="77"/>
      <c r="P3823" s="76"/>
      <c r="Q3823" s="76"/>
    </row>
    <row r="3824" spans="5:17" hidden="1" outlineLevel="4" collapsed="1" x14ac:dyDescent="0.25">
      <c r="F3824" s="84" t="s">
        <v>878</v>
      </c>
      <c r="G3824" s="79"/>
      <c r="H3824" s="80"/>
      <c r="I3824" s="81"/>
      <c r="J3824" s="83">
        <f>HYPERLINK("#Структура!E869",Структура!E869)</f>
        <v>1</v>
      </c>
      <c r="K3824" s="115">
        <f>HYPERLINK("#Структура!G869",Структура!G869)</f>
        <v>1.2103299999999999</v>
      </c>
      <c r="L3824" s="81">
        <f>M3824/J3824</f>
        <v>160.84672640000002</v>
      </c>
      <c r="M3824" s="81">
        <f>SUMIF(G3825:G3828,"*",M3825:M3828)*J3824</f>
        <v>160.84672640000002</v>
      </c>
      <c r="N3824" s="124">
        <f>HYPERLINK("#Трудозатраты!B202",Трудозатраты!B202+SUMIF(G3825:G3828,"*",O3825:O3828))</f>
        <v>12.5</v>
      </c>
      <c r="O3824" s="82">
        <f>N3824*J3824</f>
        <v>12.5</v>
      </c>
      <c r="P3824" s="81">
        <f>O3824/60*(1+запас_труд)*стоимость_трудочаса</f>
        <v>489.58333333333337</v>
      </c>
      <c r="Q3824" s="129">
        <f>M3824*(1+наценка_покупное)+P3824</f>
        <v>682.59940501333335</v>
      </c>
    </row>
    <row r="3825" spans="5:17" hidden="1" outlineLevel="5" x14ac:dyDescent="0.25">
      <c r="G3825" s="74" t="s">
        <v>64</v>
      </c>
      <c r="H3825" s="75"/>
      <c r="I3825" s="76"/>
      <c r="J3825" s="78">
        <f>HYPERLINK("#Структура!E880",Структура!E880)</f>
        <v>3.0000000000000001E-3</v>
      </c>
      <c r="K3825" s="114" t="str">
        <f>HYPERLINK("#Структура!G880","")</f>
        <v/>
      </c>
      <c r="L3825" s="120">
        <f>HYPERLINK("#Покупные_изделия!D196",Покупные_изделия!D196)</f>
        <v>187.92840000000001</v>
      </c>
      <c r="M3825" s="76">
        <f>J3825*L3825</f>
        <v>0.5637852000000001</v>
      </c>
      <c r="N3825" s="77"/>
      <c r="O3825" s="77"/>
      <c r="P3825" s="76"/>
      <c r="Q3825" s="76"/>
    </row>
    <row r="3826" spans="5:17" hidden="1" outlineLevel="5" x14ac:dyDescent="0.25">
      <c r="G3826" s="74" t="s">
        <v>94</v>
      </c>
      <c r="H3826" s="75"/>
      <c r="I3826" s="76"/>
      <c r="J3826" s="78">
        <f>HYPERLINK("#Структура!E881",Структура!E881)</f>
        <v>1.5980000000000001</v>
      </c>
      <c r="K3826" s="114" t="str">
        <f>HYPERLINK("#Структура!G881","")</f>
        <v/>
      </c>
      <c r="L3826" s="120">
        <f>HYPERLINK("#Покупные_изделия!D263",Покупные_изделия!D263)</f>
        <v>100</v>
      </c>
      <c r="M3826" s="76">
        <f>J3826*L3826</f>
        <v>159.80000000000001</v>
      </c>
      <c r="N3826" s="77"/>
      <c r="O3826" s="77"/>
      <c r="P3826" s="76"/>
      <c r="Q3826" s="76"/>
    </row>
    <row r="3827" spans="5:17" hidden="1" outlineLevel="5" x14ac:dyDescent="0.25">
      <c r="G3827" s="74" t="s">
        <v>139</v>
      </c>
      <c r="H3827" s="75"/>
      <c r="I3827" s="76"/>
      <c r="J3827" s="78">
        <f>HYPERLINK("#Структура!E882",Структура!E882)</f>
        <v>1E-3</v>
      </c>
      <c r="K3827" s="114" t="str">
        <f>HYPERLINK("#Структура!G882","")</f>
        <v/>
      </c>
      <c r="L3827" s="120">
        <f>HYPERLINK("#Покупные_изделия!D360",Покупные_изделия!D360)</f>
        <v>171.87720000000002</v>
      </c>
      <c r="M3827" s="76">
        <f>J3827*L3827</f>
        <v>0.17187720000000001</v>
      </c>
      <c r="N3827" s="77"/>
      <c r="O3827" s="77"/>
      <c r="P3827" s="76"/>
      <c r="Q3827" s="76"/>
    </row>
    <row r="3828" spans="5:17" hidden="1" outlineLevel="5" x14ac:dyDescent="0.25">
      <c r="G3828" s="74" t="s">
        <v>156</v>
      </c>
      <c r="H3828" s="75"/>
      <c r="I3828" s="76"/>
      <c r="J3828" s="78">
        <f>HYPERLINK("#Структура!E883",Структура!E883)</f>
        <v>2E-3</v>
      </c>
      <c r="K3828" s="114" t="str">
        <f>HYPERLINK("#Структура!G883","")</f>
        <v/>
      </c>
      <c r="L3828" s="120">
        <f>HYPERLINK("#Покупные_изделия!D427",Покупные_изделия!D427)</f>
        <v>155.53200000000001</v>
      </c>
      <c r="M3828" s="76">
        <f>J3828*L3828</f>
        <v>0.31106400000000001</v>
      </c>
      <c r="N3828" s="77"/>
      <c r="O3828" s="77"/>
      <c r="P3828" s="76"/>
      <c r="Q3828" s="76"/>
    </row>
    <row r="3829" spans="5:17" hidden="1" outlineLevel="4" collapsed="1" x14ac:dyDescent="0.25">
      <c r="F3829" s="84" t="s">
        <v>873</v>
      </c>
      <c r="G3829" s="79"/>
      <c r="H3829" s="80"/>
      <c r="I3829" s="81"/>
      <c r="J3829" s="83">
        <f>HYPERLINK("#Структура!E870",Структура!E870)</f>
        <v>1</v>
      </c>
      <c r="K3829" s="115">
        <f>HYPERLINK("#Структура!G870",Структура!G870)</f>
        <v>0.10242999999999999</v>
      </c>
      <c r="L3829" s="81">
        <f>M3829/J3829</f>
        <v>23.197728000000005</v>
      </c>
      <c r="M3829" s="81">
        <f>SUMIF(G3830:G3834,"*",M3830:M3834)*J3829</f>
        <v>23.197728000000005</v>
      </c>
      <c r="N3829" s="124">
        <f>HYPERLINK("#Трудозатраты!B203",Трудозатраты!B203+SUMIF(G3830:G3834,"*",O3830:O3834))</f>
        <v>2.58</v>
      </c>
      <c r="O3829" s="82">
        <f>N3829*J3829</f>
        <v>2.58</v>
      </c>
      <c r="P3829" s="81">
        <f>O3829/60*(1+запас_труд)*стоимость_трудочаса</f>
        <v>101.05000000000001</v>
      </c>
      <c r="Q3829" s="129">
        <f>M3829*(1+наценка_покупное)+P3829</f>
        <v>128.88727360000001</v>
      </c>
    </row>
    <row r="3830" spans="5:17" hidden="1" outlineLevel="5" x14ac:dyDescent="0.25">
      <c r="G3830" s="74" t="s">
        <v>65</v>
      </c>
      <c r="H3830" s="75"/>
      <c r="I3830" s="76"/>
      <c r="J3830" s="78">
        <f>HYPERLINK("#Структура!E884",Структура!E884)</f>
        <v>2E-3</v>
      </c>
      <c r="K3830" s="114" t="str">
        <f>HYPERLINK("#Структура!G884","")</f>
        <v/>
      </c>
      <c r="L3830" s="120">
        <f>HYPERLINK("#Покупные_изделия!D197",Покупные_изделия!D197)</f>
        <v>264.50399999999996</v>
      </c>
      <c r="M3830" s="76">
        <f>J3830*L3830</f>
        <v>0.52900799999999992</v>
      </c>
      <c r="N3830" s="77"/>
      <c r="O3830" s="77"/>
      <c r="P3830" s="76"/>
      <c r="Q3830" s="76"/>
    </row>
    <row r="3831" spans="5:17" hidden="1" outlineLevel="5" x14ac:dyDescent="0.25">
      <c r="G3831" s="74" t="s">
        <v>109</v>
      </c>
      <c r="H3831" s="75"/>
      <c r="I3831" s="76"/>
      <c r="J3831" s="78">
        <f>HYPERLINK("#Структура!E885",Структура!E885)</f>
        <v>0.17097000000000001</v>
      </c>
      <c r="K3831" s="114" t="str">
        <f>HYPERLINK("#Структура!G885","")</f>
        <v/>
      </c>
      <c r="L3831" s="120">
        <f>HYPERLINK("#Покупные_изделия!D281",Покупные_изделия!D281)</f>
        <v>120</v>
      </c>
      <c r="M3831" s="76">
        <f>J3831*L3831</f>
        <v>20.516400000000001</v>
      </c>
      <c r="N3831" s="77"/>
      <c r="O3831" s="77"/>
      <c r="P3831" s="76"/>
      <c r="Q3831" s="76"/>
    </row>
    <row r="3832" spans="5:17" hidden="1" outlineLevel="5" x14ac:dyDescent="0.25">
      <c r="G3832" s="74" t="s">
        <v>155</v>
      </c>
      <c r="H3832" s="75"/>
      <c r="I3832" s="76"/>
      <c r="J3832" s="78">
        <f>HYPERLINK("#Структура!E886",Структура!E886)</f>
        <v>1E-3</v>
      </c>
      <c r="K3832" s="114" t="str">
        <f>HYPERLINK("#Структура!G886","")</f>
        <v/>
      </c>
      <c r="L3832" s="120">
        <f>HYPERLINK("#Покупные_изделия!D423",Покупные_изделия!D423)</f>
        <v>218.28</v>
      </c>
      <c r="M3832" s="76">
        <f>J3832*L3832</f>
        <v>0.21828</v>
      </c>
      <c r="N3832" s="77"/>
      <c r="O3832" s="77"/>
      <c r="P3832" s="76"/>
      <c r="Q3832" s="76"/>
    </row>
    <row r="3833" spans="5:17" hidden="1" outlineLevel="5" x14ac:dyDescent="0.25">
      <c r="G3833" s="74" t="s">
        <v>156</v>
      </c>
      <c r="H3833" s="75"/>
      <c r="I3833" s="76"/>
      <c r="J3833" s="78">
        <f>HYPERLINK("#Структура!E887",Структура!E887)</f>
        <v>2E-3</v>
      </c>
      <c r="K3833" s="114" t="str">
        <f>HYPERLINK("#Структура!G887","")</f>
        <v/>
      </c>
      <c r="L3833" s="120">
        <f>HYPERLINK("#Покупные_изделия!D427",Покупные_изделия!D427)</f>
        <v>155.53200000000001</v>
      </c>
      <c r="M3833" s="76">
        <f>J3833*L3833</f>
        <v>0.31106400000000001</v>
      </c>
      <c r="N3833" s="77"/>
      <c r="O3833" s="77"/>
      <c r="P3833" s="76"/>
      <c r="Q3833" s="76"/>
    </row>
    <row r="3834" spans="5:17" hidden="1" outlineLevel="5" x14ac:dyDescent="0.25">
      <c r="G3834" s="74" t="s">
        <v>215</v>
      </c>
      <c r="H3834" s="75"/>
      <c r="I3834" s="76"/>
      <c r="J3834" s="78">
        <f>HYPERLINK("#Структура!E888",Структура!E888)</f>
        <v>4.0000000000000001E-3</v>
      </c>
      <c r="K3834" s="114" t="str">
        <f>HYPERLINK("#Структура!G888","")</f>
        <v/>
      </c>
      <c r="L3834" s="120">
        <f>HYPERLINK("#Покупные_изделия!D567",Покупные_изделия!D567)</f>
        <v>405.74399999999997</v>
      </c>
      <c r="M3834" s="76">
        <f>J3834*L3834</f>
        <v>1.622976</v>
      </c>
      <c r="N3834" s="77"/>
      <c r="O3834" s="77"/>
      <c r="P3834" s="76"/>
      <c r="Q3834" s="76"/>
    </row>
    <row r="3835" spans="5:17" hidden="1" outlineLevel="4" collapsed="1" x14ac:dyDescent="0.25">
      <c r="F3835" s="84" t="s">
        <v>877</v>
      </c>
      <c r="G3835" s="79"/>
      <c r="H3835" s="80"/>
      <c r="I3835" s="81"/>
      <c r="J3835" s="83">
        <f>HYPERLINK("#Структура!E871",Структура!E871)</f>
        <v>1</v>
      </c>
      <c r="K3835" s="115">
        <f>HYPERLINK("#Структура!G871",Структура!G871)</f>
        <v>2.8680000000000001E-2</v>
      </c>
      <c r="L3835" s="81">
        <f>M3835/J3835</f>
        <v>245.69099279999998</v>
      </c>
      <c r="M3835" s="81">
        <f>SUMIF(G3836,"*",M3836)*J3835</f>
        <v>245.69099279999998</v>
      </c>
      <c r="N3835" s="124">
        <f>HYPERLINK("#Трудозатраты!B204",Трудозатраты!B204+SUMIF(G3836,"*",O3836))</f>
        <v>30</v>
      </c>
      <c r="O3835" s="82">
        <f>N3835*J3835</f>
        <v>30</v>
      </c>
      <c r="P3835" s="81">
        <f>O3835/60*(1+запас_труд)*стоимость_трудочаса</f>
        <v>1175</v>
      </c>
      <c r="Q3835" s="129">
        <f>M3835*(1+наценка_покупное)+P3835</f>
        <v>1469.8291913600001</v>
      </c>
    </row>
    <row r="3836" spans="5:17" hidden="1" outlineLevel="5" x14ac:dyDescent="0.25">
      <c r="G3836" s="74" t="s">
        <v>150</v>
      </c>
      <c r="H3836" s="75"/>
      <c r="I3836" s="76"/>
      <c r="J3836" s="78">
        <f>HYPERLINK("#Структура!E889",Структура!E889)</f>
        <v>0.18099999999999999</v>
      </c>
      <c r="K3836" s="114" t="str">
        <f>HYPERLINK("#Структура!G889","")</f>
        <v/>
      </c>
      <c r="L3836" s="120">
        <f>HYPERLINK("#Покупные_изделия!D418",Покупные_изделия!D418)</f>
        <v>1357.4087999999999</v>
      </c>
      <c r="M3836" s="76">
        <f>J3836*L3836</f>
        <v>245.69099279999998</v>
      </c>
      <c r="N3836" s="77"/>
      <c r="O3836" s="77"/>
      <c r="P3836" s="76"/>
      <c r="Q3836" s="76"/>
    </row>
    <row r="3837" spans="5:17" hidden="1" outlineLevel="3" collapsed="1" x14ac:dyDescent="0.25">
      <c r="E3837" s="96" t="s">
        <v>855</v>
      </c>
      <c r="F3837" s="91"/>
      <c r="G3837" s="91"/>
      <c r="H3837" s="92"/>
      <c r="I3837" s="93"/>
      <c r="J3837" s="95">
        <f>HYPERLINK("#Структура!E817",Структура!E817)</f>
        <v>1</v>
      </c>
      <c r="K3837" s="116">
        <f>HYPERLINK("#Структура!G817",Структура!G817)</f>
        <v>4.6026100000000003</v>
      </c>
      <c r="L3837" s="93">
        <f>M3837/J3837</f>
        <v>1058.2971775999997</v>
      </c>
      <c r="M3837" s="93">
        <f>SUMIF(F3838:F3873,"*",M3838:M3873)*J3837</f>
        <v>1058.2971775999997</v>
      </c>
      <c r="N3837" s="125">
        <f>HYPERLINK("#Трудозатраты!B207",Трудозатраты!B207+SUMIF(F3838:F3873,"*",O3838:O3873))</f>
        <v>133.1</v>
      </c>
      <c r="O3837" s="94">
        <f>N3837*J3837</f>
        <v>133.1</v>
      </c>
      <c r="P3837" s="93">
        <f>O3837/60*(1+запас_труд)*стоимость_трудочаса</f>
        <v>5213.083333333333</v>
      </c>
      <c r="Q3837" s="130">
        <f>M3837*(1+наценка_покупное)+P3837</f>
        <v>6483.039946453333</v>
      </c>
    </row>
    <row r="3838" spans="5:17" hidden="1" outlineLevel="4" collapsed="1" x14ac:dyDescent="0.25">
      <c r="F3838" s="97" t="s">
        <v>881</v>
      </c>
      <c r="G3838" s="98"/>
      <c r="H3838" s="99"/>
      <c r="I3838" s="100"/>
      <c r="J3838" s="102">
        <f>HYPERLINK("#Структура!E899",Структура!E899)</f>
        <v>1</v>
      </c>
      <c r="K3838" s="112">
        <f>HYPERLINK("#Структура!G899",Структура!G899)</f>
        <v>0.12859999999999999</v>
      </c>
      <c r="L3838" s="100">
        <f>M3838/J3838</f>
        <v>214.96740359999998</v>
      </c>
      <c r="M3838" s="100">
        <f>SUMIF(G3839:G3851,"*",M3839:M3851)*J3838</f>
        <v>214.96740359999998</v>
      </c>
      <c r="N3838" s="122">
        <f>HYPERLINK("#Трудозатраты!B212",Трудозатраты!B212+SUMIF(G3839:G3851,"*",O3839:O3851))</f>
        <v>86</v>
      </c>
      <c r="O3838" s="101">
        <f>N3838*J3838</f>
        <v>86</v>
      </c>
      <c r="P3838" s="100">
        <f>O3838/60*(1+запас_труд)*стоимость_трудочаса</f>
        <v>3368.3333333333335</v>
      </c>
      <c r="Q3838" s="127">
        <f>M3838*(1+наценка_покупное)+P3838</f>
        <v>3626.2942176533334</v>
      </c>
    </row>
    <row r="3839" spans="5:17" hidden="1" outlineLevel="5" collapsed="1" x14ac:dyDescent="0.25">
      <c r="G3839" s="85" t="s">
        <v>887</v>
      </c>
      <c r="H3839" s="87"/>
      <c r="I3839" s="88"/>
      <c r="J3839" s="90">
        <f>HYPERLINK("#Структура!E922",Структура!E922)</f>
        <v>1</v>
      </c>
      <c r="K3839" s="113">
        <f>HYPERLINK("#Структура!G922",Структура!G922)</f>
        <v>7.6719999999999997E-2</v>
      </c>
      <c r="L3839" s="88">
        <f>M3839/J3839</f>
        <v>37.703265999999999</v>
      </c>
      <c r="M3839" s="88">
        <f>SUMIF(H3840:H3843,"*",M3840:M3843)*J3839</f>
        <v>37.703265999999999</v>
      </c>
      <c r="N3839" s="123">
        <f>HYPERLINK("#Трудозатраты!B213",Трудозатраты!B213+SUMIF(H3840:H3843,"*",O3840:O3843))</f>
        <v>72.5</v>
      </c>
      <c r="O3839" s="89">
        <f>N3839*J3839</f>
        <v>72.5</v>
      </c>
      <c r="P3839" s="88">
        <f>O3839/60*(1+запас_труд)*стоимость_трудочаса</f>
        <v>2839.583333333333</v>
      </c>
      <c r="Q3839" s="128">
        <f>M3839*(1+наценка_покупное)+P3839</f>
        <v>2884.8272525333332</v>
      </c>
    </row>
    <row r="3840" spans="5:17" hidden="1" outlineLevel="6" x14ac:dyDescent="0.25">
      <c r="H3840" s="75" t="s">
        <v>64</v>
      </c>
      <c r="I3840" s="76"/>
      <c r="J3840" s="78">
        <f>HYPERLINK("#Структура!E927",Структура!E927)</f>
        <v>2E-3</v>
      </c>
      <c r="K3840" s="114" t="str">
        <f>HYPERLINK("#Структура!G927","")</f>
        <v/>
      </c>
      <c r="L3840" s="120">
        <f>HYPERLINK("#Покупные_изделия!D196",Покупные_изделия!D196)</f>
        <v>187.92840000000001</v>
      </c>
      <c r="M3840" s="76">
        <f>J3840*L3840</f>
        <v>0.37585680000000005</v>
      </c>
      <c r="N3840" s="77"/>
      <c r="O3840" s="77"/>
      <c r="P3840" s="76"/>
      <c r="Q3840" s="76"/>
    </row>
    <row r="3841" spans="6:17" hidden="1" outlineLevel="6" x14ac:dyDescent="0.25">
      <c r="H3841" s="75" t="s">
        <v>100</v>
      </c>
      <c r="I3841" s="76"/>
      <c r="J3841" s="78">
        <f>HYPERLINK("#Структура!E928",Структура!E928)</f>
        <v>0.37</v>
      </c>
      <c r="K3841" s="114" t="str">
        <f>HYPERLINK("#Структура!G928","")</f>
        <v/>
      </c>
      <c r="L3841" s="120">
        <f>HYPERLINK("#Покупные_изделия!D269",Покупные_изделия!D269)</f>
        <v>100</v>
      </c>
      <c r="M3841" s="76">
        <f>J3841*L3841</f>
        <v>37</v>
      </c>
      <c r="N3841" s="77"/>
      <c r="O3841" s="77"/>
      <c r="P3841" s="76"/>
      <c r="Q3841" s="76"/>
    </row>
    <row r="3842" spans="6:17" hidden="1" outlineLevel="6" x14ac:dyDescent="0.25">
      <c r="H3842" s="75" t="s">
        <v>139</v>
      </c>
      <c r="I3842" s="76"/>
      <c r="J3842" s="78">
        <f>HYPERLINK("#Структура!E929",Структура!E929)</f>
        <v>1E-3</v>
      </c>
      <c r="K3842" s="114" t="str">
        <f>HYPERLINK("#Структура!G929","")</f>
        <v/>
      </c>
      <c r="L3842" s="120">
        <f>HYPERLINK("#Покупные_изделия!D360",Покупные_изделия!D360)</f>
        <v>171.87720000000002</v>
      </c>
      <c r="M3842" s="76">
        <f>J3842*L3842</f>
        <v>0.17187720000000001</v>
      </c>
      <c r="N3842" s="77"/>
      <c r="O3842" s="77"/>
      <c r="P3842" s="76"/>
      <c r="Q3842" s="76"/>
    </row>
    <row r="3843" spans="6:17" hidden="1" outlineLevel="6" x14ac:dyDescent="0.25">
      <c r="H3843" s="75" t="s">
        <v>156</v>
      </c>
      <c r="I3843" s="76"/>
      <c r="J3843" s="78">
        <f>HYPERLINK("#Структура!E930",Структура!E930)</f>
        <v>1E-3</v>
      </c>
      <c r="K3843" s="114" t="str">
        <f>HYPERLINK("#Структура!G930","")</f>
        <v/>
      </c>
      <c r="L3843" s="120">
        <f>HYPERLINK("#Покупные_изделия!D427",Покупные_изделия!D427)</f>
        <v>155.53200000000001</v>
      </c>
      <c r="M3843" s="76">
        <f>J3843*L3843</f>
        <v>0.155532</v>
      </c>
      <c r="N3843" s="77"/>
      <c r="O3843" s="77"/>
      <c r="P3843" s="76"/>
      <c r="Q3843" s="76"/>
    </row>
    <row r="3844" spans="6:17" hidden="1" outlineLevel="5" collapsed="1" x14ac:dyDescent="0.25">
      <c r="G3844" s="84" t="s">
        <v>888</v>
      </c>
      <c r="H3844" s="80"/>
      <c r="I3844" s="81"/>
      <c r="J3844" s="83">
        <f>HYPERLINK("#Структура!E923",Структура!E923)</f>
        <v>1</v>
      </c>
      <c r="K3844" s="115">
        <f>HYPERLINK("#Структура!G923",Структура!G923)</f>
        <v>1.1379999999999999E-2</v>
      </c>
      <c r="L3844" s="81">
        <f>M3844/J3844</f>
        <v>5.1153375999999993</v>
      </c>
      <c r="M3844" s="81">
        <f>SUMIF(H3845:H3848,"*",M3845:M3848)*J3844</f>
        <v>5.1153375999999993</v>
      </c>
      <c r="N3844" s="124">
        <f>HYPERLINK("#Трудозатраты!B214",Трудозатраты!B214+SUMIF(H3845:H3848,"*",O3845:O3848))</f>
        <v>8.5</v>
      </c>
      <c r="O3844" s="82">
        <f>N3844*J3844</f>
        <v>8.5</v>
      </c>
      <c r="P3844" s="81">
        <f>O3844/60*(1+запас_труд)*стоимость_трудочаса</f>
        <v>332.91666666666669</v>
      </c>
      <c r="Q3844" s="129">
        <f>M3844*(1+наценка_покупное)+P3844</f>
        <v>339.0550717866667</v>
      </c>
    </row>
    <row r="3845" spans="6:17" hidden="1" outlineLevel="6" x14ac:dyDescent="0.25">
      <c r="H3845" s="75" t="s">
        <v>64</v>
      </c>
      <c r="I3845" s="76"/>
      <c r="J3845" s="78">
        <f>HYPERLINK("#Структура!E931",Структура!E931)</f>
        <v>1E-3</v>
      </c>
      <c r="K3845" s="114" t="str">
        <f>HYPERLINK("#Структура!G931","")</f>
        <v/>
      </c>
      <c r="L3845" s="120">
        <f>HYPERLINK("#Покупные_изделия!D196",Покупные_изделия!D196)</f>
        <v>187.92840000000001</v>
      </c>
      <c r="M3845" s="76">
        <f t="shared" ref="M3845:M3851" si="144">J3845*L3845</f>
        <v>0.18792840000000002</v>
      </c>
      <c r="N3845" s="77"/>
      <c r="O3845" s="77"/>
      <c r="P3845" s="76"/>
      <c r="Q3845" s="76"/>
    </row>
    <row r="3846" spans="6:17" hidden="1" outlineLevel="6" x14ac:dyDescent="0.25">
      <c r="H3846" s="75" t="s">
        <v>86</v>
      </c>
      <c r="I3846" s="76"/>
      <c r="J3846" s="78">
        <f>HYPERLINK("#Структура!E932",Структура!E932)</f>
        <v>4.5999999999999999E-2</v>
      </c>
      <c r="K3846" s="114" t="str">
        <f>HYPERLINK("#Структура!G932","")</f>
        <v/>
      </c>
      <c r="L3846" s="120">
        <f>HYPERLINK("#Покупные_изделия!D255",Покупные_изделия!D255)</f>
        <v>100</v>
      </c>
      <c r="M3846" s="76">
        <f t="shared" si="144"/>
        <v>4.5999999999999996</v>
      </c>
      <c r="N3846" s="77"/>
      <c r="O3846" s="77"/>
      <c r="P3846" s="76"/>
      <c r="Q3846" s="76"/>
    </row>
    <row r="3847" spans="6:17" hidden="1" outlineLevel="6" x14ac:dyDescent="0.25">
      <c r="H3847" s="75" t="s">
        <v>139</v>
      </c>
      <c r="I3847" s="76"/>
      <c r="J3847" s="78">
        <f>HYPERLINK("#Структура!E933",Структура!E933)</f>
        <v>1E-3</v>
      </c>
      <c r="K3847" s="114" t="str">
        <f>HYPERLINK("#Структура!G933","")</f>
        <v/>
      </c>
      <c r="L3847" s="120">
        <f>HYPERLINK("#Покупные_изделия!D360",Покупные_изделия!D360)</f>
        <v>171.87720000000002</v>
      </c>
      <c r="M3847" s="76">
        <f t="shared" si="144"/>
        <v>0.17187720000000001</v>
      </c>
      <c r="N3847" s="77"/>
      <c r="O3847" s="77"/>
      <c r="P3847" s="76"/>
      <c r="Q3847" s="76"/>
    </row>
    <row r="3848" spans="6:17" hidden="1" outlineLevel="6" x14ac:dyDescent="0.25">
      <c r="H3848" s="75" t="s">
        <v>156</v>
      </c>
      <c r="I3848" s="76"/>
      <c r="J3848" s="78">
        <f>HYPERLINK("#Структура!E934",Структура!E934)</f>
        <v>1E-3</v>
      </c>
      <c r="K3848" s="114" t="str">
        <f>HYPERLINK("#Структура!G934","")</f>
        <v/>
      </c>
      <c r="L3848" s="120">
        <f>HYPERLINK("#Покупные_изделия!D427",Покупные_изделия!D427)</f>
        <v>155.53200000000001</v>
      </c>
      <c r="M3848" s="76">
        <f t="shared" si="144"/>
        <v>0.155532</v>
      </c>
      <c r="N3848" s="77"/>
      <c r="O3848" s="77"/>
      <c r="P3848" s="76"/>
      <c r="Q3848" s="76"/>
    </row>
    <row r="3849" spans="6:17" hidden="1" outlineLevel="5" x14ac:dyDescent="0.25">
      <c r="G3849" s="74" t="s">
        <v>889</v>
      </c>
      <c r="H3849" s="75"/>
      <c r="I3849" s="76"/>
      <c r="J3849" s="78">
        <f>HYPERLINK("#Структура!E924",Структура!E924)</f>
        <v>1</v>
      </c>
      <c r="K3849" s="114">
        <f>HYPERLINK("#Структура!G924",Структура!G924)</f>
        <v>5.0000000000000001E-4</v>
      </c>
      <c r="L3849" s="120">
        <f>HYPERLINK("#Покупные_изделия!D128",Покупные_изделия!D128)</f>
        <v>5.5</v>
      </c>
      <c r="M3849" s="76">
        <f t="shared" si="144"/>
        <v>5.5</v>
      </c>
      <c r="N3849" s="77"/>
      <c r="O3849" s="77"/>
      <c r="P3849" s="76"/>
      <c r="Q3849" s="76"/>
    </row>
    <row r="3850" spans="6:17" hidden="1" outlineLevel="5" x14ac:dyDescent="0.25">
      <c r="G3850" s="74" t="s">
        <v>141</v>
      </c>
      <c r="H3850" s="75"/>
      <c r="I3850" s="76"/>
      <c r="J3850" s="78">
        <f>HYPERLINK("#Структура!E925",Структура!E925)</f>
        <v>1</v>
      </c>
      <c r="K3850" s="114">
        <f>HYPERLINK("#Структура!G925",Структура!G925)</f>
        <v>0.04</v>
      </c>
      <c r="L3850" s="120">
        <f>HYPERLINK("#Покупные_изделия!D381",Покупные_изделия!D381)</f>
        <v>165.44880000000001</v>
      </c>
      <c r="M3850" s="76">
        <f t="shared" si="144"/>
        <v>165.44880000000001</v>
      </c>
      <c r="N3850" s="77"/>
      <c r="O3850" s="77"/>
      <c r="P3850" s="76"/>
      <c r="Q3850" s="76"/>
    </row>
    <row r="3851" spans="6:17" hidden="1" outlineLevel="5" x14ac:dyDescent="0.25">
      <c r="G3851" s="74" t="s">
        <v>133</v>
      </c>
      <c r="H3851" s="75"/>
      <c r="I3851" s="76"/>
      <c r="J3851" s="78">
        <f>HYPERLINK("#Структура!E926",Структура!E926)</f>
        <v>5.0000000000000001E-3</v>
      </c>
      <c r="K3851" s="114" t="str">
        <f>HYPERLINK("#Структура!G926","")</f>
        <v/>
      </c>
      <c r="L3851" s="120">
        <f>HYPERLINK("#Покупные_изделия!D308",Покупные_изделия!D308)</f>
        <v>240</v>
      </c>
      <c r="M3851" s="76">
        <f t="shared" si="144"/>
        <v>1.2</v>
      </c>
      <c r="N3851" s="77"/>
      <c r="O3851" s="77"/>
      <c r="P3851" s="76"/>
      <c r="Q3851" s="76"/>
    </row>
    <row r="3852" spans="6:17" hidden="1" outlineLevel="4" collapsed="1" x14ac:dyDescent="0.25">
      <c r="F3852" s="84" t="s">
        <v>882</v>
      </c>
      <c r="G3852" s="79"/>
      <c r="H3852" s="80"/>
      <c r="I3852" s="81"/>
      <c r="J3852" s="83">
        <f>HYPERLINK("#Структура!E900",Структура!E900)</f>
        <v>1</v>
      </c>
      <c r="K3852" s="115">
        <f>HYPERLINK("#Структура!G900",Структура!G900)</f>
        <v>2.5486900000000001</v>
      </c>
      <c r="L3852" s="81">
        <f>M3852/J3852</f>
        <v>408.85680000000002</v>
      </c>
      <c r="M3852" s="81">
        <f>SUMIF(G3853,"*",M3853)*J3852</f>
        <v>408.85680000000002</v>
      </c>
      <c r="N3852" s="124">
        <f>HYPERLINK("#Трудозатраты!B208",Трудозатраты!B208+SUMIF(G3853,"*",O3853))</f>
        <v>7</v>
      </c>
      <c r="O3852" s="82">
        <f>N3852*J3852</f>
        <v>7</v>
      </c>
      <c r="P3852" s="81">
        <f>O3852/60*(1+запас_труд)*стоимость_трудочаса</f>
        <v>274.16666666666669</v>
      </c>
      <c r="Q3852" s="129">
        <f>M3852*(1+наценка_покупное)+P3852</f>
        <v>764.79482666666672</v>
      </c>
    </row>
    <row r="3853" spans="6:17" hidden="1" outlineLevel="5" x14ac:dyDescent="0.25">
      <c r="G3853" s="74" t="s">
        <v>115</v>
      </c>
      <c r="H3853" s="75"/>
      <c r="I3853" s="76"/>
      <c r="J3853" s="78">
        <f>HYPERLINK("#Структура!E914",Структура!E914)</f>
        <v>3.4071400000000001</v>
      </c>
      <c r="K3853" s="114" t="str">
        <f>HYPERLINK("#Структура!G914","")</f>
        <v/>
      </c>
      <c r="L3853" s="120">
        <f>HYPERLINK("#Покупные_изделия!D289",Покупные_изделия!D289)</f>
        <v>120</v>
      </c>
      <c r="M3853" s="76">
        <f>J3853*L3853</f>
        <v>408.85680000000002</v>
      </c>
      <c r="N3853" s="77"/>
      <c r="O3853" s="77"/>
      <c r="P3853" s="76"/>
      <c r="Q3853" s="76"/>
    </row>
    <row r="3854" spans="6:17" hidden="1" outlineLevel="4" collapsed="1" x14ac:dyDescent="0.25">
      <c r="F3854" s="84" t="s">
        <v>883</v>
      </c>
      <c r="G3854" s="79"/>
      <c r="H3854" s="80"/>
      <c r="I3854" s="81"/>
      <c r="J3854" s="83">
        <f>HYPERLINK("#Структура!E901",Структура!E901)</f>
        <v>1</v>
      </c>
      <c r="K3854" s="115">
        <f>HYPERLINK("#Структура!G901",Структура!G901)</f>
        <v>0.90410000000000001</v>
      </c>
      <c r="L3854" s="81">
        <f>M3854/J3854</f>
        <v>156.66239999999999</v>
      </c>
      <c r="M3854" s="81">
        <f>SUMIF(G3855,"*",M3855)*J3854</f>
        <v>156.66239999999999</v>
      </c>
      <c r="N3854" s="124">
        <f>HYPERLINK("#Трудозатраты!B209",Трудозатраты!B209+SUMIF(G3855,"*",O3855))</f>
        <v>5.3</v>
      </c>
      <c r="O3854" s="82">
        <f>N3854*J3854</f>
        <v>5.3</v>
      </c>
      <c r="P3854" s="81">
        <f>O3854/60*(1+запас_труд)*стоимость_трудочаса</f>
        <v>207.58333333333334</v>
      </c>
      <c r="Q3854" s="129">
        <f>M3854*(1+наценка_покупное)+P3854</f>
        <v>395.57821333333334</v>
      </c>
    </row>
    <row r="3855" spans="6:17" hidden="1" outlineLevel="5" x14ac:dyDescent="0.25">
      <c r="G3855" s="74" t="s">
        <v>119</v>
      </c>
      <c r="H3855" s="75"/>
      <c r="I3855" s="76"/>
      <c r="J3855" s="78">
        <f>HYPERLINK("#Структура!E915",Структура!E915)</f>
        <v>1.30552</v>
      </c>
      <c r="K3855" s="114" t="str">
        <f>HYPERLINK("#Структура!G915","")</f>
        <v/>
      </c>
      <c r="L3855" s="120">
        <f>HYPERLINK("#Покупные_изделия!D294",Покупные_изделия!D294)</f>
        <v>120</v>
      </c>
      <c r="M3855" s="76">
        <f>J3855*L3855</f>
        <v>156.66239999999999</v>
      </c>
      <c r="N3855" s="77"/>
      <c r="O3855" s="77"/>
      <c r="P3855" s="76"/>
      <c r="Q3855" s="76"/>
    </row>
    <row r="3856" spans="6:17" hidden="1" outlineLevel="4" collapsed="1" x14ac:dyDescent="0.25">
      <c r="F3856" s="84" t="s">
        <v>884</v>
      </c>
      <c r="G3856" s="79"/>
      <c r="H3856" s="80"/>
      <c r="I3856" s="81"/>
      <c r="J3856" s="83">
        <f>HYPERLINK("#Структура!E902",Структура!E902)</f>
        <v>1</v>
      </c>
      <c r="K3856" s="115">
        <f>HYPERLINK("#Структура!G902",Структура!G902)</f>
        <v>0.90410000000000001</v>
      </c>
      <c r="L3856" s="81">
        <f>M3856/J3856</f>
        <v>156.66239999999999</v>
      </c>
      <c r="M3856" s="81">
        <f>SUMIF(G3857,"*",M3857)*J3856</f>
        <v>156.66239999999999</v>
      </c>
      <c r="N3856" s="124">
        <f>HYPERLINK("#Трудозатраты!B210",Трудозатраты!B210+SUMIF(G3857,"*",O3857))</f>
        <v>5.3</v>
      </c>
      <c r="O3856" s="82">
        <f>N3856*J3856</f>
        <v>5.3</v>
      </c>
      <c r="P3856" s="81">
        <f>O3856/60*(1+запас_труд)*стоимость_трудочаса</f>
        <v>207.58333333333334</v>
      </c>
      <c r="Q3856" s="129">
        <f>M3856*(1+наценка_покупное)+P3856</f>
        <v>395.57821333333334</v>
      </c>
    </row>
    <row r="3857" spans="6:17" hidden="1" outlineLevel="5" x14ac:dyDescent="0.25">
      <c r="G3857" s="74" t="s">
        <v>119</v>
      </c>
      <c r="H3857" s="75"/>
      <c r="I3857" s="76"/>
      <c r="J3857" s="78">
        <f>HYPERLINK("#Структура!E916",Структура!E916)</f>
        <v>1.30552</v>
      </c>
      <c r="K3857" s="114" t="str">
        <f>HYPERLINK("#Структура!G916","")</f>
        <v/>
      </c>
      <c r="L3857" s="120">
        <f>HYPERLINK("#Покупные_изделия!D294",Покупные_изделия!D294)</f>
        <v>120</v>
      </c>
      <c r="M3857" s="76">
        <f>J3857*L3857</f>
        <v>156.66239999999999</v>
      </c>
      <c r="N3857" s="77"/>
      <c r="O3857" s="77"/>
      <c r="P3857" s="76"/>
      <c r="Q3857" s="76"/>
    </row>
    <row r="3858" spans="6:17" hidden="1" outlineLevel="4" collapsed="1" x14ac:dyDescent="0.25">
      <c r="F3858" s="84" t="s">
        <v>885</v>
      </c>
      <c r="G3858" s="79"/>
      <c r="H3858" s="80"/>
      <c r="I3858" s="81"/>
      <c r="J3858" s="83">
        <f>HYPERLINK("#Структура!E903",Структура!E903)</f>
        <v>1</v>
      </c>
      <c r="K3858" s="115">
        <f>HYPERLINK("#Структура!G903",Структура!G903)</f>
        <v>2.955E-2</v>
      </c>
      <c r="L3858" s="81">
        <f>M3858/J3858</f>
        <v>8.04406</v>
      </c>
      <c r="M3858" s="81">
        <f>SUMIF(G3859:G3863,"*",M3859:M3863)*J3858</f>
        <v>8.04406</v>
      </c>
      <c r="N3858" s="124">
        <f>HYPERLINK("#Трудозатраты!B211",Трудозатраты!B211+SUMIF(G3859:G3863,"*",O3859:O3863))</f>
        <v>9.5</v>
      </c>
      <c r="O3858" s="82">
        <f>N3858*J3858</f>
        <v>9.5</v>
      </c>
      <c r="P3858" s="81">
        <f>O3858/60*(1+запас_труд)*стоимость_трудочаса</f>
        <v>372.08333333333331</v>
      </c>
      <c r="Q3858" s="129">
        <f>M3858*(1+наценка_покупное)+P3858</f>
        <v>381.73620533333332</v>
      </c>
    </row>
    <row r="3859" spans="6:17" hidden="1" outlineLevel="5" x14ac:dyDescent="0.25">
      <c r="G3859" s="74" t="s">
        <v>65</v>
      </c>
      <c r="H3859" s="75"/>
      <c r="I3859" s="76"/>
      <c r="J3859" s="78">
        <f>HYPERLINK("#Структура!E917",Структура!E917)</f>
        <v>1E-3</v>
      </c>
      <c r="K3859" s="114" t="str">
        <f>HYPERLINK("#Структура!G917","")</f>
        <v/>
      </c>
      <c r="L3859" s="120">
        <f>HYPERLINK("#Покупные_изделия!D197",Покупные_изделия!D197)</f>
        <v>264.50399999999996</v>
      </c>
      <c r="M3859" s="76">
        <f t="shared" ref="M3859:M3873" si="145">J3859*L3859</f>
        <v>0.26450399999999996</v>
      </c>
      <c r="N3859" s="77"/>
      <c r="O3859" s="77"/>
      <c r="P3859" s="76"/>
      <c r="Q3859" s="76"/>
    </row>
    <row r="3860" spans="6:17" hidden="1" outlineLevel="5" x14ac:dyDescent="0.25">
      <c r="G3860" s="74" t="s">
        <v>86</v>
      </c>
      <c r="H3860" s="75"/>
      <c r="I3860" s="76"/>
      <c r="J3860" s="78">
        <f>HYPERLINK("#Структура!E918",Структура!E918)</f>
        <v>7.0000000000000007E-2</v>
      </c>
      <c r="K3860" s="114" t="str">
        <f>HYPERLINK("#Структура!G918","")</f>
        <v/>
      </c>
      <c r="L3860" s="120">
        <f>HYPERLINK("#Покупные_изделия!D255",Покупные_изделия!D255)</f>
        <v>100</v>
      </c>
      <c r="M3860" s="76">
        <f t="shared" si="145"/>
        <v>7.0000000000000009</v>
      </c>
      <c r="N3860" s="77"/>
      <c r="O3860" s="77"/>
      <c r="P3860" s="76"/>
      <c r="Q3860" s="76"/>
    </row>
    <row r="3861" spans="6:17" hidden="1" outlineLevel="5" x14ac:dyDescent="0.25">
      <c r="G3861" s="74" t="s">
        <v>155</v>
      </c>
      <c r="H3861" s="75"/>
      <c r="I3861" s="76"/>
      <c r="J3861" s="78">
        <f>HYPERLINK("#Структура!E919",Структура!E919)</f>
        <v>1E-3</v>
      </c>
      <c r="K3861" s="114" t="str">
        <f>HYPERLINK("#Структура!G919","")</f>
        <v/>
      </c>
      <c r="L3861" s="120">
        <f>HYPERLINK("#Покупные_изделия!D423",Покупные_изделия!D423)</f>
        <v>218.28</v>
      </c>
      <c r="M3861" s="76">
        <f t="shared" si="145"/>
        <v>0.21828</v>
      </c>
      <c r="N3861" s="77"/>
      <c r="O3861" s="77"/>
      <c r="P3861" s="76"/>
      <c r="Q3861" s="76"/>
    </row>
    <row r="3862" spans="6:17" hidden="1" outlineLevel="5" x14ac:dyDescent="0.25">
      <c r="G3862" s="74" t="s">
        <v>156</v>
      </c>
      <c r="H3862" s="75"/>
      <c r="I3862" s="76"/>
      <c r="J3862" s="78">
        <f>HYPERLINK("#Структура!E920",Структура!E920)</f>
        <v>1E-3</v>
      </c>
      <c r="K3862" s="114" t="str">
        <f>HYPERLINK("#Структура!G920","")</f>
        <v/>
      </c>
      <c r="L3862" s="120">
        <f>HYPERLINK("#Покупные_изделия!D427",Покупные_изделия!D427)</f>
        <v>155.53200000000001</v>
      </c>
      <c r="M3862" s="76">
        <f t="shared" si="145"/>
        <v>0.155532</v>
      </c>
      <c r="N3862" s="77"/>
      <c r="O3862" s="77"/>
      <c r="P3862" s="76"/>
      <c r="Q3862" s="76"/>
    </row>
    <row r="3863" spans="6:17" hidden="1" outlineLevel="5" x14ac:dyDescent="0.25">
      <c r="G3863" s="74" t="s">
        <v>215</v>
      </c>
      <c r="H3863" s="75"/>
      <c r="I3863" s="76"/>
      <c r="J3863" s="78">
        <f>HYPERLINK("#Структура!E921",Структура!E921)</f>
        <v>1E-3</v>
      </c>
      <c r="K3863" s="114" t="str">
        <f>HYPERLINK("#Структура!G921","")</f>
        <v/>
      </c>
      <c r="L3863" s="120">
        <f>HYPERLINK("#Покупные_изделия!D567",Покупные_изделия!D567)</f>
        <v>405.74399999999997</v>
      </c>
      <c r="M3863" s="76">
        <f t="shared" si="145"/>
        <v>0.40574399999999999</v>
      </c>
      <c r="N3863" s="77"/>
      <c r="O3863" s="77"/>
      <c r="P3863" s="76"/>
      <c r="Q3863" s="76"/>
    </row>
    <row r="3864" spans="6:17" hidden="1" outlineLevel="4" x14ac:dyDescent="0.25">
      <c r="F3864" s="74" t="s">
        <v>886</v>
      </c>
      <c r="G3864" s="74"/>
      <c r="H3864" s="75"/>
      <c r="I3864" s="76"/>
      <c r="J3864" s="78">
        <f>HYPERLINK("#Структура!E904",Структура!E904)</f>
        <v>1</v>
      </c>
      <c r="K3864" s="114">
        <f>HYPERLINK("#Структура!G904",Структура!G904)</f>
        <v>7.1599999999999997E-2</v>
      </c>
      <c r="L3864" s="120">
        <f>HYPERLINK("#Покупные_изделия!D139",Покупные_изделия!D139)</f>
        <v>27.12</v>
      </c>
      <c r="M3864" s="76">
        <f t="shared" si="145"/>
        <v>27.12</v>
      </c>
      <c r="N3864" s="77"/>
      <c r="O3864" s="77"/>
      <c r="P3864" s="76"/>
      <c r="Q3864" s="76"/>
    </row>
    <row r="3865" spans="6:17" hidden="1" outlineLevel="4" x14ac:dyDescent="0.25">
      <c r="F3865" s="74" t="s">
        <v>864</v>
      </c>
      <c r="G3865" s="74"/>
      <c r="H3865" s="75"/>
      <c r="I3865" s="76"/>
      <c r="J3865" s="78">
        <f>HYPERLINK("#Структура!E905",Структура!E905)</f>
        <v>1</v>
      </c>
      <c r="K3865" s="114">
        <f>HYPERLINK("#Структура!G905",Структура!G905)</f>
        <v>1.567E-2</v>
      </c>
      <c r="L3865" s="120">
        <f>HYPERLINK("#Покупные_изделия!D175",Покупные_изделия!D175)</f>
        <v>3.3659999999999997</v>
      </c>
      <c r="M3865" s="76">
        <f t="shared" si="145"/>
        <v>3.3659999999999997</v>
      </c>
      <c r="N3865" s="77"/>
      <c r="O3865" s="77"/>
      <c r="P3865" s="76"/>
      <c r="Q3865" s="76"/>
    </row>
    <row r="3866" spans="6:17" hidden="1" outlineLevel="4" x14ac:dyDescent="0.25">
      <c r="F3866" s="74" t="s">
        <v>865</v>
      </c>
      <c r="G3866" s="74"/>
      <c r="H3866" s="75"/>
      <c r="I3866" s="76"/>
      <c r="J3866" s="78">
        <f>HYPERLINK("#Структура!E906",Структура!E906)</f>
        <v>1</v>
      </c>
      <c r="K3866" s="114">
        <f>HYPERLINK("#Структура!G906",Структура!G906)</f>
        <v>3.4499999999999999E-3</v>
      </c>
      <c r="L3866" s="120">
        <f>HYPERLINK("#Покупные_изделия!D523",Покупные_изделия!D523)</f>
        <v>1.5973680000000001</v>
      </c>
      <c r="M3866" s="76">
        <f t="shared" si="145"/>
        <v>1.5973680000000001</v>
      </c>
      <c r="N3866" s="77"/>
      <c r="O3866" s="77"/>
      <c r="P3866" s="76"/>
      <c r="Q3866" s="76"/>
    </row>
    <row r="3867" spans="6:17" hidden="1" outlineLevel="4" x14ac:dyDescent="0.25">
      <c r="F3867" s="74" t="s">
        <v>866</v>
      </c>
      <c r="G3867" s="74"/>
      <c r="H3867" s="75"/>
      <c r="I3867" s="76"/>
      <c r="J3867" s="78">
        <f>HYPERLINK("#Структура!E907",Структура!E907)</f>
        <v>4</v>
      </c>
      <c r="K3867" s="114">
        <f>HYPERLINK("#Структура!G907",Структура!G907)</f>
        <v>6.0699999999999999E-3</v>
      </c>
      <c r="L3867" s="120">
        <f>HYPERLINK("#Покупные_изделия!D539",Покупные_изделия!D539)</f>
        <v>2.2000000000000002</v>
      </c>
      <c r="M3867" s="76">
        <f t="shared" si="145"/>
        <v>8.8000000000000007</v>
      </c>
      <c r="N3867" s="77"/>
      <c r="O3867" s="77"/>
      <c r="P3867" s="76"/>
      <c r="Q3867" s="76"/>
    </row>
    <row r="3868" spans="6:17" hidden="1" outlineLevel="4" x14ac:dyDescent="0.25">
      <c r="F3868" s="74" t="s">
        <v>65</v>
      </c>
      <c r="G3868" s="74"/>
      <c r="H3868" s="75"/>
      <c r="I3868" s="76"/>
      <c r="J3868" s="78">
        <f>HYPERLINK("#Структура!E908",Структура!E908)</f>
        <v>3.5999999999999997E-2</v>
      </c>
      <c r="K3868" s="114" t="str">
        <f>HYPERLINK("#Структура!G908","")</f>
        <v/>
      </c>
      <c r="L3868" s="120">
        <f>HYPERLINK("#Покупные_изделия!D197",Покупные_изделия!D197)</f>
        <v>264.50399999999996</v>
      </c>
      <c r="M3868" s="76">
        <f t="shared" si="145"/>
        <v>9.5221439999999973</v>
      </c>
      <c r="N3868" s="77"/>
      <c r="O3868" s="77"/>
      <c r="P3868" s="76"/>
      <c r="Q3868" s="76"/>
    </row>
    <row r="3869" spans="6:17" hidden="1" outlineLevel="4" x14ac:dyDescent="0.25">
      <c r="F3869" s="74" t="s">
        <v>67</v>
      </c>
      <c r="G3869" s="74"/>
      <c r="H3869" s="75"/>
      <c r="I3869" s="76"/>
      <c r="J3869" s="78">
        <f>HYPERLINK("#Структура!E909",Структура!E909)</f>
        <v>0.255</v>
      </c>
      <c r="K3869" s="114" t="str">
        <f>HYPERLINK("#Структура!G909","")</f>
        <v/>
      </c>
      <c r="L3869" s="120">
        <f>HYPERLINK("#Покупные_изделия!D203",Покупные_изделия!D203)</f>
        <v>30.003600000000002</v>
      </c>
      <c r="M3869" s="76">
        <f t="shared" si="145"/>
        <v>7.6509180000000008</v>
      </c>
      <c r="N3869" s="77"/>
      <c r="O3869" s="77"/>
      <c r="P3869" s="76"/>
      <c r="Q3869" s="76"/>
    </row>
    <row r="3870" spans="6:17" hidden="1" outlineLevel="4" x14ac:dyDescent="0.25">
      <c r="F3870" s="74" t="s">
        <v>146</v>
      </c>
      <c r="G3870" s="74"/>
      <c r="H3870" s="75"/>
      <c r="I3870" s="76"/>
      <c r="J3870" s="78">
        <f>HYPERLINK("#Структура!E910",Структура!E910)</f>
        <v>0.15</v>
      </c>
      <c r="K3870" s="114" t="str">
        <f>HYPERLINK("#Структура!G910","")</f>
        <v/>
      </c>
      <c r="L3870" s="120">
        <f>HYPERLINK("#Покупные_изделия!D406",Покупные_изделия!D406)</f>
        <v>105.996</v>
      </c>
      <c r="M3870" s="76">
        <f t="shared" si="145"/>
        <v>15.899399999999998</v>
      </c>
      <c r="N3870" s="77"/>
      <c r="O3870" s="77"/>
      <c r="P3870" s="76"/>
      <c r="Q3870" s="76"/>
    </row>
    <row r="3871" spans="6:17" hidden="1" outlineLevel="4" x14ac:dyDescent="0.25">
      <c r="F3871" s="74" t="s">
        <v>155</v>
      </c>
      <c r="G3871" s="74"/>
      <c r="H3871" s="75"/>
      <c r="I3871" s="76"/>
      <c r="J3871" s="78">
        <f>HYPERLINK("#Структура!E911",Структура!E911)</f>
        <v>2.1999999999999999E-2</v>
      </c>
      <c r="K3871" s="114" t="str">
        <f>HYPERLINK("#Структура!G911","")</f>
        <v/>
      </c>
      <c r="L3871" s="120">
        <f>HYPERLINK("#Покупные_изделия!D423",Покупные_изделия!D423)</f>
        <v>218.28</v>
      </c>
      <c r="M3871" s="76">
        <f t="shared" si="145"/>
        <v>4.8021599999999998</v>
      </c>
      <c r="N3871" s="77"/>
      <c r="O3871" s="77"/>
      <c r="P3871" s="76"/>
      <c r="Q3871" s="76"/>
    </row>
    <row r="3872" spans="6:17" hidden="1" outlineLevel="4" x14ac:dyDescent="0.25">
      <c r="F3872" s="74" t="s">
        <v>156</v>
      </c>
      <c r="G3872" s="74"/>
      <c r="H3872" s="75"/>
      <c r="I3872" s="76"/>
      <c r="J3872" s="78">
        <f>HYPERLINK("#Структура!E912",Структура!E912)</f>
        <v>3.3000000000000002E-2</v>
      </c>
      <c r="K3872" s="114" t="str">
        <f>HYPERLINK("#Структура!G912","")</f>
        <v/>
      </c>
      <c r="L3872" s="120">
        <f>HYPERLINK("#Покупные_изделия!D427",Покупные_изделия!D427)</f>
        <v>155.53200000000001</v>
      </c>
      <c r="M3872" s="76">
        <f t="shared" si="145"/>
        <v>5.132556000000001</v>
      </c>
      <c r="N3872" s="77"/>
      <c r="O3872" s="77"/>
      <c r="P3872" s="76"/>
      <c r="Q3872" s="76"/>
    </row>
    <row r="3873" spans="5:17" hidden="1" outlineLevel="4" x14ac:dyDescent="0.25">
      <c r="F3873" s="74" t="s">
        <v>215</v>
      </c>
      <c r="G3873" s="74"/>
      <c r="H3873" s="75"/>
      <c r="I3873" s="76"/>
      <c r="J3873" s="78">
        <f>HYPERLINK("#Структура!E913",Структура!E913)</f>
        <v>7.1999999999999995E-2</v>
      </c>
      <c r="K3873" s="114" t="str">
        <f>HYPERLINK("#Структура!G913","")</f>
        <v/>
      </c>
      <c r="L3873" s="120">
        <f>HYPERLINK("#Покупные_изделия!D567",Покупные_изделия!D567)</f>
        <v>405.74399999999997</v>
      </c>
      <c r="M3873" s="76">
        <f t="shared" si="145"/>
        <v>29.213567999999995</v>
      </c>
      <c r="N3873" s="77"/>
      <c r="O3873" s="77"/>
      <c r="P3873" s="76"/>
      <c r="Q3873" s="76"/>
    </row>
    <row r="3874" spans="5:17" hidden="1" outlineLevel="3" collapsed="1" x14ac:dyDescent="0.25">
      <c r="E3874" s="96" t="s">
        <v>856</v>
      </c>
      <c r="F3874" s="91"/>
      <c r="G3874" s="91"/>
      <c r="H3874" s="92"/>
      <c r="I3874" s="93"/>
      <c r="J3874" s="95">
        <f>HYPERLINK("#Структура!E818",Структура!E818)</f>
        <v>1</v>
      </c>
      <c r="K3874" s="116">
        <f>HYPERLINK("#Структура!G818",Структура!G818)</f>
        <v>1059.2719</v>
      </c>
      <c r="L3874" s="93">
        <f>M3874/J3874</f>
        <v>172665.05913199999</v>
      </c>
      <c r="M3874" s="93">
        <f>SUMIF(F3875:F3976,"*",M3875:M3976)*J3874</f>
        <v>172665.05913199999</v>
      </c>
      <c r="N3874" s="125">
        <f>HYPERLINK("#Трудозатраты!B215",Трудозатраты!B215+SUMIF(F3875:F3976,"*",O3875:O3976))</f>
        <v>2403.8000000000002</v>
      </c>
      <c r="O3874" s="94">
        <f>N3874*J3874</f>
        <v>2403.8000000000002</v>
      </c>
      <c r="P3874" s="93">
        <f>O3874/60*(1+запас_труд)*стоимость_трудочаса</f>
        <v>94148.833333333343</v>
      </c>
      <c r="Q3874" s="130">
        <f>M3874*(1+наценка_покупное)+P3874</f>
        <v>301346.90429173334</v>
      </c>
    </row>
    <row r="3875" spans="5:17" hidden="1" outlineLevel="4" collapsed="1" x14ac:dyDescent="0.25">
      <c r="F3875" s="97" t="s">
        <v>890</v>
      </c>
      <c r="G3875" s="98"/>
      <c r="H3875" s="99"/>
      <c r="I3875" s="100"/>
      <c r="J3875" s="102">
        <f>HYPERLINK("#Структура!E935",Структура!E935)</f>
        <v>1</v>
      </c>
      <c r="K3875" s="112">
        <f>HYPERLINK("#Структура!G935",Структура!G935)</f>
        <v>96.794070000000005</v>
      </c>
      <c r="L3875" s="100">
        <f>M3875/J3875</f>
        <v>14353.022024000002</v>
      </c>
      <c r="M3875" s="100">
        <f>SUMIF(G3876:G3897,"*",M3876:M3897)*J3875</f>
        <v>14353.022024000002</v>
      </c>
      <c r="N3875" s="122">
        <f>HYPERLINK("#Трудозатраты!B216",Трудозатраты!B216+SUMIF(G3876:G3897,"*",O3876:O3897))</f>
        <v>152.5</v>
      </c>
      <c r="O3875" s="101">
        <f>N3875*J3875</f>
        <v>152.5</v>
      </c>
      <c r="P3875" s="100">
        <f>O3875/60*(1+запас_труд)*стоимость_трудочаса</f>
        <v>5972.9166666666661</v>
      </c>
      <c r="Q3875" s="127">
        <f>M3875*(1+наценка_покупное)+P3875</f>
        <v>23196.543095466666</v>
      </c>
    </row>
    <row r="3876" spans="5:17" hidden="1" outlineLevel="5" collapsed="1" x14ac:dyDescent="0.25">
      <c r="G3876" s="85" t="s">
        <v>894</v>
      </c>
      <c r="H3876" s="87"/>
      <c r="I3876" s="88"/>
      <c r="J3876" s="90">
        <f>HYPERLINK("#Структура!E945",Структура!E945)</f>
        <v>1</v>
      </c>
      <c r="K3876" s="113">
        <f>HYPERLINK("#Структура!G945",Структура!G945)</f>
        <v>21.613520000000001</v>
      </c>
      <c r="L3876" s="88">
        <f>M3876/J3876</f>
        <v>3157.0136364</v>
      </c>
      <c r="M3876" s="88">
        <f>SUMIF(H3877:H3879,"*",M3877:M3879)*J3876</f>
        <v>3157.0136364</v>
      </c>
      <c r="N3876" s="123">
        <f>HYPERLINK("#Трудозатраты!B217",Трудозатраты!B217+SUMIF(H3877:H3879,"*",O3877:O3879))</f>
        <v>18.3</v>
      </c>
      <c r="O3876" s="89">
        <f>N3876*J3876</f>
        <v>18.3</v>
      </c>
      <c r="P3876" s="88">
        <f>O3876/60*(1+запас_труд)*стоимость_трудочаса</f>
        <v>716.75</v>
      </c>
      <c r="Q3876" s="128">
        <f>M3876*(1+наценка_покупное)+P3876</f>
        <v>4505.1663636800004</v>
      </c>
    </row>
    <row r="3877" spans="5:17" hidden="1" outlineLevel="6" x14ac:dyDescent="0.25">
      <c r="H3877" s="75" t="s">
        <v>67</v>
      </c>
      <c r="I3877" s="76"/>
      <c r="J3877" s="78">
        <f>HYPERLINK("#Структура!E956",Структура!E956)</f>
        <v>2.9000000000000001E-2</v>
      </c>
      <c r="K3877" s="114" t="str">
        <f>HYPERLINK("#Структура!G956","")</f>
        <v/>
      </c>
      <c r="L3877" s="120">
        <f>HYPERLINK("#Покупные_изделия!D203",Покупные_изделия!D203)</f>
        <v>30.003600000000002</v>
      </c>
      <c r="M3877" s="76">
        <f>J3877*L3877</f>
        <v>0.87010440000000011</v>
      </c>
      <c r="N3877" s="77"/>
      <c r="O3877" s="77"/>
      <c r="P3877" s="76"/>
      <c r="Q3877" s="76"/>
    </row>
    <row r="3878" spans="5:17" hidden="1" outlineLevel="6" x14ac:dyDescent="0.25">
      <c r="H3878" s="75" t="s">
        <v>118</v>
      </c>
      <c r="I3878" s="76"/>
      <c r="J3878" s="78">
        <f>HYPERLINK("#Структура!E957",Структура!E957)</f>
        <v>26.286180000000002</v>
      </c>
      <c r="K3878" s="114" t="str">
        <f>HYPERLINK("#Структура!G957","")</f>
        <v/>
      </c>
      <c r="L3878" s="120">
        <f>HYPERLINK("#Покупные_изделия!D293",Покупные_изделия!D293)</f>
        <v>120</v>
      </c>
      <c r="M3878" s="76">
        <f>J3878*L3878</f>
        <v>3154.3416000000002</v>
      </c>
      <c r="N3878" s="77"/>
      <c r="O3878" s="77"/>
      <c r="P3878" s="76"/>
      <c r="Q3878" s="76"/>
    </row>
    <row r="3879" spans="5:17" hidden="1" outlineLevel="6" x14ac:dyDescent="0.25">
      <c r="H3879" s="75" t="s">
        <v>146</v>
      </c>
      <c r="I3879" s="76"/>
      <c r="J3879" s="78">
        <f>HYPERLINK("#Структура!E958",Структура!E958)</f>
        <v>1.7000000000000001E-2</v>
      </c>
      <c r="K3879" s="114" t="str">
        <f>HYPERLINK("#Структура!G958","")</f>
        <v/>
      </c>
      <c r="L3879" s="120">
        <f>HYPERLINK("#Покупные_изделия!D406",Покупные_изделия!D406)</f>
        <v>105.996</v>
      </c>
      <c r="M3879" s="76">
        <f>J3879*L3879</f>
        <v>1.8019320000000001</v>
      </c>
      <c r="N3879" s="77"/>
      <c r="O3879" s="77"/>
      <c r="P3879" s="76"/>
      <c r="Q3879" s="76"/>
    </row>
    <row r="3880" spans="5:17" hidden="1" outlineLevel="5" collapsed="1" x14ac:dyDescent="0.25">
      <c r="G3880" s="84" t="s">
        <v>895</v>
      </c>
      <c r="H3880" s="80"/>
      <c r="I3880" s="81"/>
      <c r="J3880" s="83">
        <f>HYPERLINK("#Структура!E946",Структура!E946)</f>
        <v>1</v>
      </c>
      <c r="K3880" s="115">
        <f>HYPERLINK("#Структура!G946",Структура!G946)</f>
        <v>16.85669</v>
      </c>
      <c r="L3880" s="81">
        <f>M3880/J3880</f>
        <v>2457.0936000000002</v>
      </c>
      <c r="M3880" s="81">
        <f>SUMIF(H3881,"*",M3881)*J3880</f>
        <v>2457.0936000000002</v>
      </c>
      <c r="N3880" s="124">
        <f>HYPERLINK("#Трудозатраты!B218",Трудозатраты!B218+SUMIF(H3881,"*",O3881))</f>
        <v>13.5</v>
      </c>
      <c r="O3880" s="82">
        <f>N3880*J3880</f>
        <v>13.5</v>
      </c>
      <c r="P3880" s="81">
        <f>O3880/60*(1+запас_труд)*стоимость_трудочаса</f>
        <v>528.75</v>
      </c>
      <c r="Q3880" s="129">
        <f>M3880*(1+наценка_покупное)+P3880</f>
        <v>3477.2623200000003</v>
      </c>
    </row>
    <row r="3881" spans="5:17" hidden="1" outlineLevel="6" x14ac:dyDescent="0.25">
      <c r="H3881" s="75" t="s">
        <v>118</v>
      </c>
      <c r="I3881" s="76"/>
      <c r="J3881" s="78">
        <f>HYPERLINK("#Структура!E959",Структура!E959)</f>
        <v>20.47578</v>
      </c>
      <c r="K3881" s="114" t="str">
        <f>HYPERLINK("#Структура!G959","")</f>
        <v/>
      </c>
      <c r="L3881" s="120">
        <f>HYPERLINK("#Покупные_изделия!D293",Покупные_изделия!D293)</f>
        <v>120</v>
      </c>
      <c r="M3881" s="76">
        <f>J3881*L3881</f>
        <v>2457.0936000000002</v>
      </c>
      <c r="N3881" s="77"/>
      <c r="O3881" s="77"/>
      <c r="P3881" s="76"/>
      <c r="Q3881" s="76"/>
    </row>
    <row r="3882" spans="5:17" hidden="1" outlineLevel="5" collapsed="1" x14ac:dyDescent="0.25">
      <c r="G3882" s="84" t="s">
        <v>896</v>
      </c>
      <c r="H3882" s="80"/>
      <c r="I3882" s="81"/>
      <c r="J3882" s="83">
        <f>HYPERLINK("#Структура!E947",Структура!E947)</f>
        <v>1</v>
      </c>
      <c r="K3882" s="115">
        <f>HYPERLINK("#Структура!G947",Структура!G947)</f>
        <v>16.836639999999999</v>
      </c>
      <c r="L3882" s="81">
        <f>M3882/J3882</f>
        <v>2457.0936000000002</v>
      </c>
      <c r="M3882" s="81">
        <f>SUMIF(H3883,"*",M3883)*J3882</f>
        <v>2457.0936000000002</v>
      </c>
      <c r="N3882" s="124">
        <f>HYPERLINK("#Трудозатраты!B219",Трудозатраты!B219+SUMIF(H3883,"*",O3883))</f>
        <v>13.6</v>
      </c>
      <c r="O3882" s="82">
        <f>N3882*J3882</f>
        <v>13.6</v>
      </c>
      <c r="P3882" s="81">
        <f>O3882/60*(1+запас_труд)*стоимость_трудочаса</f>
        <v>532.66666666666663</v>
      </c>
      <c r="Q3882" s="129">
        <f>M3882*(1+наценка_покупное)+P3882</f>
        <v>3481.1789866666668</v>
      </c>
    </row>
    <row r="3883" spans="5:17" hidden="1" outlineLevel="6" x14ac:dyDescent="0.25">
      <c r="H3883" s="75" t="s">
        <v>118</v>
      </c>
      <c r="I3883" s="76"/>
      <c r="J3883" s="78">
        <f>HYPERLINK("#Структура!E960",Структура!E960)</f>
        <v>20.47578</v>
      </c>
      <c r="K3883" s="114" t="str">
        <f>HYPERLINK("#Структура!G960","")</f>
        <v/>
      </c>
      <c r="L3883" s="120">
        <f>HYPERLINK("#Покупные_изделия!D293",Покупные_изделия!D293)</f>
        <v>120</v>
      </c>
      <c r="M3883" s="76">
        <f>J3883*L3883</f>
        <v>2457.0936000000002</v>
      </c>
      <c r="N3883" s="77"/>
      <c r="O3883" s="77"/>
      <c r="P3883" s="76"/>
      <c r="Q3883" s="76"/>
    </row>
    <row r="3884" spans="5:17" hidden="1" outlineLevel="5" collapsed="1" x14ac:dyDescent="0.25">
      <c r="G3884" s="84" t="s">
        <v>897</v>
      </c>
      <c r="H3884" s="80"/>
      <c r="I3884" s="81"/>
      <c r="J3884" s="83">
        <f>HYPERLINK("#Структура!E948",Структура!E948)</f>
        <v>2</v>
      </c>
      <c r="K3884" s="115">
        <f>HYPERLINK("#Структура!G948",Структура!G948)</f>
        <v>6.8853799999999996</v>
      </c>
      <c r="L3884" s="81">
        <f>M3884/J3884</f>
        <v>1044.6708000000001</v>
      </c>
      <c r="M3884" s="81">
        <f>SUMIF(H3885,"*",M3885)*J3884</f>
        <v>2089.3416000000002</v>
      </c>
      <c r="N3884" s="124">
        <f>HYPERLINK("#Трудозатраты!B220",Трудозатраты!B220+SUMIF(H3885,"*",O3885))</f>
        <v>6.6</v>
      </c>
      <c r="O3884" s="82">
        <f>N3884*J3884</f>
        <v>13.2</v>
      </c>
      <c r="P3884" s="81">
        <f>O3884/60*(1+запас_труд)*стоимость_трудочаса</f>
        <v>517</v>
      </c>
      <c r="Q3884" s="129">
        <f>M3884*(1+наценка_покупное)+P3884</f>
        <v>3024.2099200000002</v>
      </c>
    </row>
    <row r="3885" spans="5:17" hidden="1" outlineLevel="6" x14ac:dyDescent="0.25">
      <c r="H3885" s="75" t="s">
        <v>811</v>
      </c>
      <c r="I3885" s="76"/>
      <c r="J3885" s="78">
        <f>HYPERLINK("#Структура!E961",Структура!E961)</f>
        <v>8.7055900000000008</v>
      </c>
      <c r="K3885" s="114" t="str">
        <f>HYPERLINK("#Структура!G961","")</f>
        <v/>
      </c>
      <c r="L3885" s="120">
        <f>HYPERLINK("#Покупные_изделия!D284",Покупные_изделия!D284)</f>
        <v>120</v>
      </c>
      <c r="M3885" s="76">
        <f>J3885*L3885</f>
        <v>1044.6708000000001</v>
      </c>
      <c r="N3885" s="77"/>
      <c r="O3885" s="77"/>
      <c r="P3885" s="76"/>
      <c r="Q3885" s="76"/>
    </row>
    <row r="3886" spans="5:17" hidden="1" outlineLevel="5" collapsed="1" x14ac:dyDescent="0.25">
      <c r="G3886" s="84" t="s">
        <v>898</v>
      </c>
      <c r="H3886" s="80"/>
      <c r="I3886" s="81"/>
      <c r="J3886" s="83">
        <f>HYPERLINK("#Структура!E949",Структура!E949)</f>
        <v>1</v>
      </c>
      <c r="K3886" s="115">
        <f>HYPERLINK("#Структура!G949",Структура!G949)</f>
        <v>2.7834500000000002</v>
      </c>
      <c r="L3886" s="81">
        <f>M3886/J3886</f>
        <v>573.88200000000006</v>
      </c>
      <c r="M3886" s="81">
        <f>SUMIF(H3887,"*",M3887)*J3886</f>
        <v>573.88200000000006</v>
      </c>
      <c r="N3886" s="124">
        <f>HYPERLINK("#Трудозатраты!B221",Трудозатраты!B221+SUMIF(H3887,"*",O3887))</f>
        <v>6.1</v>
      </c>
      <c r="O3886" s="82">
        <f>N3886*J3886</f>
        <v>6.1</v>
      </c>
      <c r="P3886" s="81">
        <f>O3886/60*(1+запас_труд)*стоимость_трудочаса</f>
        <v>238.91666666666663</v>
      </c>
      <c r="Q3886" s="129">
        <f>M3886*(1+наценка_покупное)+P3886</f>
        <v>927.57506666666666</v>
      </c>
    </row>
    <row r="3887" spans="5:17" hidden="1" outlineLevel="6" x14ac:dyDescent="0.25">
      <c r="H3887" s="75" t="s">
        <v>122</v>
      </c>
      <c r="I3887" s="76"/>
      <c r="J3887" s="78">
        <f>HYPERLINK("#Структура!E962",Структура!E962)</f>
        <v>4.7823500000000001</v>
      </c>
      <c r="K3887" s="114" t="str">
        <f>HYPERLINK("#Структура!G962","")</f>
        <v/>
      </c>
      <c r="L3887" s="120">
        <f>HYPERLINK("#Покупные_изделия!D297",Покупные_изделия!D297)</f>
        <v>120</v>
      </c>
      <c r="M3887" s="76">
        <f>J3887*L3887</f>
        <v>573.88200000000006</v>
      </c>
      <c r="N3887" s="77"/>
      <c r="O3887" s="77"/>
      <c r="P3887" s="76"/>
      <c r="Q3887" s="76"/>
    </row>
    <row r="3888" spans="5:17" hidden="1" outlineLevel="5" collapsed="1" x14ac:dyDescent="0.25">
      <c r="G3888" s="84" t="s">
        <v>899</v>
      </c>
      <c r="H3888" s="80"/>
      <c r="I3888" s="81"/>
      <c r="J3888" s="83">
        <f>HYPERLINK("#Структура!E950",Структура!E950)</f>
        <v>1</v>
      </c>
      <c r="K3888" s="115">
        <f>HYPERLINK("#Структура!G950",Структура!G950)</f>
        <v>2.7834500000000002</v>
      </c>
      <c r="L3888" s="81">
        <f>M3888/J3888</f>
        <v>573.88200000000006</v>
      </c>
      <c r="M3888" s="81">
        <f>SUMIF(H3889,"*",M3889)*J3888</f>
        <v>573.88200000000006</v>
      </c>
      <c r="N3888" s="124">
        <f>HYPERLINK("#Трудозатраты!B222",Трудозатраты!B222+SUMIF(H3889,"*",O3889))</f>
        <v>6.1</v>
      </c>
      <c r="O3888" s="82">
        <f>N3888*J3888</f>
        <v>6.1</v>
      </c>
      <c r="P3888" s="81">
        <f>O3888/60*(1+запас_труд)*стоимость_трудочаса</f>
        <v>238.91666666666663</v>
      </c>
      <c r="Q3888" s="129">
        <f>M3888*(1+наценка_покупное)+P3888</f>
        <v>927.57506666666666</v>
      </c>
    </row>
    <row r="3889" spans="6:17" hidden="1" outlineLevel="6" x14ac:dyDescent="0.25">
      <c r="H3889" s="75" t="s">
        <v>122</v>
      </c>
      <c r="I3889" s="76"/>
      <c r="J3889" s="78">
        <f>HYPERLINK("#Структура!E963",Структура!E963)</f>
        <v>4.7823500000000001</v>
      </c>
      <c r="K3889" s="114" t="str">
        <f>HYPERLINK("#Структура!G963","")</f>
        <v/>
      </c>
      <c r="L3889" s="120">
        <f>HYPERLINK("#Покупные_изделия!D297",Покупные_изделия!D297)</f>
        <v>120</v>
      </c>
      <c r="M3889" s="76">
        <f>J3889*L3889</f>
        <v>573.88200000000006</v>
      </c>
      <c r="N3889" s="77"/>
      <c r="O3889" s="77"/>
      <c r="P3889" s="76"/>
      <c r="Q3889" s="76"/>
    </row>
    <row r="3890" spans="6:17" hidden="1" outlineLevel="5" collapsed="1" x14ac:dyDescent="0.25">
      <c r="G3890" s="84" t="s">
        <v>900</v>
      </c>
      <c r="H3890" s="80"/>
      <c r="I3890" s="81"/>
      <c r="J3890" s="83">
        <f>HYPERLINK("#Структура!E951",Структура!E951)</f>
        <v>2</v>
      </c>
      <c r="K3890" s="115">
        <f>HYPERLINK("#Структура!G951",Структура!G951)</f>
        <v>0.20841999999999999</v>
      </c>
      <c r="L3890" s="81">
        <f>M3890/J3890</f>
        <v>30.860400000000002</v>
      </c>
      <c r="M3890" s="81">
        <f>SUMIF(H3891,"*",M3891)*J3890</f>
        <v>61.720800000000004</v>
      </c>
      <c r="N3890" s="124">
        <f>HYPERLINK("#Трудозатраты!B223",Трудозатраты!B223+SUMIF(H3891,"*",O3891))</f>
        <v>0.25</v>
      </c>
      <c r="O3890" s="82">
        <f>N3890*J3890</f>
        <v>0.5</v>
      </c>
      <c r="P3890" s="81">
        <f>O3890/60*(1+запас_труд)*стоимость_трудочаса</f>
        <v>19.583333333333332</v>
      </c>
      <c r="Q3890" s="129">
        <f>M3890*(1+наценка_покупное)+P3890</f>
        <v>93.648293333333328</v>
      </c>
    </row>
    <row r="3891" spans="6:17" hidden="1" outlineLevel="6" x14ac:dyDescent="0.25">
      <c r="H3891" s="75" t="s">
        <v>118</v>
      </c>
      <c r="I3891" s="76"/>
      <c r="J3891" s="78">
        <f>HYPERLINK("#Структура!E964",Структура!E964)</f>
        <v>0.25717000000000001</v>
      </c>
      <c r="K3891" s="114" t="str">
        <f>HYPERLINK("#Структура!G964","")</f>
        <v/>
      </c>
      <c r="L3891" s="120">
        <f>HYPERLINK("#Покупные_изделия!D293",Покупные_изделия!D293)</f>
        <v>120</v>
      </c>
      <c r="M3891" s="76">
        <f>J3891*L3891</f>
        <v>30.860400000000002</v>
      </c>
      <c r="N3891" s="77"/>
      <c r="O3891" s="77"/>
      <c r="P3891" s="76"/>
      <c r="Q3891" s="76"/>
    </row>
    <row r="3892" spans="6:17" hidden="1" outlineLevel="5" collapsed="1" x14ac:dyDescent="0.25">
      <c r="G3892" s="84" t="s">
        <v>901</v>
      </c>
      <c r="H3892" s="80"/>
      <c r="I3892" s="81"/>
      <c r="J3892" s="83">
        <f>HYPERLINK("#Структура!E952",Структура!E952)</f>
        <v>1</v>
      </c>
      <c r="K3892" s="115">
        <f>HYPERLINK("#Структура!G952",Структура!G952)</f>
        <v>16.906400000000001</v>
      </c>
      <c r="L3892" s="81">
        <f>M3892/J3892</f>
        <v>2439.1379999999999</v>
      </c>
      <c r="M3892" s="81">
        <f>SUMIF(H3893,"*",M3893)*J3892</f>
        <v>2439.1379999999999</v>
      </c>
      <c r="N3892" s="124">
        <f>HYPERLINK("#Трудозатраты!B224",Трудозатраты!B224+SUMIF(H3893,"*",O3893))</f>
        <v>11.2</v>
      </c>
      <c r="O3892" s="82">
        <f>N3892*J3892</f>
        <v>11.2</v>
      </c>
      <c r="P3892" s="81">
        <f>O3892/60*(1+запас_труд)*стоимость_трудочаса</f>
        <v>438.66666666666663</v>
      </c>
      <c r="Q3892" s="129">
        <f>M3892*(1+наценка_покупное)+P3892</f>
        <v>3365.6322666666665</v>
      </c>
    </row>
    <row r="3893" spans="6:17" hidden="1" outlineLevel="6" x14ac:dyDescent="0.25">
      <c r="H3893" s="75" t="s">
        <v>118</v>
      </c>
      <c r="I3893" s="76"/>
      <c r="J3893" s="78">
        <f>HYPERLINK("#Структура!E965",Структура!E965)</f>
        <v>20.326149999999998</v>
      </c>
      <c r="K3893" s="114" t="str">
        <f>HYPERLINK("#Структура!G965","")</f>
        <v/>
      </c>
      <c r="L3893" s="120">
        <f>HYPERLINK("#Покупные_изделия!D293",Покупные_изделия!D293)</f>
        <v>120</v>
      </c>
      <c r="M3893" s="76">
        <f>J3893*L3893</f>
        <v>2439.1379999999999</v>
      </c>
      <c r="N3893" s="77"/>
      <c r="O3893" s="77"/>
      <c r="P3893" s="76"/>
      <c r="Q3893" s="76"/>
    </row>
    <row r="3894" spans="6:17" hidden="1" outlineLevel="5" collapsed="1" x14ac:dyDescent="0.25">
      <c r="G3894" s="84" t="s">
        <v>902</v>
      </c>
      <c r="H3894" s="80"/>
      <c r="I3894" s="81"/>
      <c r="J3894" s="83">
        <f>HYPERLINK("#Структура!E953",Структура!E953)</f>
        <v>2</v>
      </c>
      <c r="K3894" s="115">
        <f>HYPERLINK("#Структура!G953",Структура!G953)</f>
        <v>2.41316</v>
      </c>
      <c r="L3894" s="81">
        <f>M3894/J3894</f>
        <v>242.79999999999998</v>
      </c>
      <c r="M3894" s="81">
        <f>SUMIF(H3895,"*",M3895)*J3894</f>
        <v>485.59999999999997</v>
      </c>
      <c r="N3894" s="124">
        <f>HYPERLINK("#Трудозатраты!B225",Трудозатраты!B225+SUMIF(H3895,"*",O3895))</f>
        <v>9</v>
      </c>
      <c r="O3894" s="82">
        <f>N3894*J3894</f>
        <v>18</v>
      </c>
      <c r="P3894" s="81">
        <f>O3894/60*(1+запас_труд)*стоимость_трудочаса</f>
        <v>705</v>
      </c>
      <c r="Q3894" s="129">
        <f>M3894*(1+наценка_покупное)+P3894</f>
        <v>1287.7199999999998</v>
      </c>
    </row>
    <row r="3895" spans="6:17" hidden="1" outlineLevel="6" x14ac:dyDescent="0.25">
      <c r="H3895" s="75" t="s">
        <v>85</v>
      </c>
      <c r="I3895" s="76"/>
      <c r="J3895" s="78">
        <f>HYPERLINK("#Структура!E966",Структура!E966)</f>
        <v>2.4279999999999999</v>
      </c>
      <c r="K3895" s="114" t="str">
        <f>HYPERLINK("#Структура!G966","")</f>
        <v/>
      </c>
      <c r="L3895" s="120">
        <f>HYPERLINK("#Покупные_изделия!D254",Покупные_изделия!D254)</f>
        <v>100</v>
      </c>
      <c r="M3895" s="76">
        <f>J3895*L3895</f>
        <v>242.79999999999998</v>
      </c>
      <c r="N3895" s="77"/>
      <c r="O3895" s="77"/>
      <c r="P3895" s="76"/>
      <c r="Q3895" s="76"/>
    </row>
    <row r="3896" spans="6:17" hidden="1" outlineLevel="5" x14ac:dyDescent="0.25">
      <c r="G3896" s="74" t="s">
        <v>67</v>
      </c>
      <c r="H3896" s="75"/>
      <c r="I3896" s="76"/>
      <c r="J3896" s="78">
        <f>HYPERLINK("#Структура!E954",Структура!E954)</f>
        <v>0.63100000000000001</v>
      </c>
      <c r="K3896" s="114" t="str">
        <f>HYPERLINK("#Структура!G954","")</f>
        <v/>
      </c>
      <c r="L3896" s="120">
        <f>HYPERLINK("#Покупные_изделия!D203",Покупные_изделия!D203)</f>
        <v>30.003600000000002</v>
      </c>
      <c r="M3896" s="76">
        <f>J3896*L3896</f>
        <v>18.9322716</v>
      </c>
      <c r="N3896" s="77"/>
      <c r="O3896" s="77"/>
      <c r="P3896" s="76"/>
      <c r="Q3896" s="76"/>
    </row>
    <row r="3897" spans="6:17" hidden="1" outlineLevel="5" x14ac:dyDescent="0.25">
      <c r="G3897" s="74" t="s">
        <v>146</v>
      </c>
      <c r="H3897" s="75"/>
      <c r="I3897" s="76"/>
      <c r="J3897" s="78">
        <f>HYPERLINK("#Структура!E955",Структура!E955)</f>
        <v>0.371</v>
      </c>
      <c r="K3897" s="114" t="str">
        <f>HYPERLINK("#Структура!G955","")</f>
        <v/>
      </c>
      <c r="L3897" s="120">
        <f>HYPERLINK("#Покупные_изделия!D406",Покупные_изделия!D406)</f>
        <v>105.996</v>
      </c>
      <c r="M3897" s="76">
        <f>J3897*L3897</f>
        <v>39.324515999999996</v>
      </c>
      <c r="N3897" s="77"/>
      <c r="O3897" s="77"/>
      <c r="P3897" s="76"/>
      <c r="Q3897" s="76"/>
    </row>
    <row r="3898" spans="6:17" hidden="1" outlineLevel="4" collapsed="1" x14ac:dyDescent="0.25">
      <c r="F3898" s="96" t="s">
        <v>891</v>
      </c>
      <c r="G3898" s="91"/>
      <c r="H3898" s="92"/>
      <c r="I3898" s="93"/>
      <c r="J3898" s="95">
        <f>HYPERLINK("#Структура!E936",Структура!E936)</f>
        <v>1</v>
      </c>
      <c r="K3898" s="116">
        <f>HYPERLINK("#Структура!G936",Структура!G936)</f>
        <v>713.98123999999996</v>
      </c>
      <c r="L3898" s="93">
        <f>M3898/J3898</f>
        <v>107587.3179468</v>
      </c>
      <c r="M3898" s="93">
        <f>SUMIF(G3899:G3952,"*",M3899:M3952)*J3898</f>
        <v>107587.3179468</v>
      </c>
      <c r="N3898" s="125">
        <f>HYPERLINK("#Трудозатраты!B226",Трудозатраты!B226+SUMIF(G3899:G3952,"*",O3899:O3952))</f>
        <v>1190.5999999999999</v>
      </c>
      <c r="O3898" s="94">
        <f>N3898*J3898</f>
        <v>1190.5999999999999</v>
      </c>
      <c r="P3898" s="93">
        <f>O3898/60*(1+запас_труд)*стоимость_трудочаса</f>
        <v>46631.833333333328</v>
      </c>
      <c r="Q3898" s="130">
        <f>M3898*(1+наценка_покупное)+P3898</f>
        <v>175736.61486949332</v>
      </c>
    </row>
    <row r="3899" spans="6:17" hidden="1" outlineLevel="5" collapsed="1" x14ac:dyDescent="0.25">
      <c r="G3899" s="97" t="s">
        <v>903</v>
      </c>
      <c r="H3899" s="99"/>
      <c r="I3899" s="100"/>
      <c r="J3899" s="102">
        <f>HYPERLINK("#Структура!E967",Структура!E967)</f>
        <v>1</v>
      </c>
      <c r="K3899" s="112">
        <f>HYPERLINK("#Структура!G967",Структура!G967)</f>
        <v>44.2896</v>
      </c>
      <c r="L3899" s="100">
        <f>M3899/J3899</f>
        <v>6719.2704815999996</v>
      </c>
      <c r="M3899" s="100">
        <f>SUMIF(H3900:H3911,"*",M3900:M3911)*J3899</f>
        <v>6719.2704815999996</v>
      </c>
      <c r="N3899" s="122">
        <f>HYPERLINK("#Трудозатраты!B234",Трудозатраты!B234+SUMIF(H3900:H3911,"*",O3900:O3911))</f>
        <v>64.800000000000011</v>
      </c>
      <c r="O3899" s="101">
        <f>N3899*J3899</f>
        <v>64.800000000000011</v>
      </c>
      <c r="P3899" s="100">
        <f>O3899/60*(1+запас_труд)*стоимость_трудочаса</f>
        <v>2538.0000000000009</v>
      </c>
      <c r="Q3899" s="127">
        <f>M3899*(1+наценка_покупное)+P3899</f>
        <v>10601.12457792</v>
      </c>
    </row>
    <row r="3900" spans="6:17" hidden="1" outlineLevel="6" collapsed="1" x14ac:dyDescent="0.25">
      <c r="H3900" s="104" t="s">
        <v>914</v>
      </c>
      <c r="I3900" s="88"/>
      <c r="J3900" s="90">
        <f>HYPERLINK("#Структура!E987",Структура!E987)</f>
        <v>1</v>
      </c>
      <c r="K3900" s="113">
        <f>HYPERLINK("#Структура!G987",Структура!G987)</f>
        <v>41.252780000000001</v>
      </c>
      <c r="L3900" s="88">
        <f>M3900/J3900</f>
        <v>6247.7567999999992</v>
      </c>
      <c r="M3900" s="88">
        <f>SUMIF(I3901,"*",M3901)*J3900</f>
        <v>6247.7567999999992</v>
      </c>
      <c r="N3900" s="123">
        <f>HYPERLINK("#Трудозатраты!B235",Трудозатраты!B235+SUMIF(I3901,"*",O3901))</f>
        <v>20.5</v>
      </c>
      <c r="O3900" s="89">
        <f>N3900*J3900</f>
        <v>20.5</v>
      </c>
      <c r="P3900" s="88">
        <f>O3900/60*(1+запас_труд)*стоимость_трудочаса</f>
        <v>802.91666666666663</v>
      </c>
      <c r="Q3900" s="128">
        <f>M3900*(1+наценка_покупное)+P3900</f>
        <v>8300.2248266666647</v>
      </c>
    </row>
    <row r="3901" spans="6:17" hidden="1" outlineLevel="7" x14ac:dyDescent="0.25">
      <c r="I3901" s="76" t="s">
        <v>115</v>
      </c>
      <c r="J3901" s="78">
        <f>HYPERLINK("#Структура!E994",Структура!E994)</f>
        <v>52.064639999999997</v>
      </c>
      <c r="K3901" s="114" t="str">
        <f>HYPERLINK("#Структура!G994","")</f>
        <v/>
      </c>
      <c r="L3901" s="120">
        <f>HYPERLINK("#Покупные_изделия!D289",Покупные_изделия!D289)</f>
        <v>120</v>
      </c>
      <c r="M3901" s="76">
        <f>J3901*L3901</f>
        <v>6247.7567999999992</v>
      </c>
      <c r="N3901" s="77"/>
      <c r="O3901" s="77"/>
      <c r="P3901" s="76"/>
      <c r="Q3901" s="76"/>
    </row>
    <row r="3902" spans="6:17" hidden="1" outlineLevel="6" collapsed="1" x14ac:dyDescent="0.25">
      <c r="H3902" s="103" t="s">
        <v>915</v>
      </c>
      <c r="I3902" s="81"/>
      <c r="J3902" s="83">
        <f>HYPERLINK("#Структура!E988",Структура!E988)</f>
        <v>2</v>
      </c>
      <c r="K3902" s="115">
        <f>HYPERLINK("#Структура!G988",Структура!G988)</f>
        <v>5.4100000000000002E-2</v>
      </c>
      <c r="L3902" s="81">
        <f>M3902/J3902</f>
        <v>7.6307999999999989</v>
      </c>
      <c r="M3902" s="81">
        <f>SUMIF(I3903,"*",M3903)*J3902</f>
        <v>15.261599999999998</v>
      </c>
      <c r="N3902" s="124">
        <f>HYPERLINK("#Трудозатраты!B237",Трудозатраты!B237+SUMIF(I3903,"*",O3903))</f>
        <v>4.25</v>
      </c>
      <c r="O3902" s="82">
        <f>N3902*J3902</f>
        <v>8.5</v>
      </c>
      <c r="P3902" s="81">
        <f>O3902/60*(1+запас_труд)*стоимость_трудочаса</f>
        <v>332.91666666666669</v>
      </c>
      <c r="Q3902" s="129">
        <f>M3902*(1+наценка_покупное)+P3902</f>
        <v>351.23058666666668</v>
      </c>
    </row>
    <row r="3903" spans="6:17" hidden="1" outlineLevel="7" x14ac:dyDescent="0.25">
      <c r="I3903" s="76" t="s">
        <v>115</v>
      </c>
      <c r="J3903" s="78">
        <f>HYPERLINK("#Структура!E996",Структура!E996)</f>
        <v>6.3589999999999994E-2</v>
      </c>
      <c r="K3903" s="114" t="str">
        <f>HYPERLINK("#Структура!G996","")</f>
        <v/>
      </c>
      <c r="L3903" s="120">
        <f>HYPERLINK("#Покупные_изделия!D289",Покупные_изделия!D289)</f>
        <v>120</v>
      </c>
      <c r="M3903" s="76">
        <f>J3903*L3903</f>
        <v>7.6307999999999989</v>
      </c>
      <c r="N3903" s="77"/>
      <c r="O3903" s="77"/>
      <c r="P3903" s="76"/>
      <c r="Q3903" s="76"/>
    </row>
    <row r="3904" spans="6:17" hidden="1" outlineLevel="6" collapsed="1" x14ac:dyDescent="0.25">
      <c r="H3904" s="103" t="s">
        <v>916</v>
      </c>
      <c r="I3904" s="81"/>
      <c r="J3904" s="83">
        <f>HYPERLINK("#Структура!E989",Структура!E989)</f>
        <v>1</v>
      </c>
      <c r="K3904" s="115">
        <f>HYPERLINK("#Структура!G989",Структура!G989)</f>
        <v>1.46061</v>
      </c>
      <c r="L3904" s="81">
        <f>M3904/J3904</f>
        <v>209.3724</v>
      </c>
      <c r="M3904" s="81">
        <f>SUMIF(I3905,"*",M3905)*J3904</f>
        <v>209.3724</v>
      </c>
      <c r="N3904" s="124">
        <f>HYPERLINK("#Трудозатраты!B238",Трудозатраты!B238+SUMIF(I3905,"*",O3905))</f>
        <v>7.7</v>
      </c>
      <c r="O3904" s="82">
        <f>N3904*J3904</f>
        <v>7.7</v>
      </c>
      <c r="P3904" s="81">
        <f>O3904/60*(1+запас_труд)*стоимость_трудочаса</f>
        <v>301.58333333333331</v>
      </c>
      <c r="Q3904" s="129">
        <f>M3904*(1+наценка_покупное)+P3904</f>
        <v>552.83021333333329</v>
      </c>
    </row>
    <row r="3905" spans="7:17" hidden="1" outlineLevel="7" x14ac:dyDescent="0.25">
      <c r="I3905" s="76" t="s">
        <v>115</v>
      </c>
      <c r="J3905" s="78">
        <f>HYPERLINK("#Структура!E997",Структура!E997)</f>
        <v>1.7447699999999999</v>
      </c>
      <c r="K3905" s="114" t="str">
        <f>HYPERLINK("#Структура!G997","")</f>
        <v/>
      </c>
      <c r="L3905" s="120">
        <f>HYPERLINK("#Покупные_изделия!D289",Покупные_изделия!D289)</f>
        <v>120</v>
      </c>
      <c r="M3905" s="76">
        <f>J3905*L3905</f>
        <v>209.3724</v>
      </c>
      <c r="N3905" s="77"/>
      <c r="O3905" s="77"/>
      <c r="P3905" s="76"/>
      <c r="Q3905" s="76"/>
    </row>
    <row r="3906" spans="7:17" hidden="1" outlineLevel="6" collapsed="1" x14ac:dyDescent="0.25">
      <c r="H3906" s="103" t="s">
        <v>917</v>
      </c>
      <c r="I3906" s="81"/>
      <c r="J3906" s="83">
        <f>HYPERLINK("#Структура!E990",Структура!E990)</f>
        <v>1</v>
      </c>
      <c r="K3906" s="115">
        <f>HYPERLINK("#Структура!G990",Структура!G990)</f>
        <v>1.45506</v>
      </c>
      <c r="L3906" s="81">
        <f>M3906/J3906</f>
        <v>209.3724</v>
      </c>
      <c r="M3906" s="81">
        <f>SUMIF(I3907,"*",M3907)*J3906</f>
        <v>209.3724</v>
      </c>
      <c r="N3906" s="124">
        <f>HYPERLINK("#Трудозатраты!B239",Трудозатраты!B239+SUMIF(I3907,"*",O3907))</f>
        <v>7.7</v>
      </c>
      <c r="O3906" s="82">
        <f>N3906*J3906</f>
        <v>7.7</v>
      </c>
      <c r="P3906" s="81">
        <f>O3906/60*(1+запас_труд)*стоимость_трудочаса</f>
        <v>301.58333333333331</v>
      </c>
      <c r="Q3906" s="129">
        <f>M3906*(1+наценка_покупное)+P3906</f>
        <v>552.83021333333329</v>
      </c>
    </row>
    <row r="3907" spans="7:17" hidden="1" outlineLevel="7" x14ac:dyDescent="0.25">
      <c r="I3907" s="76" t="s">
        <v>115</v>
      </c>
      <c r="J3907" s="78">
        <f>HYPERLINK("#Структура!E998",Структура!E998)</f>
        <v>1.7447699999999999</v>
      </c>
      <c r="K3907" s="114" t="str">
        <f>HYPERLINK("#Структура!G998","")</f>
        <v/>
      </c>
      <c r="L3907" s="120">
        <f>HYPERLINK("#Покупные_изделия!D289",Покупные_изделия!D289)</f>
        <v>120</v>
      </c>
      <c r="M3907" s="76">
        <f>J3907*L3907</f>
        <v>209.3724</v>
      </c>
      <c r="N3907" s="77"/>
      <c r="O3907" s="77"/>
      <c r="P3907" s="76"/>
      <c r="Q3907" s="76"/>
    </row>
    <row r="3908" spans="7:17" hidden="1" outlineLevel="6" collapsed="1" x14ac:dyDescent="0.25">
      <c r="H3908" s="103" t="s">
        <v>918</v>
      </c>
      <c r="I3908" s="81"/>
      <c r="J3908" s="83">
        <f>HYPERLINK("#Структура!E991",Структура!E991)</f>
        <v>2</v>
      </c>
      <c r="K3908" s="115">
        <f>HYPERLINK("#Структура!G991",Структура!G991)</f>
        <v>6.4799999999999996E-3</v>
      </c>
      <c r="L3908" s="81">
        <f>M3908/J3908</f>
        <v>0.93240000000000001</v>
      </c>
      <c r="M3908" s="81">
        <f>SUMIF(I3909,"*",M3909)*J3908</f>
        <v>1.8648</v>
      </c>
      <c r="N3908" s="124">
        <f>HYPERLINK("#Трудозатраты!B240",Трудозатраты!B240+SUMIF(I3909,"*",O3909))</f>
        <v>0.2</v>
      </c>
      <c r="O3908" s="82">
        <f>N3908*J3908</f>
        <v>0.4</v>
      </c>
      <c r="P3908" s="81">
        <f>O3908/60*(1+запас_труд)*стоимость_трудочаса</f>
        <v>15.666666666666668</v>
      </c>
      <c r="Q3908" s="129">
        <f>M3908*(1+наценка_покупное)+P3908</f>
        <v>17.904426666666666</v>
      </c>
    </row>
    <row r="3909" spans="7:17" hidden="1" outlineLevel="7" x14ac:dyDescent="0.25">
      <c r="I3909" s="76" t="s">
        <v>115</v>
      </c>
      <c r="J3909" s="78">
        <f>HYPERLINK("#Структура!E999",Структура!E999)</f>
        <v>7.77E-3</v>
      </c>
      <c r="K3909" s="114" t="str">
        <f>HYPERLINK("#Структура!G999","")</f>
        <v/>
      </c>
      <c r="L3909" s="120">
        <f>HYPERLINK("#Покупные_изделия!D289",Покупные_изделия!D289)</f>
        <v>120</v>
      </c>
      <c r="M3909" s="76">
        <f>J3909*L3909</f>
        <v>0.93240000000000001</v>
      </c>
      <c r="N3909" s="77"/>
      <c r="O3909" s="77"/>
      <c r="P3909" s="76"/>
      <c r="Q3909" s="76"/>
    </row>
    <row r="3910" spans="7:17" hidden="1" outlineLevel="6" x14ac:dyDescent="0.25">
      <c r="H3910" s="75" t="s">
        <v>67</v>
      </c>
      <c r="I3910" s="76"/>
      <c r="J3910" s="78">
        <f>HYPERLINK("#Структура!E992",Структура!E992)</f>
        <v>0.38600000000000001</v>
      </c>
      <c r="K3910" s="114" t="str">
        <f>HYPERLINK("#Структура!G992","")</f>
        <v/>
      </c>
      <c r="L3910" s="120">
        <f>HYPERLINK("#Покупные_изделия!D203",Покупные_изделия!D203)</f>
        <v>30.003600000000002</v>
      </c>
      <c r="M3910" s="76">
        <f>J3910*L3910</f>
        <v>11.581389600000001</v>
      </c>
      <c r="N3910" s="77"/>
      <c r="O3910" s="77"/>
      <c r="P3910" s="76"/>
      <c r="Q3910" s="76"/>
    </row>
    <row r="3911" spans="7:17" hidden="1" outlineLevel="6" x14ac:dyDescent="0.25">
      <c r="H3911" s="75" t="s">
        <v>146</v>
      </c>
      <c r="I3911" s="76"/>
      <c r="J3911" s="78">
        <f>HYPERLINK("#Структура!E993",Структура!E993)</f>
        <v>0.22700000000000001</v>
      </c>
      <c r="K3911" s="114" t="str">
        <f>HYPERLINK("#Структура!G993","")</f>
        <v/>
      </c>
      <c r="L3911" s="120">
        <f>HYPERLINK("#Покупные_изделия!D406",Покупные_изделия!D406)</f>
        <v>105.996</v>
      </c>
      <c r="M3911" s="76">
        <f>J3911*L3911</f>
        <v>24.061091999999999</v>
      </c>
      <c r="N3911" s="77"/>
      <c r="O3911" s="77"/>
      <c r="P3911" s="76"/>
      <c r="Q3911" s="76"/>
    </row>
    <row r="3912" spans="7:17" hidden="1" outlineLevel="5" collapsed="1" x14ac:dyDescent="0.25">
      <c r="G3912" s="96" t="s">
        <v>904</v>
      </c>
      <c r="H3912" s="92"/>
      <c r="I3912" s="93"/>
      <c r="J3912" s="95">
        <f>HYPERLINK("#Структура!E968",Структура!E968)</f>
        <v>1</v>
      </c>
      <c r="K3912" s="116">
        <f>HYPERLINK("#Структура!G968",Структура!G968)</f>
        <v>45.846400000000003</v>
      </c>
      <c r="L3912" s="93">
        <f>M3912/J3912</f>
        <v>6709.8691092000008</v>
      </c>
      <c r="M3912" s="93">
        <f>SUMIF(H3913:H3922,"*",M3913:M3922)*J3912</f>
        <v>6709.8691092000008</v>
      </c>
      <c r="N3912" s="125">
        <f>HYPERLINK("#Трудозатраты!B241",Трудозатраты!B241+SUMIF(H3913:H3922,"*",O3913:O3922))</f>
        <v>62.5</v>
      </c>
      <c r="O3912" s="94">
        <f>N3912*J3912</f>
        <v>62.5</v>
      </c>
      <c r="P3912" s="93">
        <f>O3912/60*(1+запас_труд)*стоимость_трудочаса</f>
        <v>2447.916666666667</v>
      </c>
      <c r="Q3912" s="130">
        <f>M3912*(1+наценка_покупное)+P3912</f>
        <v>10499.759597706667</v>
      </c>
    </row>
    <row r="3913" spans="7:17" hidden="1" outlineLevel="6" collapsed="1" x14ac:dyDescent="0.25">
      <c r="H3913" s="104" t="s">
        <v>915</v>
      </c>
      <c r="I3913" s="88"/>
      <c r="J3913" s="90">
        <f>HYPERLINK("#Структура!E1000",Структура!E1000)</f>
        <v>2</v>
      </c>
      <c r="K3913" s="113">
        <f>HYPERLINK("#Структура!G1000",Структура!G1000)</f>
        <v>5.4100000000000002E-2</v>
      </c>
      <c r="L3913" s="88">
        <f>M3913/J3913</f>
        <v>7.6307999999999989</v>
      </c>
      <c r="M3913" s="88">
        <f>SUMIF(I3914,"*",M3914)*J3913</f>
        <v>15.261599999999998</v>
      </c>
      <c r="N3913" s="123">
        <f>HYPERLINK("#Трудозатраты!B237",Трудозатраты!B237+SUMIF(I3914,"*",O3914))</f>
        <v>4.25</v>
      </c>
      <c r="O3913" s="89">
        <f>N3913*J3913</f>
        <v>8.5</v>
      </c>
      <c r="P3913" s="88">
        <f>O3913/60*(1+запас_труд)*стоимость_трудочаса</f>
        <v>332.91666666666669</v>
      </c>
      <c r="Q3913" s="128">
        <f>M3913*(1+наценка_покупное)+P3913</f>
        <v>351.23058666666668</v>
      </c>
    </row>
    <row r="3914" spans="7:17" hidden="1" outlineLevel="7" x14ac:dyDescent="0.25">
      <c r="I3914" s="76" t="s">
        <v>115</v>
      </c>
      <c r="J3914" s="78">
        <f>HYPERLINK("#Структура!E996",Структура!E996)</f>
        <v>6.3589999999999994E-2</v>
      </c>
      <c r="K3914" s="114" t="str">
        <f>HYPERLINK("#Структура!G996","")</f>
        <v/>
      </c>
      <c r="L3914" s="120">
        <f>HYPERLINK("#Покупные_изделия!D289",Покупные_изделия!D289)</f>
        <v>120</v>
      </c>
      <c r="M3914" s="76">
        <f>J3914*L3914</f>
        <v>7.6307999999999989</v>
      </c>
      <c r="N3914" s="77"/>
      <c r="O3914" s="77"/>
      <c r="P3914" s="76"/>
      <c r="Q3914" s="76"/>
    </row>
    <row r="3915" spans="7:17" hidden="1" outlineLevel="6" collapsed="1" x14ac:dyDescent="0.25">
      <c r="H3915" s="103" t="s">
        <v>919</v>
      </c>
      <c r="I3915" s="81"/>
      <c r="J3915" s="83">
        <f>HYPERLINK("#Структура!E1001",Структура!E1001)</f>
        <v>1</v>
      </c>
      <c r="K3915" s="115">
        <f>HYPERLINK("#Структура!G1001",Структура!G1001)</f>
        <v>42.686439999999997</v>
      </c>
      <c r="L3915" s="81">
        <f>M3915/J3915</f>
        <v>6218.6472000000003</v>
      </c>
      <c r="M3915" s="81">
        <f>SUMIF(I3916,"*",M3916)*J3915</f>
        <v>6218.6472000000003</v>
      </c>
      <c r="N3915" s="124">
        <f>HYPERLINK("#Трудозатраты!B242",Трудозатраты!B242+SUMIF(I3916,"*",O3916))</f>
        <v>20</v>
      </c>
      <c r="O3915" s="82">
        <f>N3915*J3915</f>
        <v>20</v>
      </c>
      <c r="P3915" s="81">
        <f>O3915/60*(1+запас_труд)*стоимость_трудочаса</f>
        <v>783.33333333333326</v>
      </c>
      <c r="Q3915" s="129">
        <f>M3915*(1+наценка_покупное)+P3915</f>
        <v>8245.7099733333343</v>
      </c>
    </row>
    <row r="3916" spans="7:17" hidden="1" outlineLevel="7" x14ac:dyDescent="0.25">
      <c r="I3916" s="76" t="s">
        <v>115</v>
      </c>
      <c r="J3916" s="78">
        <f>HYPERLINK("#Структура!E1006",Структура!E1006)</f>
        <v>51.82206</v>
      </c>
      <c r="K3916" s="114" t="str">
        <f>HYPERLINK("#Структура!G1006","")</f>
        <v/>
      </c>
      <c r="L3916" s="120">
        <f>HYPERLINK("#Покупные_изделия!D289",Покупные_изделия!D289)</f>
        <v>120</v>
      </c>
      <c r="M3916" s="76">
        <f>J3916*L3916</f>
        <v>6218.6472000000003</v>
      </c>
      <c r="N3916" s="77"/>
      <c r="O3916" s="77"/>
      <c r="P3916" s="76"/>
      <c r="Q3916" s="76"/>
    </row>
    <row r="3917" spans="7:17" hidden="1" outlineLevel="6" collapsed="1" x14ac:dyDescent="0.25">
      <c r="H3917" s="103" t="s">
        <v>920</v>
      </c>
      <c r="I3917" s="81"/>
      <c r="J3917" s="83">
        <f>HYPERLINK("#Структура!E1002",Структура!E1002)</f>
        <v>2</v>
      </c>
      <c r="K3917" s="115">
        <f>HYPERLINK("#Структура!G1002",Структура!G1002)</f>
        <v>1.5194000000000001</v>
      </c>
      <c r="L3917" s="81">
        <f>M3917/J3917</f>
        <v>225.6576</v>
      </c>
      <c r="M3917" s="81">
        <f>SUMIF(I3918,"*",M3918)*J3917</f>
        <v>451.3152</v>
      </c>
      <c r="N3917" s="124">
        <f>HYPERLINK("#Трудозатраты!B243",Трудозатраты!B243+SUMIF(I3918,"*",O3918))</f>
        <v>6.8</v>
      </c>
      <c r="O3917" s="82">
        <f>N3917*J3917</f>
        <v>13.6</v>
      </c>
      <c r="P3917" s="81">
        <f>O3917/60*(1+запас_труд)*стоимость_трудочаса</f>
        <v>532.66666666666663</v>
      </c>
      <c r="Q3917" s="129">
        <f>M3917*(1+наценка_покупное)+P3917</f>
        <v>1074.2449066666666</v>
      </c>
    </row>
    <row r="3918" spans="7:17" hidden="1" outlineLevel="7" x14ac:dyDescent="0.25">
      <c r="I3918" s="76" t="s">
        <v>115</v>
      </c>
      <c r="J3918" s="78">
        <f>HYPERLINK("#Структура!E1007",Структура!E1007)</f>
        <v>1.8804799999999999</v>
      </c>
      <c r="K3918" s="114" t="str">
        <f>HYPERLINK("#Структура!G1007","")</f>
        <v/>
      </c>
      <c r="L3918" s="120">
        <f>HYPERLINK("#Покупные_изделия!D289",Покупные_изделия!D289)</f>
        <v>120</v>
      </c>
      <c r="M3918" s="76">
        <f>J3918*L3918</f>
        <v>225.6576</v>
      </c>
      <c r="N3918" s="77"/>
      <c r="O3918" s="77"/>
      <c r="P3918" s="76"/>
      <c r="Q3918" s="76"/>
    </row>
    <row r="3919" spans="7:17" hidden="1" outlineLevel="6" collapsed="1" x14ac:dyDescent="0.25">
      <c r="H3919" s="103" t="s">
        <v>921</v>
      </c>
      <c r="I3919" s="81"/>
      <c r="J3919" s="83">
        <f>HYPERLINK("#Структура!E1003",Структура!E1003)</f>
        <v>2</v>
      </c>
      <c r="K3919" s="115">
        <f>HYPERLINK("#Структура!G1003",Структура!G1003)</f>
        <v>6.4799999999999996E-3</v>
      </c>
      <c r="L3919" s="81">
        <f>M3919/J3919</f>
        <v>0.93240000000000001</v>
      </c>
      <c r="M3919" s="81">
        <f>SUMIF(I3920,"*",M3920)*J3919</f>
        <v>1.8648</v>
      </c>
      <c r="N3919" s="124">
        <f>HYPERLINK("#Трудозатраты!B244",Трудозатраты!B244+SUMIF(I3920,"*",O3920))</f>
        <v>0.2</v>
      </c>
      <c r="O3919" s="82">
        <f>N3919*J3919</f>
        <v>0.4</v>
      </c>
      <c r="P3919" s="81">
        <f>O3919/60*(1+запас_труд)*стоимость_трудочаса</f>
        <v>15.666666666666668</v>
      </c>
      <c r="Q3919" s="129">
        <f>M3919*(1+наценка_покупное)+P3919</f>
        <v>17.904426666666666</v>
      </c>
    </row>
    <row r="3920" spans="7:17" hidden="1" outlineLevel="7" x14ac:dyDescent="0.25">
      <c r="I3920" s="76" t="s">
        <v>115</v>
      </c>
      <c r="J3920" s="78">
        <f>HYPERLINK("#Структура!E1008",Структура!E1008)</f>
        <v>7.77E-3</v>
      </c>
      <c r="K3920" s="114" t="str">
        <f>HYPERLINK("#Структура!G1008","")</f>
        <v/>
      </c>
      <c r="L3920" s="120">
        <f>HYPERLINK("#Покупные_изделия!D289",Покупные_изделия!D289)</f>
        <v>120</v>
      </c>
      <c r="M3920" s="76">
        <f>J3920*L3920</f>
        <v>0.93240000000000001</v>
      </c>
      <c r="N3920" s="77"/>
      <c r="O3920" s="77"/>
      <c r="P3920" s="76"/>
      <c r="Q3920" s="76"/>
    </row>
    <row r="3921" spans="7:17" hidden="1" outlineLevel="6" x14ac:dyDescent="0.25">
      <c r="H3921" s="75" t="s">
        <v>67</v>
      </c>
      <c r="I3921" s="76"/>
      <c r="J3921" s="78">
        <f>HYPERLINK("#Структура!E1004",Структура!E1004)</f>
        <v>0.247</v>
      </c>
      <c r="K3921" s="114" t="str">
        <f>HYPERLINK("#Структура!G1004","")</f>
        <v/>
      </c>
      <c r="L3921" s="120">
        <f>HYPERLINK("#Покупные_изделия!D203",Покупные_изделия!D203)</f>
        <v>30.003600000000002</v>
      </c>
      <c r="M3921" s="76">
        <f>J3921*L3921</f>
        <v>7.4108892000000006</v>
      </c>
      <c r="N3921" s="77"/>
      <c r="O3921" s="77"/>
      <c r="P3921" s="76"/>
      <c r="Q3921" s="76"/>
    </row>
    <row r="3922" spans="7:17" hidden="1" outlineLevel="6" x14ac:dyDescent="0.25">
      <c r="H3922" s="75" t="s">
        <v>146</v>
      </c>
      <c r="I3922" s="76"/>
      <c r="J3922" s="78">
        <f>HYPERLINK("#Структура!E1005",Структура!E1005)</f>
        <v>0.14499999999999999</v>
      </c>
      <c r="K3922" s="114" t="str">
        <f>HYPERLINK("#Структура!G1005","")</f>
        <v/>
      </c>
      <c r="L3922" s="120">
        <f>HYPERLINK("#Покупные_изделия!D406",Покупные_изделия!D406)</f>
        <v>105.996</v>
      </c>
      <c r="M3922" s="76">
        <f>J3922*L3922</f>
        <v>15.369419999999998</v>
      </c>
      <c r="N3922" s="77"/>
      <c r="O3922" s="77"/>
      <c r="P3922" s="76"/>
      <c r="Q3922" s="76"/>
    </row>
    <row r="3923" spans="7:17" hidden="1" outlineLevel="5" collapsed="1" x14ac:dyDescent="0.25">
      <c r="G3923" s="96" t="s">
        <v>905</v>
      </c>
      <c r="H3923" s="92"/>
      <c r="I3923" s="93"/>
      <c r="J3923" s="95">
        <f>HYPERLINK("#Структура!E969",Структура!E969)</f>
        <v>1</v>
      </c>
      <c r="K3923" s="116">
        <f>HYPERLINK("#Структура!G969",Структура!G969)</f>
        <v>49.07349</v>
      </c>
      <c r="L3923" s="93">
        <f>M3923/J3923</f>
        <v>7100.8033272000002</v>
      </c>
      <c r="M3923" s="93">
        <f>SUMIF(H3924:H3929,"*",M3924:M3929)*J3923</f>
        <v>7100.8033272000002</v>
      </c>
      <c r="N3923" s="125">
        <f>HYPERLINK("#Трудозатраты!B245",Трудозатраты!B245+SUMIF(H3924:H3929,"*",O3924:O3929))</f>
        <v>26.3</v>
      </c>
      <c r="O3923" s="94">
        <f>N3923*J3923</f>
        <v>26.3</v>
      </c>
      <c r="P3923" s="93">
        <f>O3923/60*(1+запас_труд)*стоимость_трудочаса</f>
        <v>1030.0833333333335</v>
      </c>
      <c r="Q3923" s="130">
        <f>M3923*(1+наценка_покупное)+P3923</f>
        <v>9551.0473259733335</v>
      </c>
    </row>
    <row r="3924" spans="7:17" hidden="1" outlineLevel="6" collapsed="1" x14ac:dyDescent="0.25">
      <c r="H3924" s="104" t="s">
        <v>922</v>
      </c>
      <c r="I3924" s="88"/>
      <c r="J3924" s="90">
        <f>HYPERLINK("#Структура!E1009",Структура!E1009)</f>
        <v>1</v>
      </c>
      <c r="K3924" s="113">
        <f>HYPERLINK("#Структура!G1009",Структура!G1009)</f>
        <v>0.73284000000000005</v>
      </c>
      <c r="L3924" s="88">
        <f>M3924/J3924</f>
        <v>105.13800000000001</v>
      </c>
      <c r="M3924" s="88">
        <f>SUMIF(I3925,"*",M3925)*J3924</f>
        <v>105.13800000000001</v>
      </c>
      <c r="N3924" s="123">
        <f>HYPERLINK("#Трудозатраты!B247",Трудозатраты!B247+SUMIF(I3925,"*",O3925))</f>
        <v>4.8</v>
      </c>
      <c r="O3924" s="89">
        <f>N3924*J3924</f>
        <v>4.8</v>
      </c>
      <c r="P3924" s="88">
        <f>O3924/60*(1+запас_труд)*стоимость_трудочаса</f>
        <v>188</v>
      </c>
      <c r="Q3924" s="128">
        <f>M3924*(1+наценка_покупное)+P3924</f>
        <v>314.16559999999998</v>
      </c>
    </row>
    <row r="3925" spans="7:17" hidden="1" outlineLevel="7" x14ac:dyDescent="0.25">
      <c r="I3925" s="76" t="s">
        <v>118</v>
      </c>
      <c r="J3925" s="78">
        <f>HYPERLINK("#Структура!E1017",Структура!E1017)</f>
        <v>0.87614999999999998</v>
      </c>
      <c r="K3925" s="114" t="str">
        <f>HYPERLINK("#Структура!G1017","")</f>
        <v/>
      </c>
      <c r="L3925" s="120">
        <f>HYPERLINK("#Покупные_изделия!D293",Покупные_изделия!D293)</f>
        <v>120</v>
      </c>
      <c r="M3925" s="76">
        <f>J3925*L3925</f>
        <v>105.13800000000001</v>
      </c>
      <c r="N3925" s="77"/>
      <c r="O3925" s="77"/>
      <c r="P3925" s="76"/>
      <c r="Q3925" s="76"/>
    </row>
    <row r="3926" spans="7:17" hidden="1" outlineLevel="6" collapsed="1" x14ac:dyDescent="0.25">
      <c r="H3926" s="103" t="s">
        <v>923</v>
      </c>
      <c r="I3926" s="81"/>
      <c r="J3926" s="83">
        <f>HYPERLINK("#Структура!E1010",Структура!E1010)</f>
        <v>1</v>
      </c>
      <c r="K3926" s="115">
        <f>HYPERLINK("#Структура!G1010",Структура!G1010)</f>
        <v>48.34066</v>
      </c>
      <c r="L3926" s="81">
        <f>M3926/J3926</f>
        <v>6986.2452000000003</v>
      </c>
      <c r="M3926" s="81">
        <f>SUMIF(I3927,"*",M3927)*J3926</f>
        <v>6986.2452000000003</v>
      </c>
      <c r="N3926" s="124">
        <f>HYPERLINK("#Трудозатраты!B248",Трудозатраты!B248+SUMIF(I3927,"*",O3927))</f>
        <v>15.5</v>
      </c>
      <c r="O3926" s="82">
        <f>N3926*J3926</f>
        <v>15.5</v>
      </c>
      <c r="P3926" s="81">
        <f>O3926/60*(1+запас_труд)*стоимость_трудочаса</f>
        <v>607.08333333333337</v>
      </c>
      <c r="Q3926" s="129">
        <f>M3926*(1+наценка_покупное)+P3926</f>
        <v>8990.5775733333339</v>
      </c>
    </row>
    <row r="3927" spans="7:17" hidden="1" outlineLevel="7" x14ac:dyDescent="0.25">
      <c r="I3927" s="76" t="s">
        <v>118</v>
      </c>
      <c r="J3927" s="78">
        <f>HYPERLINK("#Структура!E1018",Структура!E1018)</f>
        <v>58.218710000000002</v>
      </c>
      <c r="K3927" s="114" t="str">
        <f>HYPERLINK("#Структура!G1018","")</f>
        <v/>
      </c>
      <c r="L3927" s="120">
        <f>HYPERLINK("#Покупные_изделия!D293",Покупные_изделия!D293)</f>
        <v>120</v>
      </c>
      <c r="M3927" s="76">
        <f>J3927*L3927</f>
        <v>6986.2452000000003</v>
      </c>
      <c r="N3927" s="77"/>
      <c r="O3927" s="77"/>
      <c r="P3927" s="76"/>
      <c r="Q3927" s="76"/>
    </row>
    <row r="3928" spans="7:17" hidden="1" outlineLevel="6" x14ac:dyDescent="0.25">
      <c r="H3928" s="75" t="s">
        <v>67</v>
      </c>
      <c r="I3928" s="76"/>
      <c r="J3928" s="78">
        <f>HYPERLINK("#Структура!E1011",Структура!E1011)</f>
        <v>0.10199999999999999</v>
      </c>
      <c r="K3928" s="114" t="str">
        <f>HYPERLINK("#Структура!G1011","")</f>
        <v/>
      </c>
      <c r="L3928" s="120">
        <f>HYPERLINK("#Покупные_изделия!D203",Покупные_изделия!D203)</f>
        <v>30.003600000000002</v>
      </c>
      <c r="M3928" s="76">
        <f>J3928*L3928</f>
        <v>3.0603672</v>
      </c>
      <c r="N3928" s="77"/>
      <c r="O3928" s="77"/>
      <c r="P3928" s="76"/>
      <c r="Q3928" s="76"/>
    </row>
    <row r="3929" spans="7:17" hidden="1" outlineLevel="6" x14ac:dyDescent="0.25">
      <c r="H3929" s="75" t="s">
        <v>146</v>
      </c>
      <c r="I3929" s="76"/>
      <c r="J3929" s="78">
        <f>HYPERLINK("#Структура!E1012",Структура!E1012)</f>
        <v>0.06</v>
      </c>
      <c r="K3929" s="114" t="str">
        <f>HYPERLINK("#Структура!G1012","")</f>
        <v/>
      </c>
      <c r="L3929" s="120">
        <f>HYPERLINK("#Покупные_изделия!D406",Покупные_изделия!D406)</f>
        <v>105.996</v>
      </c>
      <c r="M3929" s="76">
        <f>J3929*L3929</f>
        <v>6.3597599999999996</v>
      </c>
      <c r="N3929" s="77"/>
      <c r="O3929" s="77"/>
      <c r="P3929" s="76"/>
      <c r="Q3929" s="76"/>
    </row>
    <row r="3930" spans="7:17" hidden="1" outlineLevel="5" collapsed="1" x14ac:dyDescent="0.25">
      <c r="G3930" s="96" t="s">
        <v>906</v>
      </c>
      <c r="H3930" s="92"/>
      <c r="I3930" s="93"/>
      <c r="J3930" s="95">
        <f>HYPERLINK("#Структура!E970",Структура!E970)</f>
        <v>1</v>
      </c>
      <c r="K3930" s="116">
        <f>HYPERLINK("#Структура!G970",Структура!G970)</f>
        <v>49.07349</v>
      </c>
      <c r="L3930" s="93">
        <f>M3930/J3930</f>
        <v>7100.8033272000002</v>
      </c>
      <c r="M3930" s="93">
        <f>SUMIF(H3931:H3936,"*",M3931:M3936)*J3930</f>
        <v>7100.8033272000002</v>
      </c>
      <c r="N3930" s="125">
        <f>HYPERLINK("#Трудозатраты!B246",Трудозатраты!B246+SUMIF(H3931:H3936,"*",O3931:O3936))</f>
        <v>26.2</v>
      </c>
      <c r="O3930" s="94">
        <f>N3930*J3930</f>
        <v>26.2</v>
      </c>
      <c r="P3930" s="93">
        <f>O3930/60*(1+запас_труд)*стоимость_трудочаса</f>
        <v>1026.1666666666665</v>
      </c>
      <c r="Q3930" s="130">
        <f>M3930*(1+наценка_покупное)+P3930</f>
        <v>9547.1306593066656</v>
      </c>
    </row>
    <row r="3931" spans="7:17" hidden="1" outlineLevel="6" collapsed="1" x14ac:dyDescent="0.25">
      <c r="H3931" s="104" t="s">
        <v>922</v>
      </c>
      <c r="I3931" s="88"/>
      <c r="J3931" s="90">
        <f>HYPERLINK("#Структура!E1013",Структура!E1013)</f>
        <v>1</v>
      </c>
      <c r="K3931" s="113">
        <f>HYPERLINK("#Структура!G1013",Структура!G1013)</f>
        <v>0.73284000000000005</v>
      </c>
      <c r="L3931" s="88">
        <f>M3931/J3931</f>
        <v>105.13800000000001</v>
      </c>
      <c r="M3931" s="88">
        <f>SUMIF(I3932,"*",M3932)*J3931</f>
        <v>105.13800000000001</v>
      </c>
      <c r="N3931" s="123">
        <f>HYPERLINK("#Трудозатраты!B247",Трудозатраты!B247+SUMIF(I3932,"*",O3932))</f>
        <v>4.8</v>
      </c>
      <c r="O3931" s="89">
        <f>N3931*J3931</f>
        <v>4.8</v>
      </c>
      <c r="P3931" s="88">
        <f>O3931/60*(1+запас_труд)*стоимость_трудочаса</f>
        <v>188</v>
      </c>
      <c r="Q3931" s="128">
        <f>M3931*(1+наценка_покупное)+P3931</f>
        <v>314.16559999999998</v>
      </c>
    </row>
    <row r="3932" spans="7:17" hidden="1" outlineLevel="7" x14ac:dyDescent="0.25">
      <c r="I3932" s="76" t="s">
        <v>118</v>
      </c>
      <c r="J3932" s="78">
        <f>HYPERLINK("#Структура!E1017",Структура!E1017)</f>
        <v>0.87614999999999998</v>
      </c>
      <c r="K3932" s="114" t="str">
        <f>HYPERLINK("#Структура!G1017","")</f>
        <v/>
      </c>
      <c r="L3932" s="120">
        <f>HYPERLINK("#Покупные_изделия!D293",Покупные_изделия!D293)</f>
        <v>120</v>
      </c>
      <c r="M3932" s="76">
        <f>J3932*L3932</f>
        <v>105.13800000000001</v>
      </c>
      <c r="N3932" s="77"/>
      <c r="O3932" s="77"/>
      <c r="P3932" s="76"/>
      <c r="Q3932" s="76"/>
    </row>
    <row r="3933" spans="7:17" hidden="1" outlineLevel="6" collapsed="1" x14ac:dyDescent="0.25">
      <c r="H3933" s="103" t="s">
        <v>924</v>
      </c>
      <c r="I3933" s="81"/>
      <c r="J3933" s="83">
        <f>HYPERLINK("#Структура!E1014",Структура!E1014)</f>
        <v>1</v>
      </c>
      <c r="K3933" s="115">
        <f>HYPERLINK("#Структура!G1014",Структура!G1014)</f>
        <v>48.34066</v>
      </c>
      <c r="L3933" s="81">
        <f>M3933/J3933</f>
        <v>6986.2452000000003</v>
      </c>
      <c r="M3933" s="81">
        <f>SUMIF(I3934,"*",M3934)*J3933</f>
        <v>6986.2452000000003</v>
      </c>
      <c r="N3933" s="124">
        <f>HYPERLINK("#Трудозатраты!B249",Трудозатраты!B249+SUMIF(I3934,"*",O3934))</f>
        <v>15.4</v>
      </c>
      <c r="O3933" s="82">
        <f>N3933*J3933</f>
        <v>15.4</v>
      </c>
      <c r="P3933" s="81">
        <f>O3933/60*(1+запас_труд)*стоимость_трудочаса</f>
        <v>603.16666666666663</v>
      </c>
      <c r="Q3933" s="129">
        <f>M3933*(1+наценка_покупное)+P3933</f>
        <v>8986.6609066666661</v>
      </c>
    </row>
    <row r="3934" spans="7:17" hidden="1" outlineLevel="7" x14ac:dyDescent="0.25">
      <c r="I3934" s="76" t="s">
        <v>118</v>
      </c>
      <c r="J3934" s="78">
        <f>HYPERLINK("#Структура!E1019",Структура!E1019)</f>
        <v>58.218710000000002</v>
      </c>
      <c r="K3934" s="114" t="str">
        <f>HYPERLINK("#Структура!G1019","")</f>
        <v/>
      </c>
      <c r="L3934" s="120">
        <f>HYPERLINK("#Покупные_изделия!D293",Покупные_изделия!D293)</f>
        <v>120</v>
      </c>
      <c r="M3934" s="76">
        <f>J3934*L3934</f>
        <v>6986.2452000000003</v>
      </c>
      <c r="N3934" s="77"/>
      <c r="O3934" s="77"/>
      <c r="P3934" s="76"/>
      <c r="Q3934" s="76"/>
    </row>
    <row r="3935" spans="7:17" hidden="1" outlineLevel="6" x14ac:dyDescent="0.25">
      <c r="H3935" s="75" t="s">
        <v>67</v>
      </c>
      <c r="I3935" s="76"/>
      <c r="J3935" s="78">
        <f>HYPERLINK("#Структура!E1015",Структура!E1015)</f>
        <v>0.10199999999999999</v>
      </c>
      <c r="K3935" s="114" t="str">
        <f>HYPERLINK("#Структура!G1015","")</f>
        <v/>
      </c>
      <c r="L3935" s="120">
        <f>HYPERLINK("#Покупные_изделия!D203",Покупные_изделия!D203)</f>
        <v>30.003600000000002</v>
      </c>
      <c r="M3935" s="76">
        <f>J3935*L3935</f>
        <v>3.0603672</v>
      </c>
      <c r="N3935" s="77"/>
      <c r="O3935" s="77"/>
      <c r="P3935" s="76"/>
      <c r="Q3935" s="76"/>
    </row>
    <row r="3936" spans="7:17" hidden="1" outlineLevel="6" x14ac:dyDescent="0.25">
      <c r="H3936" s="75" t="s">
        <v>146</v>
      </c>
      <c r="I3936" s="76"/>
      <c r="J3936" s="78">
        <f>HYPERLINK("#Структура!E1016",Структура!E1016)</f>
        <v>0.06</v>
      </c>
      <c r="K3936" s="114" t="str">
        <f>HYPERLINK("#Структура!G1016","")</f>
        <v/>
      </c>
      <c r="L3936" s="120">
        <f>HYPERLINK("#Покупные_изделия!D406",Покупные_изделия!D406)</f>
        <v>105.996</v>
      </c>
      <c r="M3936" s="76">
        <f>J3936*L3936</f>
        <v>6.3597599999999996</v>
      </c>
      <c r="N3936" s="77"/>
      <c r="O3936" s="77"/>
      <c r="P3936" s="76"/>
      <c r="Q3936" s="76"/>
    </row>
    <row r="3937" spans="7:17" hidden="1" outlineLevel="5" collapsed="1" x14ac:dyDescent="0.25">
      <c r="G3937" s="84" t="s">
        <v>907</v>
      </c>
      <c r="H3937" s="80"/>
      <c r="I3937" s="81"/>
      <c r="J3937" s="83">
        <f>HYPERLINK("#Структура!E971",Структура!E971)</f>
        <v>6</v>
      </c>
      <c r="K3937" s="115">
        <f>HYPERLINK("#Структура!G971",Структура!G971)</f>
        <v>16.795179999999998</v>
      </c>
      <c r="L3937" s="81">
        <f>M3937/J3937</f>
        <v>2414.1815999999999</v>
      </c>
      <c r="M3937" s="81">
        <f>SUMIF(H3938,"*",M3938)*J3937</f>
        <v>14485.089599999999</v>
      </c>
      <c r="N3937" s="124">
        <f>HYPERLINK("#Трудозатраты!B227",Трудозатраты!B227+SUMIF(H3938,"*",O3938))</f>
        <v>15.5</v>
      </c>
      <c r="O3937" s="82">
        <f>N3937*J3937</f>
        <v>93</v>
      </c>
      <c r="P3937" s="81">
        <f>O3937/60*(1+запас_труд)*стоимость_трудочаса</f>
        <v>3642.5</v>
      </c>
      <c r="Q3937" s="129">
        <f>M3937*(1+наценка_покупное)+P3937</f>
        <v>21024.607519999998</v>
      </c>
    </row>
    <row r="3938" spans="7:17" hidden="1" outlineLevel="6" x14ac:dyDescent="0.25">
      <c r="H3938" s="75" t="s">
        <v>115</v>
      </c>
      <c r="I3938" s="76"/>
      <c r="J3938" s="78">
        <f>HYPERLINK("#Структура!E980",Структура!E980)</f>
        <v>20.118179999999999</v>
      </c>
      <c r="K3938" s="114" t="str">
        <f>HYPERLINK("#Структура!G980","")</f>
        <v/>
      </c>
      <c r="L3938" s="120">
        <f>HYPERLINK("#Покупные_изделия!D289",Покупные_изделия!D289)</f>
        <v>120</v>
      </c>
      <c r="M3938" s="76">
        <f>J3938*L3938</f>
        <v>2414.1815999999999</v>
      </c>
      <c r="N3938" s="77"/>
      <c r="O3938" s="77"/>
      <c r="P3938" s="76"/>
      <c r="Q3938" s="76"/>
    </row>
    <row r="3939" spans="7:17" hidden="1" outlineLevel="5" collapsed="1" x14ac:dyDescent="0.25">
      <c r="G3939" s="84" t="s">
        <v>908</v>
      </c>
      <c r="H3939" s="80"/>
      <c r="I3939" s="81"/>
      <c r="J3939" s="83">
        <f>HYPERLINK("#Структура!E972",Структура!E972)</f>
        <v>4</v>
      </c>
      <c r="K3939" s="115">
        <f>HYPERLINK("#Структура!G972",Структура!G972)</f>
        <v>48.569650000000003</v>
      </c>
      <c r="L3939" s="81">
        <f>M3939/J3939</f>
        <v>6986.2452000000003</v>
      </c>
      <c r="M3939" s="81">
        <f>SUMIF(H3940,"*",M3940)*J3939</f>
        <v>27944.980800000001</v>
      </c>
      <c r="N3939" s="124">
        <f>HYPERLINK("#Трудозатраты!B228",Трудозатраты!B228+SUMIF(H3940,"*",O3940))</f>
        <v>16.600000000000001</v>
      </c>
      <c r="O3939" s="82">
        <f>N3939*J3939</f>
        <v>66.400000000000006</v>
      </c>
      <c r="P3939" s="81">
        <f>O3939/60*(1+запас_труд)*стоимость_трудочаса</f>
        <v>2600.6666666666665</v>
      </c>
      <c r="Q3939" s="129">
        <f>M3939*(1+наценка_покупное)+P3939</f>
        <v>36134.643626666664</v>
      </c>
    </row>
    <row r="3940" spans="7:17" hidden="1" outlineLevel="6" x14ac:dyDescent="0.25">
      <c r="H3940" s="75" t="s">
        <v>118</v>
      </c>
      <c r="I3940" s="76"/>
      <c r="J3940" s="78">
        <f>HYPERLINK("#Структура!E981",Структура!E981)</f>
        <v>58.218710000000002</v>
      </c>
      <c r="K3940" s="114" t="str">
        <f>HYPERLINK("#Структура!G981","")</f>
        <v/>
      </c>
      <c r="L3940" s="120">
        <f>HYPERLINK("#Покупные_изделия!D293",Покупные_изделия!D293)</f>
        <v>120</v>
      </c>
      <c r="M3940" s="76">
        <f>J3940*L3940</f>
        <v>6986.2452000000003</v>
      </c>
      <c r="N3940" s="77"/>
      <c r="O3940" s="77"/>
      <c r="P3940" s="76"/>
      <c r="Q3940" s="76"/>
    </row>
    <row r="3941" spans="7:17" hidden="1" outlineLevel="5" collapsed="1" x14ac:dyDescent="0.25">
      <c r="G3941" s="84" t="s">
        <v>909</v>
      </c>
      <c r="H3941" s="80"/>
      <c r="I3941" s="81"/>
      <c r="J3941" s="83">
        <f>HYPERLINK("#Структура!E973",Структура!E973)</f>
        <v>16</v>
      </c>
      <c r="K3941" s="115">
        <f>HYPERLINK("#Структура!G973",Структура!G973)</f>
        <v>5.74498</v>
      </c>
      <c r="L3941" s="81">
        <f>M3941/J3941</f>
        <v>578.1</v>
      </c>
      <c r="M3941" s="81">
        <f>SUMIF(H3942,"*",M3942)*J3941</f>
        <v>9249.6</v>
      </c>
      <c r="N3941" s="124">
        <f>HYPERLINK("#Трудозатраты!B229",Трудозатраты!B229+SUMIF(H3942,"*",O3942))</f>
        <v>12</v>
      </c>
      <c r="O3941" s="82">
        <f>N3941*J3941</f>
        <v>192</v>
      </c>
      <c r="P3941" s="81">
        <f>O3941/60*(1+запас_труд)*стоимость_трудочаса</f>
        <v>7520</v>
      </c>
      <c r="Q3941" s="129">
        <f>M3941*(1+наценка_покупное)+P3941</f>
        <v>18619.52</v>
      </c>
    </row>
    <row r="3942" spans="7:17" hidden="1" outlineLevel="6" x14ac:dyDescent="0.25">
      <c r="H3942" s="75" t="s">
        <v>206</v>
      </c>
      <c r="I3942" s="76"/>
      <c r="J3942" s="78">
        <f>HYPERLINK("#Структура!E982",Структура!E982)</f>
        <v>5.7809999999999997</v>
      </c>
      <c r="K3942" s="114" t="str">
        <f>HYPERLINK("#Структура!G982","")</f>
        <v/>
      </c>
      <c r="L3942" s="120">
        <f>HYPERLINK("#Покупные_изделия!D551",Покупные_изделия!D551)</f>
        <v>100</v>
      </c>
      <c r="M3942" s="76">
        <f>J3942*L3942</f>
        <v>578.1</v>
      </c>
      <c r="N3942" s="77"/>
      <c r="O3942" s="77"/>
      <c r="P3942" s="76"/>
      <c r="Q3942" s="76"/>
    </row>
    <row r="3943" spans="7:17" hidden="1" outlineLevel="5" collapsed="1" x14ac:dyDescent="0.25">
      <c r="G3943" s="84" t="s">
        <v>910</v>
      </c>
      <c r="H3943" s="80"/>
      <c r="I3943" s="81"/>
      <c r="J3943" s="83">
        <f>HYPERLINK("#Структура!E974",Структура!E974)</f>
        <v>16</v>
      </c>
      <c r="K3943" s="115">
        <f>HYPERLINK("#Структура!G974",Структура!G974)</f>
        <v>1.6086400000000001</v>
      </c>
      <c r="L3943" s="81">
        <f>M3943/J3943</f>
        <v>231.732</v>
      </c>
      <c r="M3943" s="81">
        <f>SUMIF(H3944,"*",M3944)*J3943</f>
        <v>3707.712</v>
      </c>
      <c r="N3943" s="124">
        <f>HYPERLINK("#Трудозатраты!B230",Трудозатраты!B230+SUMIF(H3944,"*",O3944))</f>
        <v>0.8</v>
      </c>
      <c r="O3943" s="82">
        <f>N3943*J3943</f>
        <v>12.8</v>
      </c>
      <c r="P3943" s="81">
        <f>O3943/60*(1+запас_труд)*стоимость_трудочаса</f>
        <v>501.33333333333337</v>
      </c>
      <c r="Q3943" s="129">
        <f>M3943*(1+наценка_покупное)+P3943</f>
        <v>4950.5877333333328</v>
      </c>
    </row>
    <row r="3944" spans="7:17" hidden="1" outlineLevel="6" x14ac:dyDescent="0.25">
      <c r="H3944" s="75" t="s">
        <v>110</v>
      </c>
      <c r="I3944" s="76"/>
      <c r="J3944" s="78">
        <f>HYPERLINK("#Структура!E983",Структура!E983)</f>
        <v>1.9311</v>
      </c>
      <c r="K3944" s="114" t="str">
        <f>HYPERLINK("#Структура!G983","")</f>
        <v/>
      </c>
      <c r="L3944" s="120">
        <f>HYPERLINK("#Покупные_изделия!D282",Покупные_изделия!D282)</f>
        <v>120</v>
      </c>
      <c r="M3944" s="76">
        <f>J3944*L3944</f>
        <v>231.732</v>
      </c>
      <c r="N3944" s="77"/>
      <c r="O3944" s="77"/>
      <c r="P3944" s="76"/>
      <c r="Q3944" s="76"/>
    </row>
    <row r="3945" spans="7:17" hidden="1" outlineLevel="5" collapsed="1" x14ac:dyDescent="0.25">
      <c r="G3945" s="84" t="s">
        <v>911</v>
      </c>
      <c r="H3945" s="80"/>
      <c r="I3945" s="81"/>
      <c r="J3945" s="83">
        <f>HYPERLINK("#Структура!E975",Структура!E975)</f>
        <v>16</v>
      </c>
      <c r="K3945" s="115">
        <f>HYPERLINK("#Структура!G975",Структура!G975)</f>
        <v>0.57099</v>
      </c>
      <c r="L3945" s="81">
        <f>M3945/J3945</f>
        <v>82.293599999999998</v>
      </c>
      <c r="M3945" s="81">
        <f>SUMIF(H3946,"*",M3946)*J3945</f>
        <v>1316.6976</v>
      </c>
      <c r="N3945" s="124">
        <f>HYPERLINK("#Трудозатраты!B231",Трудозатраты!B231+SUMIF(H3946,"*",O3946))</f>
        <v>0.5</v>
      </c>
      <c r="O3945" s="82">
        <f>N3945*J3945</f>
        <v>8</v>
      </c>
      <c r="P3945" s="81">
        <f>O3945/60*(1+запас_труд)*стоимость_трудочаса</f>
        <v>313.33333333333331</v>
      </c>
      <c r="Q3945" s="129">
        <f>M3945*(1+наценка_покупное)+P3945</f>
        <v>1893.3704533333332</v>
      </c>
    </row>
    <row r="3946" spans="7:17" hidden="1" outlineLevel="6" x14ac:dyDescent="0.25">
      <c r="H3946" s="75" t="s">
        <v>122</v>
      </c>
      <c r="I3946" s="76"/>
      <c r="J3946" s="78">
        <f>HYPERLINK("#Структура!E984",Структура!E984)</f>
        <v>0.68577999999999995</v>
      </c>
      <c r="K3946" s="114" t="str">
        <f>HYPERLINK("#Структура!G984","")</f>
        <v/>
      </c>
      <c r="L3946" s="120">
        <f>HYPERLINK("#Покупные_изделия!D297",Покупные_изделия!D297)</f>
        <v>120</v>
      </c>
      <c r="M3946" s="76">
        <f>J3946*L3946</f>
        <v>82.293599999999998</v>
      </c>
      <c r="N3946" s="77"/>
      <c r="O3946" s="77"/>
      <c r="P3946" s="76"/>
      <c r="Q3946" s="76"/>
    </row>
    <row r="3947" spans="7:17" hidden="1" outlineLevel="5" collapsed="1" x14ac:dyDescent="0.25">
      <c r="G3947" s="84" t="s">
        <v>912</v>
      </c>
      <c r="H3947" s="80"/>
      <c r="I3947" s="81"/>
      <c r="J3947" s="83">
        <f>HYPERLINK("#Структура!E976",Структура!E976)</f>
        <v>30</v>
      </c>
      <c r="K3947" s="115">
        <f>HYPERLINK("#Структура!G976",Структура!G976)</f>
        <v>2.8133900000000001</v>
      </c>
      <c r="L3947" s="81">
        <f>M3947/J3947</f>
        <v>663.68039999999996</v>
      </c>
      <c r="M3947" s="81">
        <f>SUMIF(H3948,"*",M3948)*J3947</f>
        <v>19910.412</v>
      </c>
      <c r="N3947" s="124">
        <f>HYPERLINK("#Трудозатраты!B232",Трудозатраты!B232+SUMIF(H3948,"*",O3948))</f>
        <v>1.5</v>
      </c>
      <c r="O3947" s="82">
        <f>N3947*J3947</f>
        <v>45</v>
      </c>
      <c r="P3947" s="81">
        <f>O3947/60*(1+запас_труд)*стоимость_трудочаса</f>
        <v>1762.5</v>
      </c>
      <c r="Q3947" s="129">
        <f>M3947*(1+наценка_покупное)+P3947</f>
        <v>25654.9944</v>
      </c>
    </row>
    <row r="3948" spans="7:17" hidden="1" outlineLevel="6" x14ac:dyDescent="0.25">
      <c r="H3948" s="75" t="s">
        <v>118</v>
      </c>
      <c r="I3948" s="76"/>
      <c r="J3948" s="78">
        <f>HYPERLINK("#Структура!E985",Структура!E985)</f>
        <v>5.5306699999999998</v>
      </c>
      <c r="K3948" s="114" t="str">
        <f>HYPERLINK("#Структура!G985","")</f>
        <v/>
      </c>
      <c r="L3948" s="120">
        <f>HYPERLINK("#Покупные_изделия!D293",Покупные_изделия!D293)</f>
        <v>120</v>
      </c>
      <c r="M3948" s="76">
        <f>J3948*L3948</f>
        <v>663.68039999999996</v>
      </c>
      <c r="N3948" s="77"/>
      <c r="O3948" s="77"/>
      <c r="P3948" s="76"/>
      <c r="Q3948" s="76"/>
    </row>
    <row r="3949" spans="7:17" hidden="1" outlineLevel="5" collapsed="1" x14ac:dyDescent="0.25">
      <c r="G3949" s="84" t="s">
        <v>913</v>
      </c>
      <c r="H3949" s="80"/>
      <c r="I3949" s="81"/>
      <c r="J3949" s="83">
        <f>HYPERLINK("#Структура!E977",Структура!E977)</f>
        <v>4</v>
      </c>
      <c r="K3949" s="115">
        <f>HYPERLINK("#Структура!G977",Структура!G977)</f>
        <v>4.8632299999999997</v>
      </c>
      <c r="L3949" s="81">
        <f>M3949/J3949</f>
        <v>700.30560000000003</v>
      </c>
      <c r="M3949" s="81">
        <f>SUMIF(H3950,"*",M3950)*J3949</f>
        <v>2801.2224000000001</v>
      </c>
      <c r="N3949" s="124">
        <f>HYPERLINK("#Трудозатраты!B233",Трудозатраты!B233+SUMIF(H3950,"*",O3950))</f>
        <v>1.4</v>
      </c>
      <c r="O3949" s="82">
        <f>N3949*J3949</f>
        <v>5.6</v>
      </c>
      <c r="P3949" s="81">
        <f>O3949/60*(1+запас_труд)*стоимость_трудочаса</f>
        <v>219.33333333333331</v>
      </c>
      <c r="Q3949" s="129">
        <f>M3949*(1+наценка_покупное)+P3949</f>
        <v>3580.8002133333334</v>
      </c>
    </row>
    <row r="3950" spans="7:17" hidden="1" outlineLevel="6" x14ac:dyDescent="0.25">
      <c r="H3950" s="75" t="s">
        <v>118</v>
      </c>
      <c r="I3950" s="76"/>
      <c r="J3950" s="78">
        <f>HYPERLINK("#Структура!E986",Структура!E986)</f>
        <v>5.8358800000000004</v>
      </c>
      <c r="K3950" s="114" t="str">
        <f>HYPERLINK("#Структура!G986","")</f>
        <v/>
      </c>
      <c r="L3950" s="120">
        <f>HYPERLINK("#Покупные_изделия!D293",Покупные_изделия!D293)</f>
        <v>120</v>
      </c>
      <c r="M3950" s="76">
        <f>J3950*L3950</f>
        <v>700.30560000000003</v>
      </c>
      <c r="N3950" s="77"/>
      <c r="O3950" s="77"/>
      <c r="P3950" s="76"/>
      <c r="Q3950" s="76"/>
    </row>
    <row r="3951" spans="7:17" hidden="1" outlineLevel="5" x14ac:dyDescent="0.25">
      <c r="G3951" s="74" t="s">
        <v>67</v>
      </c>
      <c r="H3951" s="75"/>
      <c r="I3951" s="76"/>
      <c r="J3951" s="78">
        <f>HYPERLINK("#Структура!E978",Структура!E978)</f>
        <v>5.8559999999999999</v>
      </c>
      <c r="K3951" s="114" t="str">
        <f>HYPERLINK("#Структура!G978","")</f>
        <v/>
      </c>
      <c r="L3951" s="120">
        <f>HYPERLINK("#Покупные_изделия!D203",Покупные_изделия!D203)</f>
        <v>30.003600000000002</v>
      </c>
      <c r="M3951" s="76">
        <f>J3951*L3951</f>
        <v>175.70108160000001</v>
      </c>
      <c r="N3951" s="77"/>
      <c r="O3951" s="77"/>
      <c r="P3951" s="76"/>
      <c r="Q3951" s="76"/>
    </row>
    <row r="3952" spans="7:17" hidden="1" outlineLevel="5" x14ac:dyDescent="0.25">
      <c r="G3952" s="74" t="s">
        <v>146</v>
      </c>
      <c r="H3952" s="75"/>
      <c r="I3952" s="76"/>
      <c r="J3952" s="78">
        <f>HYPERLINK("#Структура!E979",Структура!E979)</f>
        <v>3.4449999999999998</v>
      </c>
      <c r="K3952" s="114" t="str">
        <f>HYPERLINK("#Структура!G979","")</f>
        <v/>
      </c>
      <c r="L3952" s="120">
        <f>HYPERLINK("#Покупные_изделия!D406",Покупные_изделия!D406)</f>
        <v>105.996</v>
      </c>
      <c r="M3952" s="76">
        <f>J3952*L3952</f>
        <v>365.15621999999996</v>
      </c>
      <c r="N3952" s="77"/>
      <c r="O3952" s="77"/>
      <c r="P3952" s="76"/>
      <c r="Q3952" s="76"/>
    </row>
    <row r="3953" spans="6:17" hidden="1" outlineLevel="4" collapsed="1" x14ac:dyDescent="0.25">
      <c r="F3953" s="96" t="s">
        <v>892</v>
      </c>
      <c r="G3953" s="91"/>
      <c r="H3953" s="92"/>
      <c r="I3953" s="93"/>
      <c r="J3953" s="95">
        <f>HYPERLINK("#Структура!E937",Структура!E937)</f>
        <v>2</v>
      </c>
      <c r="K3953" s="116">
        <f>HYPERLINK("#Структура!G937",Структура!G937)</f>
        <v>16.679320000000001</v>
      </c>
      <c r="L3953" s="93">
        <f>M3953/J3953</f>
        <v>4429.8685271999993</v>
      </c>
      <c r="M3953" s="93">
        <f>SUMIF(G3954:G3961,"*",M3954:M3961)*J3953</f>
        <v>8859.7370543999987</v>
      </c>
      <c r="N3953" s="125">
        <f>HYPERLINK("#Трудозатраты!B250",Трудозатраты!B250+SUMIF(G3954:G3961,"*",O3954:O3961))</f>
        <v>28.1</v>
      </c>
      <c r="O3953" s="94">
        <f>N3953*J3953</f>
        <v>56.2</v>
      </c>
      <c r="P3953" s="93">
        <f>O3953/60*(1+запас_труд)*стоимость_трудочаса</f>
        <v>2201.166666666667</v>
      </c>
      <c r="Q3953" s="130">
        <f>M3953*(1+наценка_покупное)+P3953</f>
        <v>12832.851131946663</v>
      </c>
    </row>
    <row r="3954" spans="6:17" hidden="1" outlineLevel="5" collapsed="1" x14ac:dyDescent="0.25">
      <c r="G3954" s="85" t="s">
        <v>915</v>
      </c>
      <c r="H3954" s="87"/>
      <c r="I3954" s="88"/>
      <c r="J3954" s="90">
        <f>HYPERLINK("#Структура!E1020",Структура!E1020)</f>
        <v>4</v>
      </c>
      <c r="K3954" s="113">
        <f>HYPERLINK("#Структура!G1020",Структура!G1020)</f>
        <v>5.4100000000000002E-2</v>
      </c>
      <c r="L3954" s="88">
        <f>M3954/J3954</f>
        <v>7.6307999999999989</v>
      </c>
      <c r="M3954" s="88">
        <f>SUMIF(H3955,"*",M3955)*J3954</f>
        <v>30.523199999999996</v>
      </c>
      <c r="N3954" s="123">
        <f>HYPERLINK("#Трудозатраты!B237",Трудозатраты!B237+SUMIF(H3955,"*",O3955))</f>
        <v>4.25</v>
      </c>
      <c r="O3954" s="89">
        <f>N3954*J3954</f>
        <v>17</v>
      </c>
      <c r="P3954" s="88">
        <f>O3954/60*(1+запас_труд)*стоимость_трудочаса</f>
        <v>665.83333333333337</v>
      </c>
      <c r="Q3954" s="128">
        <f>M3954*(1+наценка_покупное)+P3954</f>
        <v>702.46117333333336</v>
      </c>
    </row>
    <row r="3955" spans="6:17" hidden="1" outlineLevel="6" x14ac:dyDescent="0.25">
      <c r="H3955" s="75" t="s">
        <v>115</v>
      </c>
      <c r="I3955" s="76"/>
      <c r="J3955" s="78">
        <f>HYPERLINK("#Структура!E996",Структура!E996)</f>
        <v>6.3589999999999994E-2</v>
      </c>
      <c r="K3955" s="114" t="str">
        <f>HYPERLINK("#Структура!G996","")</f>
        <v/>
      </c>
      <c r="L3955" s="120">
        <f>HYPERLINK("#Покупные_изделия!D289",Покупные_изделия!D289)</f>
        <v>120</v>
      </c>
      <c r="M3955" s="76">
        <f>J3955*L3955</f>
        <v>7.6307999999999989</v>
      </c>
      <c r="N3955" s="77"/>
      <c r="O3955" s="77"/>
      <c r="P3955" s="76"/>
      <c r="Q3955" s="76"/>
    </row>
    <row r="3956" spans="6:17" hidden="1" outlineLevel="5" collapsed="1" x14ac:dyDescent="0.25">
      <c r="G3956" s="84" t="s">
        <v>925</v>
      </c>
      <c r="H3956" s="80"/>
      <c r="I3956" s="81"/>
      <c r="J3956" s="83">
        <f>HYPERLINK("#Структура!E1021",Структура!E1021)</f>
        <v>1</v>
      </c>
      <c r="K3956" s="115">
        <f>HYPERLINK("#Структура!G1021",Структура!G1021)</f>
        <v>16.437010000000001</v>
      </c>
      <c r="L3956" s="81">
        <f>M3956/J3956</f>
        <v>4386.1956</v>
      </c>
      <c r="M3956" s="81">
        <f>SUMIF(H3957,"*",M3957)*J3956</f>
        <v>4386.1956</v>
      </c>
      <c r="N3956" s="124">
        <f>HYPERLINK("#Трудозатраты!B251",Трудозатраты!B251+SUMIF(H3957,"*",O3957))</f>
        <v>7.3</v>
      </c>
      <c r="O3956" s="82">
        <f>N3956*J3956</f>
        <v>7.3</v>
      </c>
      <c r="P3956" s="81">
        <f>O3956/60*(1+запас_труд)*стоимость_трудочаса</f>
        <v>285.91666666666663</v>
      </c>
      <c r="Q3956" s="129">
        <f>M3956*(1+наценка_покупное)+P3956</f>
        <v>5549.3513866666672</v>
      </c>
    </row>
    <row r="3957" spans="6:17" hidden="1" outlineLevel="6" x14ac:dyDescent="0.25">
      <c r="H3957" s="75" t="s">
        <v>118</v>
      </c>
      <c r="I3957" s="76"/>
      <c r="J3957" s="78">
        <f>HYPERLINK("#Структура!E1025",Структура!E1025)</f>
        <v>36.551630000000003</v>
      </c>
      <c r="K3957" s="114" t="str">
        <f>HYPERLINK("#Структура!G1025","")</f>
        <v/>
      </c>
      <c r="L3957" s="120">
        <f>HYPERLINK("#Покупные_изделия!D293",Покупные_изделия!D293)</f>
        <v>120</v>
      </c>
      <c r="M3957" s="76">
        <f>J3957*L3957</f>
        <v>4386.1956</v>
      </c>
      <c r="N3957" s="77"/>
      <c r="O3957" s="77"/>
      <c r="P3957" s="76"/>
      <c r="Q3957" s="76"/>
    </row>
    <row r="3958" spans="6:17" hidden="1" outlineLevel="5" collapsed="1" x14ac:dyDescent="0.25">
      <c r="G3958" s="84" t="s">
        <v>926</v>
      </c>
      <c r="H3958" s="80"/>
      <c r="I3958" s="81"/>
      <c r="J3958" s="83">
        <f>HYPERLINK("#Структура!E1022",Структура!E1022)</f>
        <v>4</v>
      </c>
      <c r="K3958" s="115">
        <f>HYPERLINK("#Структура!G1022",Структура!G1022)</f>
        <v>6.4799999999999996E-3</v>
      </c>
      <c r="L3958" s="81">
        <f>M3958/J3958</f>
        <v>0.93240000000000001</v>
      </c>
      <c r="M3958" s="81">
        <f>SUMIF(H3959,"*",M3959)*J3958</f>
        <v>3.7296</v>
      </c>
      <c r="N3958" s="124">
        <f>HYPERLINK("#Трудозатраты!B252",Трудозатраты!B252+SUMIF(H3959,"*",O3959))</f>
        <v>0.2</v>
      </c>
      <c r="O3958" s="82">
        <f>N3958*J3958</f>
        <v>0.8</v>
      </c>
      <c r="P3958" s="81">
        <f>O3958/60*(1+запас_труд)*стоимость_трудочаса</f>
        <v>31.333333333333336</v>
      </c>
      <c r="Q3958" s="129">
        <f>M3958*(1+наценка_покупное)+P3958</f>
        <v>35.808853333333332</v>
      </c>
    </row>
    <row r="3959" spans="6:17" hidden="1" outlineLevel="6" x14ac:dyDescent="0.25">
      <c r="H3959" s="75" t="s">
        <v>115</v>
      </c>
      <c r="I3959" s="76"/>
      <c r="J3959" s="78">
        <f>HYPERLINK("#Структура!E1026",Структура!E1026)</f>
        <v>7.77E-3</v>
      </c>
      <c r="K3959" s="114" t="str">
        <f>HYPERLINK("#Структура!G1026","")</f>
        <v/>
      </c>
      <c r="L3959" s="120">
        <f>HYPERLINK("#Покупные_изделия!D289",Покупные_изделия!D289)</f>
        <v>120</v>
      </c>
      <c r="M3959" s="76">
        <f>J3959*L3959</f>
        <v>0.93240000000000001</v>
      </c>
      <c r="N3959" s="77"/>
      <c r="O3959" s="77"/>
      <c r="P3959" s="76"/>
      <c r="Q3959" s="76"/>
    </row>
    <row r="3960" spans="6:17" hidden="1" outlineLevel="5" x14ac:dyDescent="0.25">
      <c r="G3960" s="74" t="s">
        <v>67</v>
      </c>
      <c r="H3960" s="75"/>
      <c r="I3960" s="76"/>
      <c r="J3960" s="78">
        <f>HYPERLINK("#Структура!E1023",Структура!E1023)</f>
        <v>0.10199999999999999</v>
      </c>
      <c r="K3960" s="114" t="str">
        <f>HYPERLINK("#Структура!G1023","")</f>
        <v/>
      </c>
      <c r="L3960" s="120">
        <f>HYPERLINK("#Покупные_изделия!D203",Покупные_изделия!D203)</f>
        <v>30.003600000000002</v>
      </c>
      <c r="M3960" s="76">
        <f>J3960*L3960</f>
        <v>3.0603672</v>
      </c>
      <c r="N3960" s="77"/>
      <c r="O3960" s="77"/>
      <c r="P3960" s="76"/>
      <c r="Q3960" s="76"/>
    </row>
    <row r="3961" spans="6:17" hidden="1" outlineLevel="5" x14ac:dyDescent="0.25">
      <c r="G3961" s="74" t="s">
        <v>146</v>
      </c>
      <c r="H3961" s="75"/>
      <c r="I3961" s="76"/>
      <c r="J3961" s="78">
        <f>HYPERLINK("#Структура!E1024",Структура!E1024)</f>
        <v>0.06</v>
      </c>
      <c r="K3961" s="114" t="str">
        <f>HYPERLINK("#Структура!G1024","")</f>
        <v/>
      </c>
      <c r="L3961" s="120">
        <f>HYPERLINK("#Покупные_изделия!D406",Покупные_изделия!D406)</f>
        <v>105.996</v>
      </c>
      <c r="M3961" s="76">
        <f>J3961*L3961</f>
        <v>6.3597599999999996</v>
      </c>
      <c r="N3961" s="77"/>
      <c r="O3961" s="77"/>
      <c r="P3961" s="76"/>
      <c r="Q3961" s="76"/>
    </row>
    <row r="3962" spans="6:17" hidden="1" outlineLevel="4" collapsed="1" x14ac:dyDescent="0.25">
      <c r="F3962" s="96" t="s">
        <v>893</v>
      </c>
      <c r="G3962" s="91"/>
      <c r="H3962" s="92"/>
      <c r="I3962" s="93"/>
      <c r="J3962" s="95">
        <f>HYPERLINK("#Структура!E938",Структура!E938)</f>
        <v>6</v>
      </c>
      <c r="K3962" s="116">
        <f>HYPERLINK("#Структура!G938",Структура!G938)</f>
        <v>35.856319999999997</v>
      </c>
      <c r="L3962" s="93">
        <f>M3962/J3962</f>
        <v>5232.1042176000001</v>
      </c>
      <c r="M3962" s="93">
        <f>SUMIF(G3963:G3970,"*",M3963:M3970)*J3962</f>
        <v>31392.625305599999</v>
      </c>
      <c r="N3962" s="125">
        <f>HYPERLINK("#Трудозатраты!B253",Трудозатраты!B253+SUMIF(G3963:G3970,"*",O3963:O3970))</f>
        <v>106.25</v>
      </c>
      <c r="O3962" s="94">
        <f>N3962*J3962</f>
        <v>637.5</v>
      </c>
      <c r="P3962" s="93">
        <f>O3962/60*(1+запас_труд)*стоимость_трудочаса</f>
        <v>24968.75</v>
      </c>
      <c r="Q3962" s="130">
        <f>M3962*(1+наценка_покупное)+P3962</f>
        <v>62639.900366719994</v>
      </c>
    </row>
    <row r="3963" spans="6:17" hidden="1" outlineLevel="5" collapsed="1" x14ac:dyDescent="0.25">
      <c r="G3963" s="85" t="s">
        <v>927</v>
      </c>
      <c r="H3963" s="87"/>
      <c r="I3963" s="88"/>
      <c r="J3963" s="90">
        <f>HYPERLINK("#Структура!E1027",Структура!E1027)</f>
        <v>1</v>
      </c>
      <c r="K3963" s="113">
        <f>HYPERLINK("#Структура!G1027",Структура!G1027)</f>
        <v>15.347530000000001</v>
      </c>
      <c r="L3963" s="88">
        <f>M3963/J3963</f>
        <v>2219.4623999999999</v>
      </c>
      <c r="M3963" s="88">
        <f>SUMIF(H3964,"*",M3964)*J3963</f>
        <v>2219.4623999999999</v>
      </c>
      <c r="N3963" s="123">
        <f>HYPERLINK("#Трудозатраты!B254",Трудозатраты!B254+SUMIF(H3964,"*",O3964))</f>
        <v>16</v>
      </c>
      <c r="O3963" s="89">
        <f>N3963*J3963</f>
        <v>16</v>
      </c>
      <c r="P3963" s="88">
        <f>O3963/60*(1+запас_труд)*стоимость_трудочаса</f>
        <v>626.66666666666663</v>
      </c>
      <c r="Q3963" s="128">
        <f>M3963*(1+наценка_покупное)+P3963</f>
        <v>3290.0215466666664</v>
      </c>
    </row>
    <row r="3964" spans="6:17" hidden="1" outlineLevel="6" x14ac:dyDescent="0.25">
      <c r="H3964" s="75" t="s">
        <v>115</v>
      </c>
      <c r="I3964" s="76"/>
      <c r="J3964" s="78">
        <f>HYPERLINK("#Структура!E1032",Структура!E1032)</f>
        <v>18.495519999999999</v>
      </c>
      <c r="K3964" s="114" t="str">
        <f>HYPERLINK("#Структура!G1032","")</f>
        <v/>
      </c>
      <c r="L3964" s="120">
        <f>HYPERLINK("#Покупные_изделия!D289",Покупные_изделия!D289)</f>
        <v>120</v>
      </c>
      <c r="M3964" s="76">
        <f>J3964*L3964</f>
        <v>2219.4623999999999</v>
      </c>
      <c r="N3964" s="77"/>
      <c r="O3964" s="77"/>
      <c r="P3964" s="76"/>
      <c r="Q3964" s="76"/>
    </row>
    <row r="3965" spans="6:17" hidden="1" outlineLevel="5" collapsed="1" x14ac:dyDescent="0.25">
      <c r="G3965" s="84" t="s">
        <v>928</v>
      </c>
      <c r="H3965" s="80"/>
      <c r="I3965" s="81"/>
      <c r="J3965" s="83">
        <f>HYPERLINK("#Структура!E1028",Структура!E1028)</f>
        <v>1</v>
      </c>
      <c r="K3965" s="115">
        <f>HYPERLINK("#Структура!G1028",Структура!G1028)</f>
        <v>9.1729800000000008</v>
      </c>
      <c r="L3965" s="81">
        <f>M3965/J3965</f>
        <v>1320.126</v>
      </c>
      <c r="M3965" s="81">
        <f>SUMIF(H3966,"*",M3966)*J3965</f>
        <v>1320.126</v>
      </c>
      <c r="N3965" s="124">
        <f>HYPERLINK("#Трудозатраты!B255",Трудозатраты!B255+SUMIF(H3966,"*",O3966))</f>
        <v>16.5</v>
      </c>
      <c r="O3965" s="82">
        <f>N3965*J3965</f>
        <v>16.5</v>
      </c>
      <c r="P3965" s="81">
        <f>O3965/60*(1+запас_труд)*стоимость_трудочаса</f>
        <v>646.25</v>
      </c>
      <c r="Q3965" s="129">
        <f>M3965*(1+наценка_покупное)+P3965</f>
        <v>2230.4012000000002</v>
      </c>
    </row>
    <row r="3966" spans="6:17" hidden="1" outlineLevel="6" x14ac:dyDescent="0.25">
      <c r="H3966" s="75" t="s">
        <v>115</v>
      </c>
      <c r="I3966" s="76"/>
      <c r="J3966" s="78">
        <f>HYPERLINK("#Структура!E1033",Структура!E1033)</f>
        <v>11.001049999999999</v>
      </c>
      <c r="K3966" s="114" t="str">
        <f>HYPERLINK("#Структура!G1033","")</f>
        <v/>
      </c>
      <c r="L3966" s="120">
        <f>HYPERLINK("#Покупные_изделия!D289",Покупные_изделия!D289)</f>
        <v>120</v>
      </c>
      <c r="M3966" s="76">
        <f>J3966*L3966</f>
        <v>1320.126</v>
      </c>
      <c r="N3966" s="77"/>
      <c r="O3966" s="77"/>
      <c r="P3966" s="76"/>
      <c r="Q3966" s="76"/>
    </row>
    <row r="3967" spans="6:17" hidden="1" outlineLevel="5" collapsed="1" x14ac:dyDescent="0.25">
      <c r="G3967" s="84" t="s">
        <v>929</v>
      </c>
      <c r="H3967" s="80"/>
      <c r="I3967" s="81"/>
      <c r="J3967" s="83">
        <f>HYPERLINK("#Структура!E1029",Структура!E1029)</f>
        <v>1</v>
      </c>
      <c r="K3967" s="115">
        <f>HYPERLINK("#Структура!G1029",Структура!G1029)</f>
        <v>11.33582</v>
      </c>
      <c r="L3967" s="81">
        <f>M3967/J3967</f>
        <v>1617.1548</v>
      </c>
      <c r="M3967" s="81">
        <f>SUMIF(H3968,"*",M3968)*J3967</f>
        <v>1617.1548</v>
      </c>
      <c r="N3967" s="124">
        <f>HYPERLINK("#Трудозатраты!B256",Трудозатраты!B256+SUMIF(H3968,"*",O3968))</f>
        <v>25.75</v>
      </c>
      <c r="O3967" s="82">
        <f>N3967*J3967</f>
        <v>25.75</v>
      </c>
      <c r="P3967" s="81">
        <f>O3967/60*(1+запас_труд)*стоимость_трудочаса</f>
        <v>1008.5416666666666</v>
      </c>
      <c r="Q3967" s="129">
        <f>M3967*(1+наценка_покупное)+P3967</f>
        <v>2949.1274266666665</v>
      </c>
    </row>
    <row r="3968" spans="6:17" hidden="1" outlineLevel="6" x14ac:dyDescent="0.25">
      <c r="H3968" s="75" t="s">
        <v>115</v>
      </c>
      <c r="I3968" s="76"/>
      <c r="J3968" s="78">
        <f>HYPERLINK("#Структура!E1034",Структура!E1034)</f>
        <v>13.476290000000001</v>
      </c>
      <c r="K3968" s="114" t="str">
        <f>HYPERLINK("#Структура!G1034","")</f>
        <v/>
      </c>
      <c r="L3968" s="120">
        <f>HYPERLINK("#Покупные_изделия!D289",Покупные_изделия!D289)</f>
        <v>120</v>
      </c>
      <c r="M3968" s="76">
        <f t="shared" ref="M3968:M3976" si="146">J3968*L3968</f>
        <v>1617.1548</v>
      </c>
      <c r="N3968" s="77"/>
      <c r="O3968" s="77"/>
      <c r="P3968" s="76"/>
      <c r="Q3968" s="76"/>
    </row>
    <row r="3969" spans="5:17" hidden="1" outlineLevel="5" x14ac:dyDescent="0.25">
      <c r="G3969" s="74" t="s">
        <v>67</v>
      </c>
      <c r="H3969" s="75"/>
      <c r="I3969" s="76"/>
      <c r="J3969" s="78">
        <f>HYPERLINK("#Структура!E1030",Структура!E1030)</f>
        <v>0.81599999999999995</v>
      </c>
      <c r="K3969" s="114" t="str">
        <f>HYPERLINK("#Структура!G1030","")</f>
        <v/>
      </c>
      <c r="L3969" s="120">
        <f>HYPERLINK("#Покупные_изделия!D203",Покупные_изделия!D203)</f>
        <v>30.003600000000002</v>
      </c>
      <c r="M3969" s="76">
        <f t="shared" si="146"/>
        <v>24.4829376</v>
      </c>
      <c r="N3969" s="77"/>
      <c r="O3969" s="77"/>
      <c r="P3969" s="76"/>
      <c r="Q3969" s="76"/>
    </row>
    <row r="3970" spans="5:17" hidden="1" outlineLevel="5" x14ac:dyDescent="0.25">
      <c r="G3970" s="74" t="s">
        <v>146</v>
      </c>
      <c r="H3970" s="75"/>
      <c r="I3970" s="76"/>
      <c r="J3970" s="78">
        <f>HYPERLINK("#Структура!E1031",Структура!E1031)</f>
        <v>0.48</v>
      </c>
      <c r="K3970" s="114" t="str">
        <f>HYPERLINK("#Структура!G1031","")</f>
        <v/>
      </c>
      <c r="L3970" s="120">
        <f>HYPERLINK("#Покупные_изделия!D406",Покупные_изделия!D406)</f>
        <v>105.996</v>
      </c>
      <c r="M3970" s="76">
        <f t="shared" si="146"/>
        <v>50.878079999999997</v>
      </c>
      <c r="N3970" s="77"/>
      <c r="O3970" s="77"/>
      <c r="P3970" s="76"/>
      <c r="Q3970" s="76"/>
    </row>
    <row r="3971" spans="5:17" hidden="1" outlineLevel="4" x14ac:dyDescent="0.25">
      <c r="F3971" s="74" t="s">
        <v>65</v>
      </c>
      <c r="G3971" s="74"/>
      <c r="H3971" s="75"/>
      <c r="I3971" s="76"/>
      <c r="J3971" s="78">
        <f>HYPERLINK("#Структура!E939",Структура!E939)</f>
        <v>8.016</v>
      </c>
      <c r="K3971" s="114" t="str">
        <f>HYPERLINK("#Структура!G939","")</f>
        <v/>
      </c>
      <c r="L3971" s="120">
        <f>HYPERLINK("#Покупные_изделия!D197",Покупные_изделия!D197)</f>
        <v>264.50399999999996</v>
      </c>
      <c r="M3971" s="76">
        <f t="shared" si="146"/>
        <v>2120.2640639999995</v>
      </c>
      <c r="N3971" s="77"/>
      <c r="O3971" s="77"/>
      <c r="P3971" s="76"/>
      <c r="Q3971" s="76"/>
    </row>
    <row r="3972" spans="5:17" hidden="1" outlineLevel="4" x14ac:dyDescent="0.25">
      <c r="F3972" s="74" t="s">
        <v>67</v>
      </c>
      <c r="G3972" s="74"/>
      <c r="H3972" s="75"/>
      <c r="I3972" s="76"/>
      <c r="J3972" s="78">
        <f>HYPERLINK("#Структура!E940",Структура!E940)</f>
        <v>0.81699999999999995</v>
      </c>
      <c r="K3972" s="114" t="str">
        <f>HYPERLINK("#Структура!G940","")</f>
        <v/>
      </c>
      <c r="L3972" s="120">
        <f>HYPERLINK("#Покупные_изделия!D203",Покупные_изделия!D203)</f>
        <v>30.003600000000002</v>
      </c>
      <c r="M3972" s="76">
        <f t="shared" si="146"/>
        <v>24.5129412</v>
      </c>
      <c r="N3972" s="77"/>
      <c r="O3972" s="77"/>
      <c r="P3972" s="76"/>
      <c r="Q3972" s="76"/>
    </row>
    <row r="3973" spans="5:17" hidden="1" outlineLevel="4" x14ac:dyDescent="0.25">
      <c r="F3973" s="74" t="s">
        <v>146</v>
      </c>
      <c r="G3973" s="74"/>
      <c r="H3973" s="75"/>
      <c r="I3973" s="76"/>
      <c r="J3973" s="78">
        <f>HYPERLINK("#Структура!E941",Структура!E941)</f>
        <v>0.48099999999999998</v>
      </c>
      <c r="K3973" s="114" t="str">
        <f>HYPERLINK("#Структура!G941","")</f>
        <v/>
      </c>
      <c r="L3973" s="120">
        <f>HYPERLINK("#Покупные_изделия!D406",Покупные_изделия!D406)</f>
        <v>105.996</v>
      </c>
      <c r="M3973" s="76">
        <f t="shared" si="146"/>
        <v>50.984075999999995</v>
      </c>
      <c r="N3973" s="77"/>
      <c r="O3973" s="77"/>
      <c r="P3973" s="76"/>
      <c r="Q3973" s="76"/>
    </row>
    <row r="3974" spans="5:17" hidden="1" outlineLevel="4" x14ac:dyDescent="0.25">
      <c r="F3974" s="74" t="s">
        <v>155</v>
      </c>
      <c r="G3974" s="74"/>
      <c r="H3974" s="75"/>
      <c r="I3974" s="76"/>
      <c r="J3974" s="78">
        <f>HYPERLINK("#Структура!E942",Структура!E942)</f>
        <v>2.4049999999999998</v>
      </c>
      <c r="K3974" s="114" t="str">
        <f>HYPERLINK("#Структура!G942","")</f>
        <v/>
      </c>
      <c r="L3974" s="120">
        <f>HYPERLINK("#Покупные_изделия!D423",Покупные_изделия!D423)</f>
        <v>218.28</v>
      </c>
      <c r="M3974" s="76">
        <f t="shared" si="146"/>
        <v>524.96339999999998</v>
      </c>
      <c r="N3974" s="77"/>
      <c r="O3974" s="77"/>
      <c r="P3974" s="76"/>
      <c r="Q3974" s="76"/>
    </row>
    <row r="3975" spans="5:17" hidden="1" outlineLevel="4" x14ac:dyDescent="0.25">
      <c r="F3975" s="74" t="s">
        <v>156</v>
      </c>
      <c r="G3975" s="74"/>
      <c r="H3975" s="75"/>
      <c r="I3975" s="76"/>
      <c r="J3975" s="78">
        <f>HYPERLINK("#Структура!E943",Структура!E943)</f>
        <v>8.016</v>
      </c>
      <c r="K3975" s="114" t="str">
        <f>HYPERLINK("#Структура!G943","")</f>
        <v/>
      </c>
      <c r="L3975" s="120">
        <f>HYPERLINK("#Покупные_изделия!D427",Покупные_изделия!D427)</f>
        <v>155.53200000000001</v>
      </c>
      <c r="M3975" s="76">
        <f t="shared" si="146"/>
        <v>1246.744512</v>
      </c>
      <c r="N3975" s="77"/>
      <c r="O3975" s="77"/>
      <c r="P3975" s="76"/>
      <c r="Q3975" s="76"/>
    </row>
    <row r="3976" spans="5:17" hidden="1" outlineLevel="4" x14ac:dyDescent="0.25">
      <c r="F3976" s="74" t="s">
        <v>215</v>
      </c>
      <c r="G3976" s="74"/>
      <c r="H3976" s="75"/>
      <c r="I3976" s="76"/>
      <c r="J3976" s="78">
        <f>HYPERLINK("#Структура!E944",Структура!E944)</f>
        <v>16.032</v>
      </c>
      <c r="K3976" s="114" t="str">
        <f>HYPERLINK("#Структура!G944","")</f>
        <v/>
      </c>
      <c r="L3976" s="120">
        <f>HYPERLINK("#Покупные_изделия!D567",Покупные_изделия!D567)</f>
        <v>405.74399999999997</v>
      </c>
      <c r="M3976" s="76">
        <f t="shared" si="146"/>
        <v>6504.8878079999995</v>
      </c>
      <c r="N3976" s="77"/>
      <c r="O3976" s="77"/>
      <c r="P3976" s="76"/>
      <c r="Q3976" s="76"/>
    </row>
    <row r="3977" spans="5:17" hidden="1" outlineLevel="3" collapsed="1" x14ac:dyDescent="0.25">
      <c r="E3977" s="84" t="s">
        <v>857</v>
      </c>
      <c r="F3977" s="79"/>
      <c r="G3977" s="79"/>
      <c r="H3977" s="80"/>
      <c r="I3977" s="81"/>
      <c r="J3977" s="83">
        <f>HYPERLINK("#Структура!E819",Структура!E819)</f>
        <v>6</v>
      </c>
      <c r="K3977" s="115">
        <f>HYPERLINK("#Структура!G819",Структура!G819)</f>
        <v>5.5404999999999998</v>
      </c>
      <c r="L3977" s="81">
        <f>M3977/J3977</f>
        <v>2527.7505369599999</v>
      </c>
      <c r="M3977" s="81">
        <f>SUMIF(F3978,"*",M3978)*J3977</f>
        <v>15166.503221759998</v>
      </c>
      <c r="N3977" s="124">
        <f>HYPERLINK("#Трудозатраты!B186",Трудозатраты!B186+SUMIF(F3978,"*",O3978))</f>
        <v>10</v>
      </c>
      <c r="O3977" s="82">
        <f>N3977*J3977</f>
        <v>60</v>
      </c>
      <c r="P3977" s="81">
        <f>O3977/60*(1+запас_труд)*стоимость_трудочаса</f>
        <v>2350</v>
      </c>
      <c r="Q3977" s="129">
        <f>M3977*(1+наценка_покупное)+P3977</f>
        <v>20549.803866111997</v>
      </c>
    </row>
    <row r="3978" spans="5:17" hidden="1" outlineLevel="4" x14ac:dyDescent="0.25">
      <c r="F3978" s="74" t="s">
        <v>328</v>
      </c>
      <c r="G3978" s="74"/>
      <c r="H3978" s="75"/>
      <c r="I3978" s="76"/>
      <c r="J3978" s="78">
        <f>HYPERLINK("#Структура!E836",Структура!E836)</f>
        <v>5.5519999999999996</v>
      </c>
      <c r="K3978" s="114" t="str">
        <f>HYPERLINK("#Структура!G836","")</f>
        <v/>
      </c>
      <c r="L3978" s="120">
        <f>HYPERLINK("#Покупные_изделия!D65",Покупные_изделия!D65)</f>
        <v>455.28647999999998</v>
      </c>
      <c r="M3978" s="76">
        <f>J3978*L3978</f>
        <v>2527.7505369599999</v>
      </c>
      <c r="N3978" s="77"/>
      <c r="O3978" s="77"/>
      <c r="P3978" s="76"/>
      <c r="Q3978" s="76"/>
    </row>
    <row r="3979" spans="5:17" hidden="1" outlineLevel="3" collapsed="1" x14ac:dyDescent="0.25">
      <c r="E3979" s="84" t="s">
        <v>858</v>
      </c>
      <c r="F3979" s="79"/>
      <c r="G3979" s="79"/>
      <c r="H3979" s="80"/>
      <c r="I3979" s="81"/>
      <c r="J3979" s="83">
        <f>HYPERLINK("#Структура!E820",Структура!E820)</f>
        <v>1</v>
      </c>
      <c r="K3979" s="115">
        <f>HYPERLINK("#Структура!G820",Структура!G820)</f>
        <v>2.41317</v>
      </c>
      <c r="L3979" s="81">
        <f>M3979/J3979</f>
        <v>494.96160000000003</v>
      </c>
      <c r="M3979" s="81">
        <f>SUMIF(F3980,"*",M3980)*J3979</f>
        <v>494.96160000000003</v>
      </c>
      <c r="N3979" s="124">
        <f>HYPERLINK("#Трудозатраты!B187",Трудозатраты!B187+SUMIF(F3980,"*",O3980))</f>
        <v>7.9</v>
      </c>
      <c r="O3979" s="82">
        <f>N3979*J3979</f>
        <v>7.9</v>
      </c>
      <c r="P3979" s="81">
        <f>O3979/60*(1+запас_труд)*стоимость_трудочаса</f>
        <v>309.41666666666669</v>
      </c>
      <c r="Q3979" s="129">
        <f>M3979*(1+наценка_покупное)+P3979</f>
        <v>903.37058666666667</v>
      </c>
    </row>
    <row r="3980" spans="5:17" hidden="1" outlineLevel="4" x14ac:dyDescent="0.25">
      <c r="F3980" s="74" t="s">
        <v>131</v>
      </c>
      <c r="G3980" s="74"/>
      <c r="H3980" s="75"/>
      <c r="I3980" s="76"/>
      <c r="J3980" s="78">
        <f>HYPERLINK("#Структура!E837",Структура!E837)</f>
        <v>3.0935100000000002</v>
      </c>
      <c r="K3980" s="114" t="str">
        <f>HYPERLINK("#Структура!G837","")</f>
        <v/>
      </c>
      <c r="L3980" s="120">
        <f>HYPERLINK("#Покупные_изделия!D306",Покупные_изделия!D306)</f>
        <v>160</v>
      </c>
      <c r="M3980" s="76">
        <f>J3980*L3980</f>
        <v>494.96160000000003</v>
      </c>
      <c r="N3980" s="77"/>
      <c r="O3980" s="77"/>
      <c r="P3980" s="76"/>
      <c r="Q3980" s="76"/>
    </row>
    <row r="3981" spans="5:17" hidden="1" outlineLevel="3" collapsed="1" x14ac:dyDescent="0.25">
      <c r="E3981" s="84" t="s">
        <v>859</v>
      </c>
      <c r="F3981" s="79"/>
      <c r="G3981" s="79"/>
      <c r="H3981" s="80"/>
      <c r="I3981" s="81"/>
      <c r="J3981" s="83">
        <f>HYPERLINK("#Структура!E821",Структура!E821)</f>
        <v>1</v>
      </c>
      <c r="K3981" s="115">
        <f>HYPERLINK("#Структура!G821",Структура!G821)</f>
        <v>0.17841000000000001</v>
      </c>
      <c r="L3981" s="81">
        <f>M3981/J3981</f>
        <v>36.081599999999995</v>
      </c>
      <c r="M3981" s="81">
        <f>SUMIF(F3982,"*",M3982)*J3981</f>
        <v>36.081599999999995</v>
      </c>
      <c r="N3981" s="124">
        <f>HYPERLINK("#Трудозатраты!B188",Трудозатраты!B188+SUMIF(F3982,"*",O3982))</f>
        <v>5.7</v>
      </c>
      <c r="O3981" s="82">
        <f>N3981*J3981</f>
        <v>5.7</v>
      </c>
      <c r="P3981" s="81">
        <f>O3981/60*(1+запас_труд)*стоимость_трудочаса</f>
        <v>223.25</v>
      </c>
      <c r="Q3981" s="129">
        <f>M3981*(1+наценка_покупное)+P3981</f>
        <v>266.54791999999998</v>
      </c>
    </row>
    <row r="3982" spans="5:17" hidden="1" outlineLevel="4" x14ac:dyDescent="0.25">
      <c r="F3982" s="74" t="s">
        <v>131</v>
      </c>
      <c r="G3982" s="74"/>
      <c r="H3982" s="75"/>
      <c r="I3982" s="76"/>
      <c r="J3982" s="78">
        <f>HYPERLINK("#Структура!E838",Структура!E838)</f>
        <v>0.22550999999999999</v>
      </c>
      <c r="K3982" s="114" t="str">
        <f>HYPERLINK("#Структура!G838","")</f>
        <v/>
      </c>
      <c r="L3982" s="120">
        <f>HYPERLINK("#Покупные_изделия!D306",Покупные_изделия!D306)</f>
        <v>160</v>
      </c>
      <c r="M3982" s="76">
        <f>J3982*L3982</f>
        <v>36.081599999999995</v>
      </c>
      <c r="N3982" s="77"/>
      <c r="O3982" s="77"/>
      <c r="P3982" s="76"/>
      <c r="Q3982" s="76"/>
    </row>
    <row r="3983" spans="5:17" hidden="1" outlineLevel="3" collapsed="1" x14ac:dyDescent="0.25">
      <c r="E3983" s="84" t="s">
        <v>860</v>
      </c>
      <c r="F3983" s="79"/>
      <c r="G3983" s="79"/>
      <c r="H3983" s="80"/>
      <c r="I3983" s="81"/>
      <c r="J3983" s="83">
        <f>HYPERLINK("#Структура!E822",Структура!E822)</f>
        <v>1</v>
      </c>
      <c r="K3983" s="115">
        <f>HYPERLINK("#Структура!G822",Структура!G822)</f>
        <v>5.6148899999999999</v>
      </c>
      <c r="L3983" s="81">
        <f>M3983/J3983</f>
        <v>1947.9524159999999</v>
      </c>
      <c r="M3983" s="81">
        <f>SUMIF(F3984:F3988,"*",M3984:M3988)*J3983</f>
        <v>1947.9524159999999</v>
      </c>
      <c r="N3983" s="124">
        <f>HYPERLINK("#Трудозатраты!B189",Трудозатраты!B189+SUMIF(F3984:F3988,"*",O3984:O3988))</f>
        <v>28.75</v>
      </c>
      <c r="O3983" s="82">
        <f>N3983*J3983</f>
        <v>28.75</v>
      </c>
      <c r="P3983" s="81">
        <f>O3983/60*(1+запас_труд)*стоимость_трудочаса</f>
        <v>1126.0416666666667</v>
      </c>
      <c r="Q3983" s="129">
        <f>M3983*(1+наценка_покупное)+P3983</f>
        <v>3463.5845658666667</v>
      </c>
    </row>
    <row r="3984" spans="5:17" hidden="1" outlineLevel="4" x14ac:dyDescent="0.25">
      <c r="F3984" s="74" t="s">
        <v>65</v>
      </c>
      <c r="G3984" s="74"/>
      <c r="H3984" s="75"/>
      <c r="I3984" s="76"/>
      <c r="J3984" s="78">
        <f>HYPERLINK("#Структура!E839",Структура!E839)</f>
        <v>0.124</v>
      </c>
      <c r="K3984" s="114" t="str">
        <f>HYPERLINK("#Структура!G839","")</f>
        <v/>
      </c>
      <c r="L3984" s="120">
        <f>HYPERLINK("#Покупные_изделия!D197",Покупные_изделия!D197)</f>
        <v>264.50399999999996</v>
      </c>
      <c r="M3984" s="76">
        <f>J3984*L3984</f>
        <v>32.798495999999993</v>
      </c>
      <c r="N3984" s="77"/>
      <c r="O3984" s="77"/>
      <c r="P3984" s="76"/>
      <c r="Q3984" s="76"/>
    </row>
    <row r="3985" spans="5:17" hidden="1" outlineLevel="4" x14ac:dyDescent="0.25">
      <c r="F3985" s="74" t="s">
        <v>113</v>
      </c>
      <c r="G3985" s="74"/>
      <c r="H3985" s="75"/>
      <c r="I3985" s="76"/>
      <c r="J3985" s="78">
        <f>HYPERLINK("#Структура!E840",Структура!E840)</f>
        <v>14.90602</v>
      </c>
      <c r="K3985" s="114" t="str">
        <f>HYPERLINK("#Структура!G840","")</f>
        <v/>
      </c>
      <c r="L3985" s="120">
        <f>HYPERLINK("#Покупные_изделия!D286",Покупные_изделия!D286)</f>
        <v>120</v>
      </c>
      <c r="M3985" s="76">
        <f>J3985*L3985</f>
        <v>1788.7223999999999</v>
      </c>
      <c r="N3985" s="77"/>
      <c r="O3985" s="77"/>
      <c r="P3985" s="76"/>
      <c r="Q3985" s="76"/>
    </row>
    <row r="3986" spans="5:17" hidden="1" outlineLevel="4" x14ac:dyDescent="0.25">
      <c r="F3986" s="74" t="s">
        <v>155</v>
      </c>
      <c r="G3986" s="74"/>
      <c r="H3986" s="75"/>
      <c r="I3986" s="76"/>
      <c r="J3986" s="78">
        <f>HYPERLINK("#Структура!E841",Структура!E841)</f>
        <v>3.6999999999999998E-2</v>
      </c>
      <c r="K3986" s="114" t="str">
        <f>HYPERLINK("#Структура!G841","")</f>
        <v/>
      </c>
      <c r="L3986" s="120">
        <f>HYPERLINK("#Покупные_изделия!D423",Покупные_изделия!D423)</f>
        <v>218.28</v>
      </c>
      <c r="M3986" s="76">
        <f>J3986*L3986</f>
        <v>8.0763599999999993</v>
      </c>
      <c r="N3986" s="77"/>
      <c r="O3986" s="77"/>
      <c r="P3986" s="76"/>
      <c r="Q3986" s="76"/>
    </row>
    <row r="3987" spans="5:17" hidden="1" outlineLevel="4" x14ac:dyDescent="0.25">
      <c r="F3987" s="74" t="s">
        <v>156</v>
      </c>
      <c r="G3987" s="74"/>
      <c r="H3987" s="75"/>
      <c r="I3987" s="76"/>
      <c r="J3987" s="78">
        <f>HYPERLINK("#Структура!E842",Структура!E842)</f>
        <v>0.114</v>
      </c>
      <c r="K3987" s="114" t="str">
        <f>HYPERLINK("#Структура!G842","")</f>
        <v/>
      </c>
      <c r="L3987" s="120">
        <f>HYPERLINK("#Покупные_изделия!D427",Покупные_изделия!D427)</f>
        <v>155.53200000000001</v>
      </c>
      <c r="M3987" s="76">
        <f>J3987*L3987</f>
        <v>17.730648000000002</v>
      </c>
      <c r="N3987" s="77"/>
      <c r="O3987" s="77"/>
      <c r="P3987" s="76"/>
      <c r="Q3987" s="76"/>
    </row>
    <row r="3988" spans="5:17" hidden="1" outlineLevel="4" x14ac:dyDescent="0.25">
      <c r="F3988" s="74" t="s">
        <v>215</v>
      </c>
      <c r="G3988" s="74"/>
      <c r="H3988" s="75"/>
      <c r="I3988" s="76"/>
      <c r="J3988" s="78">
        <f>HYPERLINK("#Структура!E843",Структура!E843)</f>
        <v>0.248</v>
      </c>
      <c r="K3988" s="114" t="str">
        <f>HYPERLINK("#Структура!G843","")</f>
        <v/>
      </c>
      <c r="L3988" s="120">
        <f>HYPERLINK("#Покупные_изделия!D567",Покупные_изделия!D567)</f>
        <v>405.74399999999997</v>
      </c>
      <c r="M3988" s="76">
        <f>J3988*L3988</f>
        <v>100.624512</v>
      </c>
      <c r="N3988" s="77"/>
      <c r="O3988" s="77"/>
      <c r="P3988" s="76"/>
      <c r="Q3988" s="76"/>
    </row>
    <row r="3989" spans="5:17" hidden="1" outlineLevel="3" collapsed="1" x14ac:dyDescent="0.25">
      <c r="E3989" s="84" t="s">
        <v>861</v>
      </c>
      <c r="F3989" s="79"/>
      <c r="G3989" s="79"/>
      <c r="H3989" s="80"/>
      <c r="I3989" s="81"/>
      <c r="J3989" s="83">
        <f>HYPERLINK("#Структура!E823",Структура!E823)</f>
        <v>1</v>
      </c>
      <c r="K3989" s="118">
        <f t="array" ref="K3989">SUMPRODUCT(IF(ISTEXT(F3990),1,0),J3990,K3990)</f>
        <v>0.1</v>
      </c>
      <c r="L3989" s="81">
        <f>M3989/J3989</f>
        <v>144.31560000000002</v>
      </c>
      <c r="M3989" s="81">
        <f>SUMIF(F3990,"*",M3990)*J3989</f>
        <v>144.31560000000002</v>
      </c>
      <c r="N3989" s="124">
        <f>HYPERLINK("#Трудозатраты!B190",Трудозатраты!B190+SUMIF(F3990,"*",O3990))</f>
        <v>1</v>
      </c>
      <c r="O3989" s="82">
        <f>N3989*J3989</f>
        <v>1</v>
      </c>
      <c r="P3989" s="81">
        <f>O3989/60*(1+запас_труд)*стоимость_трудочаса</f>
        <v>39.166666666666664</v>
      </c>
      <c r="Q3989" s="129">
        <f>M3989*(1+наценка_покупное)+P3989</f>
        <v>212.34538666666668</v>
      </c>
    </row>
    <row r="3990" spans="5:17" hidden="1" outlineLevel="4" x14ac:dyDescent="0.25">
      <c r="F3990" s="74" t="s">
        <v>342</v>
      </c>
      <c r="G3990" s="74"/>
      <c r="H3990" s="75"/>
      <c r="I3990" s="76"/>
      <c r="J3990" s="78">
        <f>HYPERLINK("#Структура!E844",Структура!E844)</f>
        <v>1</v>
      </c>
      <c r="K3990" s="114">
        <v>0.1</v>
      </c>
      <c r="L3990" s="120">
        <f>HYPERLINK("#Покупные_изделия!D459",Покупные_изделия!D459)</f>
        <v>144.31560000000002</v>
      </c>
      <c r="M3990" s="76">
        <f t="shared" ref="M3990:M4002" si="147">J3990*L3990</f>
        <v>144.31560000000002</v>
      </c>
      <c r="N3990" s="77"/>
      <c r="O3990" s="77"/>
      <c r="P3990" s="76"/>
      <c r="Q3990" s="76"/>
    </row>
    <row r="3991" spans="5:17" hidden="1" outlineLevel="3" x14ac:dyDescent="0.25">
      <c r="E3991" s="74" t="s">
        <v>862</v>
      </c>
      <c r="F3991" s="74"/>
      <c r="G3991" s="74"/>
      <c r="H3991" s="75"/>
      <c r="I3991" s="76"/>
      <c r="J3991" s="78">
        <f>HYPERLINK("#Структура!E824",Структура!E824)</f>
        <v>4</v>
      </c>
      <c r="K3991" s="114">
        <f>HYPERLINK("#Структура!G824",Структура!G824)</f>
        <v>2.8800000000000002E-3</v>
      </c>
      <c r="L3991" s="120">
        <f>HYPERLINK("#Покупные_изделия!D205",Покупные_изделия!D205)</f>
        <v>0.31775039999999999</v>
      </c>
      <c r="M3991" s="76">
        <f t="shared" si="147"/>
        <v>1.2710016</v>
      </c>
      <c r="N3991" s="77"/>
      <c r="O3991" s="77"/>
      <c r="P3991" s="76"/>
      <c r="Q3991" s="76"/>
    </row>
    <row r="3992" spans="5:17" hidden="1" outlineLevel="3" x14ac:dyDescent="0.25">
      <c r="E3992" s="74" t="s">
        <v>622</v>
      </c>
      <c r="F3992" s="74"/>
      <c r="G3992" s="74"/>
      <c r="H3992" s="75"/>
      <c r="I3992" s="76"/>
      <c r="J3992" s="78">
        <f>HYPERLINK("#Структура!E825",Структура!E825)</f>
        <v>39</v>
      </c>
      <c r="K3992" s="114">
        <f>HYPERLINK("#Структура!G825",Структура!G825)</f>
        <v>1.52E-2</v>
      </c>
      <c r="L3992" s="120">
        <f>HYPERLINK("#Покупные_изделия!D85",Покупные_изделия!D85)</f>
        <v>8.6999999999999993</v>
      </c>
      <c r="M3992" s="76">
        <f t="shared" si="147"/>
        <v>339.29999999999995</v>
      </c>
      <c r="N3992" s="77"/>
      <c r="O3992" s="77"/>
      <c r="P3992" s="76"/>
      <c r="Q3992" s="76"/>
    </row>
    <row r="3993" spans="5:17" hidden="1" outlineLevel="3" x14ac:dyDescent="0.25">
      <c r="E3993" s="74" t="s">
        <v>863</v>
      </c>
      <c r="F3993" s="74"/>
      <c r="G3993" s="74"/>
      <c r="H3993" s="75"/>
      <c r="I3993" s="76"/>
      <c r="J3993" s="78">
        <f>HYPERLINK("#Структура!E826",Структура!E826)</f>
        <v>12</v>
      </c>
      <c r="K3993" s="114">
        <f>HYPERLINK("#Структура!G826",Структура!G826)</f>
        <v>2.5250000000000002E-2</v>
      </c>
      <c r="L3993" s="120">
        <f>HYPERLINK("#Покупные_изделия!D109",Покупные_изделия!D109)</f>
        <v>12.100000000000001</v>
      </c>
      <c r="M3993" s="76">
        <f t="shared" si="147"/>
        <v>145.20000000000002</v>
      </c>
      <c r="N3993" s="77"/>
      <c r="O3993" s="77"/>
      <c r="P3993" s="76"/>
      <c r="Q3993" s="76"/>
    </row>
    <row r="3994" spans="5:17" hidden="1" outlineLevel="3" x14ac:dyDescent="0.25">
      <c r="E3994" s="74" t="s">
        <v>51</v>
      </c>
      <c r="F3994" s="74"/>
      <c r="G3994" s="74"/>
      <c r="H3994" s="75"/>
      <c r="I3994" s="76"/>
      <c r="J3994" s="78">
        <f>HYPERLINK("#Структура!E827",Структура!E827)</f>
        <v>6</v>
      </c>
      <c r="K3994" s="114">
        <f>HYPERLINK("#Структура!G827",Структура!G827)</f>
        <v>5.0099999999999997E-3</v>
      </c>
      <c r="L3994" s="120">
        <f>HYPERLINK("#Покупные_изделия!D140",Покупные_изделия!D140)</f>
        <v>40.114800000000002</v>
      </c>
      <c r="M3994" s="76">
        <f t="shared" si="147"/>
        <v>240.68880000000001</v>
      </c>
      <c r="N3994" s="77"/>
      <c r="O3994" s="77"/>
      <c r="P3994" s="76"/>
      <c r="Q3994" s="76"/>
    </row>
    <row r="3995" spans="5:17" hidden="1" outlineLevel="3" x14ac:dyDescent="0.25">
      <c r="E3995" s="74" t="s">
        <v>864</v>
      </c>
      <c r="F3995" s="74"/>
      <c r="G3995" s="74"/>
      <c r="H3995" s="75"/>
      <c r="I3995" s="76"/>
      <c r="J3995" s="78">
        <f>HYPERLINK("#Структура!E828",Структура!E828)</f>
        <v>6</v>
      </c>
      <c r="K3995" s="114">
        <f>HYPERLINK("#Структура!G828",Структура!G828)</f>
        <v>1.567E-2</v>
      </c>
      <c r="L3995" s="120">
        <f>HYPERLINK("#Покупные_изделия!D175",Покупные_изделия!D175)</f>
        <v>3.3659999999999997</v>
      </c>
      <c r="M3995" s="76">
        <f t="shared" si="147"/>
        <v>20.195999999999998</v>
      </c>
      <c r="N3995" s="77"/>
      <c r="O3995" s="77"/>
      <c r="P3995" s="76"/>
      <c r="Q3995" s="76"/>
    </row>
    <row r="3996" spans="5:17" hidden="1" outlineLevel="3" x14ac:dyDescent="0.25">
      <c r="E3996" s="74" t="s">
        <v>625</v>
      </c>
      <c r="F3996" s="74"/>
      <c r="G3996" s="74"/>
      <c r="H3996" s="75"/>
      <c r="I3996" s="76"/>
      <c r="J3996" s="78">
        <f>HYPERLINK("#Структура!E829",Структура!E829)</f>
        <v>51</v>
      </c>
      <c r="K3996" s="114">
        <f>HYPERLINK("#Структура!G829",Структура!G829)</f>
        <v>7.1399999999999996E-3</v>
      </c>
      <c r="L3996" s="120">
        <f>HYPERLINK("#Покупные_изделия!D168",Покупные_изделия!D168)</f>
        <v>1.9715672368421051</v>
      </c>
      <c r="M3996" s="76">
        <f t="shared" si="147"/>
        <v>100.54992907894736</v>
      </c>
      <c r="N3996" s="77"/>
      <c r="O3996" s="77"/>
      <c r="P3996" s="76"/>
      <c r="Q3996" s="76"/>
    </row>
    <row r="3997" spans="5:17" hidden="1" outlineLevel="3" x14ac:dyDescent="0.25">
      <c r="E3997" s="74" t="s">
        <v>865</v>
      </c>
      <c r="F3997" s="74"/>
      <c r="G3997" s="74"/>
      <c r="H3997" s="75"/>
      <c r="I3997" s="76"/>
      <c r="J3997" s="78">
        <f>HYPERLINK("#Структура!E830",Структура!E830)</f>
        <v>6</v>
      </c>
      <c r="K3997" s="114">
        <f>HYPERLINK("#Структура!G830",Структура!G830)</f>
        <v>3.4499999999999999E-3</v>
      </c>
      <c r="L3997" s="120">
        <f>HYPERLINK("#Покупные_изделия!D523",Покупные_изделия!D523)</f>
        <v>1.5973680000000001</v>
      </c>
      <c r="M3997" s="76">
        <f t="shared" si="147"/>
        <v>9.5842080000000003</v>
      </c>
      <c r="N3997" s="77"/>
      <c r="O3997" s="77"/>
      <c r="P3997" s="76"/>
      <c r="Q3997" s="76"/>
    </row>
    <row r="3998" spans="5:17" hidden="1" outlineLevel="3" x14ac:dyDescent="0.25">
      <c r="E3998" s="74" t="s">
        <v>866</v>
      </c>
      <c r="F3998" s="74"/>
      <c r="G3998" s="74"/>
      <c r="H3998" s="75"/>
      <c r="I3998" s="76"/>
      <c r="J3998" s="78">
        <f>HYPERLINK("#Структура!E831",Структура!E831)</f>
        <v>6</v>
      </c>
      <c r="K3998" s="114">
        <f>HYPERLINK("#Структура!G831",Структура!G831)</f>
        <v>6.0699999999999999E-3</v>
      </c>
      <c r="L3998" s="120">
        <f>HYPERLINK("#Покупные_изделия!D539",Покупные_изделия!D539)</f>
        <v>2.2000000000000002</v>
      </c>
      <c r="M3998" s="76">
        <f t="shared" si="147"/>
        <v>13.200000000000001</v>
      </c>
      <c r="N3998" s="77"/>
      <c r="O3998" s="77"/>
      <c r="P3998" s="76"/>
      <c r="Q3998" s="76"/>
    </row>
    <row r="3999" spans="5:17" hidden="1" outlineLevel="3" x14ac:dyDescent="0.25">
      <c r="E3999" s="74" t="s">
        <v>737</v>
      </c>
      <c r="F3999" s="74"/>
      <c r="G3999" s="74"/>
      <c r="H3999" s="75"/>
      <c r="I3999" s="76"/>
      <c r="J3999" s="78">
        <f>HYPERLINK("#Структура!E832",Структура!E832)</f>
        <v>12</v>
      </c>
      <c r="K3999" s="114">
        <f>HYPERLINK("#Структура!G832",Структура!G832)</f>
        <v>1.73E-3</v>
      </c>
      <c r="L3999" s="120">
        <f>HYPERLINK("#Покупные_изделия!D547",Покупные_изделия!D547)</f>
        <v>1.0415213493975914</v>
      </c>
      <c r="M3999" s="76">
        <f t="shared" si="147"/>
        <v>12.498256192771098</v>
      </c>
      <c r="N3999" s="77"/>
      <c r="O3999" s="77"/>
      <c r="P3999" s="76"/>
      <c r="Q3999" s="76"/>
    </row>
    <row r="4000" spans="5:17" hidden="1" outlineLevel="3" x14ac:dyDescent="0.25">
      <c r="E4000" s="74" t="s">
        <v>41</v>
      </c>
      <c r="F4000" s="74"/>
      <c r="G4000" s="74"/>
      <c r="H4000" s="75"/>
      <c r="I4000" s="76"/>
      <c r="J4000" s="78">
        <f>HYPERLINK("#Структура!E833",Структура!E833)</f>
        <v>2</v>
      </c>
      <c r="K4000" s="114">
        <f>HYPERLINK("#Структура!G833",Структура!G833)</f>
        <v>1.57473</v>
      </c>
      <c r="L4000" s="120">
        <f>HYPERLINK("#Покупные_изделия!D52",Покупные_изделия!D52)</f>
        <v>2413.3955999999998</v>
      </c>
      <c r="M4000" s="76">
        <f t="shared" si="147"/>
        <v>4826.7911999999997</v>
      </c>
      <c r="N4000" s="77"/>
      <c r="O4000" s="77"/>
      <c r="P4000" s="76"/>
      <c r="Q4000" s="76"/>
    </row>
    <row r="4001" spans="4:17" hidden="1" outlineLevel="3" x14ac:dyDescent="0.25">
      <c r="E4001" s="74" t="s">
        <v>137</v>
      </c>
      <c r="F4001" s="74"/>
      <c r="G4001" s="74"/>
      <c r="H4001" s="75"/>
      <c r="I4001" s="76"/>
      <c r="J4001" s="78">
        <f>HYPERLINK("#Структура!E834",Структура!E834)</f>
        <v>1</v>
      </c>
      <c r="K4001" s="114" t="str">
        <f>HYPERLINK("#Структура!G834","")</f>
        <v/>
      </c>
      <c r="L4001" s="120">
        <f>HYPERLINK("#Покупные_изделия!D332",Покупные_изделия!D332)</f>
        <v>110.00000000000001</v>
      </c>
      <c r="M4001" s="76">
        <f t="shared" si="147"/>
        <v>110.00000000000001</v>
      </c>
      <c r="N4001" s="77"/>
      <c r="O4001" s="77"/>
      <c r="P4001" s="76"/>
      <c r="Q4001" s="76"/>
    </row>
    <row r="4002" spans="4:17" hidden="1" outlineLevel="3" x14ac:dyDescent="0.25">
      <c r="E4002" s="74" t="s">
        <v>138</v>
      </c>
      <c r="F4002" s="74"/>
      <c r="G4002" s="74"/>
      <c r="H4002" s="75"/>
      <c r="I4002" s="76"/>
      <c r="J4002" s="78">
        <f>HYPERLINK("#Структура!E835",Структура!E835)</f>
        <v>1</v>
      </c>
      <c r="K4002" s="114" t="str">
        <f>HYPERLINK("#Структура!G835","")</f>
        <v/>
      </c>
      <c r="L4002" s="120">
        <f>HYPERLINK("#Покупные_изделия!D333",Покупные_изделия!D333)</f>
        <v>110.00000000000001</v>
      </c>
      <c r="M4002" s="76">
        <f t="shared" si="147"/>
        <v>110.00000000000001</v>
      </c>
      <c r="N4002" s="77"/>
      <c r="O4002" s="77"/>
      <c r="P4002" s="76"/>
      <c r="Q4002" s="76"/>
    </row>
    <row r="4003" spans="4:17" hidden="1" outlineLevel="2" collapsed="1" x14ac:dyDescent="0.25">
      <c r="D4003" s="96" t="s">
        <v>933</v>
      </c>
      <c r="E4003" s="91"/>
      <c r="F4003" s="91"/>
      <c r="G4003" s="91"/>
      <c r="H4003" s="92"/>
      <c r="I4003" s="93"/>
      <c r="J4003" s="95">
        <f>HYPERLINK("#Структура!E3307",Структура!E3307)</f>
        <v>1</v>
      </c>
      <c r="K4003" s="116">
        <f>HYPERLINK("#Структура!G3307",Структура!G3307)</f>
        <v>1.54813</v>
      </c>
      <c r="L4003" s="93">
        <f>M4003/J4003</f>
        <v>769.72005239999987</v>
      </c>
      <c r="M4003" s="93">
        <f>SUMIF(E4004:E4015,"*",M4004:M4015)*J4003</f>
        <v>769.72005239999987</v>
      </c>
      <c r="N4003" s="125">
        <f>HYPERLINK("#Трудозатраты!B259",Трудозатраты!B259+SUMIF(E4004:E4015,"*",O4004:O4015))</f>
        <v>147.1</v>
      </c>
      <c r="O4003" s="94">
        <f>N4003*J4003</f>
        <v>147.1</v>
      </c>
      <c r="P4003" s="93">
        <f>O4003/60*(1+запас_труд)*стоимость_трудочаса</f>
        <v>5761.416666666667</v>
      </c>
      <c r="Q4003" s="130">
        <f>M4003*(1+наценка_покупное)+P4003</f>
        <v>6685.0807295466666</v>
      </c>
    </row>
    <row r="4004" spans="4:17" hidden="1" outlineLevel="3" collapsed="1" x14ac:dyDescent="0.25">
      <c r="E4004" s="85" t="s">
        <v>932</v>
      </c>
      <c r="F4004" s="86"/>
      <c r="G4004" s="86"/>
      <c r="H4004" s="87"/>
      <c r="I4004" s="88"/>
      <c r="J4004" s="90">
        <f>HYPERLINK("#Структура!E1045",Структура!E1045)</f>
        <v>1</v>
      </c>
      <c r="K4004" s="113">
        <f>HYPERLINK("#Структура!G1045",Структура!G1045)</f>
        <v>1.3894899999999999</v>
      </c>
      <c r="L4004" s="88">
        <f>M4004/J4004</f>
        <v>725.69999999999993</v>
      </c>
      <c r="M4004" s="88">
        <f>SUMIF(F4005,"*",M4005)*J4004</f>
        <v>725.69999999999993</v>
      </c>
      <c r="N4004" s="123">
        <f>HYPERLINK("#Трудозатраты!B261",Трудозатраты!B261+SUMIF(F4005,"*",O4005))</f>
        <v>136</v>
      </c>
      <c r="O4004" s="89">
        <f>N4004*J4004</f>
        <v>136</v>
      </c>
      <c r="P4004" s="88">
        <f>O4004/60*(1+запас_труд)*стоимость_трудочаса</f>
        <v>5326.666666666667</v>
      </c>
      <c r="Q4004" s="128">
        <f>M4004*(1+наценка_покупное)+P4004</f>
        <v>6197.5066666666671</v>
      </c>
    </row>
    <row r="4005" spans="4:17" hidden="1" outlineLevel="4" x14ac:dyDescent="0.25">
      <c r="F4005" s="74" t="s">
        <v>84</v>
      </c>
      <c r="G4005" s="74"/>
      <c r="H4005" s="75"/>
      <c r="I4005" s="76"/>
      <c r="J4005" s="78">
        <f>HYPERLINK("#Структура!E1061",Структура!E1061)</f>
        <v>7.2569999999999997</v>
      </c>
      <c r="K4005" s="114" t="str">
        <f>HYPERLINK("#Структура!G1061","")</f>
        <v/>
      </c>
      <c r="L4005" s="120">
        <f>HYPERLINK("#Покупные_изделия!D253",Покупные_изделия!D253)</f>
        <v>100</v>
      </c>
      <c r="M4005" s="76">
        <f>J4005*L4005</f>
        <v>725.69999999999993</v>
      </c>
      <c r="N4005" s="77"/>
      <c r="O4005" s="77"/>
      <c r="P4005" s="76"/>
      <c r="Q4005" s="76"/>
    </row>
    <row r="4006" spans="4:17" hidden="1" outlineLevel="3" collapsed="1" x14ac:dyDescent="0.25">
      <c r="E4006" s="84" t="s">
        <v>934</v>
      </c>
      <c r="F4006" s="79"/>
      <c r="G4006" s="79"/>
      <c r="H4006" s="80"/>
      <c r="I4006" s="81"/>
      <c r="J4006" s="83">
        <f>HYPERLINK("#Структура!E1046",Структура!E1046)</f>
        <v>1</v>
      </c>
      <c r="K4006" s="115">
        <f>HYPERLINK("#Структура!G1046",Структура!G1046)</f>
        <v>0.15864</v>
      </c>
      <c r="L4006" s="81">
        <f>M4006/J4006</f>
        <v>31.410802800000003</v>
      </c>
      <c r="M4006" s="81">
        <f>SUMIF(F4007:F4009,"*",M4007:M4009)*J4006</f>
        <v>31.410802800000003</v>
      </c>
      <c r="N4006" s="124">
        <f>HYPERLINK("#Трудозатраты!B263",Трудозатраты!B263+SUMIF(F4007:F4009,"*",O4007:O4009))</f>
        <v>4.0999999999999996</v>
      </c>
      <c r="O4006" s="82">
        <f>N4006*J4006</f>
        <v>4.0999999999999996</v>
      </c>
      <c r="P4006" s="81">
        <f>O4006/60*(1+запас_труд)*стоимость_трудочаса</f>
        <v>160.58333333333331</v>
      </c>
      <c r="Q4006" s="129">
        <f>M4006*(1+наценка_покупное)+P4006</f>
        <v>198.27629669333331</v>
      </c>
    </row>
    <row r="4007" spans="4:17" hidden="1" outlineLevel="4" x14ac:dyDescent="0.25">
      <c r="F4007" s="74" t="s">
        <v>67</v>
      </c>
      <c r="G4007" s="74"/>
      <c r="H4007" s="75"/>
      <c r="I4007" s="76"/>
      <c r="J4007" s="78">
        <f>HYPERLINK("#Структура!E1063",Структура!E1063)</f>
        <v>3.0000000000000001E-3</v>
      </c>
      <c r="K4007" s="114" t="str">
        <f>HYPERLINK("#Структура!G1063","")</f>
        <v/>
      </c>
      <c r="L4007" s="120">
        <f>HYPERLINK("#Покупные_изделия!D203",Покупные_изделия!D203)</f>
        <v>30.003600000000002</v>
      </c>
      <c r="M4007" s="76">
        <f t="shared" ref="M4007:M4015" si="148">J4007*L4007</f>
        <v>9.0010800000000002E-2</v>
      </c>
      <c r="N4007" s="77"/>
      <c r="O4007" s="77"/>
      <c r="P4007" s="76"/>
      <c r="Q4007" s="76"/>
    </row>
    <row r="4008" spans="4:17" hidden="1" outlineLevel="4" x14ac:dyDescent="0.25">
      <c r="F4008" s="74" t="s">
        <v>113</v>
      </c>
      <c r="G4008" s="74"/>
      <c r="H4008" s="75"/>
      <c r="I4008" s="76"/>
      <c r="J4008" s="78">
        <f>HYPERLINK("#Структура!E1064",Структура!E1064)</f>
        <v>0.25924000000000003</v>
      </c>
      <c r="K4008" s="114" t="str">
        <f>HYPERLINK("#Структура!G1064","")</f>
        <v/>
      </c>
      <c r="L4008" s="120">
        <f>HYPERLINK("#Покупные_изделия!D286",Покупные_изделия!D286)</f>
        <v>120</v>
      </c>
      <c r="M4008" s="76">
        <f t="shared" si="148"/>
        <v>31.108800000000002</v>
      </c>
      <c r="N4008" s="77"/>
      <c r="O4008" s="77"/>
      <c r="P4008" s="76"/>
      <c r="Q4008" s="76"/>
    </row>
    <row r="4009" spans="4:17" hidden="1" outlineLevel="4" x14ac:dyDescent="0.25">
      <c r="F4009" s="74" t="s">
        <v>146</v>
      </c>
      <c r="G4009" s="74"/>
      <c r="H4009" s="75"/>
      <c r="I4009" s="76"/>
      <c r="J4009" s="78">
        <f>HYPERLINK("#Структура!E1065",Структура!E1065)</f>
        <v>2E-3</v>
      </c>
      <c r="K4009" s="114" t="str">
        <f>HYPERLINK("#Структура!G1065","")</f>
        <v/>
      </c>
      <c r="L4009" s="120">
        <f>HYPERLINK("#Покупные_изделия!D406",Покупные_изделия!D406)</f>
        <v>105.996</v>
      </c>
      <c r="M4009" s="76">
        <f t="shared" si="148"/>
        <v>0.21199199999999999</v>
      </c>
      <c r="N4009" s="77"/>
      <c r="O4009" s="77"/>
      <c r="P4009" s="76"/>
      <c r="Q4009" s="76"/>
    </row>
    <row r="4010" spans="4:17" hidden="1" outlineLevel="3" x14ac:dyDescent="0.25">
      <c r="E4010" s="74" t="s">
        <v>65</v>
      </c>
      <c r="F4010" s="74"/>
      <c r="G4010" s="74"/>
      <c r="H4010" s="75"/>
      <c r="I4010" s="76"/>
      <c r="J4010" s="78">
        <f>HYPERLINK("#Структура!E1047",Структура!E1047)</f>
        <v>8.0000000000000002E-3</v>
      </c>
      <c r="K4010" s="114" t="str">
        <f>HYPERLINK("#Структура!G1047","")</f>
        <v/>
      </c>
      <c r="L4010" s="120">
        <f>HYPERLINK("#Покупные_изделия!D197",Покупные_изделия!D197)</f>
        <v>264.50399999999996</v>
      </c>
      <c r="M4010" s="76">
        <f t="shared" si="148"/>
        <v>2.1160319999999997</v>
      </c>
      <c r="N4010" s="77"/>
      <c r="O4010" s="77"/>
      <c r="P4010" s="76"/>
      <c r="Q4010" s="76"/>
    </row>
    <row r="4011" spans="4:17" hidden="1" outlineLevel="3" x14ac:dyDescent="0.25">
      <c r="E4011" s="74" t="s">
        <v>67</v>
      </c>
      <c r="F4011" s="74"/>
      <c r="G4011" s="74"/>
      <c r="H4011" s="75"/>
      <c r="I4011" s="76"/>
      <c r="J4011" s="78">
        <f>HYPERLINK("#Структура!E1048",Структура!E1048)</f>
        <v>2.5999999999999999E-2</v>
      </c>
      <c r="K4011" s="114" t="str">
        <f>HYPERLINK("#Структура!G1048","")</f>
        <v/>
      </c>
      <c r="L4011" s="120">
        <f>HYPERLINK("#Покупные_изделия!D203",Покупные_изделия!D203)</f>
        <v>30.003600000000002</v>
      </c>
      <c r="M4011" s="76">
        <f t="shared" si="148"/>
        <v>0.78009360000000005</v>
      </c>
      <c r="N4011" s="77"/>
      <c r="O4011" s="77"/>
      <c r="P4011" s="76"/>
      <c r="Q4011" s="76"/>
    </row>
    <row r="4012" spans="4:17" hidden="1" outlineLevel="3" x14ac:dyDescent="0.25">
      <c r="E4012" s="74" t="s">
        <v>146</v>
      </c>
      <c r="F4012" s="74"/>
      <c r="G4012" s="74"/>
      <c r="H4012" s="75"/>
      <c r="I4012" s="76"/>
      <c r="J4012" s="78">
        <f>HYPERLINK("#Структура!E1049",Структура!E1049)</f>
        <v>1.6E-2</v>
      </c>
      <c r="K4012" s="114" t="str">
        <f>HYPERLINK("#Структура!G1049","")</f>
        <v/>
      </c>
      <c r="L4012" s="120">
        <f>HYPERLINK("#Покупные_изделия!D406",Покупные_изделия!D406)</f>
        <v>105.996</v>
      </c>
      <c r="M4012" s="76">
        <f t="shared" si="148"/>
        <v>1.6959359999999999</v>
      </c>
      <c r="N4012" s="77"/>
      <c r="O4012" s="77"/>
      <c r="P4012" s="76"/>
      <c r="Q4012" s="76"/>
    </row>
    <row r="4013" spans="4:17" hidden="1" outlineLevel="3" x14ac:dyDescent="0.25">
      <c r="E4013" s="74" t="s">
        <v>155</v>
      </c>
      <c r="F4013" s="74"/>
      <c r="G4013" s="74"/>
      <c r="H4013" s="75"/>
      <c r="I4013" s="76"/>
      <c r="J4013" s="78">
        <f>HYPERLINK("#Структура!E1050",Структура!E1050)</f>
        <v>2E-3</v>
      </c>
      <c r="K4013" s="114" t="str">
        <f>HYPERLINK("#Структура!G1050","")</f>
        <v/>
      </c>
      <c r="L4013" s="120">
        <f>HYPERLINK("#Покупные_изделия!D423",Покупные_изделия!D423)</f>
        <v>218.28</v>
      </c>
      <c r="M4013" s="76">
        <f t="shared" si="148"/>
        <v>0.43656</v>
      </c>
      <c r="N4013" s="77"/>
      <c r="O4013" s="77"/>
      <c r="P4013" s="76"/>
      <c r="Q4013" s="76"/>
    </row>
    <row r="4014" spans="4:17" hidden="1" outlineLevel="3" x14ac:dyDescent="0.25">
      <c r="E4014" s="74" t="s">
        <v>156</v>
      </c>
      <c r="F4014" s="74"/>
      <c r="G4014" s="74"/>
      <c r="H4014" s="75"/>
      <c r="I4014" s="76"/>
      <c r="J4014" s="78">
        <f>HYPERLINK("#Структура!E1051",Структура!E1051)</f>
        <v>7.0000000000000001E-3</v>
      </c>
      <c r="K4014" s="114" t="str">
        <f>HYPERLINK("#Структура!G1051","")</f>
        <v/>
      </c>
      <c r="L4014" s="120">
        <f>HYPERLINK("#Покупные_изделия!D427",Покупные_изделия!D427)</f>
        <v>155.53200000000001</v>
      </c>
      <c r="M4014" s="76">
        <f t="shared" si="148"/>
        <v>1.088724</v>
      </c>
      <c r="N4014" s="77"/>
      <c r="O4014" s="77"/>
      <c r="P4014" s="76"/>
      <c r="Q4014" s="76"/>
    </row>
    <row r="4015" spans="4:17" hidden="1" outlineLevel="3" x14ac:dyDescent="0.25">
      <c r="E4015" s="74" t="s">
        <v>215</v>
      </c>
      <c r="F4015" s="74"/>
      <c r="G4015" s="74"/>
      <c r="H4015" s="75"/>
      <c r="I4015" s="76"/>
      <c r="J4015" s="78">
        <f>HYPERLINK("#Структура!E1052",Структура!E1052)</f>
        <v>1.6E-2</v>
      </c>
      <c r="K4015" s="114" t="str">
        <f>HYPERLINK("#Структура!G1052","")</f>
        <v/>
      </c>
      <c r="L4015" s="120">
        <f>HYPERLINK("#Покупные_изделия!D567",Покупные_изделия!D567)</f>
        <v>405.74399999999997</v>
      </c>
      <c r="M4015" s="76">
        <f t="shared" si="148"/>
        <v>6.4919039999999999</v>
      </c>
      <c r="N4015" s="77"/>
      <c r="O4015" s="77"/>
      <c r="P4015" s="76"/>
      <c r="Q4015" s="76"/>
    </row>
    <row r="4016" spans="4:17" hidden="1" outlineLevel="2" collapsed="1" x14ac:dyDescent="0.25">
      <c r="D4016" s="96" t="s">
        <v>936</v>
      </c>
      <c r="E4016" s="91"/>
      <c r="F4016" s="91"/>
      <c r="G4016" s="91"/>
      <c r="H4016" s="92"/>
      <c r="I4016" s="93"/>
      <c r="J4016" s="95">
        <f>HYPERLINK("#Структура!E3308",Структура!E3308)</f>
        <v>1</v>
      </c>
      <c r="K4016" s="116">
        <f>HYPERLINK("#Структура!G3308",Структура!G3308)</f>
        <v>2.24187</v>
      </c>
      <c r="L4016" s="93">
        <f>M4016/J4016</f>
        <v>1104.8629080000001</v>
      </c>
      <c r="M4016" s="93">
        <f>SUMIF(E4017:E4028,"*",M4017:M4028)*J4016</f>
        <v>1104.8629080000001</v>
      </c>
      <c r="N4016" s="125">
        <f>HYPERLINK("#Трудозатраты!B260",Трудозатраты!B260+SUMIF(E4017:E4028,"*",O4017:O4028))</f>
        <v>146.69999999999999</v>
      </c>
      <c r="O4016" s="94">
        <f>N4016*J4016</f>
        <v>146.69999999999999</v>
      </c>
      <c r="P4016" s="93">
        <f>O4016/60*(1+запас_труд)*стоимость_трудочаса</f>
        <v>5745.75</v>
      </c>
      <c r="Q4016" s="130">
        <f>M4016*(1+наценка_покупное)+P4016</f>
        <v>7071.5854896000001</v>
      </c>
    </row>
    <row r="4017" spans="4:17" hidden="1" outlineLevel="3" collapsed="1" x14ac:dyDescent="0.25">
      <c r="E4017" s="85" t="s">
        <v>935</v>
      </c>
      <c r="F4017" s="86"/>
      <c r="G4017" s="86"/>
      <c r="H4017" s="87"/>
      <c r="I4017" s="88"/>
      <c r="J4017" s="90">
        <f>HYPERLINK("#Структура!E1053",Структура!E1053)</f>
        <v>1</v>
      </c>
      <c r="K4017" s="113">
        <f>HYPERLINK("#Структура!G1053",Структура!G1053)</f>
        <v>2.0832199999999998</v>
      </c>
      <c r="L4017" s="88">
        <f>M4017/J4017</f>
        <v>1056.9000000000001</v>
      </c>
      <c r="M4017" s="88">
        <f>SUMIF(F4018,"*",M4018)*J4017</f>
        <v>1056.9000000000001</v>
      </c>
      <c r="N4017" s="123">
        <f>HYPERLINK("#Трудозатраты!B262",Трудозатраты!B262+SUMIF(F4018,"*",O4018))</f>
        <v>136</v>
      </c>
      <c r="O4017" s="89">
        <f>N4017*J4017</f>
        <v>136</v>
      </c>
      <c r="P4017" s="88">
        <f>O4017/60*(1+запас_труд)*стоимость_трудочаса</f>
        <v>5326.666666666667</v>
      </c>
      <c r="Q4017" s="128">
        <f>M4017*(1+наценка_покупное)+P4017</f>
        <v>6594.9466666666667</v>
      </c>
    </row>
    <row r="4018" spans="4:17" hidden="1" outlineLevel="4" x14ac:dyDescent="0.25">
      <c r="F4018" s="74" t="s">
        <v>84</v>
      </c>
      <c r="G4018" s="74"/>
      <c r="H4018" s="75"/>
      <c r="I4018" s="76"/>
      <c r="J4018" s="78">
        <f>HYPERLINK("#Структура!E1062",Структура!E1062)</f>
        <v>10.569000000000001</v>
      </c>
      <c r="K4018" s="114" t="str">
        <f>HYPERLINK("#Структура!G1062","")</f>
        <v/>
      </c>
      <c r="L4018" s="120">
        <f>HYPERLINK("#Покупные_изделия!D253",Покупные_изделия!D253)</f>
        <v>100</v>
      </c>
      <c r="M4018" s="76">
        <f>J4018*L4018</f>
        <v>1056.9000000000001</v>
      </c>
      <c r="N4018" s="77"/>
      <c r="O4018" s="77"/>
      <c r="P4018" s="76"/>
      <c r="Q4018" s="76"/>
    </row>
    <row r="4019" spans="4:17" hidden="1" outlineLevel="3" collapsed="1" x14ac:dyDescent="0.25">
      <c r="E4019" s="84" t="s">
        <v>934</v>
      </c>
      <c r="F4019" s="79"/>
      <c r="G4019" s="79"/>
      <c r="H4019" s="80"/>
      <c r="I4019" s="81"/>
      <c r="J4019" s="83">
        <f>HYPERLINK("#Структура!E1054",Структура!E1054)</f>
        <v>1</v>
      </c>
      <c r="K4019" s="115">
        <f>HYPERLINK("#Структура!G1054",Структура!G1054)</f>
        <v>0.15864</v>
      </c>
      <c r="L4019" s="81">
        <f>M4019/J4019</f>
        <v>31.410802800000003</v>
      </c>
      <c r="M4019" s="81">
        <f>SUMIF(F4020:F4022,"*",M4020:M4022)*J4019</f>
        <v>31.410802800000003</v>
      </c>
      <c r="N4019" s="124">
        <f>HYPERLINK("#Трудозатраты!B263",Трудозатраты!B263+SUMIF(F4020:F4022,"*",O4020:O4022))</f>
        <v>4.0999999999999996</v>
      </c>
      <c r="O4019" s="82">
        <f>N4019*J4019</f>
        <v>4.0999999999999996</v>
      </c>
      <c r="P4019" s="81">
        <f>O4019/60*(1+запас_труд)*стоимость_трудочаса</f>
        <v>160.58333333333331</v>
      </c>
      <c r="Q4019" s="129">
        <f>M4019*(1+наценка_покупное)+P4019</f>
        <v>198.27629669333331</v>
      </c>
    </row>
    <row r="4020" spans="4:17" hidden="1" outlineLevel="4" x14ac:dyDescent="0.25">
      <c r="F4020" s="74" t="s">
        <v>67</v>
      </c>
      <c r="G4020" s="74"/>
      <c r="H4020" s="75"/>
      <c r="I4020" s="76"/>
      <c r="J4020" s="78">
        <f>HYPERLINK("#Структура!E1063",Структура!E1063)</f>
        <v>3.0000000000000001E-3</v>
      </c>
      <c r="K4020" s="114" t="str">
        <f>HYPERLINK("#Структура!G1063","")</f>
        <v/>
      </c>
      <c r="L4020" s="120">
        <f>HYPERLINK("#Покупные_изделия!D203",Покупные_изделия!D203)</f>
        <v>30.003600000000002</v>
      </c>
      <c r="M4020" s="76">
        <f t="shared" ref="M4020:M4028" si="149">J4020*L4020</f>
        <v>9.0010800000000002E-2</v>
      </c>
      <c r="N4020" s="77"/>
      <c r="O4020" s="77"/>
      <c r="P4020" s="76"/>
      <c r="Q4020" s="76"/>
    </row>
    <row r="4021" spans="4:17" hidden="1" outlineLevel="4" x14ac:dyDescent="0.25">
      <c r="F4021" s="74" t="s">
        <v>113</v>
      </c>
      <c r="G4021" s="74"/>
      <c r="H4021" s="75"/>
      <c r="I4021" s="76"/>
      <c r="J4021" s="78">
        <f>HYPERLINK("#Структура!E1064",Структура!E1064)</f>
        <v>0.25924000000000003</v>
      </c>
      <c r="K4021" s="114" t="str">
        <f>HYPERLINK("#Структура!G1064","")</f>
        <v/>
      </c>
      <c r="L4021" s="120">
        <f>HYPERLINK("#Покупные_изделия!D286",Покупные_изделия!D286)</f>
        <v>120</v>
      </c>
      <c r="M4021" s="76">
        <f t="shared" si="149"/>
        <v>31.108800000000002</v>
      </c>
      <c r="N4021" s="77"/>
      <c r="O4021" s="77"/>
      <c r="P4021" s="76"/>
      <c r="Q4021" s="76"/>
    </row>
    <row r="4022" spans="4:17" hidden="1" outlineLevel="4" x14ac:dyDescent="0.25">
      <c r="F4022" s="74" t="s">
        <v>146</v>
      </c>
      <c r="G4022" s="74"/>
      <c r="H4022" s="75"/>
      <c r="I4022" s="76"/>
      <c r="J4022" s="78">
        <f>HYPERLINK("#Структура!E1065",Структура!E1065)</f>
        <v>2E-3</v>
      </c>
      <c r="K4022" s="114" t="str">
        <f>HYPERLINK("#Структура!G1065","")</f>
        <v/>
      </c>
      <c r="L4022" s="120">
        <f>HYPERLINK("#Покупные_изделия!D406",Покупные_изделия!D406)</f>
        <v>105.996</v>
      </c>
      <c r="M4022" s="76">
        <f t="shared" si="149"/>
        <v>0.21199199999999999</v>
      </c>
      <c r="N4022" s="77"/>
      <c r="O4022" s="77"/>
      <c r="P4022" s="76"/>
      <c r="Q4022" s="76"/>
    </row>
    <row r="4023" spans="4:17" hidden="1" outlineLevel="3" x14ac:dyDescent="0.25">
      <c r="E4023" s="74" t="s">
        <v>65</v>
      </c>
      <c r="F4023" s="74"/>
      <c r="G4023" s="74"/>
      <c r="H4023" s="75"/>
      <c r="I4023" s="76"/>
      <c r="J4023" s="78">
        <f>HYPERLINK("#Структура!E1055",Структура!E1055)</f>
        <v>1.0999999999999999E-2</v>
      </c>
      <c r="K4023" s="114" t="str">
        <f>HYPERLINK("#Структура!G1055","")</f>
        <v/>
      </c>
      <c r="L4023" s="120">
        <f>HYPERLINK("#Покупные_изделия!D197",Покупные_изделия!D197)</f>
        <v>264.50399999999996</v>
      </c>
      <c r="M4023" s="76">
        <f t="shared" si="149"/>
        <v>2.9095439999999995</v>
      </c>
      <c r="N4023" s="77"/>
      <c r="O4023" s="77"/>
      <c r="P4023" s="76"/>
      <c r="Q4023" s="76"/>
    </row>
    <row r="4024" spans="4:17" hidden="1" outlineLevel="3" x14ac:dyDescent="0.25">
      <c r="E4024" s="74" t="s">
        <v>67</v>
      </c>
      <c r="F4024" s="74"/>
      <c r="G4024" s="74"/>
      <c r="H4024" s="75"/>
      <c r="I4024" s="76"/>
      <c r="J4024" s="78">
        <f>HYPERLINK("#Структура!E1056",Структура!E1056)</f>
        <v>2.7E-2</v>
      </c>
      <c r="K4024" s="114" t="str">
        <f>HYPERLINK("#Структура!G1056","")</f>
        <v/>
      </c>
      <c r="L4024" s="120">
        <f>HYPERLINK("#Покупные_изделия!D203",Покупные_изделия!D203)</f>
        <v>30.003600000000002</v>
      </c>
      <c r="M4024" s="76">
        <f t="shared" si="149"/>
        <v>0.81009720000000007</v>
      </c>
      <c r="N4024" s="77"/>
      <c r="O4024" s="77"/>
      <c r="P4024" s="76"/>
      <c r="Q4024" s="76"/>
    </row>
    <row r="4025" spans="4:17" hidden="1" outlineLevel="3" x14ac:dyDescent="0.25">
      <c r="E4025" s="74" t="s">
        <v>146</v>
      </c>
      <c r="F4025" s="74"/>
      <c r="G4025" s="74"/>
      <c r="H4025" s="75"/>
      <c r="I4025" s="76"/>
      <c r="J4025" s="78">
        <f>HYPERLINK("#Структура!E1057",Структура!E1057)</f>
        <v>1.6E-2</v>
      </c>
      <c r="K4025" s="114" t="str">
        <f>HYPERLINK("#Структура!G1057","")</f>
        <v/>
      </c>
      <c r="L4025" s="120">
        <f>HYPERLINK("#Покупные_изделия!D406",Покупные_изделия!D406)</f>
        <v>105.996</v>
      </c>
      <c r="M4025" s="76">
        <f t="shared" si="149"/>
        <v>1.6959359999999999</v>
      </c>
      <c r="N4025" s="77"/>
      <c r="O4025" s="77"/>
      <c r="P4025" s="76"/>
      <c r="Q4025" s="76"/>
    </row>
    <row r="4026" spans="4:17" hidden="1" outlineLevel="3" x14ac:dyDescent="0.25">
      <c r="E4026" s="74" t="s">
        <v>155</v>
      </c>
      <c r="F4026" s="74"/>
      <c r="G4026" s="74"/>
      <c r="H4026" s="75"/>
      <c r="I4026" s="76"/>
      <c r="J4026" s="78">
        <f>HYPERLINK("#Структура!E1058",Структура!E1058)</f>
        <v>3.0000000000000001E-3</v>
      </c>
      <c r="K4026" s="114" t="str">
        <f>HYPERLINK("#Структура!G1058","")</f>
        <v/>
      </c>
      <c r="L4026" s="120">
        <f>HYPERLINK("#Покупные_изделия!D423",Покупные_изделия!D423)</f>
        <v>218.28</v>
      </c>
      <c r="M4026" s="76">
        <f t="shared" si="149"/>
        <v>0.65483999999999998</v>
      </c>
      <c r="N4026" s="77"/>
      <c r="O4026" s="77"/>
      <c r="P4026" s="76"/>
      <c r="Q4026" s="76"/>
    </row>
    <row r="4027" spans="4:17" hidden="1" outlineLevel="3" x14ac:dyDescent="0.25">
      <c r="E4027" s="74" t="s">
        <v>156</v>
      </c>
      <c r="F4027" s="74"/>
      <c r="G4027" s="74"/>
      <c r="H4027" s="75"/>
      <c r="I4027" s="76"/>
      <c r="J4027" s="78">
        <f>HYPERLINK("#Структура!E1059",Структура!E1059)</f>
        <v>0.01</v>
      </c>
      <c r="K4027" s="114" t="str">
        <f>HYPERLINK("#Структура!G1059","")</f>
        <v/>
      </c>
      <c r="L4027" s="120">
        <f>HYPERLINK("#Покупные_изделия!D427",Покупные_изделия!D427)</f>
        <v>155.53200000000001</v>
      </c>
      <c r="M4027" s="76">
        <f t="shared" si="149"/>
        <v>1.55532</v>
      </c>
      <c r="N4027" s="77"/>
      <c r="O4027" s="77"/>
      <c r="P4027" s="76"/>
      <c r="Q4027" s="76"/>
    </row>
    <row r="4028" spans="4:17" hidden="1" outlineLevel="3" x14ac:dyDescent="0.25">
      <c r="E4028" s="74" t="s">
        <v>215</v>
      </c>
      <c r="F4028" s="74"/>
      <c r="G4028" s="74"/>
      <c r="H4028" s="75"/>
      <c r="I4028" s="76"/>
      <c r="J4028" s="78">
        <f>HYPERLINK("#Структура!E1060",Структура!E1060)</f>
        <v>2.1999999999999999E-2</v>
      </c>
      <c r="K4028" s="114" t="str">
        <f>HYPERLINK("#Структура!G1060","")</f>
        <v/>
      </c>
      <c r="L4028" s="120">
        <f>HYPERLINK("#Покупные_изделия!D567",Покупные_изделия!D567)</f>
        <v>405.74399999999997</v>
      </c>
      <c r="M4028" s="76">
        <f t="shared" si="149"/>
        <v>8.9263679999999983</v>
      </c>
      <c r="N4028" s="77"/>
      <c r="O4028" s="77"/>
      <c r="P4028" s="76"/>
      <c r="Q4028" s="76"/>
    </row>
    <row r="4029" spans="4:17" hidden="1" outlineLevel="2" collapsed="1" x14ac:dyDescent="0.25">
      <c r="D4029" s="96" t="s">
        <v>938</v>
      </c>
      <c r="E4029" s="91"/>
      <c r="F4029" s="91"/>
      <c r="G4029" s="91"/>
      <c r="H4029" s="92"/>
      <c r="I4029" s="93"/>
      <c r="J4029" s="95">
        <f>HYPERLINK("#Структура!E3309",Структура!E3309)</f>
        <v>1</v>
      </c>
      <c r="K4029" s="116">
        <f>HYPERLINK("#Структура!G3309",Структура!G3309)</f>
        <v>15.5748</v>
      </c>
      <c r="L4029" s="93">
        <f>M4029/J4029</f>
        <v>26031.133958408122</v>
      </c>
      <c r="M4029" s="93">
        <f>SUMIF(E4030:E4065,"*",M4030:M4065)*J4029</f>
        <v>26031.133958408122</v>
      </c>
      <c r="N4029" s="125">
        <f>HYPERLINK("#Трудозатраты!B264",Трудозатраты!B264+SUMIF(E4030:E4065,"*",O4030:O4065))</f>
        <v>238</v>
      </c>
      <c r="O4029" s="94">
        <f>N4029*J4029</f>
        <v>238</v>
      </c>
      <c r="P4029" s="93">
        <f>O4029/60*(1+запас_труд)*стоимость_трудочаса</f>
        <v>9321.6666666666661</v>
      </c>
      <c r="Q4029" s="130">
        <f>M4029*(1+наценка_покупное)+P4029</f>
        <v>40559.027416756413</v>
      </c>
    </row>
    <row r="4030" spans="4:17" hidden="1" outlineLevel="3" collapsed="1" x14ac:dyDescent="0.25">
      <c r="E4030" s="97" t="s">
        <v>937</v>
      </c>
      <c r="F4030" s="98"/>
      <c r="G4030" s="98"/>
      <c r="H4030" s="99"/>
      <c r="I4030" s="100"/>
      <c r="J4030" s="102">
        <f>HYPERLINK("#Структура!E1066",Структура!E1066)</f>
        <v>1</v>
      </c>
      <c r="K4030" s="112">
        <f>HYPERLINK("#Структура!G1066",Структура!G1066)</f>
        <v>2.5620699999999998</v>
      </c>
      <c r="L4030" s="100">
        <f>M4030/J4030</f>
        <v>436.88594879999999</v>
      </c>
      <c r="M4030" s="100">
        <f>SUMIF(F4031:F4040,"*",M4031:M4040)*J4030</f>
        <v>436.88594879999999</v>
      </c>
      <c r="N4030" s="122">
        <f>HYPERLINK("#Трудозатраты!B268",Трудозатраты!B268+SUMIF(F4031:F4040,"*",O4031:O4040))</f>
        <v>9.8000000000000007</v>
      </c>
      <c r="O4030" s="101">
        <f>N4030*J4030</f>
        <v>9.8000000000000007</v>
      </c>
      <c r="P4030" s="100">
        <f>O4030/60*(1+запас_труд)*стоимость_трудочаса</f>
        <v>383.83333333333337</v>
      </c>
      <c r="Q4030" s="127">
        <f>M4030*(1+наценка_покупное)+P4030</f>
        <v>908.09647189333339</v>
      </c>
    </row>
    <row r="4031" spans="4:17" hidden="1" outlineLevel="4" collapsed="1" x14ac:dyDescent="0.25">
      <c r="F4031" s="85" t="s">
        <v>947</v>
      </c>
      <c r="G4031" s="86"/>
      <c r="H4031" s="87"/>
      <c r="I4031" s="88"/>
      <c r="J4031" s="90">
        <f>HYPERLINK("#Структура!E1090",Структура!E1090)</f>
        <v>1</v>
      </c>
      <c r="K4031" s="113">
        <f>HYPERLINK("#Структура!G1090",Структура!G1090)</f>
        <v>2.37845</v>
      </c>
      <c r="L4031" s="88">
        <f>M4031/J4031</f>
        <v>387.41039999999998</v>
      </c>
      <c r="M4031" s="88">
        <f>SUMIF(G4032,"*",M4032)*J4031</f>
        <v>387.41039999999998</v>
      </c>
      <c r="N4031" s="123">
        <f>HYPERLINK("#Трудозатраты!B269",Трудозатраты!B269+SUMIF(G4032,"*",O4032))</f>
        <v>2</v>
      </c>
      <c r="O4031" s="89">
        <f>N4031*J4031</f>
        <v>2</v>
      </c>
      <c r="P4031" s="88">
        <f>O4031/60*(1+запас_труд)*стоимость_трудочаса</f>
        <v>78.333333333333329</v>
      </c>
      <c r="Q4031" s="128">
        <f>M4031*(1+наценка_покупное)+P4031</f>
        <v>543.22581333333335</v>
      </c>
    </row>
    <row r="4032" spans="4:17" hidden="1" outlineLevel="5" x14ac:dyDescent="0.25">
      <c r="G4032" s="74" t="s">
        <v>122</v>
      </c>
      <c r="H4032" s="75"/>
      <c r="I4032" s="76"/>
      <c r="J4032" s="78">
        <f>HYPERLINK("#Структура!E1098",Структура!E1098)</f>
        <v>3.2284199999999998</v>
      </c>
      <c r="K4032" s="114" t="str">
        <f>HYPERLINK("#Структура!G1098","")</f>
        <v/>
      </c>
      <c r="L4032" s="120">
        <f>HYPERLINK("#Покупные_изделия!D297",Покупные_изделия!D297)</f>
        <v>120</v>
      </c>
      <c r="M4032" s="76">
        <f>J4032*L4032</f>
        <v>387.41039999999998</v>
      </c>
      <c r="N4032" s="77"/>
      <c r="O4032" s="77"/>
      <c r="P4032" s="76"/>
      <c r="Q4032" s="76"/>
    </row>
    <row r="4033" spans="5:17" hidden="1" outlineLevel="4" collapsed="1" x14ac:dyDescent="0.25">
      <c r="F4033" s="84" t="s">
        <v>948</v>
      </c>
      <c r="G4033" s="79"/>
      <c r="H4033" s="80"/>
      <c r="I4033" s="81"/>
      <c r="J4033" s="83">
        <f>HYPERLINK("#Структура!E1091",Структура!E1091)</f>
        <v>1</v>
      </c>
      <c r="K4033" s="115">
        <f>HYPERLINK("#Структура!G1091",Структура!G1091)</f>
        <v>0.18361</v>
      </c>
      <c r="L4033" s="81">
        <f>M4033/J4033</f>
        <v>28.485600000000002</v>
      </c>
      <c r="M4033" s="81">
        <f>SUMIF(G4034,"*",M4034)*J4033</f>
        <v>28.485600000000002</v>
      </c>
      <c r="N4033" s="124">
        <f>HYPERLINK("#Трудозатраты!B270",Трудозатраты!B270+SUMIF(G4034,"*",O4034))</f>
        <v>0.8</v>
      </c>
      <c r="O4033" s="82">
        <f>N4033*J4033</f>
        <v>0.8</v>
      </c>
      <c r="P4033" s="81">
        <f>O4033/60*(1+запас_труд)*стоимость_трудочаса</f>
        <v>31.333333333333336</v>
      </c>
      <c r="Q4033" s="129">
        <f>M4033*(1+наценка_покупное)+P4033</f>
        <v>65.516053333333332</v>
      </c>
    </row>
    <row r="4034" spans="5:17" hidden="1" outlineLevel="5" x14ac:dyDescent="0.25">
      <c r="G4034" s="74" t="s">
        <v>122</v>
      </c>
      <c r="H4034" s="75"/>
      <c r="I4034" s="76"/>
      <c r="J4034" s="78">
        <f>HYPERLINK("#Структура!E1099",Структура!E1099)</f>
        <v>0.23738000000000001</v>
      </c>
      <c r="K4034" s="114" t="str">
        <f>HYPERLINK("#Структура!G1099","")</f>
        <v/>
      </c>
      <c r="L4034" s="120">
        <f>HYPERLINK("#Покупные_изделия!D297",Покупные_изделия!D297)</f>
        <v>120</v>
      </c>
      <c r="M4034" s="76">
        <f t="shared" ref="M4034:M4040" si="150">J4034*L4034</f>
        <v>28.485600000000002</v>
      </c>
      <c r="N4034" s="77"/>
      <c r="O4034" s="77"/>
      <c r="P4034" s="76"/>
      <c r="Q4034" s="76"/>
    </row>
    <row r="4035" spans="5:17" hidden="1" outlineLevel="4" x14ac:dyDescent="0.25">
      <c r="F4035" s="74" t="s">
        <v>65</v>
      </c>
      <c r="G4035" s="74"/>
      <c r="H4035" s="75"/>
      <c r="I4035" s="76"/>
      <c r="J4035" s="78">
        <f>HYPERLINK("#Структура!E1092",Структура!E1092)</f>
        <v>1.2E-2</v>
      </c>
      <c r="K4035" s="114" t="str">
        <f>HYPERLINK("#Структура!G1092","")</f>
        <v/>
      </c>
      <c r="L4035" s="120">
        <f>HYPERLINK("#Покупные_изделия!D197",Покупные_изделия!D197)</f>
        <v>264.50399999999996</v>
      </c>
      <c r="M4035" s="76">
        <f t="shared" si="150"/>
        <v>3.1740479999999995</v>
      </c>
      <c r="N4035" s="77"/>
      <c r="O4035" s="77"/>
      <c r="P4035" s="76"/>
      <c r="Q4035" s="76"/>
    </row>
    <row r="4036" spans="5:17" hidden="1" outlineLevel="4" x14ac:dyDescent="0.25">
      <c r="F4036" s="74" t="s">
        <v>67</v>
      </c>
      <c r="G4036" s="74"/>
      <c r="H4036" s="75"/>
      <c r="I4036" s="76"/>
      <c r="J4036" s="78">
        <f>HYPERLINK("#Структура!E1093",Структура!E1093)</f>
        <v>6.8000000000000005E-2</v>
      </c>
      <c r="K4036" s="114" t="str">
        <f>HYPERLINK("#Структура!G1093","")</f>
        <v/>
      </c>
      <c r="L4036" s="120">
        <f>HYPERLINK("#Покупные_изделия!D203",Покупные_изделия!D203)</f>
        <v>30.003600000000002</v>
      </c>
      <c r="M4036" s="76">
        <f t="shared" si="150"/>
        <v>2.0402448000000004</v>
      </c>
      <c r="N4036" s="77"/>
      <c r="O4036" s="77"/>
      <c r="P4036" s="76"/>
      <c r="Q4036" s="76"/>
    </row>
    <row r="4037" spans="5:17" hidden="1" outlineLevel="4" x14ac:dyDescent="0.25">
      <c r="F4037" s="74" t="s">
        <v>146</v>
      </c>
      <c r="G4037" s="74"/>
      <c r="H4037" s="75"/>
      <c r="I4037" s="76"/>
      <c r="J4037" s="78">
        <f>HYPERLINK("#Структура!E1094",Структура!E1094)</f>
        <v>0.04</v>
      </c>
      <c r="K4037" s="114" t="str">
        <f>HYPERLINK("#Структура!G1094","")</f>
        <v/>
      </c>
      <c r="L4037" s="120">
        <f>HYPERLINK("#Покупные_изделия!D406",Покупные_изделия!D406)</f>
        <v>105.996</v>
      </c>
      <c r="M4037" s="76">
        <f t="shared" si="150"/>
        <v>4.2398400000000001</v>
      </c>
      <c r="N4037" s="77"/>
      <c r="O4037" s="77"/>
      <c r="P4037" s="76"/>
      <c r="Q4037" s="76"/>
    </row>
    <row r="4038" spans="5:17" hidden="1" outlineLevel="4" x14ac:dyDescent="0.25">
      <c r="F4038" s="74" t="s">
        <v>155</v>
      </c>
      <c r="G4038" s="74"/>
      <c r="H4038" s="75"/>
      <c r="I4038" s="76"/>
      <c r="J4038" s="78">
        <f>HYPERLINK("#Структура!E1095",Структура!E1095)</f>
        <v>7.0000000000000001E-3</v>
      </c>
      <c r="K4038" s="114" t="str">
        <f>HYPERLINK("#Структура!G1095","")</f>
        <v/>
      </c>
      <c r="L4038" s="120">
        <f>HYPERLINK("#Покупные_изделия!D423",Покупные_изделия!D423)</f>
        <v>218.28</v>
      </c>
      <c r="M4038" s="76">
        <f t="shared" si="150"/>
        <v>1.52796</v>
      </c>
      <c r="N4038" s="77"/>
      <c r="O4038" s="77"/>
      <c r="P4038" s="76"/>
      <c r="Q4038" s="76"/>
    </row>
    <row r="4039" spans="5:17" hidden="1" outlineLevel="4" x14ac:dyDescent="0.25">
      <c r="F4039" s="74" t="s">
        <v>200</v>
      </c>
      <c r="G4039" s="74"/>
      <c r="H4039" s="75"/>
      <c r="I4039" s="76"/>
      <c r="J4039" s="78">
        <f>HYPERLINK("#Структура!E1096",Структура!E1096)</f>
        <v>1E-3</v>
      </c>
      <c r="K4039" s="114" t="str">
        <f>HYPERLINK("#Структура!G1096","")</f>
        <v/>
      </c>
      <c r="L4039" s="120">
        <f>HYPERLINK("#Покупные_изделия!D518",Покупные_изделия!D518)</f>
        <v>270</v>
      </c>
      <c r="M4039" s="76">
        <f t="shared" si="150"/>
        <v>0.27</v>
      </c>
      <c r="N4039" s="77"/>
      <c r="O4039" s="77"/>
      <c r="P4039" s="76"/>
      <c r="Q4039" s="76"/>
    </row>
    <row r="4040" spans="5:17" hidden="1" outlineLevel="4" x14ac:dyDescent="0.25">
      <c r="F4040" s="74" t="s">
        <v>215</v>
      </c>
      <c r="G4040" s="74"/>
      <c r="H4040" s="75"/>
      <c r="I4040" s="76"/>
      <c r="J4040" s="78">
        <f>HYPERLINK("#Структура!E1097",Структура!E1097)</f>
        <v>2.4E-2</v>
      </c>
      <c r="K4040" s="114" t="str">
        <f>HYPERLINK("#Структура!G1097","")</f>
        <v/>
      </c>
      <c r="L4040" s="120">
        <f>HYPERLINK("#Покупные_изделия!D567",Покупные_изделия!D567)</f>
        <v>405.74399999999997</v>
      </c>
      <c r="M4040" s="76">
        <f t="shared" si="150"/>
        <v>9.737855999999999</v>
      </c>
      <c r="N4040" s="77"/>
      <c r="O4040" s="77"/>
      <c r="P4040" s="76"/>
      <c r="Q4040" s="76"/>
    </row>
    <row r="4041" spans="5:17" hidden="1" outlineLevel="3" collapsed="1" x14ac:dyDescent="0.25">
      <c r="E4041" s="84" t="s">
        <v>939</v>
      </c>
      <c r="F4041" s="79"/>
      <c r="G4041" s="79"/>
      <c r="H4041" s="80"/>
      <c r="I4041" s="81"/>
      <c r="J4041" s="83">
        <f>HYPERLINK("#Структура!E1067",Структура!E1067)</f>
        <v>1</v>
      </c>
      <c r="K4041" s="115">
        <f>HYPERLINK("#Структура!G1067",Структура!G1067)</f>
        <v>0.50590999999999997</v>
      </c>
      <c r="L4041" s="81">
        <f>M4041/J4041</f>
        <v>90</v>
      </c>
      <c r="M4041" s="81">
        <f>SUMIF(F4042,"*",M4042)*J4041</f>
        <v>90</v>
      </c>
      <c r="N4041" s="124">
        <f>HYPERLINK("#Трудозатраты!B265",Трудозатраты!B265+SUMIF(F4042,"*",O4042))</f>
        <v>35</v>
      </c>
      <c r="O4041" s="82">
        <f>N4041*J4041</f>
        <v>35</v>
      </c>
      <c r="P4041" s="81">
        <f>O4041/60*(1+запас_труд)*стоимость_трудочаса</f>
        <v>1370.8333333333335</v>
      </c>
      <c r="Q4041" s="129">
        <f>M4041*(1+наценка_покупное)+P4041</f>
        <v>1478.8333333333335</v>
      </c>
    </row>
    <row r="4042" spans="5:17" hidden="1" outlineLevel="4" x14ac:dyDescent="0.25">
      <c r="F4042" s="74" t="s">
        <v>91</v>
      </c>
      <c r="G4042" s="74"/>
      <c r="H4042" s="75"/>
      <c r="I4042" s="76"/>
      <c r="J4042" s="78">
        <f>HYPERLINK("#Структура!E1079",Структура!E1079)</f>
        <v>0.9</v>
      </c>
      <c r="K4042" s="114" t="str">
        <f>HYPERLINK("#Структура!G1079","")</f>
        <v/>
      </c>
      <c r="L4042" s="120">
        <f>HYPERLINK("#Покупные_изделия!D260",Покупные_изделия!D260)</f>
        <v>100</v>
      </c>
      <c r="M4042" s="76">
        <f>J4042*L4042</f>
        <v>90</v>
      </c>
      <c r="N4042" s="77"/>
      <c r="O4042" s="77"/>
      <c r="P4042" s="76"/>
      <c r="Q4042" s="76"/>
    </row>
    <row r="4043" spans="5:17" hidden="1" outlineLevel="3" collapsed="1" x14ac:dyDescent="0.25">
      <c r="E4043" s="84" t="s">
        <v>940</v>
      </c>
      <c r="F4043" s="79"/>
      <c r="G4043" s="79"/>
      <c r="H4043" s="80"/>
      <c r="I4043" s="81"/>
      <c r="J4043" s="83">
        <f>HYPERLINK("#Структура!E1068",Структура!E1068)</f>
        <v>1</v>
      </c>
      <c r="K4043" s="115">
        <f>HYPERLINK("#Структура!G1068",Структура!G1068)</f>
        <v>0.31180000000000002</v>
      </c>
      <c r="L4043" s="81">
        <f>M4043/J4043</f>
        <v>132.12005199999999</v>
      </c>
      <c r="M4043" s="81">
        <f>SUMIF(F4044:F4048,"*",M4044:M4048)*J4043</f>
        <v>132.12005199999999</v>
      </c>
      <c r="N4043" s="124">
        <f>HYPERLINK("#Трудозатраты!B266",Трудозатраты!B266+SUMIF(F4044:F4048,"*",O4044:O4048))</f>
        <v>139</v>
      </c>
      <c r="O4043" s="82">
        <f>N4043*J4043</f>
        <v>139</v>
      </c>
      <c r="P4043" s="81">
        <f>O4043/60*(1+запас_труд)*стоимость_трудочаса</f>
        <v>5444.166666666667</v>
      </c>
      <c r="Q4043" s="129">
        <f>M4043*(1+наценка_покупное)+P4043</f>
        <v>5602.7107290666672</v>
      </c>
    </row>
    <row r="4044" spans="5:17" hidden="1" outlineLevel="4" x14ac:dyDescent="0.25">
      <c r="F4044" s="74" t="s">
        <v>65</v>
      </c>
      <c r="G4044" s="74"/>
      <c r="H4044" s="75"/>
      <c r="I4044" s="76"/>
      <c r="J4044" s="78">
        <f>HYPERLINK("#Структура!E1080",Структура!E1080)</f>
        <v>2E-3</v>
      </c>
      <c r="K4044" s="114" t="str">
        <f>HYPERLINK("#Структура!G1080","")</f>
        <v/>
      </c>
      <c r="L4044" s="120">
        <f>HYPERLINK("#Покупные_изделия!D197",Покупные_изделия!D197)</f>
        <v>264.50399999999996</v>
      </c>
      <c r="M4044" s="76">
        <f>J4044*L4044</f>
        <v>0.52900799999999992</v>
      </c>
      <c r="N4044" s="77"/>
      <c r="O4044" s="77"/>
      <c r="P4044" s="76"/>
      <c r="Q4044" s="76"/>
    </row>
    <row r="4045" spans="5:17" hidden="1" outlineLevel="4" x14ac:dyDescent="0.25">
      <c r="F4045" s="74" t="s">
        <v>100</v>
      </c>
      <c r="G4045" s="74"/>
      <c r="H4045" s="75"/>
      <c r="I4045" s="76"/>
      <c r="J4045" s="78">
        <f>HYPERLINK("#Структура!E1081",Структура!E1081)</f>
        <v>1.3</v>
      </c>
      <c r="K4045" s="114" t="str">
        <f>HYPERLINK("#Структура!G1081","")</f>
        <v/>
      </c>
      <c r="L4045" s="120">
        <f>HYPERLINK("#Покупные_изделия!D269",Покупные_изделия!D269)</f>
        <v>100</v>
      </c>
      <c r="M4045" s="76">
        <f>J4045*L4045</f>
        <v>130</v>
      </c>
      <c r="N4045" s="77"/>
      <c r="O4045" s="77"/>
      <c r="P4045" s="76"/>
      <c r="Q4045" s="76"/>
    </row>
    <row r="4046" spans="5:17" hidden="1" outlineLevel="4" x14ac:dyDescent="0.25">
      <c r="F4046" s="74" t="s">
        <v>155</v>
      </c>
      <c r="G4046" s="74"/>
      <c r="H4046" s="75"/>
      <c r="I4046" s="76"/>
      <c r="J4046" s="78">
        <f>HYPERLINK("#Структура!E1082",Структура!E1082)</f>
        <v>1E-3</v>
      </c>
      <c r="K4046" s="114" t="str">
        <f>HYPERLINK("#Структура!G1082","")</f>
        <v/>
      </c>
      <c r="L4046" s="120">
        <f>HYPERLINK("#Покупные_изделия!D423",Покупные_изделия!D423)</f>
        <v>218.28</v>
      </c>
      <c r="M4046" s="76">
        <f>J4046*L4046</f>
        <v>0.21828</v>
      </c>
      <c r="N4046" s="77"/>
      <c r="O4046" s="77"/>
      <c r="P4046" s="76"/>
      <c r="Q4046" s="76"/>
    </row>
    <row r="4047" spans="5:17" hidden="1" outlineLevel="4" x14ac:dyDescent="0.25">
      <c r="F4047" s="74" t="s">
        <v>156</v>
      </c>
      <c r="G4047" s="74"/>
      <c r="H4047" s="75"/>
      <c r="I4047" s="76"/>
      <c r="J4047" s="78">
        <f>HYPERLINK("#Структура!E1083",Структура!E1083)</f>
        <v>1E-3</v>
      </c>
      <c r="K4047" s="114" t="str">
        <f>HYPERLINK("#Структура!G1083","")</f>
        <v/>
      </c>
      <c r="L4047" s="120">
        <f>HYPERLINK("#Покупные_изделия!D427",Покупные_изделия!D427)</f>
        <v>155.53200000000001</v>
      </c>
      <c r="M4047" s="76">
        <f>J4047*L4047</f>
        <v>0.155532</v>
      </c>
      <c r="N4047" s="77"/>
      <c r="O4047" s="77"/>
      <c r="P4047" s="76"/>
      <c r="Q4047" s="76"/>
    </row>
    <row r="4048" spans="5:17" hidden="1" outlineLevel="4" x14ac:dyDescent="0.25">
      <c r="F4048" s="74" t="s">
        <v>215</v>
      </c>
      <c r="G4048" s="74"/>
      <c r="H4048" s="75"/>
      <c r="I4048" s="76"/>
      <c r="J4048" s="78">
        <f>HYPERLINK("#Структура!E1084",Структура!E1084)</f>
        <v>3.0000000000000001E-3</v>
      </c>
      <c r="K4048" s="114" t="str">
        <f>HYPERLINK("#Структура!G1084","")</f>
        <v/>
      </c>
      <c r="L4048" s="120">
        <f>HYPERLINK("#Покупные_изделия!D567",Покупные_изделия!D567)</f>
        <v>405.74399999999997</v>
      </c>
      <c r="M4048" s="76">
        <f>J4048*L4048</f>
        <v>1.2172319999999999</v>
      </c>
      <c r="N4048" s="77"/>
      <c r="O4048" s="77"/>
      <c r="P4048" s="76"/>
      <c r="Q4048" s="76"/>
    </row>
    <row r="4049" spans="5:17" hidden="1" outlineLevel="3" collapsed="1" x14ac:dyDescent="0.25">
      <c r="E4049" s="84" t="s">
        <v>941</v>
      </c>
      <c r="F4049" s="79"/>
      <c r="G4049" s="79"/>
      <c r="H4049" s="80"/>
      <c r="I4049" s="81"/>
      <c r="J4049" s="83">
        <f>HYPERLINK("#Структура!E1069",Структура!E1069)</f>
        <v>1</v>
      </c>
      <c r="K4049" s="115">
        <f>HYPERLINK("#Структура!G1069",Структура!G1069)</f>
        <v>2.3310000000000001E-2</v>
      </c>
      <c r="L4049" s="81">
        <f>M4049/J4049</f>
        <v>6.2712599999999998</v>
      </c>
      <c r="M4049" s="81">
        <f>SUMIF(F4050:F4054,"*",M4050:M4054)*J4049</f>
        <v>6.2712599999999998</v>
      </c>
      <c r="N4049" s="124">
        <f>HYPERLINK("#Трудозатраты!B267",Трудозатраты!B267+SUMIF(F4050:F4054,"*",O4050:O4054))</f>
        <v>13.7</v>
      </c>
      <c r="O4049" s="82">
        <f>N4049*J4049</f>
        <v>13.7</v>
      </c>
      <c r="P4049" s="81">
        <f>O4049/60*(1+запас_труд)*стоимость_трудочаса</f>
        <v>536.58333333333337</v>
      </c>
      <c r="Q4049" s="129">
        <f>M4049*(1+наценка_покупное)+P4049</f>
        <v>544.10884533333342</v>
      </c>
    </row>
    <row r="4050" spans="5:17" hidden="1" outlineLevel="4" x14ac:dyDescent="0.25">
      <c r="F4050" s="74" t="s">
        <v>65</v>
      </c>
      <c r="G4050" s="74"/>
      <c r="H4050" s="75"/>
      <c r="I4050" s="76"/>
      <c r="J4050" s="78">
        <f>HYPERLINK("#Структура!E1085",Структура!E1085)</f>
        <v>1E-3</v>
      </c>
      <c r="K4050" s="114" t="str">
        <f>HYPERLINK("#Структура!G1085","")</f>
        <v/>
      </c>
      <c r="L4050" s="120">
        <f>HYPERLINK("#Покупные_изделия!D197",Покупные_изделия!D197)</f>
        <v>264.50399999999996</v>
      </c>
      <c r="M4050" s="76">
        <f>J4050*L4050</f>
        <v>0.26450399999999996</v>
      </c>
      <c r="N4050" s="77"/>
      <c r="O4050" s="77"/>
      <c r="P4050" s="76"/>
      <c r="Q4050" s="76"/>
    </row>
    <row r="4051" spans="5:17" hidden="1" outlineLevel="4" x14ac:dyDescent="0.25">
      <c r="F4051" s="74" t="s">
        <v>116</v>
      </c>
      <c r="G4051" s="74"/>
      <c r="H4051" s="75"/>
      <c r="I4051" s="76"/>
      <c r="J4051" s="78">
        <f>HYPERLINK("#Структура!E1086",Структура!E1086)</f>
        <v>4.3560000000000001E-2</v>
      </c>
      <c r="K4051" s="114" t="str">
        <f>HYPERLINK("#Структура!G1086","")</f>
        <v/>
      </c>
      <c r="L4051" s="120">
        <f>HYPERLINK("#Покупные_изделия!D291",Покупные_изделия!D291)</f>
        <v>120</v>
      </c>
      <c r="M4051" s="76">
        <f>J4051*L4051</f>
        <v>5.2271999999999998</v>
      </c>
      <c r="N4051" s="77"/>
      <c r="O4051" s="77"/>
      <c r="P4051" s="76"/>
      <c r="Q4051" s="76"/>
    </row>
    <row r="4052" spans="5:17" hidden="1" outlineLevel="4" x14ac:dyDescent="0.25">
      <c r="F4052" s="74" t="s">
        <v>155</v>
      </c>
      <c r="G4052" s="74"/>
      <c r="H4052" s="75"/>
      <c r="I4052" s="76"/>
      <c r="J4052" s="78">
        <f>HYPERLINK("#Структура!E1087",Структура!E1087)</f>
        <v>1E-3</v>
      </c>
      <c r="K4052" s="114" t="str">
        <f>HYPERLINK("#Структура!G1087","")</f>
        <v/>
      </c>
      <c r="L4052" s="120">
        <f>HYPERLINK("#Покупные_изделия!D423",Покупные_изделия!D423)</f>
        <v>218.28</v>
      </c>
      <c r="M4052" s="76">
        <f>J4052*L4052</f>
        <v>0.21828</v>
      </c>
      <c r="N4052" s="77"/>
      <c r="O4052" s="77"/>
      <c r="P4052" s="76"/>
      <c r="Q4052" s="76"/>
    </row>
    <row r="4053" spans="5:17" hidden="1" outlineLevel="4" x14ac:dyDescent="0.25">
      <c r="F4053" s="74" t="s">
        <v>156</v>
      </c>
      <c r="G4053" s="74"/>
      <c r="H4053" s="75"/>
      <c r="I4053" s="76"/>
      <c r="J4053" s="78">
        <f>HYPERLINK("#Структура!E1088",Структура!E1088)</f>
        <v>1E-3</v>
      </c>
      <c r="K4053" s="114" t="str">
        <f>HYPERLINK("#Структура!G1088","")</f>
        <v/>
      </c>
      <c r="L4053" s="120">
        <f>HYPERLINK("#Покупные_изделия!D427",Покупные_изделия!D427)</f>
        <v>155.53200000000001</v>
      </c>
      <c r="M4053" s="76">
        <f>J4053*L4053</f>
        <v>0.155532</v>
      </c>
      <c r="N4053" s="77"/>
      <c r="O4053" s="77"/>
      <c r="P4053" s="76"/>
      <c r="Q4053" s="76"/>
    </row>
    <row r="4054" spans="5:17" hidden="1" outlineLevel="4" x14ac:dyDescent="0.25">
      <c r="F4054" s="74" t="s">
        <v>215</v>
      </c>
      <c r="G4054" s="74"/>
      <c r="H4054" s="75"/>
      <c r="I4054" s="76"/>
      <c r="J4054" s="78">
        <f>HYPERLINK("#Структура!E1089",Структура!E1089)</f>
        <v>1E-3</v>
      </c>
      <c r="K4054" s="114" t="str">
        <f>HYPERLINK("#Структура!G1089","")</f>
        <v/>
      </c>
      <c r="L4054" s="120">
        <f>HYPERLINK("#Покупные_изделия!D567",Покупные_изделия!D567)</f>
        <v>405.74399999999997</v>
      </c>
      <c r="M4054" s="76">
        <f>J4054*L4054</f>
        <v>0.40574399999999999</v>
      </c>
      <c r="N4054" s="77"/>
      <c r="O4054" s="77"/>
      <c r="P4054" s="76"/>
      <c r="Q4054" s="76"/>
    </row>
    <row r="4055" spans="5:17" hidden="1" outlineLevel="3" collapsed="1" x14ac:dyDescent="0.25">
      <c r="E4055" s="84" t="s">
        <v>942</v>
      </c>
      <c r="F4055" s="79"/>
      <c r="G4055" s="79"/>
      <c r="H4055" s="80"/>
      <c r="I4055" s="81"/>
      <c r="J4055" s="83">
        <f>HYPERLINK("#Структура!E1070",Структура!E1070)</f>
        <v>1</v>
      </c>
      <c r="K4055" s="115">
        <f>HYPERLINK("#Структура!G1070",Структура!G1070)</f>
        <v>1.6820000000000002E-2</v>
      </c>
      <c r="L4055" s="81">
        <f>M4055/J4055</f>
        <v>28.628711999999997</v>
      </c>
      <c r="M4055" s="81">
        <f>SUMIF(F4056,"*",M4056)*J4055</f>
        <v>28.628711999999997</v>
      </c>
      <c r="N4055" s="124">
        <f>HYPERLINK("#Трудозатраты!B884",Трудозатраты!B884+SUMIF(F4056,"*",O4056))</f>
        <v>4.9000000000000004</v>
      </c>
      <c r="O4055" s="82">
        <f>N4055*J4055</f>
        <v>4.9000000000000004</v>
      </c>
      <c r="P4055" s="81">
        <f>O4055/60*(1+запас_труд)*стоимость_трудочаса</f>
        <v>191.91666666666669</v>
      </c>
      <c r="Q4055" s="129">
        <f>M4055*(1+наценка_покупное)+P4055</f>
        <v>226.27112106666669</v>
      </c>
    </row>
    <row r="4056" spans="5:17" hidden="1" outlineLevel="4" x14ac:dyDescent="0.25">
      <c r="F4056" s="74" t="s">
        <v>167</v>
      </c>
      <c r="G4056" s="74"/>
      <c r="H4056" s="75"/>
      <c r="I4056" s="76"/>
      <c r="J4056" s="78">
        <f>HYPERLINK("#Структура!E3755",Структура!E3755)</f>
        <v>4.2999999999999997E-2</v>
      </c>
      <c r="K4056" s="114" t="str">
        <f>HYPERLINK("#Структура!G3755","")</f>
        <v/>
      </c>
      <c r="L4056" s="120">
        <f>HYPERLINK("#Покупные_изделия!D452",Покупные_изделия!D452)</f>
        <v>665.78399999999999</v>
      </c>
      <c r="M4056" s="76">
        <f>J4056*L4056</f>
        <v>28.628711999999997</v>
      </c>
      <c r="N4056" s="77"/>
      <c r="O4056" s="77"/>
      <c r="P4056" s="76"/>
      <c r="Q4056" s="76"/>
    </row>
    <row r="4057" spans="5:17" hidden="1" outlineLevel="3" collapsed="1" x14ac:dyDescent="0.25">
      <c r="E4057" s="84" t="s">
        <v>944</v>
      </c>
      <c r="F4057" s="79"/>
      <c r="G4057" s="79"/>
      <c r="H4057" s="80"/>
      <c r="I4057" s="81"/>
      <c r="J4057" s="83">
        <f>HYPERLINK("#Структура!E1071",Структура!E1071)</f>
        <v>1</v>
      </c>
      <c r="K4057" s="115">
        <f>HYPERLINK("#Структура!G1071",Структура!G1071)</f>
        <v>3.8789999999999998E-2</v>
      </c>
      <c r="L4057" s="81">
        <f>M4057/J4057</f>
        <v>61.917912000000001</v>
      </c>
      <c r="M4057" s="81">
        <f>SUMIF(F4058,"*",M4058)*J4057</f>
        <v>61.917912000000001</v>
      </c>
      <c r="N4057" s="124">
        <f>HYPERLINK("#Трудозатраты!B885",Трудозатраты!B885+SUMIF(F4058,"*",O4058))</f>
        <v>5.6</v>
      </c>
      <c r="O4057" s="82">
        <f>N4057*J4057</f>
        <v>5.6</v>
      </c>
      <c r="P4057" s="81">
        <f>O4057/60*(1+запас_труд)*стоимость_трудочаса</f>
        <v>219.33333333333331</v>
      </c>
      <c r="Q4057" s="129">
        <f>M4057*(1+наценка_покупное)+P4057</f>
        <v>293.63482773333328</v>
      </c>
    </row>
    <row r="4058" spans="5:17" hidden="1" outlineLevel="4" x14ac:dyDescent="0.25">
      <c r="F4058" s="74" t="s">
        <v>167</v>
      </c>
      <c r="G4058" s="74"/>
      <c r="H4058" s="75"/>
      <c r="I4058" s="76"/>
      <c r="J4058" s="78">
        <f>HYPERLINK("#Структура!E3756",Структура!E3756)</f>
        <v>9.2999999999999999E-2</v>
      </c>
      <c r="K4058" s="114" t="str">
        <f>HYPERLINK("#Структура!G3756","")</f>
        <v/>
      </c>
      <c r="L4058" s="120">
        <f>HYPERLINK("#Покупные_изделия!D452",Покупные_изделия!D452)</f>
        <v>665.78399999999999</v>
      </c>
      <c r="M4058" s="76">
        <f t="shared" ref="M4058:M4065" si="151">J4058*L4058</f>
        <v>61.917912000000001</v>
      </c>
      <c r="N4058" s="77"/>
      <c r="O4058" s="77"/>
      <c r="P4058" s="76"/>
      <c r="Q4058" s="76"/>
    </row>
    <row r="4059" spans="5:17" hidden="1" outlineLevel="3" x14ac:dyDescent="0.25">
      <c r="E4059" s="74" t="s">
        <v>648</v>
      </c>
      <c r="F4059" s="74"/>
      <c r="G4059" s="74"/>
      <c r="H4059" s="75"/>
      <c r="I4059" s="76"/>
      <c r="J4059" s="78">
        <f>HYPERLINK("#Структура!E1072",Структура!E1072)</f>
        <v>1</v>
      </c>
      <c r="K4059" s="114">
        <f>HYPERLINK("#Структура!G1072",Структура!G1072)</f>
        <v>1.325E-2</v>
      </c>
      <c r="L4059" s="120">
        <f>HYPERLINK("#Покупные_изделия!D103",Покупные_изделия!D103)</f>
        <v>4.26</v>
      </c>
      <c r="M4059" s="76">
        <f t="shared" si="151"/>
        <v>4.26</v>
      </c>
      <c r="N4059" s="77"/>
      <c r="O4059" s="77"/>
      <c r="P4059" s="76"/>
      <c r="Q4059" s="76"/>
    </row>
    <row r="4060" spans="5:17" hidden="1" outlineLevel="3" x14ac:dyDescent="0.25">
      <c r="E4060" s="74" t="s">
        <v>732</v>
      </c>
      <c r="F4060" s="74"/>
      <c r="G4060" s="74"/>
      <c r="H4060" s="75"/>
      <c r="I4060" s="76"/>
      <c r="J4060" s="78">
        <f>HYPERLINK("#Структура!E1073",Структура!E1073)</f>
        <v>4</v>
      </c>
      <c r="K4060" s="114">
        <f>HYPERLINK("#Структура!G1073",Структура!G1073)</f>
        <v>1.7350000000000001E-2</v>
      </c>
      <c r="L4060" s="120">
        <f>HYPERLINK("#Покупные_изделия!D106",Покупные_изделия!D106)</f>
        <v>5.4119999999999999</v>
      </c>
      <c r="M4060" s="76">
        <f t="shared" si="151"/>
        <v>21.648</v>
      </c>
      <c r="N4060" s="77"/>
      <c r="O4060" s="77"/>
      <c r="P4060" s="76"/>
      <c r="Q4060" s="76"/>
    </row>
    <row r="4061" spans="5:17" hidden="1" outlineLevel="3" x14ac:dyDescent="0.25">
      <c r="E4061" s="74" t="s">
        <v>945</v>
      </c>
      <c r="F4061" s="74"/>
      <c r="G4061" s="74"/>
      <c r="H4061" s="75"/>
      <c r="I4061" s="76"/>
      <c r="J4061" s="78">
        <f>HYPERLINK("#Структура!E1074",Структура!E1074)</f>
        <v>2</v>
      </c>
      <c r="K4061" s="114">
        <f>HYPERLINK("#Структура!G1074",Структура!G1074)</f>
        <v>6.8999999999999997E-4</v>
      </c>
      <c r="L4061" s="120">
        <f>HYPERLINK("#Покупные_изделия!D129",Покупные_изделия!D129)</f>
        <v>9.4512000000000018</v>
      </c>
      <c r="M4061" s="76">
        <f t="shared" si="151"/>
        <v>18.902400000000004</v>
      </c>
      <c r="N4061" s="77"/>
      <c r="O4061" s="77"/>
      <c r="P4061" s="76"/>
      <c r="Q4061" s="76"/>
    </row>
    <row r="4062" spans="5:17" hidden="1" outlineLevel="3" x14ac:dyDescent="0.25">
      <c r="E4062" s="74" t="s">
        <v>746</v>
      </c>
      <c r="F4062" s="74"/>
      <c r="G4062" s="74"/>
      <c r="H4062" s="75"/>
      <c r="I4062" s="76"/>
      <c r="J4062" s="78">
        <f>HYPERLINK("#Структура!E1075",Структура!E1075)</f>
        <v>4</v>
      </c>
      <c r="K4062" s="114">
        <f>HYPERLINK("#Структура!G1075",Структура!G1075)</f>
        <v>5.5500000000000002E-3</v>
      </c>
      <c r="L4062" s="120">
        <f>HYPERLINK("#Покупные_изделия!D192",Покупные_изделия!D192)</f>
        <v>1.9799999999999998</v>
      </c>
      <c r="M4062" s="76">
        <f t="shared" si="151"/>
        <v>7.919999999999999</v>
      </c>
      <c r="N4062" s="77"/>
      <c r="O4062" s="77"/>
      <c r="P4062" s="76"/>
      <c r="Q4062" s="76"/>
    </row>
    <row r="4063" spans="5:17" hidden="1" outlineLevel="3" x14ac:dyDescent="0.25">
      <c r="E4063" s="74" t="s">
        <v>710</v>
      </c>
      <c r="F4063" s="74"/>
      <c r="G4063" s="74"/>
      <c r="H4063" s="75"/>
      <c r="I4063" s="76"/>
      <c r="J4063" s="78">
        <f>HYPERLINK("#Структура!E1076",Структура!E1076)</f>
        <v>4</v>
      </c>
      <c r="K4063" s="114">
        <f>HYPERLINK("#Структура!G1076",Структура!G1076)</f>
        <v>1.0300000000000001E-3</v>
      </c>
      <c r="L4063" s="120">
        <f>HYPERLINK("#Покупные_изделия!D530",Покупные_изделия!D530)</f>
        <v>1.6033970526315791</v>
      </c>
      <c r="M4063" s="76">
        <f t="shared" si="151"/>
        <v>6.4135882105263162</v>
      </c>
      <c r="N4063" s="77"/>
      <c r="O4063" s="77"/>
      <c r="P4063" s="76"/>
      <c r="Q4063" s="76"/>
    </row>
    <row r="4064" spans="5:17" hidden="1" outlineLevel="3" x14ac:dyDescent="0.25">
      <c r="E4064" s="74" t="s">
        <v>737</v>
      </c>
      <c r="F4064" s="74"/>
      <c r="G4064" s="74"/>
      <c r="H4064" s="75"/>
      <c r="I4064" s="76"/>
      <c r="J4064" s="78">
        <f>HYPERLINK("#Структура!E1077",Структура!E1077)</f>
        <v>4</v>
      </c>
      <c r="K4064" s="114">
        <f>HYPERLINK("#Структура!G1077",Структура!G1077)</f>
        <v>1.73E-3</v>
      </c>
      <c r="L4064" s="120">
        <f>HYPERLINK("#Покупные_изделия!D547",Покупные_изделия!D547)</f>
        <v>1.0415213493975914</v>
      </c>
      <c r="M4064" s="76">
        <f t="shared" si="151"/>
        <v>4.1660853975903658</v>
      </c>
      <c r="N4064" s="77"/>
      <c r="O4064" s="77"/>
      <c r="P4064" s="76"/>
      <c r="Q4064" s="76"/>
    </row>
    <row r="4065" spans="4:17" hidden="1" outlineLevel="3" x14ac:dyDescent="0.25">
      <c r="E4065" s="74" t="s">
        <v>946</v>
      </c>
      <c r="F4065" s="74"/>
      <c r="G4065" s="74"/>
      <c r="H4065" s="75"/>
      <c r="I4065" s="76"/>
      <c r="J4065" s="78">
        <f>HYPERLINK("#Структура!E1078",Структура!E1078)</f>
        <v>1</v>
      </c>
      <c r="K4065" s="114">
        <f>HYPERLINK("#Структура!G1078",Структура!G1078)</f>
        <v>12</v>
      </c>
      <c r="L4065" s="120">
        <f>HYPERLINK("#Покупные_изделия!D27",Покупные_изделия!D27)</f>
        <v>25212.000000000004</v>
      </c>
      <c r="M4065" s="76">
        <f t="shared" si="151"/>
        <v>25212.000000000004</v>
      </c>
      <c r="N4065" s="77"/>
      <c r="O4065" s="77"/>
      <c r="P4065" s="76"/>
      <c r="Q4065" s="76"/>
    </row>
    <row r="4066" spans="4:17" hidden="1" outlineLevel="2" collapsed="1" x14ac:dyDescent="0.25">
      <c r="D4066" s="96" t="s">
        <v>963</v>
      </c>
      <c r="E4066" s="91"/>
      <c r="F4066" s="91"/>
      <c r="G4066" s="91"/>
      <c r="H4066" s="92"/>
      <c r="I4066" s="93"/>
      <c r="J4066" s="95">
        <f>HYPERLINK("#Структура!E3310",Структура!E3310)</f>
        <v>6</v>
      </c>
      <c r="K4066" s="116">
        <f>HYPERLINK("#Структура!G3310",Структура!G3310)</f>
        <v>19.74428</v>
      </c>
      <c r="L4066" s="93">
        <f>M4066/J4066</f>
        <v>3187.632216</v>
      </c>
      <c r="M4066" s="93">
        <f>SUMIF(E4067:E4079,"*",M4067:M4079)*J4066</f>
        <v>19125.793296</v>
      </c>
      <c r="N4066" s="125">
        <f>HYPERLINK("#Трудозатраты!B286",Трудозатраты!B286+SUMIF(E4067:E4079,"*",O4067:O4079))</f>
        <v>122.14999999999999</v>
      </c>
      <c r="O4066" s="94">
        <f>N4066*J4066</f>
        <v>732.9</v>
      </c>
      <c r="P4066" s="93">
        <f>O4066/60*(1+запас_труд)*стоимость_трудочаса</f>
        <v>28705.25</v>
      </c>
      <c r="Q4066" s="130">
        <f>M4066*(1+наценка_покупное)+P4066</f>
        <v>51656.201955199998</v>
      </c>
    </row>
    <row r="4067" spans="4:17" hidden="1" outlineLevel="3" collapsed="1" x14ac:dyDescent="0.25">
      <c r="E4067" s="85" t="s">
        <v>962</v>
      </c>
      <c r="F4067" s="86"/>
      <c r="G4067" s="86"/>
      <c r="H4067" s="87"/>
      <c r="I4067" s="88"/>
      <c r="J4067" s="90">
        <f>HYPERLINK("#Структура!E1123",Структура!E1123)</f>
        <v>1</v>
      </c>
      <c r="K4067" s="113">
        <f>HYPERLINK("#Структура!G1123",Структура!G1123)</f>
        <v>8.4740900000000003</v>
      </c>
      <c r="L4067" s="88">
        <f>M4067/J4067</f>
        <v>1218.1056000000001</v>
      </c>
      <c r="M4067" s="88">
        <f>SUMIF(F4068,"*",M4068)*J4067</f>
        <v>1218.1056000000001</v>
      </c>
      <c r="N4067" s="123">
        <f>HYPERLINK("#Трудозатраты!B287",Трудозатраты!B287+SUMIF(F4068,"*",O4068))</f>
        <v>24.9</v>
      </c>
      <c r="O4067" s="89">
        <f>N4067*J4067</f>
        <v>24.9</v>
      </c>
      <c r="P4067" s="88">
        <f>O4067/60*(1+запас_труд)*стоимость_трудочаса</f>
        <v>975.25</v>
      </c>
      <c r="Q4067" s="128">
        <f>M4067*(1+наценка_покупное)+P4067</f>
        <v>2436.9767200000001</v>
      </c>
    </row>
    <row r="4068" spans="4:17" hidden="1" outlineLevel="4" x14ac:dyDescent="0.25">
      <c r="F4068" s="74" t="s">
        <v>115</v>
      </c>
      <c r="G4068" s="74"/>
      <c r="H4068" s="75"/>
      <c r="I4068" s="76"/>
      <c r="J4068" s="78">
        <f>HYPERLINK("#Структура!E1133",Структура!E1133)</f>
        <v>10.150880000000001</v>
      </c>
      <c r="K4068" s="114" t="str">
        <f>HYPERLINK("#Структура!G1133","")</f>
        <v/>
      </c>
      <c r="L4068" s="120">
        <f>HYPERLINK("#Покупные_изделия!D289",Покупные_изделия!D289)</f>
        <v>120</v>
      </c>
      <c r="M4068" s="76">
        <f>J4068*L4068</f>
        <v>1218.1056000000001</v>
      </c>
      <c r="N4068" s="77"/>
      <c r="O4068" s="77"/>
      <c r="P4068" s="76"/>
      <c r="Q4068" s="76"/>
    </row>
    <row r="4069" spans="4:17" hidden="1" outlineLevel="3" collapsed="1" x14ac:dyDescent="0.25">
      <c r="E4069" s="84" t="s">
        <v>964</v>
      </c>
      <c r="F4069" s="79"/>
      <c r="G4069" s="79"/>
      <c r="H4069" s="80"/>
      <c r="I4069" s="81"/>
      <c r="J4069" s="83">
        <f>HYPERLINK("#Структура!E1124",Структура!E1124)</f>
        <v>2</v>
      </c>
      <c r="K4069" s="115">
        <f>HYPERLINK("#Структура!G1124",Структура!G1124)</f>
        <v>0.33068999999999998</v>
      </c>
      <c r="L4069" s="81">
        <f>M4069/J4069</f>
        <v>48.934799999999996</v>
      </c>
      <c r="M4069" s="81">
        <f>SUMIF(F4070,"*",M4070)*J4069</f>
        <v>97.869599999999991</v>
      </c>
      <c r="N4069" s="124">
        <f>HYPERLINK("#Трудозатраты!B288",Трудозатраты!B288+SUMIF(F4070,"*",O4070))</f>
        <v>0.6</v>
      </c>
      <c r="O4069" s="82">
        <f>N4069*J4069</f>
        <v>1.2</v>
      </c>
      <c r="P4069" s="81">
        <f>O4069/60*(1+запас_труд)*стоимость_трудочаса</f>
        <v>47</v>
      </c>
      <c r="Q4069" s="129">
        <f>M4069*(1+наценка_покупное)+P4069</f>
        <v>164.44351999999998</v>
      </c>
    </row>
    <row r="4070" spans="4:17" hidden="1" outlineLevel="4" x14ac:dyDescent="0.25">
      <c r="F4070" s="74" t="s">
        <v>115</v>
      </c>
      <c r="G4070" s="74"/>
      <c r="H4070" s="75"/>
      <c r="I4070" s="76"/>
      <c r="J4070" s="78">
        <f>HYPERLINK("#Структура!E1134",Структура!E1134)</f>
        <v>0.40778999999999999</v>
      </c>
      <c r="K4070" s="114" t="str">
        <f>HYPERLINK("#Структура!G1134","")</f>
        <v/>
      </c>
      <c r="L4070" s="120">
        <f>HYPERLINK("#Покупные_изделия!D289",Покупные_изделия!D289)</f>
        <v>120</v>
      </c>
      <c r="M4070" s="76">
        <f>J4070*L4070</f>
        <v>48.934799999999996</v>
      </c>
      <c r="N4070" s="77"/>
      <c r="O4070" s="77"/>
      <c r="P4070" s="76"/>
      <c r="Q4070" s="76"/>
    </row>
    <row r="4071" spans="4:17" hidden="1" outlineLevel="3" collapsed="1" x14ac:dyDescent="0.25">
      <c r="E4071" s="84" t="s">
        <v>965</v>
      </c>
      <c r="F4071" s="79"/>
      <c r="G4071" s="79"/>
      <c r="H4071" s="80"/>
      <c r="I4071" s="81"/>
      <c r="J4071" s="83">
        <f>HYPERLINK("#Структура!E1125",Структура!E1125)</f>
        <v>1</v>
      </c>
      <c r="K4071" s="115">
        <f>HYPERLINK("#Структура!G1125",Структура!G1125)</f>
        <v>10.598280000000001</v>
      </c>
      <c r="L4071" s="81">
        <f>M4071/J4071</f>
        <v>1514.4012</v>
      </c>
      <c r="M4071" s="81">
        <f>SUMIF(F4072,"*",M4072)*J4071</f>
        <v>1514.4012</v>
      </c>
      <c r="N4071" s="124">
        <f>HYPERLINK("#Трудозатраты!B289",Трудозатраты!B289+SUMIF(F4072,"*",O4072))</f>
        <v>31.45</v>
      </c>
      <c r="O4071" s="82">
        <f>N4071*J4071</f>
        <v>31.45</v>
      </c>
      <c r="P4071" s="81">
        <f>O4071/60*(1+запас_труд)*стоимость_трудочаса</f>
        <v>1231.7916666666667</v>
      </c>
      <c r="Q4071" s="129">
        <f>M4071*(1+наценка_покупное)+P4071</f>
        <v>3049.0731066666667</v>
      </c>
    </row>
    <row r="4072" spans="4:17" hidden="1" outlineLevel="4" x14ac:dyDescent="0.25">
      <c r="F4072" s="74" t="s">
        <v>115</v>
      </c>
      <c r="G4072" s="74"/>
      <c r="H4072" s="75"/>
      <c r="I4072" s="76"/>
      <c r="J4072" s="78">
        <f>HYPERLINK("#Структура!E1135",Структура!E1135)</f>
        <v>12.620010000000001</v>
      </c>
      <c r="K4072" s="114" t="str">
        <f>HYPERLINK("#Структура!G1135","")</f>
        <v/>
      </c>
      <c r="L4072" s="120">
        <f>HYPERLINK("#Покупные_изделия!D289",Покупные_изделия!D289)</f>
        <v>120</v>
      </c>
      <c r="M4072" s="76">
        <f t="shared" ref="M4072:M4079" si="152">J4072*L4072</f>
        <v>1514.4012</v>
      </c>
      <c r="N4072" s="77"/>
      <c r="O4072" s="77"/>
      <c r="P4072" s="76"/>
      <c r="Q4072" s="76"/>
    </row>
    <row r="4073" spans="4:17" hidden="1" outlineLevel="3" x14ac:dyDescent="0.25">
      <c r="E4073" s="74" t="s">
        <v>966</v>
      </c>
      <c r="F4073" s="74"/>
      <c r="G4073" s="74"/>
      <c r="H4073" s="75"/>
      <c r="I4073" s="76"/>
      <c r="J4073" s="78">
        <f>HYPERLINK("#Структура!E1126",Структура!E1126)</f>
        <v>2</v>
      </c>
      <c r="K4073" s="114">
        <f>HYPERLINK("#Структура!G1126",Структура!G1126)</f>
        <v>5.2700000000000004E-3</v>
      </c>
      <c r="L4073" s="120">
        <f>HYPERLINK("#Покупные_изделия!D170",Покупные_изделия!D170)</f>
        <v>1.3728</v>
      </c>
      <c r="M4073" s="76">
        <f t="shared" si="152"/>
        <v>2.7456</v>
      </c>
      <c r="N4073" s="77"/>
      <c r="O4073" s="77"/>
      <c r="P4073" s="76"/>
      <c r="Q4073" s="76"/>
    </row>
    <row r="4074" spans="4:17" hidden="1" outlineLevel="3" x14ac:dyDescent="0.25">
      <c r="E4074" s="74" t="s">
        <v>65</v>
      </c>
      <c r="F4074" s="74"/>
      <c r="G4074" s="74"/>
      <c r="H4074" s="75"/>
      <c r="I4074" s="76"/>
      <c r="J4074" s="78">
        <f>HYPERLINK("#Структура!E1127",Структура!E1127)</f>
        <v>0.20599999999999999</v>
      </c>
      <c r="K4074" s="114" t="str">
        <f>HYPERLINK("#Структура!G1127","")</f>
        <v/>
      </c>
      <c r="L4074" s="120">
        <f>HYPERLINK("#Покупные_изделия!D197",Покупные_изделия!D197)</f>
        <v>264.50399999999996</v>
      </c>
      <c r="M4074" s="76">
        <f t="shared" si="152"/>
        <v>54.487823999999989</v>
      </c>
      <c r="N4074" s="77"/>
      <c r="O4074" s="77"/>
      <c r="P4074" s="76"/>
      <c r="Q4074" s="76"/>
    </row>
    <row r="4075" spans="4:17" hidden="1" outlineLevel="3" x14ac:dyDescent="0.25">
      <c r="E4075" s="74" t="s">
        <v>67</v>
      </c>
      <c r="F4075" s="74"/>
      <c r="G4075" s="74"/>
      <c r="H4075" s="75"/>
      <c r="I4075" s="76"/>
      <c r="J4075" s="78">
        <f>HYPERLINK("#Структура!E1128",Структура!E1128)</f>
        <v>0.97</v>
      </c>
      <c r="K4075" s="114" t="str">
        <f>HYPERLINK("#Структура!G1128","")</f>
        <v/>
      </c>
      <c r="L4075" s="120">
        <f>HYPERLINK("#Покупные_изделия!D203",Покупные_изделия!D203)</f>
        <v>30.003600000000002</v>
      </c>
      <c r="M4075" s="76">
        <f t="shared" si="152"/>
        <v>29.103492000000003</v>
      </c>
      <c r="N4075" s="77"/>
      <c r="O4075" s="77"/>
      <c r="P4075" s="76"/>
      <c r="Q4075" s="76"/>
    </row>
    <row r="4076" spans="4:17" hidden="1" outlineLevel="3" x14ac:dyDescent="0.25">
      <c r="E4076" s="74" t="s">
        <v>146</v>
      </c>
      <c r="F4076" s="74"/>
      <c r="G4076" s="74"/>
      <c r="H4076" s="75"/>
      <c r="I4076" s="76"/>
      <c r="J4076" s="78">
        <f>HYPERLINK("#Структура!E1129",Структура!E1129)</f>
        <v>0.56999999999999995</v>
      </c>
      <c r="K4076" s="114" t="str">
        <f>HYPERLINK("#Структура!G1129","")</f>
        <v/>
      </c>
      <c r="L4076" s="120">
        <f>HYPERLINK("#Покупные_изделия!D406",Покупные_изделия!D406)</f>
        <v>105.996</v>
      </c>
      <c r="M4076" s="76">
        <f t="shared" si="152"/>
        <v>60.417719999999989</v>
      </c>
      <c r="N4076" s="77"/>
      <c r="O4076" s="77"/>
      <c r="P4076" s="76"/>
      <c r="Q4076" s="76"/>
    </row>
    <row r="4077" spans="4:17" hidden="1" outlineLevel="3" x14ac:dyDescent="0.25">
      <c r="E4077" s="74" t="s">
        <v>155</v>
      </c>
      <c r="F4077" s="74"/>
      <c r="G4077" s="74"/>
      <c r="H4077" s="75"/>
      <c r="I4077" s="76"/>
      <c r="J4077" s="78">
        <f>HYPERLINK("#Структура!E1130",Структура!E1130)</f>
        <v>6.2E-2</v>
      </c>
      <c r="K4077" s="114" t="str">
        <f>HYPERLINK("#Структура!G1130","")</f>
        <v/>
      </c>
      <c r="L4077" s="120">
        <f>HYPERLINK("#Покупные_изделия!D423",Покупные_изделия!D423)</f>
        <v>218.28</v>
      </c>
      <c r="M4077" s="76">
        <f t="shared" si="152"/>
        <v>13.53336</v>
      </c>
      <c r="N4077" s="77"/>
      <c r="O4077" s="77"/>
      <c r="P4077" s="76"/>
      <c r="Q4077" s="76"/>
    </row>
    <row r="4078" spans="4:17" hidden="1" outlineLevel="3" x14ac:dyDescent="0.25">
      <c r="E4078" s="74" t="s">
        <v>156</v>
      </c>
      <c r="F4078" s="74"/>
      <c r="G4078" s="74"/>
      <c r="H4078" s="75"/>
      <c r="I4078" s="76"/>
      <c r="J4078" s="78">
        <f>HYPERLINK("#Структура!E1131",Структура!E1131)</f>
        <v>0.189</v>
      </c>
      <c r="K4078" s="114" t="str">
        <f>HYPERLINK("#Структура!G1131","")</f>
        <v/>
      </c>
      <c r="L4078" s="120">
        <f>HYPERLINK("#Покупные_изделия!D427",Покупные_изделия!D427)</f>
        <v>155.53200000000001</v>
      </c>
      <c r="M4078" s="76">
        <f t="shared" si="152"/>
        <v>29.395548000000002</v>
      </c>
      <c r="N4078" s="77"/>
      <c r="O4078" s="77"/>
      <c r="P4078" s="76"/>
      <c r="Q4078" s="76"/>
    </row>
    <row r="4079" spans="4:17" hidden="1" outlineLevel="3" x14ac:dyDescent="0.25">
      <c r="E4079" s="74" t="s">
        <v>215</v>
      </c>
      <c r="F4079" s="74"/>
      <c r="G4079" s="74"/>
      <c r="H4079" s="75"/>
      <c r="I4079" s="76"/>
      <c r="J4079" s="78">
        <f>HYPERLINK("#Структура!E1132",Структура!E1132)</f>
        <v>0.41299999999999998</v>
      </c>
      <c r="K4079" s="114" t="str">
        <f>HYPERLINK("#Структура!G1132","")</f>
        <v/>
      </c>
      <c r="L4079" s="120">
        <f>HYPERLINK("#Покупные_изделия!D567",Покупные_изделия!D567)</f>
        <v>405.74399999999997</v>
      </c>
      <c r="M4079" s="76">
        <f t="shared" si="152"/>
        <v>167.57227199999997</v>
      </c>
      <c r="N4079" s="77"/>
      <c r="O4079" s="77"/>
      <c r="P4079" s="76"/>
      <c r="Q4079" s="76"/>
    </row>
    <row r="4080" spans="4:17" hidden="1" outlineLevel="2" collapsed="1" x14ac:dyDescent="0.25">
      <c r="D4080" s="84" t="s">
        <v>930</v>
      </c>
      <c r="E4080" s="79"/>
      <c r="F4080" s="79"/>
      <c r="G4080" s="79"/>
      <c r="H4080" s="80"/>
      <c r="I4080" s="81"/>
      <c r="J4080" s="83">
        <f>HYPERLINK("#Структура!E3311",Структура!E3311)</f>
        <v>1</v>
      </c>
      <c r="K4080" s="115">
        <f>HYPERLINK("#Структура!G3311",Структура!G3311)</f>
        <v>1.3894899999999999</v>
      </c>
      <c r="L4080" s="81">
        <f>M4080/J4080</f>
        <v>716.49418000000003</v>
      </c>
      <c r="M4080" s="81">
        <f>SUMIF(E4081:E4085,"*",M4081:M4085)*J4080</f>
        <v>716.49418000000003</v>
      </c>
      <c r="N4080" s="124">
        <f>HYPERLINK("#Трудозатраты!B257",Трудозатраты!B257+SUMIF(E4081:E4085,"*",O4081:O4085))</f>
        <v>139</v>
      </c>
      <c r="O4080" s="82">
        <f>N4080*J4080</f>
        <v>139</v>
      </c>
      <c r="P4080" s="81">
        <f>O4080/60*(1+запас_труд)*стоимость_трудочаса</f>
        <v>5444.166666666667</v>
      </c>
      <c r="Q4080" s="129">
        <f>M4080*(1+наценка_покупное)+P4080</f>
        <v>6303.9596826666666</v>
      </c>
    </row>
    <row r="4081" spans="4:17" hidden="1" outlineLevel="3" x14ac:dyDescent="0.25">
      <c r="E4081" s="74" t="s">
        <v>65</v>
      </c>
      <c r="F4081" s="74"/>
      <c r="G4081" s="74"/>
      <c r="H4081" s="75"/>
      <c r="I4081" s="76"/>
      <c r="J4081" s="78">
        <f>HYPERLINK("#Структура!E1035",Структура!E1035)</f>
        <v>5.0000000000000001E-3</v>
      </c>
      <c r="K4081" s="114" t="str">
        <f>HYPERLINK("#Структура!G1035","")</f>
        <v/>
      </c>
      <c r="L4081" s="120">
        <f>HYPERLINK("#Покупные_изделия!D197",Покупные_изделия!D197)</f>
        <v>264.50399999999996</v>
      </c>
      <c r="M4081" s="76">
        <f>J4081*L4081</f>
        <v>1.3225199999999999</v>
      </c>
      <c r="N4081" s="77"/>
      <c r="O4081" s="77"/>
      <c r="P4081" s="76"/>
      <c r="Q4081" s="76"/>
    </row>
    <row r="4082" spans="4:17" hidden="1" outlineLevel="3" x14ac:dyDescent="0.25">
      <c r="E4082" s="74" t="s">
        <v>84</v>
      </c>
      <c r="F4082" s="74"/>
      <c r="G4082" s="74"/>
      <c r="H4082" s="75"/>
      <c r="I4082" s="76"/>
      <c r="J4082" s="78">
        <f>HYPERLINK("#Структура!E1036",Структура!E1036)</f>
        <v>7.0990000000000002</v>
      </c>
      <c r="K4082" s="114" t="str">
        <f>HYPERLINK("#Структура!G1036","")</f>
        <v/>
      </c>
      <c r="L4082" s="120">
        <f>HYPERLINK("#Покупные_изделия!D253",Покупные_изделия!D253)</f>
        <v>100</v>
      </c>
      <c r="M4082" s="76">
        <f>J4082*L4082</f>
        <v>709.9</v>
      </c>
      <c r="N4082" s="77"/>
      <c r="O4082" s="77"/>
      <c r="P4082" s="76"/>
      <c r="Q4082" s="76"/>
    </row>
    <row r="4083" spans="4:17" hidden="1" outlineLevel="3" x14ac:dyDescent="0.25">
      <c r="E4083" s="74" t="s">
        <v>155</v>
      </c>
      <c r="F4083" s="74"/>
      <c r="G4083" s="74"/>
      <c r="H4083" s="75"/>
      <c r="I4083" s="76"/>
      <c r="J4083" s="78">
        <f>HYPERLINK("#Структура!E1037",Структура!E1037)</f>
        <v>2E-3</v>
      </c>
      <c r="K4083" s="114" t="str">
        <f>HYPERLINK("#Структура!G1037","")</f>
        <v/>
      </c>
      <c r="L4083" s="120">
        <f>HYPERLINK("#Покупные_изделия!D423",Покупные_изделия!D423)</f>
        <v>218.28</v>
      </c>
      <c r="M4083" s="76">
        <f>J4083*L4083</f>
        <v>0.43656</v>
      </c>
      <c r="N4083" s="77"/>
      <c r="O4083" s="77"/>
      <c r="P4083" s="76"/>
      <c r="Q4083" s="76"/>
    </row>
    <row r="4084" spans="4:17" hidden="1" outlineLevel="3" x14ac:dyDescent="0.25">
      <c r="E4084" s="74" t="s">
        <v>156</v>
      </c>
      <c r="F4084" s="74"/>
      <c r="G4084" s="74"/>
      <c r="H4084" s="75"/>
      <c r="I4084" s="76"/>
      <c r="J4084" s="78">
        <f>HYPERLINK("#Структура!E1038",Структура!E1038)</f>
        <v>5.0000000000000001E-3</v>
      </c>
      <c r="K4084" s="114" t="str">
        <f>HYPERLINK("#Структура!G1038","")</f>
        <v/>
      </c>
      <c r="L4084" s="120">
        <f>HYPERLINK("#Покупные_изделия!D427",Покупные_изделия!D427)</f>
        <v>155.53200000000001</v>
      </c>
      <c r="M4084" s="76">
        <f>J4084*L4084</f>
        <v>0.77766000000000002</v>
      </c>
      <c r="N4084" s="77"/>
      <c r="O4084" s="77"/>
      <c r="P4084" s="76"/>
      <c r="Q4084" s="76"/>
    </row>
    <row r="4085" spans="4:17" hidden="1" outlineLevel="3" x14ac:dyDescent="0.25">
      <c r="E4085" s="74" t="s">
        <v>215</v>
      </c>
      <c r="F4085" s="74"/>
      <c r="G4085" s="74"/>
      <c r="H4085" s="75"/>
      <c r="I4085" s="76"/>
      <c r="J4085" s="78">
        <f>HYPERLINK("#Структура!E1039",Структура!E1039)</f>
        <v>0.01</v>
      </c>
      <c r="K4085" s="114" t="str">
        <f>HYPERLINK("#Структура!G1039","")</f>
        <v/>
      </c>
      <c r="L4085" s="120">
        <f>HYPERLINK("#Покупные_изделия!D567",Покупные_изделия!D567)</f>
        <v>405.74399999999997</v>
      </c>
      <c r="M4085" s="76">
        <f>J4085*L4085</f>
        <v>4.0574399999999997</v>
      </c>
      <c r="N4085" s="77"/>
      <c r="O4085" s="77"/>
      <c r="P4085" s="76"/>
      <c r="Q4085" s="76"/>
    </row>
    <row r="4086" spans="4:17" hidden="1" outlineLevel="2" collapsed="1" x14ac:dyDescent="0.25">
      <c r="D4086" s="84" t="s">
        <v>931</v>
      </c>
      <c r="E4086" s="79"/>
      <c r="F4086" s="79"/>
      <c r="G4086" s="79"/>
      <c r="H4086" s="80"/>
      <c r="I4086" s="81"/>
      <c r="J4086" s="83">
        <f>HYPERLINK("#Структура!E3312",Структура!E3312)</f>
        <v>1</v>
      </c>
      <c r="K4086" s="115">
        <f>HYPERLINK("#Структура!G3312",Структура!G3312)</f>
        <v>2.0832199999999998</v>
      </c>
      <c r="L4086" s="81">
        <f>M4086/J4086</f>
        <v>1807.7587279999998</v>
      </c>
      <c r="M4086" s="81">
        <f>SUMIF(E4087:E4091,"*",M4087:M4091)*J4086</f>
        <v>1807.7587279999998</v>
      </c>
      <c r="N4086" s="124">
        <f>HYPERLINK("#Трудозатраты!B258",Трудозатраты!B258+SUMIF(E4087:E4091,"*",O4087:O4091))</f>
        <v>177</v>
      </c>
      <c r="O4086" s="82">
        <f>N4086*J4086</f>
        <v>177</v>
      </c>
      <c r="P4086" s="81">
        <f>O4086/60*(1+запас_труд)*стоимость_трудочаса</f>
        <v>6932.5</v>
      </c>
      <c r="Q4086" s="129">
        <f>M4086*(1+наценка_покупное)+P4086</f>
        <v>9101.8104735999987</v>
      </c>
    </row>
    <row r="4087" spans="4:17" hidden="1" outlineLevel="3" x14ac:dyDescent="0.25">
      <c r="E4087" s="74" t="s">
        <v>65</v>
      </c>
      <c r="F4087" s="74"/>
      <c r="G4087" s="74"/>
      <c r="H4087" s="75"/>
      <c r="I4087" s="76"/>
      <c r="J4087" s="78">
        <f>HYPERLINK("#Структура!E1040",Структура!E1040)</f>
        <v>8.0000000000000002E-3</v>
      </c>
      <c r="K4087" s="114" t="str">
        <f>HYPERLINK("#Структура!G1040","")</f>
        <v/>
      </c>
      <c r="L4087" s="120">
        <f>HYPERLINK("#Покупные_изделия!D197",Покупные_изделия!D197)</f>
        <v>264.50399999999996</v>
      </c>
      <c r="M4087" s="76">
        <f>J4087*L4087</f>
        <v>2.1160319999999997</v>
      </c>
      <c r="N4087" s="77"/>
      <c r="O4087" s="77"/>
      <c r="P4087" s="76"/>
      <c r="Q4087" s="76"/>
    </row>
    <row r="4088" spans="4:17" hidden="1" outlineLevel="3" x14ac:dyDescent="0.25">
      <c r="E4088" s="74" t="s">
        <v>87</v>
      </c>
      <c r="F4088" s="74"/>
      <c r="G4088" s="74"/>
      <c r="H4088" s="75"/>
      <c r="I4088" s="76"/>
      <c r="J4088" s="78">
        <f>HYPERLINK("#Структура!E1041",Структура!E1041)</f>
        <v>17.936</v>
      </c>
      <c r="K4088" s="114" t="str">
        <f>HYPERLINK("#Структура!G1041","")</f>
        <v/>
      </c>
      <c r="L4088" s="120">
        <f>HYPERLINK("#Покупные_изделия!D256",Покупные_изделия!D256)</f>
        <v>100</v>
      </c>
      <c r="M4088" s="76">
        <f>J4088*L4088</f>
        <v>1793.6</v>
      </c>
      <c r="N4088" s="77"/>
      <c r="O4088" s="77"/>
      <c r="P4088" s="76"/>
      <c r="Q4088" s="76"/>
    </row>
    <row r="4089" spans="4:17" hidden="1" outlineLevel="3" x14ac:dyDescent="0.25">
      <c r="E4089" s="74" t="s">
        <v>155</v>
      </c>
      <c r="F4089" s="74"/>
      <c r="G4089" s="74"/>
      <c r="H4089" s="75"/>
      <c r="I4089" s="76"/>
      <c r="J4089" s="78">
        <f>HYPERLINK("#Структура!E1042",Структура!E1042)</f>
        <v>3.0000000000000001E-3</v>
      </c>
      <c r="K4089" s="114" t="str">
        <f>HYPERLINK("#Структура!G1042","")</f>
        <v/>
      </c>
      <c r="L4089" s="120">
        <f>HYPERLINK("#Покупные_изделия!D423",Покупные_изделия!D423)</f>
        <v>218.28</v>
      </c>
      <c r="M4089" s="76">
        <f>J4089*L4089</f>
        <v>0.65483999999999998</v>
      </c>
      <c r="N4089" s="77"/>
      <c r="O4089" s="77"/>
      <c r="P4089" s="76"/>
      <c r="Q4089" s="76"/>
    </row>
    <row r="4090" spans="4:17" hidden="1" outlineLevel="3" x14ac:dyDescent="0.25">
      <c r="E4090" s="74" t="s">
        <v>156</v>
      </c>
      <c r="F4090" s="74"/>
      <c r="G4090" s="74"/>
      <c r="H4090" s="75"/>
      <c r="I4090" s="76"/>
      <c r="J4090" s="78">
        <f>HYPERLINK("#Структура!E1043",Структура!E1043)</f>
        <v>8.0000000000000002E-3</v>
      </c>
      <c r="K4090" s="114" t="str">
        <f>HYPERLINK("#Структура!G1043","")</f>
        <v/>
      </c>
      <c r="L4090" s="120">
        <f>HYPERLINK("#Покупные_изделия!D427",Покупные_изделия!D427)</f>
        <v>155.53200000000001</v>
      </c>
      <c r="M4090" s="76">
        <f>J4090*L4090</f>
        <v>1.244256</v>
      </c>
      <c r="N4090" s="77"/>
      <c r="O4090" s="77"/>
      <c r="P4090" s="76"/>
      <c r="Q4090" s="76"/>
    </row>
    <row r="4091" spans="4:17" hidden="1" outlineLevel="3" x14ac:dyDescent="0.25">
      <c r="E4091" s="74" t="s">
        <v>215</v>
      </c>
      <c r="F4091" s="74"/>
      <c r="G4091" s="74"/>
      <c r="H4091" s="75"/>
      <c r="I4091" s="76"/>
      <c r="J4091" s="78">
        <f>HYPERLINK("#Структура!E1044",Структура!E1044)</f>
        <v>2.5000000000000001E-2</v>
      </c>
      <c r="K4091" s="114" t="str">
        <f>HYPERLINK("#Структура!G1044","")</f>
        <v/>
      </c>
      <c r="L4091" s="120">
        <f>HYPERLINK("#Покупные_изделия!D567",Покупные_изделия!D567)</f>
        <v>405.74399999999997</v>
      </c>
      <c r="M4091" s="76">
        <f>J4091*L4091</f>
        <v>10.143599999999999</v>
      </c>
      <c r="N4091" s="77"/>
      <c r="O4091" s="77"/>
      <c r="P4091" s="76"/>
      <c r="Q4091" s="76"/>
    </row>
    <row r="4092" spans="4:17" hidden="1" outlineLevel="2" collapsed="1" x14ac:dyDescent="0.25">
      <c r="D4092" s="84" t="s">
        <v>949</v>
      </c>
      <c r="E4092" s="79"/>
      <c r="F4092" s="79"/>
      <c r="G4092" s="79"/>
      <c r="H4092" s="80"/>
      <c r="I4092" s="81"/>
      <c r="J4092" s="83">
        <f>HYPERLINK("#Структура!E3313",Структура!E3313)</f>
        <v>22</v>
      </c>
      <c r="K4092" s="115">
        <f>HYPERLINK("#Структура!G3313",Структура!G3313)</f>
        <v>2.0586799999999998</v>
      </c>
      <c r="L4092" s="81">
        <f>M4092/J4092</f>
        <v>505.88000000000005</v>
      </c>
      <c r="M4092" s="81">
        <f>SUMIF(E4093,"*",M4093)*J4092</f>
        <v>11129.36</v>
      </c>
      <c r="N4092" s="124">
        <f>HYPERLINK("#Трудозатраты!B271",Трудозатраты!B271+SUMIF(E4093,"*",O4093))</f>
        <v>2.1</v>
      </c>
      <c r="O4092" s="82">
        <f>N4092*J4092</f>
        <v>46.2</v>
      </c>
      <c r="P4092" s="81">
        <f>O4092/60*(1+запас_труд)*стоимость_трудочаса</f>
        <v>1809.5</v>
      </c>
      <c r="Q4092" s="129">
        <f>M4092*(1+наценка_покупное)+P4092</f>
        <v>15164.732</v>
      </c>
    </row>
    <row r="4093" spans="4:17" hidden="1" outlineLevel="3" x14ac:dyDescent="0.25">
      <c r="E4093" s="74" t="s">
        <v>124</v>
      </c>
      <c r="F4093" s="74"/>
      <c r="G4093" s="74"/>
      <c r="H4093" s="75"/>
      <c r="I4093" s="76"/>
      <c r="J4093" s="78">
        <f>HYPERLINK("#Структура!E1100",Структура!E1100)</f>
        <v>3.1617500000000001</v>
      </c>
      <c r="K4093" s="114" t="str">
        <f>HYPERLINK("#Структура!G1100","")</f>
        <v/>
      </c>
      <c r="L4093" s="120">
        <f>HYPERLINK("#Покупные_изделия!D299",Покупные_изделия!D299)</f>
        <v>160</v>
      </c>
      <c r="M4093" s="76">
        <f>J4093*L4093</f>
        <v>505.88</v>
      </c>
      <c r="N4093" s="77"/>
      <c r="O4093" s="77"/>
      <c r="P4093" s="76"/>
      <c r="Q4093" s="76"/>
    </row>
    <row r="4094" spans="4:17" hidden="1" outlineLevel="2" collapsed="1" x14ac:dyDescent="0.25">
      <c r="D4094" s="84" t="s">
        <v>950</v>
      </c>
      <c r="E4094" s="79"/>
      <c r="F4094" s="79"/>
      <c r="G4094" s="79"/>
      <c r="H4094" s="80"/>
      <c r="I4094" s="81"/>
      <c r="J4094" s="83">
        <f>HYPERLINK("#Структура!E3314",Структура!E3314)</f>
        <v>6</v>
      </c>
      <c r="K4094" s="115">
        <f>HYPERLINK("#Структура!G3314",Структура!G3314)</f>
        <v>9.0312699999999992</v>
      </c>
      <c r="L4094" s="81">
        <f>M4094/J4094</f>
        <v>1743.1888000000001</v>
      </c>
      <c r="M4094" s="81">
        <f>SUMIF(E4095,"*",M4095)*J4094</f>
        <v>10459.132800000001</v>
      </c>
      <c r="N4094" s="124">
        <f>HYPERLINK("#Трудозатраты!B272",Трудозатраты!B272+SUMIF(E4095,"*",O4095))</f>
        <v>31</v>
      </c>
      <c r="O4094" s="82">
        <f>N4094*J4094</f>
        <v>186</v>
      </c>
      <c r="P4094" s="81">
        <f>O4094/60*(1+запас_труд)*стоимость_трудочаса</f>
        <v>7285</v>
      </c>
      <c r="Q4094" s="129">
        <f>M4094*(1+наценка_покупное)+P4094</f>
        <v>19835.959360000001</v>
      </c>
    </row>
    <row r="4095" spans="4:17" hidden="1" outlineLevel="3" x14ac:dyDescent="0.25">
      <c r="E4095" s="74" t="s">
        <v>130</v>
      </c>
      <c r="F4095" s="74"/>
      <c r="G4095" s="74"/>
      <c r="H4095" s="75"/>
      <c r="I4095" s="76"/>
      <c r="J4095" s="78">
        <f>HYPERLINK("#Структура!E1101",Структура!E1101)</f>
        <v>10.89493</v>
      </c>
      <c r="K4095" s="114" t="str">
        <f>HYPERLINK("#Структура!G1101","")</f>
        <v/>
      </c>
      <c r="L4095" s="120">
        <f>HYPERLINK("#Покупные_изделия!D305",Покупные_изделия!D305)</f>
        <v>160</v>
      </c>
      <c r="M4095" s="76">
        <f>J4095*L4095</f>
        <v>1743.1888000000001</v>
      </c>
      <c r="N4095" s="77"/>
      <c r="O4095" s="77"/>
      <c r="P4095" s="76"/>
      <c r="Q4095" s="76"/>
    </row>
    <row r="4096" spans="4:17" hidden="1" outlineLevel="2" collapsed="1" x14ac:dyDescent="0.25">
      <c r="D4096" s="84" t="s">
        <v>951</v>
      </c>
      <c r="E4096" s="79"/>
      <c r="F4096" s="79"/>
      <c r="G4096" s="79"/>
      <c r="H4096" s="80"/>
      <c r="I4096" s="81"/>
      <c r="J4096" s="83">
        <f>HYPERLINK("#Структура!E3315",Структура!E3315)</f>
        <v>6</v>
      </c>
      <c r="K4096" s="115">
        <f>HYPERLINK("#Структура!G3315",Структура!G3315)</f>
        <v>8.5722100000000001</v>
      </c>
      <c r="L4096" s="81">
        <f>M4096/J4096</f>
        <v>1650.8367999999998</v>
      </c>
      <c r="M4096" s="81">
        <f>SUMIF(E4097,"*",M4097)*J4096</f>
        <v>9905.0207999999984</v>
      </c>
      <c r="N4096" s="124">
        <f>HYPERLINK("#Трудозатраты!B273",Трудозатраты!B273+SUMIF(E4097,"*",O4097))</f>
        <v>27</v>
      </c>
      <c r="O4096" s="82">
        <f>N4096*J4096</f>
        <v>162</v>
      </c>
      <c r="P4096" s="81">
        <f>O4096/60*(1+запас_труд)*стоимость_трудочаса</f>
        <v>6345</v>
      </c>
      <c r="Q4096" s="129">
        <f>M4096*(1+наценка_покупное)+P4096</f>
        <v>18231.024959999995</v>
      </c>
    </row>
    <row r="4097" spans="4:17" hidden="1" outlineLevel="3" x14ac:dyDescent="0.25">
      <c r="E4097" s="74" t="s">
        <v>131</v>
      </c>
      <c r="F4097" s="74"/>
      <c r="G4097" s="74"/>
      <c r="H4097" s="75"/>
      <c r="I4097" s="76"/>
      <c r="J4097" s="78">
        <f>HYPERLINK("#Структура!E1102",Структура!E1102)</f>
        <v>10.317729999999999</v>
      </c>
      <c r="K4097" s="114" t="str">
        <f>HYPERLINK("#Структура!G1102","")</f>
        <v/>
      </c>
      <c r="L4097" s="120">
        <f>HYPERLINK("#Покупные_изделия!D306",Покупные_изделия!D306)</f>
        <v>160</v>
      </c>
      <c r="M4097" s="76">
        <f>J4097*L4097</f>
        <v>1650.8367999999998</v>
      </c>
      <c r="N4097" s="77"/>
      <c r="O4097" s="77"/>
      <c r="P4097" s="76"/>
      <c r="Q4097" s="76"/>
    </row>
    <row r="4098" spans="4:17" hidden="1" outlineLevel="2" collapsed="1" x14ac:dyDescent="0.25">
      <c r="D4098" s="84" t="s">
        <v>952</v>
      </c>
      <c r="E4098" s="79"/>
      <c r="F4098" s="79"/>
      <c r="G4098" s="79"/>
      <c r="H4098" s="80"/>
      <c r="I4098" s="81"/>
      <c r="J4098" s="83">
        <f>HYPERLINK("#Структура!E3316",Структура!E3316)</f>
        <v>12</v>
      </c>
      <c r="K4098" s="115">
        <f>HYPERLINK("#Структура!G3316",Структура!G3316)</f>
        <v>4.7079999999999997E-2</v>
      </c>
      <c r="L4098" s="81">
        <f>M4098/J4098</f>
        <v>5</v>
      </c>
      <c r="M4098" s="81">
        <f>SUMIF(E4099,"*",M4099)*J4098</f>
        <v>60</v>
      </c>
      <c r="N4098" s="124">
        <f>HYPERLINK("#Трудозатраты!B274",Трудозатраты!B274+SUMIF(E4099,"*",O4099))</f>
        <v>9.02</v>
      </c>
      <c r="O4098" s="82">
        <f>N4098*J4098</f>
        <v>108.24</v>
      </c>
      <c r="P4098" s="81">
        <f>O4098/60*(1+запас_труд)*стоимость_трудочаса</f>
        <v>4239.3999999999996</v>
      </c>
      <c r="Q4098" s="129">
        <f>M4098*(1+наценка_покупное)+P4098</f>
        <v>4311.3999999999996</v>
      </c>
    </row>
    <row r="4099" spans="4:17" hidden="1" outlineLevel="3" x14ac:dyDescent="0.25">
      <c r="E4099" s="74" t="s">
        <v>104</v>
      </c>
      <c r="F4099" s="74"/>
      <c r="G4099" s="74"/>
      <c r="H4099" s="75"/>
      <c r="I4099" s="76"/>
      <c r="J4099" s="78">
        <f>HYPERLINK("#Структура!E1103",Структура!E1103)</f>
        <v>0.05</v>
      </c>
      <c r="K4099" s="114" t="str">
        <f>HYPERLINK("#Структура!G1103","")</f>
        <v/>
      </c>
      <c r="L4099" s="120">
        <f>HYPERLINK("#Покупные_изделия!D273",Покупные_изделия!D273)</f>
        <v>100</v>
      </c>
      <c r="M4099" s="76">
        <f>J4099*L4099</f>
        <v>5</v>
      </c>
      <c r="N4099" s="77"/>
      <c r="O4099" s="77"/>
      <c r="P4099" s="76"/>
      <c r="Q4099" s="76"/>
    </row>
    <row r="4100" spans="4:17" hidden="1" outlineLevel="2" collapsed="1" x14ac:dyDescent="0.25">
      <c r="D4100" s="84" t="s">
        <v>953</v>
      </c>
      <c r="E4100" s="79"/>
      <c r="F4100" s="79"/>
      <c r="G4100" s="79"/>
      <c r="H4100" s="80"/>
      <c r="I4100" s="81"/>
      <c r="J4100" s="83">
        <f>HYPERLINK("#Структура!E3317",Структура!E3317)</f>
        <v>25</v>
      </c>
      <c r="K4100" s="115">
        <f>HYPERLINK("#Структура!G3317",Структура!G3317)</f>
        <v>4.5089999999999998E-2</v>
      </c>
      <c r="L4100" s="81">
        <f>M4100/J4100</f>
        <v>11.304</v>
      </c>
      <c r="M4100" s="81">
        <f>SUMIF(E4101,"*",M4101)*J4100</f>
        <v>282.60000000000002</v>
      </c>
      <c r="N4100" s="124">
        <f>HYPERLINK("#Трудозатраты!B275",Трудозатраты!B275+SUMIF(E4101,"*",O4101))</f>
        <v>0.3</v>
      </c>
      <c r="O4100" s="82">
        <f>N4100*J4100</f>
        <v>7.5</v>
      </c>
      <c r="P4100" s="81">
        <f>O4100/60*(1+запас_труд)*стоимость_трудочаса</f>
        <v>293.75</v>
      </c>
      <c r="Q4100" s="129">
        <f>M4100*(1+наценка_покупное)+P4100</f>
        <v>632.87</v>
      </c>
    </row>
    <row r="4101" spans="4:17" hidden="1" outlineLevel="3" x14ac:dyDescent="0.25">
      <c r="E4101" s="74" t="s">
        <v>130</v>
      </c>
      <c r="F4101" s="74"/>
      <c r="G4101" s="74"/>
      <c r="H4101" s="75"/>
      <c r="I4101" s="76"/>
      <c r="J4101" s="78">
        <f>HYPERLINK("#Структура!E1104",Структура!E1104)</f>
        <v>7.0650000000000004E-2</v>
      </c>
      <c r="K4101" s="114" t="str">
        <f>HYPERLINK("#Структура!G1104","")</f>
        <v/>
      </c>
      <c r="L4101" s="120">
        <f>HYPERLINK("#Покупные_изделия!D305",Покупные_изделия!D305)</f>
        <v>160</v>
      </c>
      <c r="M4101" s="76">
        <f>J4101*L4101</f>
        <v>11.304</v>
      </c>
      <c r="N4101" s="77"/>
      <c r="O4101" s="77"/>
      <c r="P4101" s="76"/>
      <c r="Q4101" s="76"/>
    </row>
    <row r="4102" spans="4:17" hidden="1" outlineLevel="2" collapsed="1" x14ac:dyDescent="0.25">
      <c r="D4102" s="84" t="s">
        <v>954</v>
      </c>
      <c r="E4102" s="79"/>
      <c r="F4102" s="79"/>
      <c r="G4102" s="79"/>
      <c r="H4102" s="80"/>
      <c r="I4102" s="81"/>
      <c r="J4102" s="83">
        <f>HYPERLINK("#Структура!E3318",Структура!E3318)</f>
        <v>1</v>
      </c>
      <c r="K4102" s="115">
        <f>HYPERLINK("#Структура!G3318",Структура!G3318)</f>
        <v>4.1004100000000001</v>
      </c>
      <c r="L4102" s="81">
        <f>M4102/J4102</f>
        <v>1083.139932</v>
      </c>
      <c r="M4102" s="81">
        <f>SUMIF(E4103:E4107,"*",M4103:M4107)*J4102</f>
        <v>1083.139932</v>
      </c>
      <c r="N4102" s="124">
        <f>HYPERLINK("#Трудозатраты!B276",Трудозатраты!B276+SUMIF(E4103:E4107,"*",O4103:O4107))</f>
        <v>40.450000000000003</v>
      </c>
      <c r="O4102" s="82">
        <f>N4102*J4102</f>
        <v>40.450000000000003</v>
      </c>
      <c r="P4102" s="81">
        <f>O4102/60*(1+запас_труд)*стоимость_трудочаса</f>
        <v>1584.2916666666667</v>
      </c>
      <c r="Q4102" s="129">
        <f>M4102*(1+наценка_покупное)+P4102</f>
        <v>2884.0595850666668</v>
      </c>
    </row>
    <row r="4103" spans="4:17" hidden="1" outlineLevel="3" x14ac:dyDescent="0.25">
      <c r="E4103" s="74" t="s">
        <v>65</v>
      </c>
      <c r="F4103" s="74"/>
      <c r="G4103" s="74"/>
      <c r="H4103" s="75"/>
      <c r="I4103" s="76"/>
      <c r="J4103" s="78">
        <f>HYPERLINK("#Структура!E1105",Структура!E1105)</f>
        <v>8.1000000000000003E-2</v>
      </c>
      <c r="K4103" s="114" t="str">
        <f>HYPERLINK("#Структура!G1105","")</f>
        <v/>
      </c>
      <c r="L4103" s="120">
        <f>HYPERLINK("#Покупные_изделия!D197",Покупные_изделия!D197)</f>
        <v>264.50399999999996</v>
      </c>
      <c r="M4103" s="76">
        <f>J4103*L4103</f>
        <v>21.424823999999997</v>
      </c>
      <c r="N4103" s="77"/>
      <c r="O4103" s="77"/>
      <c r="P4103" s="76"/>
      <c r="Q4103" s="76"/>
    </row>
    <row r="4104" spans="4:17" hidden="1" outlineLevel="3" x14ac:dyDescent="0.25">
      <c r="E4104" s="74" t="s">
        <v>109</v>
      </c>
      <c r="F4104" s="74"/>
      <c r="G4104" s="74"/>
      <c r="H4104" s="75"/>
      <c r="I4104" s="76"/>
      <c r="J4104" s="78">
        <f>HYPERLINK("#Структура!E1106",Структура!E1106)</f>
        <v>7.78634</v>
      </c>
      <c r="K4104" s="114" t="str">
        <f>HYPERLINK("#Структура!G1106","")</f>
        <v/>
      </c>
      <c r="L4104" s="120">
        <f>HYPERLINK("#Покупные_изделия!D281",Покупные_изделия!D281)</f>
        <v>120</v>
      </c>
      <c r="M4104" s="76">
        <f>J4104*L4104</f>
        <v>934.36080000000004</v>
      </c>
      <c r="N4104" s="77"/>
      <c r="O4104" s="77"/>
      <c r="P4104" s="76"/>
      <c r="Q4104" s="76"/>
    </row>
    <row r="4105" spans="4:17" hidden="1" outlineLevel="3" x14ac:dyDescent="0.25">
      <c r="E4105" s="74" t="s">
        <v>155</v>
      </c>
      <c r="F4105" s="74"/>
      <c r="G4105" s="74"/>
      <c r="H4105" s="75"/>
      <c r="I4105" s="76"/>
      <c r="J4105" s="78">
        <f>HYPERLINK("#Структура!E1107",Структура!E1107)</f>
        <v>3.5000000000000003E-2</v>
      </c>
      <c r="K4105" s="114" t="str">
        <f>HYPERLINK("#Структура!G1107","")</f>
        <v/>
      </c>
      <c r="L4105" s="120">
        <f>HYPERLINK("#Покупные_изделия!D423",Покупные_изделия!D423)</f>
        <v>218.28</v>
      </c>
      <c r="M4105" s="76">
        <f>J4105*L4105</f>
        <v>7.639800000000001</v>
      </c>
      <c r="N4105" s="77"/>
      <c r="O4105" s="77"/>
      <c r="P4105" s="76"/>
      <c r="Q4105" s="76"/>
    </row>
    <row r="4106" spans="4:17" hidden="1" outlineLevel="3" x14ac:dyDescent="0.25">
      <c r="E4106" s="74" t="s">
        <v>156</v>
      </c>
      <c r="F4106" s="74"/>
      <c r="G4106" s="74"/>
      <c r="H4106" s="75"/>
      <c r="I4106" s="76"/>
      <c r="J4106" s="78">
        <f>HYPERLINK("#Структура!E1108",Структура!E1108)</f>
        <v>8.1000000000000003E-2</v>
      </c>
      <c r="K4106" s="114" t="str">
        <f>HYPERLINK("#Структура!G1108","")</f>
        <v/>
      </c>
      <c r="L4106" s="120">
        <f>HYPERLINK("#Покупные_изделия!D427",Покупные_изделия!D427)</f>
        <v>155.53200000000001</v>
      </c>
      <c r="M4106" s="76">
        <f>J4106*L4106</f>
        <v>12.598092000000001</v>
      </c>
      <c r="N4106" s="77"/>
      <c r="O4106" s="77"/>
      <c r="P4106" s="76"/>
      <c r="Q4106" s="76"/>
    </row>
    <row r="4107" spans="4:17" hidden="1" outlineLevel="3" x14ac:dyDescent="0.25">
      <c r="E4107" s="74" t="s">
        <v>215</v>
      </c>
      <c r="F4107" s="74"/>
      <c r="G4107" s="74"/>
      <c r="H4107" s="75"/>
      <c r="I4107" s="76"/>
      <c r="J4107" s="78">
        <f>HYPERLINK("#Структура!E1109",Структура!E1109)</f>
        <v>0.26400000000000001</v>
      </c>
      <c r="K4107" s="114" t="str">
        <f>HYPERLINK("#Структура!G1109","")</f>
        <v/>
      </c>
      <c r="L4107" s="120">
        <f>HYPERLINK("#Покупные_изделия!D567",Покупные_изделия!D567)</f>
        <v>405.74399999999997</v>
      </c>
      <c r="M4107" s="76">
        <f>J4107*L4107</f>
        <v>107.116416</v>
      </c>
      <c r="N4107" s="77"/>
      <c r="O4107" s="77"/>
      <c r="P4107" s="76"/>
      <c r="Q4107" s="76"/>
    </row>
    <row r="4108" spans="4:17" hidden="1" outlineLevel="2" collapsed="1" x14ac:dyDescent="0.25">
      <c r="D4108" s="84" t="s">
        <v>955</v>
      </c>
      <c r="E4108" s="79"/>
      <c r="F4108" s="79"/>
      <c r="G4108" s="79"/>
      <c r="H4108" s="80"/>
      <c r="I4108" s="81"/>
      <c r="J4108" s="83">
        <f>HYPERLINK("#Структура!E3319",Структура!E3319)</f>
        <v>1</v>
      </c>
      <c r="K4108" s="115">
        <f>HYPERLINK("#Структура!G3319",Структура!G3319)</f>
        <v>4.2435900000000002</v>
      </c>
      <c r="L4108" s="81">
        <f>M4108/J4108</f>
        <v>1079.88816</v>
      </c>
      <c r="M4108" s="81">
        <f>SUMIF(E4109:E4113,"*",M4109:M4113)*J4108</f>
        <v>1079.88816</v>
      </c>
      <c r="N4108" s="124">
        <f>HYPERLINK("#Трудозатраты!B277",Трудозатраты!B277+SUMIF(E4109:E4113,"*",O4109:O4113))</f>
        <v>40.75</v>
      </c>
      <c r="O4108" s="82">
        <f>N4108*J4108</f>
        <v>40.75</v>
      </c>
      <c r="P4108" s="81">
        <f>O4108/60*(1+запас_труд)*стоимость_трудочаса</f>
        <v>1596.0416666666667</v>
      </c>
      <c r="Q4108" s="129">
        <f>M4108*(1+наценка_покупное)+P4108</f>
        <v>2891.9074586666666</v>
      </c>
    </row>
    <row r="4109" spans="4:17" hidden="1" outlineLevel="3" x14ac:dyDescent="0.25">
      <c r="E4109" s="74" t="s">
        <v>65</v>
      </c>
      <c r="F4109" s="74"/>
      <c r="G4109" s="74"/>
      <c r="H4109" s="75"/>
      <c r="I4109" s="76"/>
      <c r="J4109" s="78">
        <f>HYPERLINK("#Структура!E1110",Структура!E1110)</f>
        <v>8.4000000000000005E-2</v>
      </c>
      <c r="K4109" s="114" t="str">
        <f>HYPERLINK("#Структура!G1110","")</f>
        <v/>
      </c>
      <c r="L4109" s="120">
        <f>HYPERLINK("#Покупные_изделия!D197",Покупные_изделия!D197)</f>
        <v>264.50399999999996</v>
      </c>
      <c r="M4109" s="76">
        <f>J4109*L4109</f>
        <v>22.218335999999997</v>
      </c>
      <c r="N4109" s="77"/>
      <c r="O4109" s="77"/>
      <c r="P4109" s="76"/>
      <c r="Q4109" s="76"/>
    </row>
    <row r="4110" spans="4:17" hidden="1" outlineLevel="3" x14ac:dyDescent="0.25">
      <c r="E4110" s="74" t="s">
        <v>109</v>
      </c>
      <c r="F4110" s="74"/>
      <c r="G4110" s="74"/>
      <c r="H4110" s="75"/>
      <c r="I4110" s="76"/>
      <c r="J4110" s="78">
        <f>HYPERLINK("#Структура!E1111",Структура!E1111)</f>
        <v>7.7131100000000004</v>
      </c>
      <c r="K4110" s="114" t="str">
        <f>HYPERLINK("#Структура!G1111","")</f>
        <v/>
      </c>
      <c r="L4110" s="120">
        <f>HYPERLINK("#Покупные_изделия!D281",Покупные_изделия!D281)</f>
        <v>120</v>
      </c>
      <c r="M4110" s="76">
        <f>J4110*L4110</f>
        <v>925.57320000000004</v>
      </c>
      <c r="N4110" s="77"/>
      <c r="O4110" s="77"/>
      <c r="P4110" s="76"/>
      <c r="Q4110" s="76"/>
    </row>
    <row r="4111" spans="4:17" hidden="1" outlineLevel="3" x14ac:dyDescent="0.25">
      <c r="E4111" s="74" t="s">
        <v>155</v>
      </c>
      <c r="F4111" s="74"/>
      <c r="G4111" s="74"/>
      <c r="H4111" s="75"/>
      <c r="I4111" s="76"/>
      <c r="J4111" s="78">
        <f>HYPERLINK("#Структура!E1112",Структура!E1112)</f>
        <v>3.5999999999999997E-2</v>
      </c>
      <c r="K4111" s="114" t="str">
        <f>HYPERLINK("#Структура!G1112","")</f>
        <v/>
      </c>
      <c r="L4111" s="120">
        <f>HYPERLINK("#Покупные_изделия!D423",Покупные_изделия!D423)</f>
        <v>218.28</v>
      </c>
      <c r="M4111" s="76">
        <f>J4111*L4111</f>
        <v>7.8580799999999993</v>
      </c>
      <c r="N4111" s="77"/>
      <c r="O4111" s="77"/>
      <c r="P4111" s="76"/>
      <c r="Q4111" s="76"/>
    </row>
    <row r="4112" spans="4:17" hidden="1" outlineLevel="3" x14ac:dyDescent="0.25">
      <c r="E4112" s="74" t="s">
        <v>156</v>
      </c>
      <c r="F4112" s="74"/>
      <c r="G4112" s="74"/>
      <c r="H4112" s="75"/>
      <c r="I4112" s="76"/>
      <c r="J4112" s="78">
        <f>HYPERLINK("#Структура!E1113",Структура!E1113)</f>
        <v>8.4000000000000005E-2</v>
      </c>
      <c r="K4112" s="114" t="str">
        <f>HYPERLINK("#Структура!G1113","")</f>
        <v/>
      </c>
      <c r="L4112" s="120">
        <f>HYPERLINK("#Покупные_изделия!D427",Покупные_изделия!D427)</f>
        <v>155.53200000000001</v>
      </c>
      <c r="M4112" s="76">
        <f>J4112*L4112</f>
        <v>13.064688000000002</v>
      </c>
      <c r="N4112" s="77"/>
      <c r="O4112" s="77"/>
      <c r="P4112" s="76"/>
      <c r="Q4112" s="76"/>
    </row>
    <row r="4113" spans="4:17" hidden="1" outlineLevel="3" x14ac:dyDescent="0.25">
      <c r="E4113" s="74" t="s">
        <v>215</v>
      </c>
      <c r="F4113" s="74"/>
      <c r="G4113" s="74"/>
      <c r="H4113" s="75"/>
      <c r="I4113" s="76"/>
      <c r="J4113" s="78">
        <f>HYPERLINK("#Структура!E1114",Структура!E1114)</f>
        <v>0.27400000000000002</v>
      </c>
      <c r="K4113" s="114" t="str">
        <f>HYPERLINK("#Структура!G1114","")</f>
        <v/>
      </c>
      <c r="L4113" s="120">
        <f>HYPERLINK("#Покупные_изделия!D567",Покупные_изделия!D567)</f>
        <v>405.74399999999997</v>
      </c>
      <c r="M4113" s="76">
        <f>J4113*L4113</f>
        <v>111.173856</v>
      </c>
      <c r="N4113" s="77"/>
      <c r="O4113" s="77"/>
      <c r="P4113" s="76"/>
      <c r="Q4113" s="76"/>
    </row>
    <row r="4114" spans="4:17" hidden="1" outlineLevel="2" collapsed="1" x14ac:dyDescent="0.25">
      <c r="D4114" s="84" t="s">
        <v>956</v>
      </c>
      <c r="E4114" s="79"/>
      <c r="F4114" s="79"/>
      <c r="G4114" s="79"/>
      <c r="H4114" s="80"/>
      <c r="I4114" s="81"/>
      <c r="J4114" s="83">
        <f>HYPERLINK("#Структура!E3320",Структура!E3320)</f>
        <v>48</v>
      </c>
      <c r="K4114" s="115">
        <f>HYPERLINK("#Структура!G3320",Структура!G3320)</f>
        <v>0.43806</v>
      </c>
      <c r="L4114" s="81">
        <f>M4114/J4114</f>
        <v>85.062399999999997</v>
      </c>
      <c r="M4114" s="81">
        <f>SUMIF(E4115,"*",M4115)*J4114</f>
        <v>4082.9951999999998</v>
      </c>
      <c r="N4114" s="124">
        <f>HYPERLINK("#Трудозатраты!B278",Трудозатраты!B278+SUMIF(E4115,"*",O4115))</f>
        <v>8.8000000000000007</v>
      </c>
      <c r="O4114" s="82">
        <f>N4114*J4114</f>
        <v>422.40000000000003</v>
      </c>
      <c r="P4114" s="81">
        <f>O4114/60*(1+запас_труд)*стоимость_трудочаса</f>
        <v>16544.000000000004</v>
      </c>
      <c r="Q4114" s="129">
        <f>M4114*(1+наценка_покупное)+P4114</f>
        <v>21443.594240000002</v>
      </c>
    </row>
    <row r="4115" spans="4:17" hidden="1" outlineLevel="3" x14ac:dyDescent="0.25">
      <c r="E4115" s="74" t="s">
        <v>128</v>
      </c>
      <c r="F4115" s="74"/>
      <c r="G4115" s="74"/>
      <c r="H4115" s="75"/>
      <c r="I4115" s="76"/>
      <c r="J4115" s="78">
        <f>HYPERLINK("#Структура!E1115",Структура!E1115)</f>
        <v>0.53164</v>
      </c>
      <c r="K4115" s="114" t="str">
        <f>HYPERLINK("#Структура!G1115","")</f>
        <v/>
      </c>
      <c r="L4115" s="120">
        <f>HYPERLINK("#Покупные_изделия!D303",Покупные_изделия!D303)</f>
        <v>160</v>
      </c>
      <c r="M4115" s="76">
        <f>J4115*L4115</f>
        <v>85.062399999999997</v>
      </c>
      <c r="N4115" s="77"/>
      <c r="O4115" s="77"/>
      <c r="P4115" s="76"/>
      <c r="Q4115" s="76"/>
    </row>
    <row r="4116" spans="4:17" hidden="1" outlineLevel="2" collapsed="1" x14ac:dyDescent="0.25">
      <c r="D4116" s="84" t="s">
        <v>957</v>
      </c>
      <c r="E4116" s="79"/>
      <c r="F4116" s="79"/>
      <c r="G4116" s="79"/>
      <c r="H4116" s="80"/>
      <c r="I4116" s="81"/>
      <c r="J4116" s="83">
        <f>HYPERLINK("#Структура!E3321",Структура!E3321)</f>
        <v>24</v>
      </c>
      <c r="K4116" s="115">
        <f>HYPERLINK("#Структура!G3321",Структура!G3321)</f>
        <v>0.42845</v>
      </c>
      <c r="L4116" s="81">
        <f>M4116/J4116</f>
        <v>82.364800000000002</v>
      </c>
      <c r="M4116" s="81">
        <f>SUMIF(E4117,"*",M4117)*J4116</f>
        <v>1976.7552000000001</v>
      </c>
      <c r="N4116" s="124">
        <f>HYPERLINK("#Трудозатраты!B279",Трудозатраты!B279+SUMIF(E4117,"*",O4117))</f>
        <v>9.15</v>
      </c>
      <c r="O4116" s="82">
        <f>N4116*J4116</f>
        <v>219.60000000000002</v>
      </c>
      <c r="P4116" s="81">
        <f>O4116/60*(1+запас_труд)*стоимость_трудочаса</f>
        <v>8601.0000000000018</v>
      </c>
      <c r="Q4116" s="129">
        <f>M4116*(1+наценка_покупное)+P4116</f>
        <v>10973.106240000001</v>
      </c>
    </row>
    <row r="4117" spans="4:17" hidden="1" outlineLevel="3" x14ac:dyDescent="0.25">
      <c r="E4117" s="74" t="s">
        <v>124</v>
      </c>
      <c r="F4117" s="74"/>
      <c r="G4117" s="74"/>
      <c r="H4117" s="75"/>
      <c r="I4117" s="76"/>
      <c r="J4117" s="78">
        <f>HYPERLINK("#Структура!E1116",Структура!E1116)</f>
        <v>0.51478000000000002</v>
      </c>
      <c r="K4117" s="114" t="str">
        <f>HYPERLINK("#Структура!G1116","")</f>
        <v/>
      </c>
      <c r="L4117" s="120">
        <f>HYPERLINK("#Покупные_изделия!D299",Покупные_изделия!D299)</f>
        <v>160</v>
      </c>
      <c r="M4117" s="76">
        <f>J4117*L4117</f>
        <v>82.364800000000002</v>
      </c>
      <c r="N4117" s="77"/>
      <c r="O4117" s="77"/>
      <c r="P4117" s="76"/>
      <c r="Q4117" s="76"/>
    </row>
    <row r="4118" spans="4:17" hidden="1" outlineLevel="2" collapsed="1" x14ac:dyDescent="0.25">
      <c r="D4118" s="84" t="s">
        <v>958</v>
      </c>
      <c r="E4118" s="79"/>
      <c r="F4118" s="79"/>
      <c r="G4118" s="79"/>
      <c r="H4118" s="80"/>
      <c r="I4118" s="81"/>
      <c r="J4118" s="83">
        <f>HYPERLINK("#Структура!E3322",Структура!E3322)</f>
        <v>4</v>
      </c>
      <c r="K4118" s="115">
        <f>HYPERLINK("#Структура!G3322",Структура!G3322)</f>
        <v>0.49115999999999999</v>
      </c>
      <c r="L4118" s="81">
        <f>M4118/J4118</f>
        <v>95.315200000000004</v>
      </c>
      <c r="M4118" s="81">
        <f>SUMIF(E4119,"*",M4119)*J4118</f>
        <v>381.26080000000002</v>
      </c>
      <c r="N4118" s="124">
        <f>HYPERLINK("#Трудозатраты!B280",Трудозатраты!B280+SUMIF(E4119,"*",O4119))</f>
        <v>7.15</v>
      </c>
      <c r="O4118" s="82">
        <f>N4118*J4118</f>
        <v>28.6</v>
      </c>
      <c r="P4118" s="81">
        <f>O4118/60*(1+запас_труд)*стоимость_трудочаса</f>
        <v>1120.1666666666667</v>
      </c>
      <c r="Q4118" s="129">
        <f>M4118*(1+наценка_покупное)+P4118</f>
        <v>1577.6796266666668</v>
      </c>
    </row>
    <row r="4119" spans="4:17" hidden="1" outlineLevel="3" x14ac:dyDescent="0.25">
      <c r="E4119" s="74" t="s">
        <v>124</v>
      </c>
      <c r="F4119" s="74"/>
      <c r="G4119" s="74"/>
      <c r="H4119" s="75"/>
      <c r="I4119" s="76"/>
      <c r="J4119" s="78">
        <f>HYPERLINK("#Структура!E1117",Структура!E1117)</f>
        <v>0.59572000000000003</v>
      </c>
      <c r="K4119" s="114" t="str">
        <f>HYPERLINK("#Структура!G1117","")</f>
        <v/>
      </c>
      <c r="L4119" s="120">
        <f>HYPERLINK("#Покупные_изделия!D299",Покупные_изделия!D299)</f>
        <v>160</v>
      </c>
      <c r="M4119" s="76">
        <f>J4119*L4119</f>
        <v>95.315200000000004</v>
      </c>
      <c r="N4119" s="77"/>
      <c r="O4119" s="77"/>
      <c r="P4119" s="76"/>
      <c r="Q4119" s="76"/>
    </row>
    <row r="4120" spans="4:17" hidden="1" outlineLevel="2" collapsed="1" x14ac:dyDescent="0.25">
      <c r="D4120" s="84" t="s">
        <v>959</v>
      </c>
      <c r="E4120" s="79"/>
      <c r="F4120" s="79"/>
      <c r="G4120" s="79"/>
      <c r="H4120" s="80"/>
      <c r="I4120" s="81"/>
      <c r="J4120" s="83">
        <f>HYPERLINK("#Структура!E3323",Структура!E3323)</f>
        <v>50</v>
      </c>
      <c r="K4120" s="115">
        <f>HYPERLINK("#Структура!G3323",Структура!G3323)</f>
        <v>0.82616999999999996</v>
      </c>
      <c r="L4120" s="81">
        <f>M4120/J4120</f>
        <v>160.608</v>
      </c>
      <c r="M4120" s="81">
        <f>SUMIF(E4121,"*",M4121)*J4120</f>
        <v>8030.4000000000005</v>
      </c>
      <c r="N4120" s="124">
        <f>HYPERLINK("#Трудозатраты!B283",Трудозатраты!B283+SUMIF(E4121,"*",O4121))</f>
        <v>9.25</v>
      </c>
      <c r="O4120" s="82">
        <f>N4120*J4120</f>
        <v>462.5</v>
      </c>
      <c r="P4120" s="81">
        <f>O4120/60*(1+запас_труд)*стоимость_трудочаса</f>
        <v>18114.583333333332</v>
      </c>
      <c r="Q4120" s="129">
        <f>M4120*(1+наценка_покупное)+P4120</f>
        <v>27751.063333333332</v>
      </c>
    </row>
    <row r="4121" spans="4:17" hidden="1" outlineLevel="3" x14ac:dyDescent="0.25">
      <c r="E4121" s="74" t="s">
        <v>131</v>
      </c>
      <c r="F4121" s="74"/>
      <c r="G4121" s="74"/>
      <c r="H4121" s="75"/>
      <c r="I4121" s="76"/>
      <c r="J4121" s="78">
        <f>HYPERLINK("#Структура!E1120",Структура!E1120)</f>
        <v>1.0038</v>
      </c>
      <c r="K4121" s="114" t="str">
        <f>HYPERLINK("#Структура!G1120","")</f>
        <v/>
      </c>
      <c r="L4121" s="120">
        <f>HYPERLINK("#Покупные_изделия!D306",Покупные_изделия!D306)</f>
        <v>160</v>
      </c>
      <c r="M4121" s="76">
        <f>J4121*L4121</f>
        <v>160.608</v>
      </c>
      <c r="N4121" s="77"/>
      <c r="O4121" s="77"/>
      <c r="P4121" s="76"/>
      <c r="Q4121" s="76"/>
    </row>
    <row r="4122" spans="4:17" hidden="1" outlineLevel="2" collapsed="1" x14ac:dyDescent="0.25">
      <c r="D4122" s="84" t="s">
        <v>960</v>
      </c>
      <c r="E4122" s="79"/>
      <c r="F4122" s="79"/>
      <c r="G4122" s="79"/>
      <c r="H4122" s="80"/>
      <c r="I4122" s="81"/>
      <c r="J4122" s="83">
        <f>HYPERLINK("#Структура!E3324",Структура!E3324)</f>
        <v>6</v>
      </c>
      <c r="K4122" s="115">
        <f>HYPERLINK("#Структура!G3324",Структура!G3324)</f>
        <v>7.3822000000000001</v>
      </c>
      <c r="L4122" s="81">
        <f>M4122/J4122</f>
        <v>1431.9008000000001</v>
      </c>
      <c r="M4122" s="81">
        <f>SUMIF(E4123,"*",M4123)*J4122</f>
        <v>8591.4048000000003</v>
      </c>
      <c r="N4122" s="124">
        <f>HYPERLINK("#Трудозатраты!B284",Трудозатраты!B284+SUMIF(E4123,"*",O4123))</f>
        <v>23.5</v>
      </c>
      <c r="O4122" s="82">
        <f>N4122*J4122</f>
        <v>141</v>
      </c>
      <c r="P4122" s="81">
        <f>O4122/60*(1+запас_труд)*стоимость_трудочаса</f>
        <v>5522.5</v>
      </c>
      <c r="Q4122" s="129">
        <f>M4122*(1+наценка_покупное)+P4122</f>
        <v>15832.18576</v>
      </c>
    </row>
    <row r="4123" spans="4:17" hidden="1" outlineLevel="3" x14ac:dyDescent="0.25">
      <c r="E4123" s="74" t="s">
        <v>131</v>
      </c>
      <c r="F4123" s="74"/>
      <c r="G4123" s="74"/>
      <c r="H4123" s="75"/>
      <c r="I4123" s="76"/>
      <c r="J4123" s="78">
        <f>HYPERLINK("#Структура!E1121",Структура!E1121)</f>
        <v>8.9493799999999997</v>
      </c>
      <c r="K4123" s="114" t="str">
        <f>HYPERLINK("#Структура!G1121","")</f>
        <v/>
      </c>
      <c r="L4123" s="120">
        <f>HYPERLINK("#Покупные_изделия!D306",Покупные_изделия!D306)</f>
        <v>160</v>
      </c>
      <c r="M4123" s="76">
        <f>J4123*L4123</f>
        <v>1431.9007999999999</v>
      </c>
      <c r="N4123" s="77"/>
      <c r="O4123" s="77"/>
      <c r="P4123" s="76"/>
      <c r="Q4123" s="76"/>
    </row>
    <row r="4124" spans="4:17" hidden="1" outlineLevel="2" collapsed="1" x14ac:dyDescent="0.25">
      <c r="D4124" s="84" t="s">
        <v>961</v>
      </c>
      <c r="E4124" s="79"/>
      <c r="F4124" s="79"/>
      <c r="G4124" s="79"/>
      <c r="H4124" s="80"/>
      <c r="I4124" s="81"/>
      <c r="J4124" s="83">
        <f>HYPERLINK("#Структура!E3325",Структура!E3325)</f>
        <v>16</v>
      </c>
      <c r="K4124" s="115">
        <f>HYPERLINK("#Структура!G3325",Структура!G3325)</f>
        <v>1.6832199999999999</v>
      </c>
      <c r="L4124" s="81">
        <f>M4124/J4124</f>
        <v>346.10080000000005</v>
      </c>
      <c r="M4124" s="81">
        <f>SUMIF(E4125,"*",M4125)*J4124</f>
        <v>5537.6128000000008</v>
      </c>
      <c r="N4124" s="124">
        <f>HYPERLINK("#Трудозатраты!B285",Трудозатраты!B285+SUMIF(E4125,"*",O4125))</f>
        <v>8.1999999999999993</v>
      </c>
      <c r="O4124" s="82">
        <f>N4124*J4124</f>
        <v>131.19999999999999</v>
      </c>
      <c r="P4124" s="81">
        <f>O4124/60*(1+запас_труд)*стоимость_трудочаса</f>
        <v>5138.6666666666661</v>
      </c>
      <c r="Q4124" s="129">
        <f>M4124*(1+наценка_покупное)+P4124</f>
        <v>11783.802026666668</v>
      </c>
    </row>
    <row r="4125" spans="4:17" hidden="1" outlineLevel="3" x14ac:dyDescent="0.25">
      <c r="E4125" s="74" t="s">
        <v>131</v>
      </c>
      <c r="F4125" s="74"/>
      <c r="G4125" s="74"/>
      <c r="H4125" s="75"/>
      <c r="I4125" s="76"/>
      <c r="J4125" s="78">
        <f>HYPERLINK("#Структура!E1122",Структура!E1122)</f>
        <v>2.1631300000000002</v>
      </c>
      <c r="K4125" s="114" t="str">
        <f>HYPERLINK("#Структура!G1122","")</f>
        <v/>
      </c>
      <c r="L4125" s="120">
        <f>HYPERLINK("#Покупные_изделия!D306",Покупные_изделия!D306)</f>
        <v>160</v>
      </c>
      <c r="M4125" s="76">
        <f t="shared" ref="M4125:M4137" si="153">J4125*L4125</f>
        <v>346.10080000000005</v>
      </c>
      <c r="N4125" s="77"/>
      <c r="O4125" s="77"/>
      <c r="P4125" s="76"/>
      <c r="Q4125" s="76"/>
    </row>
    <row r="4126" spans="4:17" hidden="1" outlineLevel="2" x14ac:dyDescent="0.25">
      <c r="D4126" s="74" t="s">
        <v>1199</v>
      </c>
      <c r="E4126" s="74"/>
      <c r="F4126" s="74"/>
      <c r="G4126" s="74"/>
      <c r="H4126" s="75"/>
      <c r="I4126" s="76"/>
      <c r="J4126" s="78">
        <f>HYPERLINK("#Структура!E3326",Структура!E3326)</f>
        <v>4</v>
      </c>
      <c r="K4126" s="114">
        <f>HYPERLINK("#Структура!G3326",Структура!G3326)</f>
        <v>3.5999999999999997E-2</v>
      </c>
      <c r="L4126" s="120">
        <f>HYPERLINK("#Покупные_изделия!D74",Покупные_изделия!D74)</f>
        <v>13.912799999999999</v>
      </c>
      <c r="M4126" s="76">
        <f t="shared" si="153"/>
        <v>55.651199999999996</v>
      </c>
      <c r="N4126" s="77"/>
      <c r="O4126" s="77"/>
      <c r="P4126" s="76"/>
      <c r="Q4126" s="76"/>
    </row>
    <row r="4127" spans="4:17" hidden="1" outlineLevel="2" x14ac:dyDescent="0.25">
      <c r="D4127" s="74" t="s">
        <v>622</v>
      </c>
      <c r="E4127" s="74"/>
      <c r="F4127" s="74"/>
      <c r="G4127" s="74"/>
      <c r="H4127" s="75"/>
      <c r="I4127" s="76"/>
      <c r="J4127" s="78">
        <f>HYPERLINK("#Структура!E3327",Структура!E3327)</f>
        <v>554</v>
      </c>
      <c r="K4127" s="114">
        <f>HYPERLINK("#Структура!G3327",Структура!G3327)</f>
        <v>1.52E-2</v>
      </c>
      <c r="L4127" s="120">
        <f>HYPERLINK("#Покупные_изделия!D85",Покупные_изделия!D85)</f>
        <v>8.6999999999999993</v>
      </c>
      <c r="M4127" s="76">
        <f t="shared" si="153"/>
        <v>4819.7999999999993</v>
      </c>
      <c r="N4127" s="77"/>
      <c r="O4127" s="77"/>
      <c r="P4127" s="76"/>
      <c r="Q4127" s="76"/>
    </row>
    <row r="4128" spans="4:17" hidden="1" outlineLevel="2" x14ac:dyDescent="0.25">
      <c r="D4128" s="74" t="s">
        <v>1570</v>
      </c>
      <c r="E4128" s="74"/>
      <c r="F4128" s="74"/>
      <c r="G4128" s="74"/>
      <c r="H4128" s="75"/>
      <c r="I4128" s="76"/>
      <c r="J4128" s="78">
        <f>HYPERLINK("#Структура!E3328",Структура!E3328)</f>
        <v>12</v>
      </c>
      <c r="K4128" s="114">
        <f>HYPERLINK("#Структура!G3328",Структура!G3328)</f>
        <v>1.7500000000000002E-2</v>
      </c>
      <c r="L4128" s="120">
        <f>HYPERLINK("#Покупные_изделия!D116",Покупные_изделия!D116)</f>
        <v>13.978800000000001</v>
      </c>
      <c r="M4128" s="76">
        <f t="shared" si="153"/>
        <v>167.74560000000002</v>
      </c>
      <c r="N4128" s="77"/>
      <c r="O4128" s="77"/>
      <c r="P4128" s="76"/>
      <c r="Q4128" s="76"/>
    </row>
    <row r="4129" spans="3:17" hidden="1" outlineLevel="2" x14ac:dyDescent="0.25">
      <c r="D4129" s="74" t="s">
        <v>1571</v>
      </c>
      <c r="E4129" s="74"/>
      <c r="F4129" s="74"/>
      <c r="G4129" s="74"/>
      <c r="H4129" s="75"/>
      <c r="I4129" s="76"/>
      <c r="J4129" s="78">
        <f>HYPERLINK("#Структура!E3329",Структура!E3329)</f>
        <v>16</v>
      </c>
      <c r="K4129" s="114">
        <f>HYPERLINK("#Структура!G3329",Структура!G3329)</f>
        <v>8.0149999999999999E-2</v>
      </c>
      <c r="L4129" s="120">
        <f>HYPERLINK("#Покупные_изделия!D90",Покупные_изделия!D90)</f>
        <v>55.000000000000007</v>
      </c>
      <c r="M4129" s="76">
        <f t="shared" si="153"/>
        <v>880.00000000000011</v>
      </c>
      <c r="N4129" s="77"/>
      <c r="O4129" s="77"/>
      <c r="P4129" s="76"/>
      <c r="Q4129" s="76"/>
    </row>
    <row r="4130" spans="3:17" hidden="1" outlineLevel="2" x14ac:dyDescent="0.25">
      <c r="D4130" s="74" t="s">
        <v>1572</v>
      </c>
      <c r="E4130" s="74"/>
      <c r="F4130" s="74"/>
      <c r="G4130" s="74"/>
      <c r="H4130" s="75"/>
      <c r="I4130" s="76"/>
      <c r="J4130" s="78">
        <f>HYPERLINK("#Структура!E3330",Структура!E3330)</f>
        <v>144</v>
      </c>
      <c r="K4130" s="114">
        <f>HYPERLINK("#Структура!G3330",Структура!G3330)</f>
        <v>5.5000000000000003E-4</v>
      </c>
      <c r="L4130" s="120">
        <f>HYPERLINK("#Покупные_изделия!D121",Покупные_изделия!D121)</f>
        <v>0.88440000000000007</v>
      </c>
      <c r="M4130" s="76">
        <f t="shared" si="153"/>
        <v>127.35360000000001</v>
      </c>
      <c r="N4130" s="77"/>
      <c r="O4130" s="77"/>
      <c r="P4130" s="76"/>
      <c r="Q4130" s="76"/>
    </row>
    <row r="4131" spans="3:17" hidden="1" outlineLevel="2" x14ac:dyDescent="0.25">
      <c r="D4131" s="74" t="s">
        <v>1001</v>
      </c>
      <c r="E4131" s="74"/>
      <c r="F4131" s="74"/>
      <c r="G4131" s="74"/>
      <c r="H4131" s="75"/>
      <c r="I4131" s="76"/>
      <c r="J4131" s="78">
        <f>HYPERLINK("#Структура!E3331",Структура!E3331)</f>
        <v>286</v>
      </c>
      <c r="K4131" s="114">
        <f>HYPERLINK("#Структура!G3331",Структура!G3331)</f>
        <v>9.5300000000000003E-3</v>
      </c>
      <c r="L4131" s="120">
        <f>HYPERLINK("#Покупные_изделия!D124",Покупные_изделия!D124)</f>
        <v>8.6999999999999993</v>
      </c>
      <c r="M4131" s="76">
        <f t="shared" si="153"/>
        <v>2488.1999999999998</v>
      </c>
      <c r="N4131" s="77"/>
      <c r="O4131" s="77"/>
      <c r="P4131" s="76"/>
      <c r="Q4131" s="76"/>
    </row>
    <row r="4132" spans="3:17" hidden="1" outlineLevel="2" x14ac:dyDescent="0.25">
      <c r="D4132" s="74" t="s">
        <v>1573</v>
      </c>
      <c r="E4132" s="74"/>
      <c r="F4132" s="74"/>
      <c r="G4132" s="74"/>
      <c r="H4132" s="75"/>
      <c r="I4132" s="76"/>
      <c r="J4132" s="78">
        <f>HYPERLINK("#Структура!E3332",Структура!E3332)</f>
        <v>4</v>
      </c>
      <c r="K4132" s="114">
        <f>HYPERLINK("#Структура!G3332",Структура!G3332)</f>
        <v>5.4999999999999997E-3</v>
      </c>
      <c r="L4132" s="120">
        <f>HYPERLINK("#Покупные_изделия!D132",Покупные_изделия!D132)</f>
        <v>11</v>
      </c>
      <c r="M4132" s="76">
        <f t="shared" si="153"/>
        <v>44</v>
      </c>
      <c r="N4132" s="77"/>
      <c r="O4132" s="77"/>
      <c r="P4132" s="76"/>
      <c r="Q4132" s="76"/>
    </row>
    <row r="4133" spans="3:17" hidden="1" outlineLevel="2" x14ac:dyDescent="0.25">
      <c r="D4133" s="74" t="s">
        <v>766</v>
      </c>
      <c r="E4133" s="74"/>
      <c r="F4133" s="74"/>
      <c r="G4133" s="74"/>
      <c r="H4133" s="75"/>
      <c r="I4133" s="76"/>
      <c r="J4133" s="78">
        <f>HYPERLINK("#Структура!E3333",Структура!E3333)</f>
        <v>20</v>
      </c>
      <c r="K4133" s="114">
        <f>HYPERLINK("#Структура!G3333",Структура!G3333)</f>
        <v>1.1299999999999999E-2</v>
      </c>
      <c r="L4133" s="120">
        <f>HYPERLINK("#Покупные_изделия!D163",Покупные_изделия!D163)</f>
        <v>4.1525058823529415</v>
      </c>
      <c r="M4133" s="76">
        <f t="shared" si="153"/>
        <v>83.050117647058826</v>
      </c>
      <c r="N4133" s="77"/>
      <c r="O4133" s="77"/>
      <c r="P4133" s="76"/>
      <c r="Q4133" s="76"/>
    </row>
    <row r="4134" spans="3:17" hidden="1" outlineLevel="2" x14ac:dyDescent="0.25">
      <c r="D4134" s="74" t="s">
        <v>871</v>
      </c>
      <c r="E4134" s="74"/>
      <c r="F4134" s="74"/>
      <c r="G4134" s="74"/>
      <c r="H4134" s="75"/>
      <c r="I4134" s="76"/>
      <c r="J4134" s="78">
        <f>HYPERLINK("#Структура!E3334",Структура!E3334)</f>
        <v>144</v>
      </c>
      <c r="K4134" s="114">
        <f>HYPERLINK("#Структура!G3334",Структура!G3334)</f>
        <v>3.3E-3</v>
      </c>
      <c r="L4134" s="120">
        <f>HYPERLINK("#Покупные_изделия!D167",Покупные_изделия!D167)</f>
        <v>2.0654400000000002</v>
      </c>
      <c r="M4134" s="76">
        <f t="shared" si="153"/>
        <v>297.42336</v>
      </c>
      <c r="N4134" s="77"/>
      <c r="O4134" s="77"/>
      <c r="P4134" s="76"/>
      <c r="Q4134" s="76"/>
    </row>
    <row r="4135" spans="3:17" hidden="1" outlineLevel="2" x14ac:dyDescent="0.25">
      <c r="D4135" s="74" t="s">
        <v>625</v>
      </c>
      <c r="E4135" s="74"/>
      <c r="F4135" s="74"/>
      <c r="G4135" s="74"/>
      <c r="H4135" s="75"/>
      <c r="I4135" s="76"/>
      <c r="J4135" s="78">
        <f>HYPERLINK("#Структура!E3335",Структура!E3335)</f>
        <v>854</v>
      </c>
      <c r="K4135" s="114">
        <f>HYPERLINK("#Структура!G3335",Структура!G3335)</f>
        <v>7.1399999999999996E-3</v>
      </c>
      <c r="L4135" s="120">
        <f>HYPERLINK("#Покупные_изделия!D168",Покупные_изделия!D168)</f>
        <v>1.9715672368421051</v>
      </c>
      <c r="M4135" s="76">
        <f t="shared" si="153"/>
        <v>1683.7184202631577</v>
      </c>
      <c r="N4135" s="77"/>
      <c r="O4135" s="77"/>
      <c r="P4135" s="76"/>
      <c r="Q4135" s="76"/>
    </row>
    <row r="4136" spans="3:17" hidden="1" outlineLevel="2" x14ac:dyDescent="0.25">
      <c r="D4136" s="74" t="s">
        <v>70</v>
      </c>
      <c r="E4136" s="74"/>
      <c r="F4136" s="74"/>
      <c r="G4136" s="74"/>
      <c r="H4136" s="75"/>
      <c r="I4136" s="76"/>
      <c r="J4136" s="78">
        <f>HYPERLINK("#Структура!E3336",Структура!E3336)</f>
        <v>6</v>
      </c>
      <c r="K4136" s="114" t="str">
        <f>HYPERLINK("#Структура!G3336","")</f>
        <v/>
      </c>
      <c r="L4136" s="120">
        <f>HYPERLINK("#Покупные_изделия!D208",Покупные_изделия!D208)</f>
        <v>7.26</v>
      </c>
      <c r="M4136" s="76">
        <f t="shared" si="153"/>
        <v>43.56</v>
      </c>
      <c r="N4136" s="77"/>
      <c r="O4136" s="77"/>
      <c r="P4136" s="76"/>
      <c r="Q4136" s="76"/>
    </row>
    <row r="4137" spans="3:17" hidden="1" outlineLevel="2" x14ac:dyDescent="0.25">
      <c r="D4137" s="74" t="s">
        <v>201</v>
      </c>
      <c r="E4137" s="74"/>
      <c r="F4137" s="74"/>
      <c r="G4137" s="74"/>
      <c r="H4137" s="75"/>
      <c r="I4137" s="76"/>
      <c r="J4137" s="78">
        <f>HYPERLINK("#Структура!E3337",Структура!E3337)</f>
        <v>4.2</v>
      </c>
      <c r="K4137" s="114" t="str">
        <f>HYPERLINK("#Структура!G3337","")</f>
        <v/>
      </c>
      <c r="L4137" s="120">
        <f>HYPERLINK("#Покупные_изделия!D520",Покупные_изделия!D520)</f>
        <v>129.36000000000001</v>
      </c>
      <c r="M4137" s="76">
        <f t="shared" si="153"/>
        <v>543.31200000000013</v>
      </c>
      <c r="N4137" s="77"/>
      <c r="O4137" s="77"/>
      <c r="P4137" s="76"/>
      <c r="Q4137" s="76"/>
    </row>
    <row r="4138" spans="3:17" hidden="1" outlineLevel="2" collapsed="1" x14ac:dyDescent="0.25">
      <c r="D4138" s="96" t="s">
        <v>639</v>
      </c>
      <c r="E4138" s="91"/>
      <c r="F4138" s="91"/>
      <c r="G4138" s="91"/>
      <c r="H4138" s="92"/>
      <c r="I4138" s="93"/>
      <c r="J4138" s="95">
        <f>HYPERLINK("#Структура!E3338",Структура!E3338)</f>
        <v>1</v>
      </c>
      <c r="K4138" s="117">
        <f t="array" ref="K4138">SUMPRODUCT(IF(ISTEXT(E4139:E4142),1,0),J4139:J4142,K4139:K4142)</f>
        <v>239.91791999999998</v>
      </c>
      <c r="L4138" s="93">
        <f>M4138/J4138</f>
        <v>86563.356</v>
      </c>
      <c r="M4138" s="93">
        <f>SUMIF(E4139:E4142,"*",M4139:M4142)*J4138</f>
        <v>86563.356</v>
      </c>
      <c r="N4138" s="125">
        <f>HYPERLINK("#Трудозатраты!B17",Трудозатраты!B17+SUMIF(E4139:E4142,"*",O4139:O4142))</f>
        <v>3234</v>
      </c>
      <c r="O4138" s="94">
        <f>N4138*J4138</f>
        <v>3234</v>
      </c>
      <c r="P4138" s="93">
        <f>O4138/60*(1+запас_труд)*стоимость_трудочаса</f>
        <v>126665</v>
      </c>
      <c r="Q4138" s="130">
        <f>M4138*(1+наценка_покупное)+P4138</f>
        <v>230541.02720000001</v>
      </c>
    </row>
    <row r="4139" spans="3:17" hidden="1" outlineLevel="3" collapsed="1" x14ac:dyDescent="0.25">
      <c r="E4139" s="85" t="s">
        <v>638</v>
      </c>
      <c r="F4139" s="86"/>
      <c r="G4139" s="86"/>
      <c r="H4139" s="87"/>
      <c r="I4139" s="88"/>
      <c r="J4139" s="90">
        <f>HYPERLINK("#Структура!E57",Структура!E57)</f>
        <v>24</v>
      </c>
      <c r="K4139" s="113">
        <f>HYPERLINK("#Структура!G57",Структура!G57)</f>
        <v>3.7465000000000002</v>
      </c>
      <c r="L4139" s="88">
        <f>M4139/J4139</f>
        <v>1313.0725</v>
      </c>
      <c r="M4139" s="88">
        <f>SUMIF(F4140,"*",M4140)*J4139</f>
        <v>31513.739999999998</v>
      </c>
      <c r="N4139" s="123">
        <f>HYPERLINK("#Трудозатраты!B281",Трудозатраты!B281+SUMIF(F4140,"*",O4140))</f>
        <v>58.5</v>
      </c>
      <c r="O4139" s="89">
        <f>N4139*J4139</f>
        <v>1404</v>
      </c>
      <c r="P4139" s="88">
        <f>O4139/60*(1+запас_труд)*стоимость_трудочаса</f>
        <v>54990</v>
      </c>
      <c r="Q4139" s="128">
        <f>M4139*(1+наценка_покупное)+P4139</f>
        <v>92806.487999999998</v>
      </c>
    </row>
    <row r="4140" spans="3:17" hidden="1" outlineLevel="4" x14ac:dyDescent="0.25">
      <c r="F4140" s="74" t="s">
        <v>125</v>
      </c>
      <c r="G4140" s="74"/>
      <c r="H4140" s="75"/>
      <c r="I4140" s="76"/>
      <c r="J4140" s="78">
        <f>HYPERLINK("#Структура!E1118",Структура!E1118)</f>
        <v>5.2522900000000003</v>
      </c>
      <c r="K4140" s="114" t="str">
        <f>HYPERLINK("#Структура!G1118","")</f>
        <v/>
      </c>
      <c r="L4140" s="120">
        <f>HYPERLINK("#Покупные_изделия!D300",Покупные_изделия!D300)</f>
        <v>250</v>
      </c>
      <c r="M4140" s="76">
        <f>J4140*L4140</f>
        <v>1313.0725</v>
      </c>
      <c r="N4140" s="77"/>
      <c r="O4140" s="77"/>
      <c r="P4140" s="76"/>
      <c r="Q4140" s="76"/>
    </row>
    <row r="4141" spans="3:17" hidden="1" outlineLevel="3" collapsed="1" x14ac:dyDescent="0.25">
      <c r="E4141" s="84" t="s">
        <v>640</v>
      </c>
      <c r="F4141" s="79"/>
      <c r="G4141" s="79"/>
      <c r="H4141" s="80"/>
      <c r="I4141" s="81"/>
      <c r="J4141" s="83">
        <f>HYPERLINK("#Структура!E58",Структура!E58)</f>
        <v>48</v>
      </c>
      <c r="K4141" s="115">
        <f>HYPERLINK("#Структура!G58",Структура!G58)</f>
        <v>3.1250399999999998</v>
      </c>
      <c r="L4141" s="81">
        <f>M4141/J4141</f>
        <v>1146.867</v>
      </c>
      <c r="M4141" s="81">
        <f>SUMIF(F4142,"*",M4142)*J4141</f>
        <v>55049.615999999995</v>
      </c>
      <c r="N4141" s="124">
        <f>HYPERLINK("#Трудозатраты!B282",Трудозатраты!B282+SUMIF(F4142,"*",O4142))</f>
        <v>37.5</v>
      </c>
      <c r="O4141" s="82">
        <f>N4141*J4141</f>
        <v>1800</v>
      </c>
      <c r="P4141" s="81">
        <f>O4141/60*(1+запас_труд)*стоимость_трудочаса</f>
        <v>70500</v>
      </c>
      <c r="Q4141" s="129">
        <f>M4141*(1+наценка_покупное)+P4141</f>
        <v>136559.5392</v>
      </c>
    </row>
    <row r="4142" spans="3:17" hidden="1" outlineLevel="4" x14ac:dyDescent="0.25">
      <c r="F4142" s="74" t="s">
        <v>45</v>
      </c>
      <c r="G4142" s="74"/>
      <c r="H4142" s="75"/>
      <c r="I4142" s="76"/>
      <c r="J4142" s="78">
        <f>HYPERLINK("#Структура!E1119",Структура!E1119)</f>
        <v>3.8228900000000001</v>
      </c>
      <c r="K4142" s="114" t="str">
        <f>HYPERLINK("#Структура!G1119","")</f>
        <v/>
      </c>
      <c r="L4142" s="120">
        <f>HYPERLINK("#Покупные_изделия!D64",Покупные_изделия!D64)</f>
        <v>300</v>
      </c>
      <c r="M4142" s="76">
        <f>J4142*L4142</f>
        <v>1146.867</v>
      </c>
      <c r="N4142" s="77"/>
      <c r="O4142" s="77"/>
      <c r="P4142" s="76"/>
      <c r="Q4142" s="76"/>
    </row>
    <row r="4143" spans="3:17" hidden="1" outlineLevel="1" collapsed="1" x14ac:dyDescent="0.25">
      <c r="C4143" s="96" t="s">
        <v>1558</v>
      </c>
      <c r="D4143" s="91"/>
      <c r="E4143" s="91"/>
      <c r="F4143" s="91"/>
      <c r="G4143" s="91"/>
      <c r="H4143" s="92"/>
      <c r="I4143" s="93"/>
      <c r="J4143" s="95">
        <f>HYPERLINK("#Структура!E3263",Структура!E3263)</f>
        <v>1</v>
      </c>
      <c r="K4143" s="116">
        <f>HYPERLINK("#Структура!G3263",Структура!G3263)</f>
        <v>209.33909</v>
      </c>
      <c r="L4143" s="93">
        <f>M4143/J4143</f>
        <v>40259.931444026312</v>
      </c>
      <c r="M4143" s="93">
        <f>SUMIF(D4144:D4205,"*",M4144:M4205)*J4143</f>
        <v>40259.931444026312</v>
      </c>
      <c r="N4143" s="125">
        <f>HYPERLINK("#Трудозатраты!B843",Трудозатраты!B843+SUMIF(D4144:D4205,"*",O4144:O4205))</f>
        <v>2210.2399999999998</v>
      </c>
      <c r="O4143" s="94">
        <f>N4143*J4143</f>
        <v>2210.2399999999998</v>
      </c>
      <c r="P4143" s="93">
        <f>O4143/60*(1+запас_труд)*стоимость_трудочаса</f>
        <v>86567.733333333323</v>
      </c>
      <c r="Q4143" s="130">
        <f>M4143*(1+наценка_покупное)+P4143</f>
        <v>134879.65106616489</v>
      </c>
    </row>
    <row r="4144" spans="3:17" hidden="1" outlineLevel="2" collapsed="1" x14ac:dyDescent="0.25">
      <c r="D4144" s="97" t="s">
        <v>1441</v>
      </c>
      <c r="E4144" s="98"/>
      <c r="F4144" s="98"/>
      <c r="G4144" s="98"/>
      <c r="H4144" s="99"/>
      <c r="I4144" s="100"/>
      <c r="J4144" s="102">
        <f>HYPERLINK("#Структура!E3339",Структура!E3339)</f>
        <v>6</v>
      </c>
      <c r="K4144" s="112">
        <f>HYPERLINK("#Структура!G3339",Структура!G3339)</f>
        <v>17.647379999999998</v>
      </c>
      <c r="L4144" s="100">
        <f>M4144/J4144</f>
        <v>3067.9912271999997</v>
      </c>
      <c r="M4144" s="100">
        <f>SUMIF(E4145:E4157,"*",M4145:M4157)*J4144</f>
        <v>18407.947363199997</v>
      </c>
      <c r="N4144" s="122">
        <f>HYPERLINK("#Трудозатраты!B724",Трудозатраты!B724+SUMIF(E4145:E4157,"*",O4145:O4157))</f>
        <v>255.89999999999998</v>
      </c>
      <c r="O4144" s="101">
        <f>N4144*J4144</f>
        <v>1535.3999999999999</v>
      </c>
      <c r="P4144" s="100">
        <f>O4144/60*(1+запас_труд)*стоимость_трудочаса</f>
        <v>60136.499999999993</v>
      </c>
      <c r="Q4144" s="127">
        <f>M4144*(1+наценка_покупное)+P4144</f>
        <v>82226.036835839986</v>
      </c>
    </row>
    <row r="4145" spans="4:17" hidden="1" outlineLevel="3" collapsed="1" x14ac:dyDescent="0.25">
      <c r="E4145" s="85" t="s">
        <v>1440</v>
      </c>
      <c r="F4145" s="86"/>
      <c r="G4145" s="86"/>
      <c r="H4145" s="87"/>
      <c r="I4145" s="88"/>
      <c r="J4145" s="90">
        <f>HYPERLINK("#Структура!E2861",Структура!E2861)</f>
        <v>1</v>
      </c>
      <c r="K4145" s="113">
        <f>HYPERLINK("#Структура!G2861",Структура!G2861)</f>
        <v>5.8282299999999996</v>
      </c>
      <c r="L4145" s="88">
        <f>M4145/J4145</f>
        <v>844.00200000000007</v>
      </c>
      <c r="M4145" s="88">
        <f>SUMIF(F4146,"*",M4146)*J4145</f>
        <v>844.00200000000007</v>
      </c>
      <c r="N4145" s="123">
        <f>HYPERLINK("#Трудозатраты!B725",Трудозатраты!B725+SUMIF(F4146,"*",O4146))</f>
        <v>10</v>
      </c>
      <c r="O4145" s="89">
        <f>N4145*J4145</f>
        <v>10</v>
      </c>
      <c r="P4145" s="88">
        <f>O4145/60*(1+запас_труд)*стоимость_трудочаса</f>
        <v>391.66666666666663</v>
      </c>
      <c r="Q4145" s="128">
        <f>M4145*(1+наценка_покупное)+P4145</f>
        <v>1404.4690666666665</v>
      </c>
    </row>
    <row r="4146" spans="4:17" hidden="1" outlineLevel="4" x14ac:dyDescent="0.25">
      <c r="F4146" s="74" t="s">
        <v>113</v>
      </c>
      <c r="G4146" s="74"/>
      <c r="H4146" s="75"/>
      <c r="I4146" s="76"/>
      <c r="J4146" s="78">
        <f>HYPERLINK("#Структура!E2871",Структура!E2871)</f>
        <v>7.0333500000000004</v>
      </c>
      <c r="K4146" s="114" t="str">
        <f>HYPERLINK("#Структура!G2871","")</f>
        <v/>
      </c>
      <c r="L4146" s="120">
        <f>HYPERLINK("#Покупные_изделия!D286",Покупные_изделия!D286)</f>
        <v>120</v>
      </c>
      <c r="M4146" s="76">
        <f>J4146*L4146</f>
        <v>844.00200000000007</v>
      </c>
      <c r="N4146" s="77"/>
      <c r="O4146" s="77"/>
      <c r="P4146" s="76"/>
      <c r="Q4146" s="76"/>
    </row>
    <row r="4147" spans="4:17" hidden="1" outlineLevel="3" collapsed="1" x14ac:dyDescent="0.25">
      <c r="E4147" s="84" t="s">
        <v>1442</v>
      </c>
      <c r="F4147" s="79"/>
      <c r="G4147" s="79"/>
      <c r="H4147" s="80"/>
      <c r="I4147" s="81"/>
      <c r="J4147" s="83">
        <f>HYPERLINK("#Структура!E2862",Структура!E2862)</f>
        <v>1</v>
      </c>
      <c r="K4147" s="115">
        <f>HYPERLINK("#Структура!G2862",Структура!G2862)</f>
        <v>5.8282299999999996</v>
      </c>
      <c r="L4147" s="81">
        <f>M4147/J4147</f>
        <v>844.00200000000007</v>
      </c>
      <c r="M4147" s="81">
        <f>SUMIF(F4148,"*",M4148)*J4147</f>
        <v>844.00200000000007</v>
      </c>
      <c r="N4147" s="124">
        <f>HYPERLINK("#Трудозатраты!B726",Трудозатраты!B726+SUMIF(F4148,"*",O4148))</f>
        <v>10</v>
      </c>
      <c r="O4147" s="82">
        <f>N4147*J4147</f>
        <v>10</v>
      </c>
      <c r="P4147" s="81">
        <f>O4147/60*(1+запас_труд)*стоимость_трудочаса</f>
        <v>391.66666666666663</v>
      </c>
      <c r="Q4147" s="129">
        <f>M4147*(1+наценка_покупное)+P4147</f>
        <v>1404.4690666666665</v>
      </c>
    </row>
    <row r="4148" spans="4:17" hidden="1" outlineLevel="4" x14ac:dyDescent="0.25">
      <c r="F4148" s="74" t="s">
        <v>113</v>
      </c>
      <c r="G4148" s="74"/>
      <c r="H4148" s="75"/>
      <c r="I4148" s="76"/>
      <c r="J4148" s="78">
        <f>HYPERLINK("#Структура!E2872",Структура!E2872)</f>
        <v>7.0333500000000004</v>
      </c>
      <c r="K4148" s="114" t="str">
        <f>HYPERLINK("#Структура!G2872","")</f>
        <v/>
      </c>
      <c r="L4148" s="120">
        <f>HYPERLINK("#Покупные_изделия!D286",Покупные_изделия!D286)</f>
        <v>120</v>
      </c>
      <c r="M4148" s="76">
        <f>J4148*L4148</f>
        <v>844.00200000000007</v>
      </c>
      <c r="N4148" s="77"/>
      <c r="O4148" s="77"/>
      <c r="P4148" s="76"/>
      <c r="Q4148" s="76"/>
    </row>
    <row r="4149" spans="4:17" hidden="1" outlineLevel="3" collapsed="1" x14ac:dyDescent="0.25">
      <c r="E4149" s="84" t="s">
        <v>1443</v>
      </c>
      <c r="F4149" s="79"/>
      <c r="G4149" s="79"/>
      <c r="H4149" s="80"/>
      <c r="I4149" s="81"/>
      <c r="J4149" s="83">
        <f>HYPERLINK("#Структура!E2863",Структура!E2863)</f>
        <v>10</v>
      </c>
      <c r="K4149" s="115">
        <f>HYPERLINK("#Структура!G2863",Структура!G2863)</f>
        <v>0.59909000000000001</v>
      </c>
      <c r="L4149" s="81">
        <f>M4149/J4149</f>
        <v>74.52</v>
      </c>
      <c r="M4149" s="81">
        <f>SUMIF(F4150,"*",M4150)*J4149</f>
        <v>745.19999999999993</v>
      </c>
      <c r="N4149" s="124">
        <f>HYPERLINK("#Трудозатраты!B727",Трудозатраты!B727+SUMIF(F4150,"*",O4150))</f>
        <v>14.67</v>
      </c>
      <c r="O4149" s="82">
        <f>N4149*J4149</f>
        <v>146.69999999999999</v>
      </c>
      <c r="P4149" s="81">
        <f>O4149/60*(1+запас_труд)*стоимость_трудочаса</f>
        <v>5745.75</v>
      </c>
      <c r="Q4149" s="129">
        <f>M4149*(1+наценка_покупное)+P4149</f>
        <v>6639.99</v>
      </c>
    </row>
    <row r="4150" spans="4:17" hidden="1" outlineLevel="4" x14ac:dyDescent="0.25">
      <c r="F4150" s="74" t="s">
        <v>175</v>
      </c>
      <c r="G4150" s="74"/>
      <c r="H4150" s="75"/>
      <c r="I4150" s="76"/>
      <c r="J4150" s="78">
        <f>HYPERLINK("#Структура!E2873",Структура!E2873)</f>
        <v>0.621</v>
      </c>
      <c r="K4150" s="114" t="str">
        <f>HYPERLINK("#Структура!G2873","")</f>
        <v/>
      </c>
      <c r="L4150" s="120">
        <f>HYPERLINK("#Покупные_изделия!D486",Покупные_изделия!D486)</f>
        <v>120</v>
      </c>
      <c r="M4150" s="76">
        <f t="shared" ref="M4150:M4157" si="154">J4150*L4150</f>
        <v>74.52</v>
      </c>
      <c r="N4150" s="77"/>
      <c r="O4150" s="77"/>
      <c r="P4150" s="76"/>
      <c r="Q4150" s="76"/>
    </row>
    <row r="4151" spans="4:17" hidden="1" outlineLevel="3" x14ac:dyDescent="0.25">
      <c r="E4151" s="74" t="s">
        <v>44</v>
      </c>
      <c r="F4151" s="74"/>
      <c r="G4151" s="74"/>
      <c r="H4151" s="75"/>
      <c r="I4151" s="76"/>
      <c r="J4151" s="78">
        <f>HYPERLINK("#Структура!E2864",Структура!E2864)</f>
        <v>0.76</v>
      </c>
      <c r="K4151" s="114" t="str">
        <f>HYPERLINK("#Структура!G2864","")</f>
        <v/>
      </c>
      <c r="L4151" s="120">
        <f>HYPERLINK("#Покупные_изделия!D63",Покупные_изделия!D63)</f>
        <v>396.00000000000006</v>
      </c>
      <c r="M4151" s="76">
        <f t="shared" si="154"/>
        <v>300.96000000000004</v>
      </c>
      <c r="N4151" s="77"/>
      <c r="O4151" s="77"/>
      <c r="P4151" s="76"/>
      <c r="Q4151" s="76"/>
    </row>
    <row r="4152" spans="4:17" hidden="1" outlineLevel="3" x14ac:dyDescent="0.25">
      <c r="E4152" s="74" t="s">
        <v>67</v>
      </c>
      <c r="F4152" s="74"/>
      <c r="G4152" s="74"/>
      <c r="H4152" s="75"/>
      <c r="I4152" s="76"/>
      <c r="J4152" s="78">
        <f>HYPERLINK("#Структура!E2865",Структура!E2865)</f>
        <v>0.42499999999999999</v>
      </c>
      <c r="K4152" s="114" t="str">
        <f>HYPERLINK("#Структура!G2865","")</f>
        <v/>
      </c>
      <c r="L4152" s="120">
        <f>HYPERLINK("#Покупные_изделия!D203",Покупные_изделия!D203)</f>
        <v>30.003600000000002</v>
      </c>
      <c r="M4152" s="76">
        <f t="shared" si="154"/>
        <v>12.751530000000001</v>
      </c>
      <c r="N4152" s="77"/>
      <c r="O4152" s="77"/>
      <c r="P4152" s="76"/>
      <c r="Q4152" s="76"/>
    </row>
    <row r="4153" spans="4:17" hidden="1" outlineLevel="3" x14ac:dyDescent="0.25">
      <c r="E4153" s="74" t="s">
        <v>139</v>
      </c>
      <c r="F4153" s="74"/>
      <c r="G4153" s="74"/>
      <c r="H4153" s="75"/>
      <c r="I4153" s="76"/>
      <c r="J4153" s="78">
        <f>HYPERLINK("#Структура!E2866",Структура!E2866)</f>
        <v>5.0999999999999997E-2</v>
      </c>
      <c r="K4153" s="114" t="str">
        <f>HYPERLINK("#Структура!G2866","")</f>
        <v/>
      </c>
      <c r="L4153" s="120">
        <f>HYPERLINK("#Покупные_изделия!D360",Покупные_изделия!D360)</f>
        <v>171.87720000000002</v>
      </c>
      <c r="M4153" s="76">
        <f t="shared" si="154"/>
        <v>8.7657372000000002</v>
      </c>
      <c r="N4153" s="77"/>
      <c r="O4153" s="77"/>
      <c r="P4153" s="76"/>
      <c r="Q4153" s="76"/>
    </row>
    <row r="4154" spans="4:17" hidden="1" outlineLevel="3" x14ac:dyDescent="0.25">
      <c r="E4154" s="74" t="s">
        <v>146</v>
      </c>
      <c r="F4154" s="74"/>
      <c r="G4154" s="74"/>
      <c r="H4154" s="75"/>
      <c r="I4154" s="76"/>
      <c r="J4154" s="78">
        <f>HYPERLINK("#Структура!E2867",Структура!E2867)</f>
        <v>0.25</v>
      </c>
      <c r="K4154" s="114" t="str">
        <f>HYPERLINK("#Структура!G2867","")</f>
        <v/>
      </c>
      <c r="L4154" s="120">
        <f>HYPERLINK("#Покупные_изделия!D406",Покупные_изделия!D406)</f>
        <v>105.996</v>
      </c>
      <c r="M4154" s="76">
        <f t="shared" si="154"/>
        <v>26.498999999999999</v>
      </c>
      <c r="N4154" s="77"/>
      <c r="O4154" s="77"/>
      <c r="P4154" s="76"/>
      <c r="Q4154" s="76"/>
    </row>
    <row r="4155" spans="4:17" hidden="1" outlineLevel="3" x14ac:dyDescent="0.25">
      <c r="E4155" s="74" t="s">
        <v>156</v>
      </c>
      <c r="F4155" s="74"/>
      <c r="G4155" s="74"/>
      <c r="H4155" s="75"/>
      <c r="I4155" s="76"/>
      <c r="J4155" s="78">
        <f>HYPERLINK("#Структура!E2868",Структура!E2868)</f>
        <v>0.25</v>
      </c>
      <c r="K4155" s="114" t="str">
        <f>HYPERLINK("#Структура!G2868","")</f>
        <v/>
      </c>
      <c r="L4155" s="120">
        <f>HYPERLINK("#Покупные_изделия!D427",Покупные_изделия!D427)</f>
        <v>155.53200000000001</v>
      </c>
      <c r="M4155" s="76">
        <f t="shared" si="154"/>
        <v>38.883000000000003</v>
      </c>
      <c r="N4155" s="77"/>
      <c r="O4155" s="77"/>
      <c r="P4155" s="76"/>
      <c r="Q4155" s="76"/>
    </row>
    <row r="4156" spans="4:17" hidden="1" outlineLevel="3" x14ac:dyDescent="0.25">
      <c r="E4156" s="74" t="s">
        <v>200</v>
      </c>
      <c r="F4156" s="74"/>
      <c r="G4156" s="74"/>
      <c r="H4156" s="75"/>
      <c r="I4156" s="76"/>
      <c r="J4156" s="78">
        <f>HYPERLINK("#Структура!E2869",Структура!E2869)</f>
        <v>0.04</v>
      </c>
      <c r="K4156" s="114" t="str">
        <f>HYPERLINK("#Структура!G2869","")</f>
        <v/>
      </c>
      <c r="L4156" s="120">
        <f>HYPERLINK("#Покупные_изделия!D518",Покупные_изделия!D518)</f>
        <v>270</v>
      </c>
      <c r="M4156" s="76">
        <f t="shared" si="154"/>
        <v>10.8</v>
      </c>
      <c r="N4156" s="77"/>
      <c r="O4156" s="77"/>
      <c r="P4156" s="76"/>
      <c r="Q4156" s="76"/>
    </row>
    <row r="4157" spans="4:17" hidden="1" outlineLevel="3" x14ac:dyDescent="0.25">
      <c r="E4157" s="74" t="s">
        <v>202</v>
      </c>
      <c r="F4157" s="74"/>
      <c r="G4157" s="74"/>
      <c r="H4157" s="75"/>
      <c r="I4157" s="76"/>
      <c r="J4157" s="78">
        <f>HYPERLINK("#Структура!E2870",Структура!E2870)</f>
        <v>0.51</v>
      </c>
      <c r="K4157" s="114" t="str">
        <f>HYPERLINK("#Структура!G2870","")</f>
        <v/>
      </c>
      <c r="L4157" s="120">
        <f>HYPERLINK("#Покупные_изделия!D521",Покупные_изделия!D521)</f>
        <v>462.99599999999998</v>
      </c>
      <c r="M4157" s="76">
        <f t="shared" si="154"/>
        <v>236.12796</v>
      </c>
      <c r="N4157" s="77"/>
      <c r="O4157" s="77"/>
      <c r="P4157" s="76"/>
      <c r="Q4157" s="76"/>
    </row>
    <row r="4158" spans="4:17" hidden="1" outlineLevel="2" collapsed="1" x14ac:dyDescent="0.25">
      <c r="D4158" s="96" t="s">
        <v>1444</v>
      </c>
      <c r="E4158" s="91"/>
      <c r="F4158" s="91"/>
      <c r="G4158" s="91"/>
      <c r="H4158" s="92"/>
      <c r="I4158" s="93"/>
      <c r="J4158" s="95">
        <f>HYPERLINK("#Структура!E3340",Структура!E3340)</f>
        <v>1</v>
      </c>
      <c r="K4158" s="116">
        <f>HYPERLINK("#Структура!G3340",Структура!G3340)</f>
        <v>14.54622</v>
      </c>
      <c r="L4158" s="93">
        <f>M4158/J4158</f>
        <v>2647.7644787999998</v>
      </c>
      <c r="M4158" s="93">
        <f>SUMIF(E4159:E4171,"*",M4159:M4171)*J4158</f>
        <v>2647.7644787999998</v>
      </c>
      <c r="N4158" s="125">
        <f>HYPERLINK("#Трудозатраты!B728",Трудозатраты!B728+SUMIF(E4159:E4171,"*",O4159:O4171))</f>
        <v>165.26</v>
      </c>
      <c r="O4158" s="94">
        <f>N4158*J4158</f>
        <v>165.26</v>
      </c>
      <c r="P4158" s="93">
        <f>O4158/60*(1+запас_труд)*стоимость_трудочаса</f>
        <v>6472.6833333333334</v>
      </c>
      <c r="Q4158" s="130">
        <f>M4158*(1+наценка_покупное)+P4158</f>
        <v>9650.000707893334</v>
      </c>
    </row>
    <row r="4159" spans="4:17" hidden="1" outlineLevel="3" collapsed="1" x14ac:dyDescent="0.25">
      <c r="E4159" s="85" t="s">
        <v>1443</v>
      </c>
      <c r="F4159" s="86"/>
      <c r="G4159" s="86"/>
      <c r="H4159" s="87"/>
      <c r="I4159" s="88"/>
      <c r="J4159" s="90">
        <f>HYPERLINK("#Структура!E2874",Структура!E2874)</f>
        <v>8</v>
      </c>
      <c r="K4159" s="113">
        <f>HYPERLINK("#Структура!G2874",Структура!G2874)</f>
        <v>0.59909000000000001</v>
      </c>
      <c r="L4159" s="88">
        <f>M4159/J4159</f>
        <v>74.52</v>
      </c>
      <c r="M4159" s="88">
        <f>SUMIF(F4160,"*",M4160)*J4159</f>
        <v>596.16</v>
      </c>
      <c r="N4159" s="123">
        <f>HYPERLINK("#Трудозатраты!B727",Трудозатраты!B727+SUMIF(F4160,"*",O4160))</f>
        <v>14.67</v>
      </c>
      <c r="O4159" s="89">
        <f>N4159*J4159</f>
        <v>117.36</v>
      </c>
      <c r="P4159" s="88">
        <f>O4159/60*(1+запас_труд)*стоимость_трудочаса</f>
        <v>4596.5999999999995</v>
      </c>
      <c r="Q4159" s="128">
        <f>M4159*(1+наценка_покупное)+P4159</f>
        <v>5311.9919999999993</v>
      </c>
    </row>
    <row r="4160" spans="4:17" hidden="1" outlineLevel="4" x14ac:dyDescent="0.25">
      <c r="F4160" s="74" t="s">
        <v>175</v>
      </c>
      <c r="G4160" s="74"/>
      <c r="H4160" s="75"/>
      <c r="I4160" s="76"/>
      <c r="J4160" s="78">
        <f>HYPERLINK("#Структура!E2873",Структура!E2873)</f>
        <v>0.621</v>
      </c>
      <c r="K4160" s="114" t="str">
        <f>HYPERLINK("#Структура!G2873","")</f>
        <v/>
      </c>
      <c r="L4160" s="120">
        <f>HYPERLINK("#Покупные_изделия!D486",Покупные_изделия!D486)</f>
        <v>120</v>
      </c>
      <c r="M4160" s="76">
        <f>J4160*L4160</f>
        <v>74.52</v>
      </c>
      <c r="N4160" s="77"/>
      <c r="O4160" s="77"/>
      <c r="P4160" s="76"/>
      <c r="Q4160" s="76"/>
    </row>
    <row r="4161" spans="4:17" hidden="1" outlineLevel="3" collapsed="1" x14ac:dyDescent="0.25">
      <c r="E4161" s="84" t="s">
        <v>1445</v>
      </c>
      <c r="F4161" s="79"/>
      <c r="G4161" s="79"/>
      <c r="H4161" s="80"/>
      <c r="I4161" s="81"/>
      <c r="J4161" s="83">
        <f>HYPERLINK("#Структура!E2875",Структура!E2875)</f>
        <v>1</v>
      </c>
      <c r="K4161" s="115">
        <f>HYPERLINK("#Структура!G2875",Структура!G2875)</f>
        <v>4.8767399999999999</v>
      </c>
      <c r="L4161" s="81">
        <f>M4161/J4161</f>
        <v>701.8356</v>
      </c>
      <c r="M4161" s="81">
        <f>SUMIF(F4162,"*",M4162)*J4161</f>
        <v>701.8356</v>
      </c>
      <c r="N4161" s="124">
        <f>HYPERLINK("#Трудозатраты!B729",Трудозатраты!B729+SUMIF(F4162,"*",O4162))</f>
        <v>11.7</v>
      </c>
      <c r="O4161" s="82">
        <f>N4161*J4161</f>
        <v>11.7</v>
      </c>
      <c r="P4161" s="81">
        <f>O4161/60*(1+запас_труд)*стоимость_трудочаса</f>
        <v>458.24999999999994</v>
      </c>
      <c r="Q4161" s="129">
        <f>M4161*(1+наценка_покупное)+P4161</f>
        <v>1300.45272</v>
      </c>
    </row>
    <row r="4162" spans="4:17" hidden="1" outlineLevel="4" x14ac:dyDescent="0.25">
      <c r="F4162" s="74" t="s">
        <v>113</v>
      </c>
      <c r="G4162" s="74"/>
      <c r="H4162" s="75"/>
      <c r="I4162" s="76"/>
      <c r="J4162" s="78">
        <f>HYPERLINK("#Структура!E2884",Структура!E2884)</f>
        <v>5.84863</v>
      </c>
      <c r="K4162" s="114" t="str">
        <f>HYPERLINK("#Структура!G2884","")</f>
        <v/>
      </c>
      <c r="L4162" s="120">
        <f>HYPERLINK("#Покупные_изделия!D286",Покупные_изделия!D286)</f>
        <v>120</v>
      </c>
      <c r="M4162" s="76">
        <f>J4162*L4162</f>
        <v>701.8356</v>
      </c>
      <c r="N4162" s="77"/>
      <c r="O4162" s="77"/>
      <c r="P4162" s="76"/>
      <c r="Q4162" s="76"/>
    </row>
    <row r="4163" spans="4:17" hidden="1" outlineLevel="3" collapsed="1" x14ac:dyDescent="0.25">
      <c r="E4163" s="84" t="s">
        <v>1446</v>
      </c>
      <c r="F4163" s="79"/>
      <c r="G4163" s="79"/>
      <c r="H4163" s="80"/>
      <c r="I4163" s="81"/>
      <c r="J4163" s="83">
        <f>HYPERLINK("#Структура!E2876",Структура!E2876)</f>
        <v>1</v>
      </c>
      <c r="K4163" s="115">
        <f>HYPERLINK("#Структура!G2876",Структура!G2876)</f>
        <v>4.8767399999999999</v>
      </c>
      <c r="L4163" s="81">
        <f>M4163/J4163</f>
        <v>701.8356</v>
      </c>
      <c r="M4163" s="81">
        <f>SUMIF(F4164,"*",M4164)*J4163</f>
        <v>701.8356</v>
      </c>
      <c r="N4163" s="124">
        <f>HYPERLINK("#Трудозатраты!B730",Трудозатраты!B730+SUMIF(F4164,"*",O4164))</f>
        <v>11.7</v>
      </c>
      <c r="O4163" s="82">
        <f>N4163*J4163</f>
        <v>11.7</v>
      </c>
      <c r="P4163" s="81">
        <f>O4163/60*(1+запас_труд)*стоимость_трудочаса</f>
        <v>458.24999999999994</v>
      </c>
      <c r="Q4163" s="129">
        <f>M4163*(1+наценка_покупное)+P4163</f>
        <v>1300.45272</v>
      </c>
    </row>
    <row r="4164" spans="4:17" hidden="1" outlineLevel="4" x14ac:dyDescent="0.25">
      <c r="F4164" s="74" t="s">
        <v>113</v>
      </c>
      <c r="G4164" s="74"/>
      <c r="H4164" s="75"/>
      <c r="I4164" s="76"/>
      <c r="J4164" s="78">
        <f>HYPERLINK("#Структура!E2885",Структура!E2885)</f>
        <v>5.84863</v>
      </c>
      <c r="K4164" s="114" t="str">
        <f>HYPERLINK("#Структура!G2885","")</f>
        <v/>
      </c>
      <c r="L4164" s="120">
        <f>HYPERLINK("#Покупные_изделия!D286",Покупные_изделия!D286)</f>
        <v>120</v>
      </c>
      <c r="M4164" s="76">
        <f t="shared" ref="M4164:M4171" si="155">J4164*L4164</f>
        <v>701.8356</v>
      </c>
      <c r="N4164" s="77"/>
      <c r="O4164" s="77"/>
      <c r="P4164" s="76"/>
      <c r="Q4164" s="76"/>
    </row>
    <row r="4165" spans="4:17" hidden="1" outlineLevel="3" x14ac:dyDescent="0.25">
      <c r="E4165" s="74" t="s">
        <v>44</v>
      </c>
      <c r="F4165" s="74"/>
      <c r="G4165" s="74"/>
      <c r="H4165" s="75"/>
      <c r="I4165" s="76"/>
      <c r="J4165" s="78">
        <f>HYPERLINK("#Структура!E2877",Структура!E2877)</f>
        <v>0.751</v>
      </c>
      <c r="K4165" s="114" t="str">
        <f>HYPERLINK("#Структура!G2877","")</f>
        <v/>
      </c>
      <c r="L4165" s="120">
        <f>HYPERLINK("#Покупные_изделия!D63",Покупные_изделия!D63)</f>
        <v>396.00000000000006</v>
      </c>
      <c r="M4165" s="76">
        <f t="shared" si="155"/>
        <v>297.39600000000002</v>
      </c>
      <c r="N4165" s="77"/>
      <c r="O4165" s="77"/>
      <c r="P4165" s="76"/>
      <c r="Q4165" s="76"/>
    </row>
    <row r="4166" spans="4:17" hidden="1" outlineLevel="3" x14ac:dyDescent="0.25">
      <c r="E4166" s="74" t="s">
        <v>67</v>
      </c>
      <c r="F4166" s="74"/>
      <c r="G4166" s="74"/>
      <c r="H4166" s="75"/>
      <c r="I4166" s="76"/>
      <c r="J4166" s="78">
        <f>HYPERLINK("#Структура!E2878",Структура!E2878)</f>
        <v>0.25800000000000001</v>
      </c>
      <c r="K4166" s="114" t="str">
        <f>HYPERLINK("#Структура!G2878","")</f>
        <v/>
      </c>
      <c r="L4166" s="120">
        <f>HYPERLINK("#Покупные_изделия!D203",Покупные_изделия!D203)</f>
        <v>30.003600000000002</v>
      </c>
      <c r="M4166" s="76">
        <f t="shared" si="155"/>
        <v>7.7409288000000007</v>
      </c>
      <c r="N4166" s="77"/>
      <c r="O4166" s="77"/>
      <c r="P4166" s="76"/>
      <c r="Q4166" s="76"/>
    </row>
    <row r="4167" spans="4:17" hidden="1" outlineLevel="3" x14ac:dyDescent="0.25">
      <c r="E4167" s="74" t="s">
        <v>139</v>
      </c>
      <c r="F4167" s="74"/>
      <c r="G4167" s="74"/>
      <c r="H4167" s="75"/>
      <c r="I4167" s="76"/>
      <c r="J4167" s="78">
        <f>HYPERLINK("#Структура!E2879",Структура!E2879)</f>
        <v>0.255</v>
      </c>
      <c r="K4167" s="114" t="str">
        <f>HYPERLINK("#Структура!G2879","")</f>
        <v/>
      </c>
      <c r="L4167" s="120">
        <f>HYPERLINK("#Покупные_изделия!D360",Покупные_изделия!D360)</f>
        <v>171.87720000000002</v>
      </c>
      <c r="M4167" s="76">
        <f t="shared" si="155"/>
        <v>43.828686000000005</v>
      </c>
      <c r="N4167" s="77"/>
      <c r="O4167" s="77"/>
      <c r="P4167" s="76"/>
      <c r="Q4167" s="76"/>
    </row>
    <row r="4168" spans="4:17" hidden="1" outlineLevel="3" x14ac:dyDescent="0.25">
      <c r="E4168" s="74" t="s">
        <v>146</v>
      </c>
      <c r="F4168" s="74"/>
      <c r="G4168" s="74"/>
      <c r="H4168" s="75"/>
      <c r="I4168" s="76"/>
      <c r="J4168" s="78">
        <f>HYPERLINK("#Структура!E2880",Структура!E2880)</f>
        <v>0.152</v>
      </c>
      <c r="K4168" s="114" t="str">
        <f>HYPERLINK("#Структура!G2880","")</f>
        <v/>
      </c>
      <c r="L4168" s="120">
        <f>HYPERLINK("#Покупные_изделия!D406",Покупные_изделия!D406)</f>
        <v>105.996</v>
      </c>
      <c r="M4168" s="76">
        <f t="shared" si="155"/>
        <v>16.111391999999999</v>
      </c>
      <c r="N4168" s="77"/>
      <c r="O4168" s="77"/>
      <c r="P4168" s="76"/>
      <c r="Q4168" s="76"/>
    </row>
    <row r="4169" spans="4:17" hidden="1" outlineLevel="3" x14ac:dyDescent="0.25">
      <c r="E4169" s="74" t="s">
        <v>156</v>
      </c>
      <c r="F4169" s="74"/>
      <c r="G4169" s="74"/>
      <c r="H4169" s="75"/>
      <c r="I4169" s="76"/>
      <c r="J4169" s="78">
        <f>HYPERLINK("#Структура!E2881",Структура!E2881)</f>
        <v>0.23</v>
      </c>
      <c r="K4169" s="114" t="str">
        <f>HYPERLINK("#Структура!G2881","")</f>
        <v/>
      </c>
      <c r="L4169" s="120">
        <f>HYPERLINK("#Покупные_изделия!D427",Покупные_изделия!D427)</f>
        <v>155.53200000000001</v>
      </c>
      <c r="M4169" s="76">
        <f t="shared" si="155"/>
        <v>35.772360000000006</v>
      </c>
      <c r="N4169" s="77"/>
      <c r="O4169" s="77"/>
      <c r="P4169" s="76"/>
      <c r="Q4169" s="76"/>
    </row>
    <row r="4170" spans="4:17" hidden="1" outlineLevel="3" x14ac:dyDescent="0.25">
      <c r="E4170" s="74" t="s">
        <v>200</v>
      </c>
      <c r="F4170" s="74"/>
      <c r="G4170" s="74"/>
      <c r="H4170" s="75"/>
      <c r="I4170" s="76"/>
      <c r="J4170" s="78">
        <f>HYPERLINK("#Структура!E2882",Структура!E2882)</f>
        <v>0.02</v>
      </c>
      <c r="K4170" s="114" t="str">
        <f>HYPERLINK("#Структура!G2882","")</f>
        <v/>
      </c>
      <c r="L4170" s="120">
        <f>HYPERLINK("#Покупные_изделия!D518",Покупные_изделия!D518)</f>
        <v>270</v>
      </c>
      <c r="M4170" s="76">
        <f t="shared" si="155"/>
        <v>5.4</v>
      </c>
      <c r="N4170" s="77"/>
      <c r="O4170" s="77"/>
      <c r="P4170" s="76"/>
      <c r="Q4170" s="76"/>
    </row>
    <row r="4171" spans="4:17" hidden="1" outlineLevel="3" x14ac:dyDescent="0.25">
      <c r="E4171" s="74" t="s">
        <v>202</v>
      </c>
      <c r="F4171" s="74"/>
      <c r="G4171" s="74"/>
      <c r="H4171" s="75"/>
      <c r="I4171" s="76"/>
      <c r="J4171" s="78">
        <f>HYPERLINK("#Структура!E2883",Структура!E2883)</f>
        <v>0.52200000000000002</v>
      </c>
      <c r="K4171" s="114" t="str">
        <f>HYPERLINK("#Структура!G2883","")</f>
        <v/>
      </c>
      <c r="L4171" s="120">
        <f>HYPERLINK("#Покупные_изделия!D521",Покупные_изделия!D521)</f>
        <v>462.99599999999998</v>
      </c>
      <c r="M4171" s="76">
        <f t="shared" si="155"/>
        <v>241.68391199999999</v>
      </c>
      <c r="N4171" s="77"/>
      <c r="O4171" s="77"/>
      <c r="P4171" s="76"/>
      <c r="Q4171" s="76"/>
    </row>
    <row r="4172" spans="4:17" hidden="1" outlineLevel="2" collapsed="1" x14ac:dyDescent="0.25">
      <c r="D4172" s="96" t="s">
        <v>1447</v>
      </c>
      <c r="E4172" s="91"/>
      <c r="F4172" s="91"/>
      <c r="G4172" s="91"/>
      <c r="H4172" s="92"/>
      <c r="I4172" s="93"/>
      <c r="J4172" s="95">
        <f>HYPERLINK("#Структура!E3341",Структура!E3341)</f>
        <v>1</v>
      </c>
      <c r="K4172" s="116">
        <f>HYPERLINK("#Структура!G3341",Структура!G3341)</f>
        <v>11.79505</v>
      </c>
      <c r="L4172" s="93">
        <f>M4172/J4172</f>
        <v>2088.7587840000001</v>
      </c>
      <c r="M4172" s="93">
        <f>SUMIF(E4173:E4185,"*",M4173:M4185)*J4172</f>
        <v>2088.7587840000001</v>
      </c>
      <c r="N4172" s="125">
        <f>HYPERLINK("#Трудозатраты!B731",Трудозатраты!B731+SUMIF(E4173:E4185,"*",O4173:O4185))</f>
        <v>121.98</v>
      </c>
      <c r="O4172" s="94">
        <f>N4172*J4172</f>
        <v>121.98</v>
      </c>
      <c r="P4172" s="93">
        <f>O4172/60*(1+запас_труд)*стоимость_трудочаса</f>
        <v>4777.55</v>
      </c>
      <c r="Q4172" s="130">
        <f>M4172*(1+наценка_покупное)+P4172</f>
        <v>7284.0605408000001</v>
      </c>
    </row>
    <row r="4173" spans="4:17" hidden="1" outlineLevel="3" collapsed="1" x14ac:dyDescent="0.25">
      <c r="E4173" s="85" t="s">
        <v>1443</v>
      </c>
      <c r="F4173" s="86"/>
      <c r="G4173" s="86"/>
      <c r="H4173" s="87"/>
      <c r="I4173" s="88"/>
      <c r="J4173" s="90">
        <f>HYPERLINK("#Структура!E2886",Структура!E2886)</f>
        <v>4</v>
      </c>
      <c r="K4173" s="113">
        <f>HYPERLINK("#Структура!G2886",Структура!G2886)</f>
        <v>0.59909000000000001</v>
      </c>
      <c r="L4173" s="88">
        <f>M4173/J4173</f>
        <v>74.52</v>
      </c>
      <c r="M4173" s="88">
        <f>SUMIF(F4174,"*",M4174)*J4173</f>
        <v>298.08</v>
      </c>
      <c r="N4173" s="123">
        <f>HYPERLINK("#Трудозатраты!B727",Трудозатраты!B727+SUMIF(F4174,"*",O4174))</f>
        <v>14.67</v>
      </c>
      <c r="O4173" s="89">
        <f>N4173*J4173</f>
        <v>58.68</v>
      </c>
      <c r="P4173" s="88">
        <f>O4173/60*(1+запас_труд)*стоимость_трудочаса</f>
        <v>2298.2999999999997</v>
      </c>
      <c r="Q4173" s="128">
        <f>M4173*(1+наценка_покупное)+P4173</f>
        <v>2655.9959999999996</v>
      </c>
    </row>
    <row r="4174" spans="4:17" hidden="1" outlineLevel="4" x14ac:dyDescent="0.25">
      <c r="F4174" s="74" t="s">
        <v>175</v>
      </c>
      <c r="G4174" s="74"/>
      <c r="H4174" s="75"/>
      <c r="I4174" s="76"/>
      <c r="J4174" s="78">
        <f>HYPERLINK("#Структура!E2873",Структура!E2873)</f>
        <v>0.621</v>
      </c>
      <c r="K4174" s="114" t="str">
        <f>HYPERLINK("#Структура!G2873","")</f>
        <v/>
      </c>
      <c r="L4174" s="120">
        <f>HYPERLINK("#Покупные_изделия!D486",Покупные_изделия!D486)</f>
        <v>120</v>
      </c>
      <c r="M4174" s="76">
        <f>J4174*L4174</f>
        <v>74.52</v>
      </c>
      <c r="N4174" s="77"/>
      <c r="O4174" s="77"/>
      <c r="P4174" s="76"/>
      <c r="Q4174" s="76"/>
    </row>
    <row r="4175" spans="4:17" hidden="1" outlineLevel="3" collapsed="1" x14ac:dyDescent="0.25">
      <c r="E4175" s="84" t="s">
        <v>1448</v>
      </c>
      <c r="F4175" s="79"/>
      <c r="G4175" s="79"/>
      <c r="H4175" s="80"/>
      <c r="I4175" s="81"/>
      <c r="J4175" s="83">
        <f>HYPERLINK("#Структура!E2887",Структура!E2887)</f>
        <v>1</v>
      </c>
      <c r="K4175" s="115">
        <f>HYPERLINK("#Структура!G2887",Структура!G2887)</f>
        <v>4.6993400000000003</v>
      </c>
      <c r="L4175" s="81">
        <f>M4175/J4175</f>
        <v>674.50920000000008</v>
      </c>
      <c r="M4175" s="81">
        <f>SUMIF(F4176,"*",M4176)*J4175</f>
        <v>674.50920000000008</v>
      </c>
      <c r="N4175" s="124">
        <f>HYPERLINK("#Трудозатраты!B732",Трудозатраты!B732+SUMIF(F4176,"*",O4176))</f>
        <v>8.3000000000000007</v>
      </c>
      <c r="O4175" s="82">
        <f>N4175*J4175</f>
        <v>8.3000000000000007</v>
      </c>
      <c r="P4175" s="81">
        <f>O4175/60*(1+запас_труд)*стоимость_трудочаса</f>
        <v>325.08333333333331</v>
      </c>
      <c r="Q4175" s="129">
        <f>M4175*(1+наценка_покупное)+P4175</f>
        <v>1134.4943733333334</v>
      </c>
    </row>
    <row r="4176" spans="4:17" hidden="1" outlineLevel="4" x14ac:dyDescent="0.25">
      <c r="F4176" s="74" t="s">
        <v>113</v>
      </c>
      <c r="G4176" s="74"/>
      <c r="H4176" s="75"/>
      <c r="I4176" s="76"/>
      <c r="J4176" s="78">
        <f>HYPERLINK("#Структура!E2896",Структура!E2896)</f>
        <v>5.6209100000000003</v>
      </c>
      <c r="K4176" s="114" t="str">
        <f>HYPERLINK("#Структура!G2896","")</f>
        <v/>
      </c>
      <c r="L4176" s="120">
        <f>HYPERLINK("#Покупные_изделия!D286",Покупные_изделия!D286)</f>
        <v>120</v>
      </c>
      <c r="M4176" s="76">
        <f>J4176*L4176</f>
        <v>674.50920000000008</v>
      </c>
      <c r="N4176" s="77"/>
      <c r="O4176" s="77"/>
      <c r="P4176" s="76"/>
      <c r="Q4176" s="76"/>
    </row>
    <row r="4177" spans="4:17" hidden="1" outlineLevel="3" collapsed="1" x14ac:dyDescent="0.25">
      <c r="E4177" s="84" t="s">
        <v>1449</v>
      </c>
      <c r="F4177" s="79"/>
      <c r="G4177" s="79"/>
      <c r="H4177" s="80"/>
      <c r="I4177" s="81"/>
      <c r="J4177" s="83">
        <f>HYPERLINK("#Структура!E2888",Структура!E2888)</f>
        <v>1</v>
      </c>
      <c r="K4177" s="115">
        <f>HYPERLINK("#Структура!G2888",Структура!G2888)</f>
        <v>4.6993400000000003</v>
      </c>
      <c r="L4177" s="81">
        <f>M4177/J4177</f>
        <v>674.50920000000008</v>
      </c>
      <c r="M4177" s="81">
        <f>SUMIF(F4178,"*",M4178)*J4177</f>
        <v>674.50920000000008</v>
      </c>
      <c r="N4177" s="124">
        <f>HYPERLINK("#Трудозатраты!B733",Трудозатраты!B733+SUMIF(F4178,"*",O4178))</f>
        <v>8.3000000000000007</v>
      </c>
      <c r="O4177" s="82">
        <f>N4177*J4177</f>
        <v>8.3000000000000007</v>
      </c>
      <c r="P4177" s="81">
        <f>O4177/60*(1+запас_труд)*стоимость_трудочаса</f>
        <v>325.08333333333331</v>
      </c>
      <c r="Q4177" s="129">
        <f>M4177*(1+наценка_покупное)+P4177</f>
        <v>1134.4943733333334</v>
      </c>
    </row>
    <row r="4178" spans="4:17" hidden="1" outlineLevel="4" x14ac:dyDescent="0.25">
      <c r="F4178" s="74" t="s">
        <v>113</v>
      </c>
      <c r="G4178" s="74"/>
      <c r="H4178" s="75"/>
      <c r="I4178" s="76"/>
      <c r="J4178" s="78">
        <f>HYPERLINK("#Структура!E2897",Структура!E2897)</f>
        <v>5.6209100000000003</v>
      </c>
      <c r="K4178" s="114" t="str">
        <f>HYPERLINK("#Структура!G2897","")</f>
        <v/>
      </c>
      <c r="L4178" s="120">
        <f>HYPERLINK("#Покупные_изделия!D286",Покупные_изделия!D286)</f>
        <v>120</v>
      </c>
      <c r="M4178" s="76">
        <f t="shared" ref="M4178:M4185" si="156">J4178*L4178</f>
        <v>674.50920000000008</v>
      </c>
      <c r="N4178" s="77"/>
      <c r="O4178" s="77"/>
      <c r="P4178" s="76"/>
      <c r="Q4178" s="76"/>
    </row>
    <row r="4179" spans="4:17" hidden="1" outlineLevel="3" x14ac:dyDescent="0.25">
      <c r="E4179" s="74" t="s">
        <v>44</v>
      </c>
      <c r="F4179" s="74"/>
      <c r="G4179" s="74"/>
      <c r="H4179" s="75"/>
      <c r="I4179" s="76"/>
      <c r="J4179" s="78">
        <f>HYPERLINK("#Структура!E2889",Структура!E2889)</f>
        <v>0.48799999999999999</v>
      </c>
      <c r="K4179" s="114" t="str">
        <f>HYPERLINK("#Структура!G2889","")</f>
        <v/>
      </c>
      <c r="L4179" s="120">
        <f>HYPERLINK("#Покупные_изделия!D63",Покупные_изделия!D63)</f>
        <v>396.00000000000006</v>
      </c>
      <c r="M4179" s="76">
        <f t="shared" si="156"/>
        <v>193.24800000000002</v>
      </c>
      <c r="N4179" s="77"/>
      <c r="O4179" s="77"/>
      <c r="P4179" s="76"/>
      <c r="Q4179" s="76"/>
    </row>
    <row r="4180" spans="4:17" hidden="1" outlineLevel="3" x14ac:dyDescent="0.25">
      <c r="E4180" s="74" t="s">
        <v>67</v>
      </c>
      <c r="F4180" s="74"/>
      <c r="G4180" s="74"/>
      <c r="H4180" s="75"/>
      <c r="I4180" s="76"/>
      <c r="J4180" s="78">
        <f>HYPERLINK("#Структура!E2890",Структура!E2890)</f>
        <v>0.12</v>
      </c>
      <c r="K4180" s="114" t="str">
        <f>HYPERLINK("#Структура!G2890","")</f>
        <v/>
      </c>
      <c r="L4180" s="120">
        <f>HYPERLINK("#Покупные_изделия!D203",Покупные_изделия!D203)</f>
        <v>30.003600000000002</v>
      </c>
      <c r="M4180" s="76">
        <f t="shared" si="156"/>
        <v>3.6004320000000001</v>
      </c>
      <c r="N4180" s="77"/>
      <c r="O4180" s="77"/>
      <c r="P4180" s="76"/>
      <c r="Q4180" s="76"/>
    </row>
    <row r="4181" spans="4:17" hidden="1" outlineLevel="3" x14ac:dyDescent="0.25">
      <c r="E4181" s="74" t="s">
        <v>139</v>
      </c>
      <c r="F4181" s="74"/>
      <c r="G4181" s="74"/>
      <c r="H4181" s="75"/>
      <c r="I4181" s="76"/>
      <c r="J4181" s="78">
        <f>HYPERLINK("#Структура!E2891",Структура!E2891)</f>
        <v>0.06</v>
      </c>
      <c r="K4181" s="114" t="str">
        <f>HYPERLINK("#Структура!G2891","")</f>
        <v/>
      </c>
      <c r="L4181" s="120">
        <f>HYPERLINK("#Покупные_изделия!D360",Покупные_изделия!D360)</f>
        <v>171.87720000000002</v>
      </c>
      <c r="M4181" s="76">
        <f t="shared" si="156"/>
        <v>10.312632000000001</v>
      </c>
      <c r="N4181" s="77"/>
      <c r="O4181" s="77"/>
      <c r="P4181" s="76"/>
      <c r="Q4181" s="76"/>
    </row>
    <row r="4182" spans="4:17" hidden="1" outlineLevel="3" x14ac:dyDescent="0.25">
      <c r="E4182" s="74" t="s">
        <v>146</v>
      </c>
      <c r="F4182" s="74"/>
      <c r="G4182" s="74"/>
      <c r="H4182" s="75"/>
      <c r="I4182" s="76"/>
      <c r="J4182" s="78">
        <f>HYPERLINK("#Структура!E2892",Структура!E2892)</f>
        <v>7.0000000000000007E-2</v>
      </c>
      <c r="K4182" s="114" t="str">
        <f>HYPERLINK("#Структура!G2892","")</f>
        <v/>
      </c>
      <c r="L4182" s="120">
        <f>HYPERLINK("#Покупные_изделия!D406",Покупные_изделия!D406)</f>
        <v>105.996</v>
      </c>
      <c r="M4182" s="76">
        <f t="shared" si="156"/>
        <v>7.4197200000000008</v>
      </c>
      <c r="N4182" s="77"/>
      <c r="O4182" s="77"/>
      <c r="P4182" s="76"/>
      <c r="Q4182" s="76"/>
    </row>
    <row r="4183" spans="4:17" hidden="1" outlineLevel="3" x14ac:dyDescent="0.25">
      <c r="E4183" s="74" t="s">
        <v>156</v>
      </c>
      <c r="F4183" s="74"/>
      <c r="G4183" s="74"/>
      <c r="H4183" s="75"/>
      <c r="I4183" s="76"/>
      <c r="J4183" s="78">
        <f>HYPERLINK("#Структура!E2893",Структура!E2893)</f>
        <v>0.17899999999999999</v>
      </c>
      <c r="K4183" s="114" t="str">
        <f>HYPERLINK("#Структура!G2893","")</f>
        <v/>
      </c>
      <c r="L4183" s="120">
        <f>HYPERLINK("#Покупные_изделия!D427",Покупные_изделия!D427)</f>
        <v>155.53200000000001</v>
      </c>
      <c r="M4183" s="76">
        <f t="shared" si="156"/>
        <v>27.840228</v>
      </c>
      <c r="N4183" s="77"/>
      <c r="O4183" s="77"/>
      <c r="P4183" s="76"/>
      <c r="Q4183" s="76"/>
    </row>
    <row r="4184" spans="4:17" hidden="1" outlineLevel="3" x14ac:dyDescent="0.25">
      <c r="E4184" s="74" t="s">
        <v>200</v>
      </c>
      <c r="F4184" s="74"/>
      <c r="G4184" s="74"/>
      <c r="H4184" s="75"/>
      <c r="I4184" s="76"/>
      <c r="J4184" s="78">
        <f>HYPERLINK("#Структура!E2894",Структура!E2894)</f>
        <v>0.04</v>
      </c>
      <c r="K4184" s="114" t="str">
        <f>HYPERLINK("#Структура!G2894","")</f>
        <v/>
      </c>
      <c r="L4184" s="120">
        <f>HYPERLINK("#Покупные_изделия!D518",Покупные_изделия!D518)</f>
        <v>270</v>
      </c>
      <c r="M4184" s="76">
        <f t="shared" si="156"/>
        <v>10.8</v>
      </c>
      <c r="N4184" s="77"/>
      <c r="O4184" s="77"/>
      <c r="P4184" s="76"/>
      <c r="Q4184" s="76"/>
    </row>
    <row r="4185" spans="4:17" hidden="1" outlineLevel="3" x14ac:dyDescent="0.25">
      <c r="E4185" s="74" t="s">
        <v>202</v>
      </c>
      <c r="F4185" s="74"/>
      <c r="G4185" s="74"/>
      <c r="H4185" s="75"/>
      <c r="I4185" s="76"/>
      <c r="J4185" s="78">
        <f>HYPERLINK("#Структура!E2895",Структура!E2895)</f>
        <v>0.40699999999999997</v>
      </c>
      <c r="K4185" s="114" t="str">
        <f>HYPERLINK("#Структура!G2895","")</f>
        <v/>
      </c>
      <c r="L4185" s="120">
        <f>HYPERLINK("#Покупные_изделия!D521",Покупные_изделия!D521)</f>
        <v>462.99599999999998</v>
      </c>
      <c r="M4185" s="76">
        <f t="shared" si="156"/>
        <v>188.43937199999999</v>
      </c>
      <c r="N4185" s="77"/>
      <c r="O4185" s="77"/>
      <c r="P4185" s="76"/>
      <c r="Q4185" s="76"/>
    </row>
    <row r="4186" spans="4:17" hidden="1" outlineLevel="2" collapsed="1" x14ac:dyDescent="0.25">
      <c r="D4186" s="84" t="s">
        <v>1431</v>
      </c>
      <c r="E4186" s="79"/>
      <c r="F4186" s="79"/>
      <c r="G4186" s="79"/>
      <c r="H4186" s="80"/>
      <c r="I4186" s="81"/>
      <c r="J4186" s="83">
        <f>HYPERLINK("#Структура!E3342",Структура!E3342)</f>
        <v>2</v>
      </c>
      <c r="K4186" s="115">
        <f>HYPERLINK("#Структура!G3342",Структура!G3342)</f>
        <v>0.49901000000000001</v>
      </c>
      <c r="L4186" s="81">
        <f>M4186/J4186</f>
        <v>97.327999999999989</v>
      </c>
      <c r="M4186" s="81">
        <f>SUMIF(E4187,"*",M4187)*J4186</f>
        <v>194.65599999999998</v>
      </c>
      <c r="N4186" s="124">
        <f>HYPERLINK("#Трудозатраты!B715",Трудозатраты!B715+SUMIF(E4187,"*",O4187))</f>
        <v>3.1</v>
      </c>
      <c r="O4186" s="82">
        <f>N4186*J4186</f>
        <v>6.2</v>
      </c>
      <c r="P4186" s="81">
        <f>O4186/60*(1+запас_труд)*стоимость_трудочаса</f>
        <v>242.83333333333334</v>
      </c>
      <c r="Q4186" s="129">
        <f>M4186*(1+наценка_покупное)+P4186</f>
        <v>476.42053333333331</v>
      </c>
    </row>
    <row r="4187" spans="4:17" hidden="1" outlineLevel="3" x14ac:dyDescent="0.25">
      <c r="E4187" s="74" t="s">
        <v>131</v>
      </c>
      <c r="F4187" s="74"/>
      <c r="G4187" s="74"/>
      <c r="H4187" s="75"/>
      <c r="I4187" s="76"/>
      <c r="J4187" s="78">
        <f>HYPERLINK("#Структура!E2852",Структура!E2852)</f>
        <v>0.60829999999999995</v>
      </c>
      <c r="K4187" s="114" t="str">
        <f>HYPERLINK("#Структура!G2852","")</f>
        <v/>
      </c>
      <c r="L4187" s="120">
        <f>HYPERLINK("#Покупные_изделия!D306",Покупные_изделия!D306)</f>
        <v>160</v>
      </c>
      <c r="M4187" s="76">
        <f>J4187*L4187</f>
        <v>97.327999999999989</v>
      </c>
      <c r="N4187" s="77"/>
      <c r="O4187" s="77"/>
      <c r="P4187" s="76"/>
      <c r="Q4187" s="76"/>
    </row>
    <row r="4188" spans="4:17" hidden="1" outlineLevel="2" collapsed="1" x14ac:dyDescent="0.25">
      <c r="D4188" s="84" t="s">
        <v>1432</v>
      </c>
      <c r="E4188" s="79"/>
      <c r="F4188" s="79"/>
      <c r="G4188" s="79"/>
      <c r="H4188" s="80"/>
      <c r="I4188" s="81"/>
      <c r="J4188" s="83">
        <f>HYPERLINK("#Структура!E3343",Структура!E3343)</f>
        <v>2</v>
      </c>
      <c r="K4188" s="115">
        <f>HYPERLINK("#Структура!G3343",Структура!G3343)</f>
        <v>0.63180999999999998</v>
      </c>
      <c r="L4188" s="81">
        <f>M4188/J4188</f>
        <v>122.85119999999999</v>
      </c>
      <c r="M4188" s="81">
        <f>SUMIF(E4189,"*",M4189)*J4188</f>
        <v>245.70239999999998</v>
      </c>
      <c r="N4188" s="124">
        <f>HYPERLINK("#Трудозатраты!B716",Трудозатраты!B716+SUMIF(E4189,"*",O4189))</f>
        <v>2.9</v>
      </c>
      <c r="O4188" s="82">
        <f>N4188*J4188</f>
        <v>5.8</v>
      </c>
      <c r="P4188" s="81">
        <f>O4188/60*(1+запас_труд)*стоимость_трудочаса</f>
        <v>227.16666666666666</v>
      </c>
      <c r="Q4188" s="129">
        <f>M4188*(1+наценка_покупное)+P4188</f>
        <v>522.00954666666667</v>
      </c>
    </row>
    <row r="4189" spans="4:17" hidden="1" outlineLevel="3" x14ac:dyDescent="0.25">
      <c r="E4189" s="74" t="s">
        <v>131</v>
      </c>
      <c r="F4189" s="74"/>
      <c r="G4189" s="74"/>
      <c r="H4189" s="75"/>
      <c r="I4189" s="76"/>
      <c r="J4189" s="78">
        <f>HYPERLINK("#Структура!E2853",Структура!E2853)</f>
        <v>0.76781999999999995</v>
      </c>
      <c r="K4189" s="114" t="str">
        <f>HYPERLINK("#Структура!G2853","")</f>
        <v/>
      </c>
      <c r="L4189" s="120">
        <f>HYPERLINK("#Покупные_изделия!D306",Покупные_изделия!D306)</f>
        <v>160</v>
      </c>
      <c r="M4189" s="76">
        <f>J4189*L4189</f>
        <v>122.85119999999999</v>
      </c>
      <c r="N4189" s="77"/>
      <c r="O4189" s="77"/>
      <c r="P4189" s="76"/>
      <c r="Q4189" s="76"/>
    </row>
    <row r="4190" spans="4:17" hidden="1" outlineLevel="2" collapsed="1" x14ac:dyDescent="0.25">
      <c r="D4190" s="84" t="s">
        <v>1433</v>
      </c>
      <c r="E4190" s="79"/>
      <c r="F4190" s="79"/>
      <c r="G4190" s="79"/>
      <c r="H4190" s="80"/>
      <c r="I4190" s="81"/>
      <c r="J4190" s="83">
        <f>HYPERLINK("#Структура!E3344",Структура!E3344)</f>
        <v>2</v>
      </c>
      <c r="K4190" s="115">
        <f>HYPERLINK("#Структура!G3344",Структура!G3344)</f>
        <v>8.9300000000000004E-2</v>
      </c>
      <c r="L4190" s="81">
        <f>M4190/J4190</f>
        <v>18.041599999999999</v>
      </c>
      <c r="M4190" s="81">
        <f>SUMIF(E4191,"*",M4191)*J4190</f>
        <v>36.083199999999998</v>
      </c>
      <c r="N4190" s="124">
        <f>HYPERLINK("#Трудозатраты!B717",Трудозатраты!B717+SUMIF(E4191,"*",O4191))</f>
        <v>2.2999999999999998</v>
      </c>
      <c r="O4190" s="82">
        <f>N4190*J4190</f>
        <v>4.5999999999999996</v>
      </c>
      <c r="P4190" s="81">
        <f>O4190/60*(1+запас_труд)*стоимость_трудочаса</f>
        <v>180.16666666666666</v>
      </c>
      <c r="Q4190" s="129">
        <f>M4190*(1+наценка_покупное)+P4190</f>
        <v>223.46650666666665</v>
      </c>
    </row>
    <row r="4191" spans="4:17" hidden="1" outlineLevel="3" x14ac:dyDescent="0.25">
      <c r="E4191" s="74" t="s">
        <v>131</v>
      </c>
      <c r="F4191" s="74"/>
      <c r="G4191" s="74"/>
      <c r="H4191" s="75"/>
      <c r="I4191" s="76"/>
      <c r="J4191" s="78">
        <f>HYPERLINK("#Структура!E2854",Структура!E2854)</f>
        <v>0.11276</v>
      </c>
      <c r="K4191" s="114" t="str">
        <f>HYPERLINK("#Структура!G2854","")</f>
        <v/>
      </c>
      <c r="L4191" s="120">
        <f>HYPERLINK("#Покупные_изделия!D306",Покупные_изделия!D306)</f>
        <v>160</v>
      </c>
      <c r="M4191" s="76">
        <f>J4191*L4191</f>
        <v>18.041599999999999</v>
      </c>
      <c r="N4191" s="77"/>
      <c r="O4191" s="77"/>
      <c r="P4191" s="76"/>
      <c r="Q4191" s="76"/>
    </row>
    <row r="4192" spans="4:17" hidden="1" outlineLevel="2" collapsed="1" x14ac:dyDescent="0.25">
      <c r="D4192" s="84" t="s">
        <v>1434</v>
      </c>
      <c r="E4192" s="79"/>
      <c r="F4192" s="79"/>
      <c r="G4192" s="79"/>
      <c r="H4192" s="80"/>
      <c r="I4192" s="81"/>
      <c r="J4192" s="83">
        <f>HYPERLINK("#Структура!E3345",Структура!E3345)</f>
        <v>14</v>
      </c>
      <c r="K4192" s="115">
        <f>HYPERLINK("#Структура!G3345",Структура!G3345)</f>
        <v>0.72635000000000005</v>
      </c>
      <c r="L4192" s="81">
        <f>M4192/J4192</f>
        <v>141.0736</v>
      </c>
      <c r="M4192" s="81">
        <f>SUMIF(E4193,"*",M4193)*J4192</f>
        <v>1975.0304000000001</v>
      </c>
      <c r="N4192" s="124">
        <f>HYPERLINK("#Трудозатраты!B718",Трудозатраты!B718+SUMIF(E4193,"*",O4193))</f>
        <v>0.9</v>
      </c>
      <c r="O4192" s="82">
        <f>N4192*J4192</f>
        <v>12.6</v>
      </c>
      <c r="P4192" s="81">
        <f>O4192/60*(1+запас_труд)*стоимость_трудочаса</f>
        <v>493.5</v>
      </c>
      <c r="Q4192" s="129">
        <f>M4192*(1+наценка_покупное)+P4192</f>
        <v>2863.5364800000002</v>
      </c>
    </row>
    <row r="4193" spans="3:17" hidden="1" outlineLevel="3" x14ac:dyDescent="0.25">
      <c r="E4193" s="74" t="s">
        <v>131</v>
      </c>
      <c r="F4193" s="74"/>
      <c r="G4193" s="74"/>
      <c r="H4193" s="75"/>
      <c r="I4193" s="76"/>
      <c r="J4193" s="78">
        <f>HYPERLINK("#Структура!E2855",Структура!E2855)</f>
        <v>0.88170999999999999</v>
      </c>
      <c r="K4193" s="114" t="str">
        <f>HYPERLINK("#Структура!G2855","")</f>
        <v/>
      </c>
      <c r="L4193" s="120">
        <f>HYPERLINK("#Покупные_изделия!D306",Покупные_изделия!D306)</f>
        <v>160</v>
      </c>
      <c r="M4193" s="76">
        <f>J4193*L4193</f>
        <v>141.0736</v>
      </c>
      <c r="N4193" s="77"/>
      <c r="O4193" s="77"/>
      <c r="P4193" s="76"/>
      <c r="Q4193" s="76"/>
    </row>
    <row r="4194" spans="3:17" hidden="1" outlineLevel="2" collapsed="1" x14ac:dyDescent="0.25">
      <c r="D4194" s="84" t="s">
        <v>1435</v>
      </c>
      <c r="E4194" s="79"/>
      <c r="F4194" s="79"/>
      <c r="G4194" s="79"/>
      <c r="H4194" s="80"/>
      <c r="I4194" s="81"/>
      <c r="J4194" s="83">
        <f>HYPERLINK("#Структура!E3346",Структура!E3346)</f>
        <v>41</v>
      </c>
      <c r="K4194" s="115">
        <f>HYPERLINK("#Структура!G3346",Структура!G3346)</f>
        <v>0.43381999999999998</v>
      </c>
      <c r="L4194" s="81">
        <f>M4194/J4194</f>
        <v>86.135999999999996</v>
      </c>
      <c r="M4194" s="81">
        <f>SUMIF(E4195,"*",M4195)*J4194</f>
        <v>3531.576</v>
      </c>
      <c r="N4194" s="124">
        <f>HYPERLINK("#Трудозатраты!B719",Трудозатраты!B719+SUMIF(E4195,"*",O4195))</f>
        <v>2.8</v>
      </c>
      <c r="O4194" s="82">
        <f>N4194*J4194</f>
        <v>114.8</v>
      </c>
      <c r="P4194" s="81">
        <f>O4194/60*(1+запас_труд)*стоимость_трудочаса</f>
        <v>4496.333333333333</v>
      </c>
      <c r="Q4194" s="129">
        <f>M4194*(1+наценка_покупное)+P4194</f>
        <v>8734.224533333334</v>
      </c>
    </row>
    <row r="4195" spans="3:17" hidden="1" outlineLevel="3" x14ac:dyDescent="0.25">
      <c r="E4195" s="74" t="s">
        <v>131</v>
      </c>
      <c r="F4195" s="74"/>
      <c r="G4195" s="74"/>
      <c r="H4195" s="75"/>
      <c r="I4195" s="76"/>
      <c r="J4195" s="78">
        <f>HYPERLINK("#Структура!E2856",Структура!E2856)</f>
        <v>0.53835</v>
      </c>
      <c r="K4195" s="114" t="str">
        <f>HYPERLINK("#Структура!G2856","")</f>
        <v/>
      </c>
      <c r="L4195" s="120">
        <f>HYPERLINK("#Покупные_изделия!D306",Покупные_изделия!D306)</f>
        <v>160</v>
      </c>
      <c r="M4195" s="76">
        <f>J4195*L4195</f>
        <v>86.135999999999996</v>
      </c>
      <c r="N4195" s="77"/>
      <c r="O4195" s="77"/>
      <c r="P4195" s="76"/>
      <c r="Q4195" s="76"/>
    </row>
    <row r="4196" spans="3:17" hidden="1" outlineLevel="2" collapsed="1" x14ac:dyDescent="0.25">
      <c r="D4196" s="84" t="s">
        <v>1436</v>
      </c>
      <c r="E4196" s="79"/>
      <c r="F4196" s="79"/>
      <c r="G4196" s="79"/>
      <c r="H4196" s="80"/>
      <c r="I4196" s="81"/>
      <c r="J4196" s="83">
        <f>HYPERLINK("#Структура!E3347",Структура!E3347)</f>
        <v>14</v>
      </c>
      <c r="K4196" s="115">
        <f>HYPERLINK("#Структура!G3347",Структура!G3347)</f>
        <v>0.15273999999999999</v>
      </c>
      <c r="L4196" s="81">
        <f>M4196/J4196</f>
        <v>30.747199999999999</v>
      </c>
      <c r="M4196" s="81">
        <f>SUMIF(E4197,"*",M4197)*J4196</f>
        <v>430.46080000000001</v>
      </c>
      <c r="N4196" s="124">
        <f>HYPERLINK("#Трудозатраты!B720",Трудозатраты!B720+SUMIF(E4197,"*",O4197))</f>
        <v>0.5</v>
      </c>
      <c r="O4196" s="82">
        <f>N4196*J4196</f>
        <v>7</v>
      </c>
      <c r="P4196" s="81">
        <f>O4196/60*(1+запас_труд)*стоимость_трудочаса</f>
        <v>274.16666666666669</v>
      </c>
      <c r="Q4196" s="129">
        <f>M4196*(1+наценка_покупное)+P4196</f>
        <v>790.71962666666673</v>
      </c>
    </row>
    <row r="4197" spans="3:17" hidden="1" outlineLevel="3" x14ac:dyDescent="0.25">
      <c r="E4197" s="74" t="s">
        <v>131</v>
      </c>
      <c r="F4197" s="74"/>
      <c r="G4197" s="74"/>
      <c r="H4197" s="75"/>
      <c r="I4197" s="76"/>
      <c r="J4197" s="78">
        <f>HYPERLINK("#Структура!E2857",Структура!E2857)</f>
        <v>0.19217000000000001</v>
      </c>
      <c r="K4197" s="114" t="str">
        <f>HYPERLINK("#Структура!G2857","")</f>
        <v/>
      </c>
      <c r="L4197" s="120">
        <f>HYPERLINK("#Покупные_изделия!D306",Покупные_изделия!D306)</f>
        <v>160</v>
      </c>
      <c r="M4197" s="76">
        <f>J4197*L4197</f>
        <v>30.747199999999999</v>
      </c>
      <c r="N4197" s="77"/>
      <c r="O4197" s="77"/>
      <c r="P4197" s="76"/>
      <c r="Q4197" s="76"/>
    </row>
    <row r="4198" spans="3:17" hidden="1" outlineLevel="2" collapsed="1" x14ac:dyDescent="0.25">
      <c r="D4198" s="84" t="s">
        <v>1437</v>
      </c>
      <c r="E4198" s="79"/>
      <c r="F4198" s="79"/>
      <c r="G4198" s="79"/>
      <c r="H4198" s="80"/>
      <c r="I4198" s="81"/>
      <c r="J4198" s="83">
        <f>HYPERLINK("#Структура!E3348",Структура!E3348)</f>
        <v>6</v>
      </c>
      <c r="K4198" s="115">
        <f>HYPERLINK("#Структура!G3348",Структура!G3348)</f>
        <v>2.30179</v>
      </c>
      <c r="L4198" s="81">
        <f>M4198/J4198</f>
        <v>444.69920000000002</v>
      </c>
      <c r="M4198" s="81">
        <f>SUMIF(E4199,"*",M4199)*J4198</f>
        <v>2668.1952000000001</v>
      </c>
      <c r="N4198" s="124">
        <f>HYPERLINK("#Трудозатраты!B721",Трудозатраты!B721+SUMIF(E4199,"*",O4199))</f>
        <v>14.200000000000001</v>
      </c>
      <c r="O4198" s="82">
        <f>N4198*J4198</f>
        <v>85.2</v>
      </c>
      <c r="P4198" s="81">
        <f>O4198/60*(1+запас_труд)*стоимость_трудочаса</f>
        <v>3337.0000000000005</v>
      </c>
      <c r="Q4198" s="129">
        <f>M4198*(1+наценка_покупное)+P4198</f>
        <v>6538.8342400000001</v>
      </c>
    </row>
    <row r="4199" spans="3:17" hidden="1" outlineLevel="3" x14ac:dyDescent="0.25">
      <c r="E4199" s="74" t="s">
        <v>131</v>
      </c>
      <c r="F4199" s="74"/>
      <c r="G4199" s="74"/>
      <c r="H4199" s="75"/>
      <c r="I4199" s="76"/>
      <c r="J4199" s="78">
        <f>HYPERLINK("#Структура!E2858",Структура!E2858)</f>
        <v>2.7793700000000001</v>
      </c>
      <c r="K4199" s="114" t="str">
        <f>HYPERLINK("#Структура!G2858","")</f>
        <v/>
      </c>
      <c r="L4199" s="120">
        <f>HYPERLINK("#Покупные_изделия!D306",Покупные_изделия!D306)</f>
        <v>160</v>
      </c>
      <c r="M4199" s="76">
        <f>J4199*L4199</f>
        <v>444.69920000000002</v>
      </c>
      <c r="N4199" s="77"/>
      <c r="O4199" s="77"/>
      <c r="P4199" s="76"/>
      <c r="Q4199" s="76"/>
    </row>
    <row r="4200" spans="3:17" hidden="1" outlineLevel="2" collapsed="1" x14ac:dyDescent="0.25">
      <c r="D4200" s="84" t="s">
        <v>1438</v>
      </c>
      <c r="E4200" s="79"/>
      <c r="F4200" s="79"/>
      <c r="G4200" s="79"/>
      <c r="H4200" s="80"/>
      <c r="I4200" s="81"/>
      <c r="J4200" s="83">
        <f>HYPERLINK("#Структура!E3349",Структура!E3349)</f>
        <v>28</v>
      </c>
      <c r="K4200" s="115">
        <f>HYPERLINK("#Структура!G3349",Структура!G3349)</f>
        <v>0.88885000000000003</v>
      </c>
      <c r="L4200" s="81">
        <f>M4200/J4200</f>
        <v>172.27360000000002</v>
      </c>
      <c r="M4200" s="81">
        <f>SUMIF(E4201,"*",M4201)*J4200</f>
        <v>4823.6608000000006</v>
      </c>
      <c r="N4200" s="124">
        <f>HYPERLINK("#Трудозатраты!B722",Трудозатраты!B722+SUMIF(E4201,"*",O4201))</f>
        <v>2.5</v>
      </c>
      <c r="O4200" s="82">
        <f>N4200*J4200</f>
        <v>70</v>
      </c>
      <c r="P4200" s="81">
        <f>O4200/60*(1+запас_труд)*стоимость_трудочаса</f>
        <v>2741.666666666667</v>
      </c>
      <c r="Q4200" s="129">
        <f>M4200*(1+наценка_покупное)+P4200</f>
        <v>8530.0596266666671</v>
      </c>
    </row>
    <row r="4201" spans="3:17" hidden="1" outlineLevel="3" x14ac:dyDescent="0.25">
      <c r="E4201" s="74" t="s">
        <v>131</v>
      </c>
      <c r="F4201" s="74"/>
      <c r="G4201" s="74"/>
      <c r="H4201" s="75"/>
      <c r="I4201" s="76"/>
      <c r="J4201" s="78">
        <f>HYPERLINK("#Структура!E2859",Структура!E2859)</f>
        <v>1.0767100000000001</v>
      </c>
      <c r="K4201" s="114" t="str">
        <f>HYPERLINK("#Структура!G2859","")</f>
        <v/>
      </c>
      <c r="L4201" s="120">
        <f>HYPERLINK("#Покупные_изделия!D306",Покупные_изделия!D306)</f>
        <v>160</v>
      </c>
      <c r="M4201" s="76">
        <f>J4201*L4201</f>
        <v>172.27360000000002</v>
      </c>
      <c r="N4201" s="77"/>
      <c r="O4201" s="77"/>
      <c r="P4201" s="76"/>
      <c r="Q4201" s="76"/>
    </row>
    <row r="4202" spans="3:17" hidden="1" outlineLevel="2" collapsed="1" x14ac:dyDescent="0.25">
      <c r="D4202" s="84" t="s">
        <v>1439</v>
      </c>
      <c r="E4202" s="79"/>
      <c r="F4202" s="79"/>
      <c r="G4202" s="79"/>
      <c r="H4202" s="80"/>
      <c r="I4202" s="81"/>
      <c r="J4202" s="83">
        <f>HYPERLINK("#Структура!E3350",Структура!E3350)</f>
        <v>2</v>
      </c>
      <c r="K4202" s="115">
        <f>HYPERLINK("#Структура!G3350",Структура!G3350)</f>
        <v>2.5922000000000001</v>
      </c>
      <c r="L4202" s="81">
        <f>M4202/J4202</f>
        <v>500.54079999999999</v>
      </c>
      <c r="M4202" s="81">
        <f>SUMIF(E4203,"*",M4203)*J4202</f>
        <v>1001.0816</v>
      </c>
      <c r="N4202" s="124">
        <f>HYPERLINK("#Трудозатраты!B723",Трудозатраты!B723+SUMIF(E4203,"*",O4203))</f>
        <v>18.200000000000003</v>
      </c>
      <c r="O4202" s="82">
        <f>N4202*J4202</f>
        <v>36.400000000000006</v>
      </c>
      <c r="P4202" s="81">
        <f>O4202/60*(1+запас_труд)*стоимость_трудочаса</f>
        <v>1425.666666666667</v>
      </c>
      <c r="Q4202" s="129">
        <f>M4202*(1+наценка_покупное)+P4202</f>
        <v>2626.9645866666669</v>
      </c>
    </row>
    <row r="4203" spans="3:17" hidden="1" outlineLevel="3" x14ac:dyDescent="0.25">
      <c r="E4203" s="74" t="s">
        <v>131</v>
      </c>
      <c r="F4203" s="74"/>
      <c r="G4203" s="74"/>
      <c r="H4203" s="75"/>
      <c r="I4203" s="76"/>
      <c r="J4203" s="78">
        <f>HYPERLINK("#Структура!E2860",Структура!E2860)</f>
        <v>3.1283799999999999</v>
      </c>
      <c r="K4203" s="114" t="str">
        <f>HYPERLINK("#Структура!G2860","")</f>
        <v/>
      </c>
      <c r="L4203" s="120">
        <f>HYPERLINK("#Покупные_изделия!D306",Покупные_изделия!D306)</f>
        <v>160</v>
      </c>
      <c r="M4203" s="76">
        <f>J4203*L4203</f>
        <v>500.54079999999999</v>
      </c>
      <c r="N4203" s="77"/>
      <c r="O4203" s="77"/>
      <c r="P4203" s="76"/>
      <c r="Q4203" s="76"/>
    </row>
    <row r="4204" spans="3:17" hidden="1" outlineLevel="2" x14ac:dyDescent="0.25">
      <c r="D4204" s="74" t="s">
        <v>622</v>
      </c>
      <c r="E4204" s="74"/>
      <c r="F4204" s="74"/>
      <c r="G4204" s="74"/>
      <c r="H4204" s="75"/>
      <c r="I4204" s="76"/>
      <c r="J4204" s="78">
        <f>HYPERLINK("#Структура!E3351",Структура!E3351)</f>
        <v>207</v>
      </c>
      <c r="K4204" s="114">
        <f>HYPERLINK("#Структура!G3351",Структура!G3351)</f>
        <v>1.52E-2</v>
      </c>
      <c r="L4204" s="120">
        <f>HYPERLINK("#Покупные_изделия!D85",Покупные_изделия!D85)</f>
        <v>8.6999999999999993</v>
      </c>
      <c r="M4204" s="76">
        <f>J4204*L4204</f>
        <v>1800.8999999999999</v>
      </c>
      <c r="N4204" s="77"/>
      <c r="O4204" s="77"/>
      <c r="P4204" s="76"/>
      <c r="Q4204" s="76"/>
    </row>
    <row r="4205" spans="3:17" hidden="1" outlineLevel="2" x14ac:dyDescent="0.25">
      <c r="D4205" s="74" t="s">
        <v>625</v>
      </c>
      <c r="E4205" s="74"/>
      <c r="F4205" s="74"/>
      <c r="G4205" s="74"/>
      <c r="H4205" s="75"/>
      <c r="I4205" s="76"/>
      <c r="J4205" s="78">
        <f>HYPERLINK("#Структура!E3352",Структура!E3352)</f>
        <v>207</v>
      </c>
      <c r="K4205" s="114">
        <f>HYPERLINK("#Структура!G3352",Структура!G3352)</f>
        <v>7.1399999999999996E-3</v>
      </c>
      <c r="L4205" s="120">
        <f>HYPERLINK("#Покупные_изделия!D168",Покупные_изделия!D168)</f>
        <v>1.9715672368421051</v>
      </c>
      <c r="M4205" s="76">
        <f>J4205*L4205</f>
        <v>408.11441802631578</v>
      </c>
      <c r="N4205" s="77"/>
      <c r="O4205" s="77"/>
      <c r="P4205" s="76"/>
      <c r="Q4205" s="76"/>
    </row>
    <row r="4206" spans="3:17" hidden="1" outlineLevel="1" collapsed="1" x14ac:dyDescent="0.25">
      <c r="C4206" s="96" t="s">
        <v>1559</v>
      </c>
      <c r="D4206" s="91"/>
      <c r="E4206" s="91"/>
      <c r="F4206" s="91"/>
      <c r="G4206" s="91"/>
      <c r="H4206" s="92"/>
      <c r="I4206" s="93"/>
      <c r="J4206" s="95">
        <f>HYPERLINK("#Структура!E3264",Структура!E3264)</f>
        <v>1</v>
      </c>
      <c r="K4206" s="116">
        <f>HYPERLINK("#Структура!G3264",Структура!G3264)</f>
        <v>137.94605999999999</v>
      </c>
      <c r="L4206" s="93">
        <f>M4206/J4206</f>
        <v>103407.80398320001</v>
      </c>
      <c r="M4206" s="93">
        <f>SUMIF(D4207:D4276,"*",M4207:M4276)*J4206</f>
        <v>103407.80398320001</v>
      </c>
      <c r="N4206" s="125">
        <f>HYPERLINK("#Трудозатраты!B844",Трудозатраты!B844+SUMIF(D4207:D4276,"*",O4207:O4276))</f>
        <v>1253.3399999999999</v>
      </c>
      <c r="O4206" s="94">
        <f>N4206*J4206</f>
        <v>1253.3399999999999</v>
      </c>
      <c r="P4206" s="93">
        <f>O4206/60*(1+запас_труд)*стоимость_трудочаса</f>
        <v>49089.15</v>
      </c>
      <c r="Q4206" s="130">
        <f>M4206*(1+наценка_покупное)+P4206</f>
        <v>173178.51477984001</v>
      </c>
    </row>
    <row r="4207" spans="3:17" hidden="1" outlineLevel="2" collapsed="1" x14ac:dyDescent="0.25">
      <c r="D4207" s="97" t="s">
        <v>1451</v>
      </c>
      <c r="E4207" s="98"/>
      <c r="F4207" s="98"/>
      <c r="G4207" s="98"/>
      <c r="H4207" s="99"/>
      <c r="I4207" s="100"/>
      <c r="J4207" s="102">
        <f>HYPERLINK("#Структура!E3353",Структура!E3353)</f>
        <v>4</v>
      </c>
      <c r="K4207" s="112">
        <f>HYPERLINK("#Структура!G3353",Структура!G3353)</f>
        <v>21.418710000000001</v>
      </c>
      <c r="L4207" s="100">
        <f>M4207/J4207</f>
        <v>4761.1543119999997</v>
      </c>
      <c r="M4207" s="100">
        <f>SUMIF(E4208:E4222,"*",M4208:M4222)*J4207</f>
        <v>19044.617247999999</v>
      </c>
      <c r="N4207" s="122">
        <f>HYPERLINK("#Трудозатраты!B734",Трудозатраты!B734+SUMIF(E4208:E4222,"*",O4208:O4222))</f>
        <v>157.5</v>
      </c>
      <c r="O4207" s="101">
        <f>N4207*J4207</f>
        <v>630</v>
      </c>
      <c r="P4207" s="100">
        <f>O4207/60*(1+запас_труд)*стоимость_трудочаса</f>
        <v>24675</v>
      </c>
      <c r="Q4207" s="127">
        <f>M4207*(1+наценка_покупное)+P4207</f>
        <v>47528.540697599994</v>
      </c>
    </row>
    <row r="4208" spans="3:17" hidden="1" outlineLevel="3" collapsed="1" x14ac:dyDescent="0.25">
      <c r="E4208" s="85" t="s">
        <v>1450</v>
      </c>
      <c r="F4208" s="86"/>
      <c r="G4208" s="86"/>
      <c r="H4208" s="87"/>
      <c r="I4208" s="88"/>
      <c r="J4208" s="90">
        <f>HYPERLINK("#Структура!E2898",Структура!E2898)</f>
        <v>1</v>
      </c>
      <c r="K4208" s="113">
        <f>HYPERLINK("#Структура!G2898",Структура!G2898)</f>
        <v>12.26502</v>
      </c>
      <c r="L4208" s="88">
        <f>M4208/J4208</f>
        <v>1544.3999999999999</v>
      </c>
      <c r="M4208" s="88">
        <f>SUMIF(F4209,"*",M4209)*J4208</f>
        <v>1544.3999999999999</v>
      </c>
      <c r="N4208" s="123">
        <f>HYPERLINK("#Трудозатраты!B735",Трудозатраты!B735+SUMIF(F4209,"*",O4209))</f>
        <v>12</v>
      </c>
      <c r="O4208" s="89">
        <f>N4208*J4208</f>
        <v>12</v>
      </c>
      <c r="P4208" s="88">
        <f>O4208/60*(1+запас_труд)*стоимость_трудочаса</f>
        <v>470</v>
      </c>
      <c r="Q4208" s="128">
        <f>M4208*(1+наценка_покупное)+P4208</f>
        <v>2323.2799999999997</v>
      </c>
    </row>
    <row r="4209" spans="4:17" hidden="1" outlineLevel="4" x14ac:dyDescent="0.25">
      <c r="F4209" s="74" t="s">
        <v>182</v>
      </c>
      <c r="G4209" s="74"/>
      <c r="H4209" s="75"/>
      <c r="I4209" s="76"/>
      <c r="J4209" s="78">
        <f>HYPERLINK("#Структура!E2910",Структура!E2910)</f>
        <v>12.87</v>
      </c>
      <c r="K4209" s="114" t="str">
        <f>HYPERLINK("#Структура!G2910","")</f>
        <v/>
      </c>
      <c r="L4209" s="120">
        <f>HYPERLINK("#Покупные_изделия!D493",Покупные_изделия!D493)</f>
        <v>120</v>
      </c>
      <c r="M4209" s="76">
        <f>J4209*L4209</f>
        <v>1544.3999999999999</v>
      </c>
      <c r="N4209" s="77"/>
      <c r="O4209" s="77"/>
      <c r="P4209" s="76"/>
      <c r="Q4209" s="76"/>
    </row>
    <row r="4210" spans="4:17" hidden="1" outlineLevel="3" collapsed="1" x14ac:dyDescent="0.25">
      <c r="E4210" s="84" t="s">
        <v>1452</v>
      </c>
      <c r="F4210" s="79"/>
      <c r="G4210" s="79"/>
      <c r="H4210" s="80"/>
      <c r="I4210" s="81"/>
      <c r="J4210" s="83">
        <f>HYPERLINK("#Структура!E2899",Структура!E2899)</f>
        <v>1</v>
      </c>
      <c r="K4210" s="115">
        <f>HYPERLINK("#Структура!G2899",Структура!G2899)</f>
        <v>3.5662799999999999</v>
      </c>
      <c r="L4210" s="81">
        <f>M4210/J4210</f>
        <v>450</v>
      </c>
      <c r="M4210" s="81">
        <f>SUMIF(F4211,"*",M4211)*J4210</f>
        <v>450</v>
      </c>
      <c r="N4210" s="124">
        <f>HYPERLINK("#Трудозатраты!B736",Трудозатраты!B736+SUMIF(F4211,"*",O4211))</f>
        <v>12</v>
      </c>
      <c r="O4210" s="82">
        <f>N4210*J4210</f>
        <v>12</v>
      </c>
      <c r="P4210" s="81">
        <f>O4210/60*(1+запас_труд)*стоимость_трудочаса</f>
        <v>470</v>
      </c>
      <c r="Q4210" s="129">
        <f>M4210*(1+наценка_покупное)+P4210</f>
        <v>1010</v>
      </c>
    </row>
    <row r="4211" spans="4:17" hidden="1" outlineLevel="4" x14ac:dyDescent="0.25">
      <c r="F4211" s="74" t="s">
        <v>182</v>
      </c>
      <c r="G4211" s="74"/>
      <c r="H4211" s="75"/>
      <c r="I4211" s="76"/>
      <c r="J4211" s="78">
        <f>HYPERLINK("#Структура!E2911",Структура!E2911)</f>
        <v>3.75</v>
      </c>
      <c r="K4211" s="114" t="str">
        <f>HYPERLINK("#Структура!G2911","")</f>
        <v/>
      </c>
      <c r="L4211" s="120">
        <f>HYPERLINK("#Покупные_изделия!D493",Покупные_изделия!D493)</f>
        <v>120</v>
      </c>
      <c r="M4211" s="76">
        <f>J4211*L4211</f>
        <v>450</v>
      </c>
      <c r="N4211" s="77"/>
      <c r="O4211" s="77"/>
      <c r="P4211" s="76"/>
      <c r="Q4211" s="76"/>
    </row>
    <row r="4212" spans="4:17" hidden="1" outlineLevel="3" collapsed="1" x14ac:dyDescent="0.25">
      <c r="E4212" s="84" t="s">
        <v>1453</v>
      </c>
      <c r="F4212" s="79"/>
      <c r="G4212" s="79"/>
      <c r="H4212" s="80"/>
      <c r="I4212" s="81"/>
      <c r="J4212" s="83">
        <f>HYPERLINK("#Структура!E2900",Структура!E2900)</f>
        <v>1</v>
      </c>
      <c r="K4212" s="115">
        <f>HYPERLINK("#Структура!G2900",Структура!G2900)</f>
        <v>2.48245</v>
      </c>
      <c r="L4212" s="81">
        <f>M4212/J4212</f>
        <v>312.84000000000003</v>
      </c>
      <c r="M4212" s="81">
        <f>SUMIF(F4213,"*",M4213)*J4212</f>
        <v>312.84000000000003</v>
      </c>
      <c r="N4212" s="124">
        <f>HYPERLINK("#Трудозатраты!B738",Трудозатраты!B738+SUMIF(F4213,"*",O4213))</f>
        <v>10.5</v>
      </c>
      <c r="O4212" s="82">
        <f>N4212*J4212</f>
        <v>10.5</v>
      </c>
      <c r="P4212" s="81">
        <f>O4212/60*(1+запас_труд)*стоимость_трудочаса</f>
        <v>411.25</v>
      </c>
      <c r="Q4212" s="129">
        <f>M4212*(1+наценка_покупное)+P4212</f>
        <v>786.65800000000002</v>
      </c>
    </row>
    <row r="4213" spans="4:17" hidden="1" outlineLevel="4" x14ac:dyDescent="0.25">
      <c r="F4213" s="74" t="s">
        <v>179</v>
      </c>
      <c r="G4213" s="74"/>
      <c r="H4213" s="75"/>
      <c r="I4213" s="76"/>
      <c r="J4213" s="78">
        <f>HYPERLINK("#Структура!E2925",Структура!E2925)</f>
        <v>2.6070000000000002</v>
      </c>
      <c r="K4213" s="114" t="str">
        <f>HYPERLINK("#Структура!G2925","")</f>
        <v/>
      </c>
      <c r="L4213" s="120">
        <f>HYPERLINK("#Покупные_изделия!D490",Покупные_изделия!D490)</f>
        <v>120</v>
      </c>
      <c r="M4213" s="76">
        <f t="shared" ref="M4213:M4222" si="157">J4213*L4213</f>
        <v>312.84000000000003</v>
      </c>
      <c r="N4213" s="77"/>
      <c r="O4213" s="77"/>
      <c r="P4213" s="76"/>
      <c r="Q4213" s="76"/>
    </row>
    <row r="4214" spans="4:17" hidden="1" outlineLevel="3" x14ac:dyDescent="0.25">
      <c r="E4214" s="74" t="s">
        <v>563</v>
      </c>
      <c r="F4214" s="74"/>
      <c r="G4214" s="74"/>
      <c r="H4214" s="75"/>
      <c r="I4214" s="76"/>
      <c r="J4214" s="78">
        <f>HYPERLINK("#Структура!E2901",Структура!E2901)</f>
        <v>1</v>
      </c>
      <c r="K4214" s="114">
        <f>HYPERLINK("#Структура!G2901",Структура!G2901)</f>
        <v>0.86699999999999999</v>
      </c>
      <c r="L4214" s="120">
        <f>HYPERLINK("#Покупные_изделия!D483",Покупные_изделия!D483)</f>
        <v>382.23599999999993</v>
      </c>
      <c r="M4214" s="76">
        <f t="shared" si="157"/>
        <v>382.23599999999993</v>
      </c>
      <c r="N4214" s="77"/>
      <c r="O4214" s="77"/>
      <c r="P4214" s="76"/>
      <c r="Q4214" s="76"/>
    </row>
    <row r="4215" spans="4:17" hidden="1" outlineLevel="3" x14ac:dyDescent="0.25">
      <c r="E4215" s="74" t="s">
        <v>3</v>
      </c>
      <c r="F4215" s="74"/>
      <c r="G4215" s="74"/>
      <c r="H4215" s="75"/>
      <c r="I4215" s="76"/>
      <c r="J4215" s="78">
        <f>HYPERLINK("#Структура!E2902",Структура!E2902)</f>
        <v>1</v>
      </c>
      <c r="K4215" s="114">
        <f>HYPERLINK("#Структура!G2902",Структура!G2902)</f>
        <v>0.68352999999999997</v>
      </c>
      <c r="L4215" s="120">
        <f>HYPERLINK("#Покупные_изделия!D5",Покупные_изделия!D5)</f>
        <v>747.04</v>
      </c>
      <c r="M4215" s="76">
        <f t="shared" si="157"/>
        <v>747.04</v>
      </c>
      <c r="N4215" s="77"/>
      <c r="O4215" s="77"/>
      <c r="P4215" s="76"/>
      <c r="Q4215" s="76"/>
    </row>
    <row r="4216" spans="4:17" hidden="1" outlineLevel="3" x14ac:dyDescent="0.25">
      <c r="E4216" s="74" t="s">
        <v>4</v>
      </c>
      <c r="F4216" s="74"/>
      <c r="G4216" s="74"/>
      <c r="H4216" s="75"/>
      <c r="I4216" s="76"/>
      <c r="J4216" s="78">
        <f>HYPERLINK("#Структура!E2903",Структура!E2903)</f>
        <v>1</v>
      </c>
      <c r="K4216" s="114">
        <f>HYPERLINK("#Структура!G2903",Структура!G2903)</f>
        <v>1.55443</v>
      </c>
      <c r="L4216" s="120">
        <f>HYPERLINK("#Покупные_изделия!D6",Покупные_изделия!D6)</f>
        <v>1071.8399999999999</v>
      </c>
      <c r="M4216" s="76">
        <f t="shared" si="157"/>
        <v>1071.8399999999999</v>
      </c>
      <c r="N4216" s="77"/>
      <c r="O4216" s="77"/>
      <c r="P4216" s="76"/>
      <c r="Q4216" s="76"/>
    </row>
    <row r="4217" spans="4:17" hidden="1" outlineLevel="3" x14ac:dyDescent="0.25">
      <c r="E4217" s="74" t="s">
        <v>62</v>
      </c>
      <c r="F4217" s="74"/>
      <c r="G4217" s="74"/>
      <c r="H4217" s="75"/>
      <c r="I4217" s="76"/>
      <c r="J4217" s="78">
        <f>HYPERLINK("#Структура!E2904",Структура!E2904)</f>
        <v>0.2</v>
      </c>
      <c r="K4217" s="114" t="str">
        <f>HYPERLINK("#Структура!G2904","")</f>
        <v/>
      </c>
      <c r="L4217" s="120">
        <f>HYPERLINK("#Покупные_изделия!D194",Покупные_изделия!D194)</f>
        <v>333.22800000000001</v>
      </c>
      <c r="M4217" s="76">
        <f t="shared" si="157"/>
        <v>66.645600000000002</v>
      </c>
      <c r="N4217" s="77"/>
      <c r="O4217" s="77"/>
      <c r="P4217" s="76"/>
      <c r="Q4217" s="76"/>
    </row>
    <row r="4218" spans="4:17" hidden="1" outlineLevel="3" x14ac:dyDescent="0.25">
      <c r="E4218" s="74" t="s">
        <v>65</v>
      </c>
      <c r="F4218" s="74"/>
      <c r="G4218" s="74"/>
      <c r="H4218" s="75"/>
      <c r="I4218" s="76"/>
      <c r="J4218" s="78">
        <f>HYPERLINK("#Структура!E2905",Структура!E2905)</f>
        <v>0.13200000000000001</v>
      </c>
      <c r="K4218" s="114" t="str">
        <f>HYPERLINK("#Структура!G2905","")</f>
        <v/>
      </c>
      <c r="L4218" s="120">
        <f>HYPERLINK("#Покупные_изделия!D197",Покупные_изделия!D197)</f>
        <v>264.50399999999996</v>
      </c>
      <c r="M4218" s="76">
        <f t="shared" si="157"/>
        <v>34.914527999999997</v>
      </c>
      <c r="N4218" s="77"/>
      <c r="O4218" s="77"/>
      <c r="P4218" s="76"/>
      <c r="Q4218" s="76"/>
    </row>
    <row r="4219" spans="4:17" hidden="1" outlineLevel="3" x14ac:dyDescent="0.25">
      <c r="E4219" s="74" t="s">
        <v>155</v>
      </c>
      <c r="F4219" s="74"/>
      <c r="G4219" s="74"/>
      <c r="H4219" s="75"/>
      <c r="I4219" s="76"/>
      <c r="J4219" s="78">
        <f>HYPERLINK("#Структура!E2906",Структура!E2906)</f>
        <v>3.9E-2</v>
      </c>
      <c r="K4219" s="114" t="str">
        <f>HYPERLINK("#Структура!G2906","")</f>
        <v/>
      </c>
      <c r="L4219" s="120">
        <f>HYPERLINK("#Покупные_изделия!D423",Покупные_изделия!D423)</f>
        <v>218.28</v>
      </c>
      <c r="M4219" s="76">
        <f t="shared" si="157"/>
        <v>8.5129199999999994</v>
      </c>
      <c r="N4219" s="77"/>
      <c r="O4219" s="77"/>
      <c r="P4219" s="76"/>
      <c r="Q4219" s="76"/>
    </row>
    <row r="4220" spans="4:17" hidden="1" outlineLevel="3" x14ac:dyDescent="0.25">
      <c r="E4220" s="74" t="s">
        <v>156</v>
      </c>
      <c r="F4220" s="74"/>
      <c r="G4220" s="74"/>
      <c r="H4220" s="75"/>
      <c r="I4220" s="76"/>
      <c r="J4220" s="78">
        <f>HYPERLINK("#Структура!E2907",Структура!E2907)</f>
        <v>0.121</v>
      </c>
      <c r="K4220" s="114" t="str">
        <f>HYPERLINK("#Структура!G2907","")</f>
        <v/>
      </c>
      <c r="L4220" s="120">
        <f>HYPERLINK("#Покупные_изделия!D427",Покупные_изделия!D427)</f>
        <v>155.53200000000001</v>
      </c>
      <c r="M4220" s="76">
        <f t="shared" si="157"/>
        <v>18.819372000000001</v>
      </c>
      <c r="N4220" s="77"/>
      <c r="O4220" s="77"/>
      <c r="P4220" s="76"/>
      <c r="Q4220" s="76"/>
    </row>
    <row r="4221" spans="4:17" hidden="1" outlineLevel="3" x14ac:dyDescent="0.25">
      <c r="E4221" s="74" t="s">
        <v>157</v>
      </c>
      <c r="F4221" s="74"/>
      <c r="G4221" s="74"/>
      <c r="H4221" s="75"/>
      <c r="I4221" s="76"/>
      <c r="J4221" s="78">
        <f>HYPERLINK("#Структура!E2908",Структура!E2908)</f>
        <v>0.121</v>
      </c>
      <c r="K4221" s="114" t="str">
        <f>HYPERLINK("#Структура!G2908","")</f>
        <v/>
      </c>
      <c r="L4221" s="120">
        <f>HYPERLINK("#Покупные_изделия!D428",Покупные_изделия!D428)</f>
        <v>138.756</v>
      </c>
      <c r="M4221" s="76">
        <f t="shared" si="157"/>
        <v>16.789476000000001</v>
      </c>
      <c r="N4221" s="77"/>
      <c r="O4221" s="77"/>
      <c r="P4221" s="76"/>
      <c r="Q4221" s="76"/>
    </row>
    <row r="4222" spans="4:17" hidden="1" outlineLevel="3" x14ac:dyDescent="0.25">
      <c r="E4222" s="74" t="s">
        <v>215</v>
      </c>
      <c r="F4222" s="74"/>
      <c r="G4222" s="74"/>
      <c r="H4222" s="75"/>
      <c r="I4222" s="76"/>
      <c r="J4222" s="78">
        <f>HYPERLINK("#Структура!E2909",Структура!E2909)</f>
        <v>0.26400000000000001</v>
      </c>
      <c r="K4222" s="114" t="str">
        <f>HYPERLINK("#Структура!G2909","")</f>
        <v/>
      </c>
      <c r="L4222" s="120">
        <f>HYPERLINK("#Покупные_изделия!D567",Покупные_изделия!D567)</f>
        <v>405.74399999999997</v>
      </c>
      <c r="M4222" s="76">
        <f t="shared" si="157"/>
        <v>107.116416</v>
      </c>
      <c r="N4222" s="77"/>
      <c r="O4222" s="77"/>
      <c r="P4222" s="76"/>
      <c r="Q4222" s="76"/>
    </row>
    <row r="4223" spans="4:17" hidden="1" outlineLevel="2" collapsed="1" x14ac:dyDescent="0.25">
      <c r="D4223" s="96" t="s">
        <v>1454</v>
      </c>
      <c r="E4223" s="91"/>
      <c r="F4223" s="91"/>
      <c r="G4223" s="91"/>
      <c r="H4223" s="92"/>
      <c r="I4223" s="93"/>
      <c r="J4223" s="95">
        <f>HYPERLINK("#Структура!E3354",Структура!E3354)</f>
        <v>1</v>
      </c>
      <c r="K4223" s="116">
        <f>HYPERLINK("#Структура!G3354",Структура!G3354)</f>
        <v>21.780270000000002</v>
      </c>
      <c r="L4223" s="93">
        <f>M4223/J4223</f>
        <v>5784.061256</v>
      </c>
      <c r="M4223" s="93">
        <f>SUMIF(E4224:E4239,"*",M4224:M4239)*J4223</f>
        <v>5784.061256</v>
      </c>
      <c r="N4223" s="125">
        <f>HYPERLINK("#Трудозатраты!B737",Трудозатраты!B737+SUMIF(E4224:E4239,"*",O4224:O4239))</f>
        <v>214</v>
      </c>
      <c r="O4223" s="94">
        <f>N4223*J4223</f>
        <v>214</v>
      </c>
      <c r="P4223" s="93">
        <f>O4223/60*(1+запас_труд)*стоимость_трудочаса</f>
        <v>8381.6666666666679</v>
      </c>
      <c r="Q4223" s="130">
        <f>M4223*(1+наценка_покупное)+P4223</f>
        <v>15322.540173866668</v>
      </c>
    </row>
    <row r="4224" spans="4:17" hidden="1" outlineLevel="3" collapsed="1" x14ac:dyDescent="0.25">
      <c r="E4224" s="85" t="s">
        <v>1453</v>
      </c>
      <c r="F4224" s="86"/>
      <c r="G4224" s="86"/>
      <c r="H4224" s="87"/>
      <c r="I4224" s="88"/>
      <c r="J4224" s="90">
        <f>HYPERLINK("#Структура!E2912",Структура!E2912)</f>
        <v>2</v>
      </c>
      <c r="K4224" s="113">
        <f>HYPERLINK("#Структура!G2912",Структура!G2912)</f>
        <v>2.48245</v>
      </c>
      <c r="L4224" s="88">
        <f>M4224/J4224</f>
        <v>312.84000000000003</v>
      </c>
      <c r="M4224" s="88">
        <f>SUMIF(F4225,"*",M4225)*J4224</f>
        <v>625.68000000000006</v>
      </c>
      <c r="N4224" s="123">
        <f>HYPERLINK("#Трудозатраты!B738",Трудозатраты!B738+SUMIF(F4225,"*",O4225))</f>
        <v>10.5</v>
      </c>
      <c r="O4224" s="89">
        <f>N4224*J4224</f>
        <v>21</v>
      </c>
      <c r="P4224" s="88">
        <f>O4224/60*(1+запас_труд)*стоимость_трудочаса</f>
        <v>822.5</v>
      </c>
      <c r="Q4224" s="128">
        <f>M4224*(1+наценка_покупное)+P4224</f>
        <v>1573.316</v>
      </c>
    </row>
    <row r="4225" spans="4:17" hidden="1" outlineLevel="4" x14ac:dyDescent="0.25">
      <c r="F4225" s="74" t="s">
        <v>179</v>
      </c>
      <c r="G4225" s="74"/>
      <c r="H4225" s="75"/>
      <c r="I4225" s="76"/>
      <c r="J4225" s="78">
        <f>HYPERLINK("#Структура!E2925",Структура!E2925)</f>
        <v>2.6070000000000002</v>
      </c>
      <c r="K4225" s="114" t="str">
        <f>HYPERLINK("#Структура!G2925","")</f>
        <v/>
      </c>
      <c r="L4225" s="120">
        <f>HYPERLINK("#Покупные_изделия!D490",Покупные_изделия!D490)</f>
        <v>120</v>
      </c>
      <c r="M4225" s="76">
        <f>J4225*L4225</f>
        <v>312.84000000000003</v>
      </c>
      <c r="N4225" s="77"/>
      <c r="O4225" s="77"/>
      <c r="P4225" s="76"/>
      <c r="Q4225" s="76"/>
    </row>
    <row r="4226" spans="4:17" hidden="1" outlineLevel="3" collapsed="1" x14ac:dyDescent="0.25">
      <c r="E4226" s="84" t="s">
        <v>1455</v>
      </c>
      <c r="F4226" s="79"/>
      <c r="G4226" s="79"/>
      <c r="H4226" s="80"/>
      <c r="I4226" s="81"/>
      <c r="J4226" s="83">
        <f>HYPERLINK("#Структура!E2913",Структура!E2913)</f>
        <v>1</v>
      </c>
      <c r="K4226" s="115">
        <f>HYPERLINK("#Структура!G2913",Структура!G2913)</f>
        <v>3.64086</v>
      </c>
      <c r="L4226" s="81">
        <f>M4226/J4226</f>
        <v>458.76</v>
      </c>
      <c r="M4226" s="81">
        <f>SUMIF(F4227,"*",M4227)*J4226</f>
        <v>458.76</v>
      </c>
      <c r="N4226" s="124">
        <f>HYPERLINK("#Трудозатраты!B739",Трудозатраты!B739+SUMIF(F4227,"*",O4227))</f>
        <v>13</v>
      </c>
      <c r="O4226" s="82">
        <f>N4226*J4226</f>
        <v>13</v>
      </c>
      <c r="P4226" s="81">
        <f>O4226/60*(1+запас_труд)*стоимость_трудочаса</f>
        <v>509.16666666666669</v>
      </c>
      <c r="Q4226" s="129">
        <f>M4226*(1+наценка_покупное)+P4226</f>
        <v>1059.6786666666667</v>
      </c>
    </row>
    <row r="4227" spans="4:17" hidden="1" outlineLevel="4" x14ac:dyDescent="0.25">
      <c r="F4227" s="74" t="s">
        <v>182</v>
      </c>
      <c r="G4227" s="74"/>
      <c r="H4227" s="75"/>
      <c r="I4227" s="76"/>
      <c r="J4227" s="78">
        <f>HYPERLINK("#Структура!E2926",Структура!E2926)</f>
        <v>3.823</v>
      </c>
      <c r="K4227" s="114" t="str">
        <f>HYPERLINK("#Структура!G2926","")</f>
        <v/>
      </c>
      <c r="L4227" s="120">
        <f>HYPERLINK("#Покупные_изделия!D493",Покупные_изделия!D493)</f>
        <v>120</v>
      </c>
      <c r="M4227" s="76">
        <f>J4227*L4227</f>
        <v>458.76</v>
      </c>
      <c r="N4227" s="77"/>
      <c r="O4227" s="77"/>
      <c r="P4227" s="76"/>
      <c r="Q4227" s="76"/>
    </row>
    <row r="4228" spans="4:17" hidden="1" outlineLevel="3" collapsed="1" x14ac:dyDescent="0.25">
      <c r="E4228" s="84" t="s">
        <v>1456</v>
      </c>
      <c r="F4228" s="79"/>
      <c r="G4228" s="79"/>
      <c r="H4228" s="80"/>
      <c r="I4228" s="81"/>
      <c r="J4228" s="83">
        <f>HYPERLINK("#Структура!E2914",Структура!E2914)</f>
        <v>1</v>
      </c>
      <c r="K4228" s="115">
        <f>HYPERLINK("#Структура!G2914",Структура!G2914)</f>
        <v>8.1970200000000002</v>
      </c>
      <c r="L4228" s="81">
        <f>M4228/J4228</f>
        <v>1032.8399999999999</v>
      </c>
      <c r="M4228" s="81">
        <f>SUMIF(F4229,"*",M4229)*J4228</f>
        <v>1032.8399999999999</v>
      </c>
      <c r="N4228" s="124">
        <f>HYPERLINK("#Трудозатраты!B740",Трудозатраты!B740+SUMIF(F4229,"*",O4229))</f>
        <v>12</v>
      </c>
      <c r="O4228" s="82">
        <f>N4228*J4228</f>
        <v>12</v>
      </c>
      <c r="P4228" s="81">
        <f>O4228/60*(1+запас_труд)*стоимость_трудочаса</f>
        <v>470</v>
      </c>
      <c r="Q4228" s="129">
        <f>M4228*(1+наценка_покупное)+P4228</f>
        <v>1709.4079999999999</v>
      </c>
    </row>
    <row r="4229" spans="4:17" hidden="1" outlineLevel="4" x14ac:dyDescent="0.25">
      <c r="F4229" s="74" t="s">
        <v>182</v>
      </c>
      <c r="G4229" s="74"/>
      <c r="H4229" s="75"/>
      <c r="I4229" s="76"/>
      <c r="J4229" s="78">
        <f>HYPERLINK("#Структура!E2927",Структура!E2927)</f>
        <v>8.6069999999999993</v>
      </c>
      <c r="K4229" s="114" t="str">
        <f>HYPERLINK("#Структура!G2927","")</f>
        <v/>
      </c>
      <c r="L4229" s="120">
        <f>HYPERLINK("#Покупные_изделия!D493",Покупные_изделия!D493)</f>
        <v>120</v>
      </c>
      <c r="M4229" s="76">
        <f t="shared" ref="M4229:M4239" si="158">J4229*L4229</f>
        <v>1032.8399999999999</v>
      </c>
      <c r="N4229" s="77"/>
      <c r="O4229" s="77"/>
      <c r="P4229" s="76"/>
      <c r="Q4229" s="76"/>
    </row>
    <row r="4230" spans="4:17" hidden="1" outlineLevel="3" x14ac:dyDescent="0.25">
      <c r="E4230" s="74" t="s">
        <v>561</v>
      </c>
      <c r="F4230" s="74"/>
      <c r="G4230" s="74"/>
      <c r="H4230" s="75"/>
      <c r="I4230" s="76"/>
      <c r="J4230" s="78">
        <f>HYPERLINK("#Структура!E2915",Структура!E2915)</f>
        <v>1</v>
      </c>
      <c r="K4230" s="114">
        <f>HYPERLINK("#Структура!G2915",Структура!G2915)</f>
        <v>0.32200000000000001</v>
      </c>
      <c r="L4230" s="120">
        <f>HYPERLINK("#Покупные_изделия!D389",Покупные_изделия!D389)</f>
        <v>163.3236</v>
      </c>
      <c r="M4230" s="76">
        <f t="shared" si="158"/>
        <v>163.3236</v>
      </c>
      <c r="N4230" s="77"/>
      <c r="O4230" s="77"/>
      <c r="P4230" s="76"/>
      <c r="Q4230" s="76"/>
    </row>
    <row r="4231" spans="4:17" hidden="1" outlineLevel="3" x14ac:dyDescent="0.25">
      <c r="E4231" s="74" t="s">
        <v>563</v>
      </c>
      <c r="F4231" s="74"/>
      <c r="G4231" s="74"/>
      <c r="H4231" s="75"/>
      <c r="I4231" s="76"/>
      <c r="J4231" s="78">
        <f>HYPERLINK("#Структура!E2916",Структура!E2916)</f>
        <v>2</v>
      </c>
      <c r="K4231" s="114">
        <f>HYPERLINK("#Структура!G2916",Структура!G2916)</f>
        <v>0.86699999999999999</v>
      </c>
      <c r="L4231" s="120">
        <f>HYPERLINK("#Покупные_изделия!D483",Покупные_изделия!D483)</f>
        <v>382.23599999999993</v>
      </c>
      <c r="M4231" s="76">
        <f t="shared" si="158"/>
        <v>764.47199999999987</v>
      </c>
      <c r="N4231" s="77"/>
      <c r="O4231" s="77"/>
      <c r="P4231" s="76"/>
      <c r="Q4231" s="76"/>
    </row>
    <row r="4232" spans="4:17" hidden="1" outlineLevel="3" x14ac:dyDescent="0.25">
      <c r="E4232" s="74" t="s">
        <v>3</v>
      </c>
      <c r="F4232" s="74"/>
      <c r="G4232" s="74"/>
      <c r="H4232" s="75"/>
      <c r="I4232" s="76"/>
      <c r="J4232" s="78">
        <f>HYPERLINK("#Структура!E2917",Структура!E2917)</f>
        <v>2</v>
      </c>
      <c r="K4232" s="114">
        <f>HYPERLINK("#Структура!G2917",Структура!G2917)</f>
        <v>0.68352999999999997</v>
      </c>
      <c r="L4232" s="120">
        <f>HYPERLINK("#Покупные_изделия!D5",Покупные_изделия!D5)</f>
        <v>747.04</v>
      </c>
      <c r="M4232" s="76">
        <f t="shared" si="158"/>
        <v>1494.08</v>
      </c>
      <c r="N4232" s="77"/>
      <c r="O4232" s="77"/>
      <c r="P4232" s="76"/>
      <c r="Q4232" s="76"/>
    </row>
    <row r="4233" spans="4:17" hidden="1" outlineLevel="3" x14ac:dyDescent="0.25">
      <c r="E4233" s="74" t="s">
        <v>4</v>
      </c>
      <c r="F4233" s="74"/>
      <c r="G4233" s="74"/>
      <c r="H4233" s="75"/>
      <c r="I4233" s="76"/>
      <c r="J4233" s="78">
        <f>HYPERLINK("#Структура!E2918",Структура!E2918)</f>
        <v>1</v>
      </c>
      <c r="K4233" s="114">
        <f>HYPERLINK("#Структура!G2918",Структура!G2918)</f>
        <v>1.55443</v>
      </c>
      <c r="L4233" s="120">
        <f>HYPERLINK("#Покупные_изделия!D6",Покупные_изделия!D6)</f>
        <v>1071.8399999999999</v>
      </c>
      <c r="M4233" s="76">
        <f t="shared" si="158"/>
        <v>1071.8399999999999</v>
      </c>
      <c r="N4233" s="77"/>
      <c r="O4233" s="77"/>
      <c r="P4233" s="76"/>
      <c r="Q4233" s="76"/>
    </row>
    <row r="4234" spans="4:17" hidden="1" outlineLevel="3" x14ac:dyDescent="0.25">
      <c r="E4234" s="74" t="s">
        <v>62</v>
      </c>
      <c r="F4234" s="74"/>
      <c r="G4234" s="74"/>
      <c r="H4234" s="75"/>
      <c r="I4234" s="76"/>
      <c r="J4234" s="78">
        <f>HYPERLINK("#Структура!E2919",Структура!E2919)</f>
        <v>0.2</v>
      </c>
      <c r="K4234" s="114" t="str">
        <f>HYPERLINK("#Структура!G2919","")</f>
        <v/>
      </c>
      <c r="L4234" s="120">
        <f>HYPERLINK("#Покупные_изделия!D194",Покупные_изделия!D194)</f>
        <v>333.22800000000001</v>
      </c>
      <c r="M4234" s="76">
        <f t="shared" si="158"/>
        <v>66.645600000000002</v>
      </c>
      <c r="N4234" s="77"/>
      <c r="O4234" s="77"/>
      <c r="P4234" s="76"/>
      <c r="Q4234" s="76"/>
    </row>
    <row r="4235" spans="4:17" hidden="1" outlineLevel="3" x14ac:dyDescent="0.25">
      <c r="E4235" s="74" t="s">
        <v>65</v>
      </c>
      <c r="F4235" s="74"/>
      <c r="G4235" s="74"/>
      <c r="H4235" s="75"/>
      <c r="I4235" s="76"/>
      <c r="J4235" s="78">
        <f>HYPERLINK("#Структура!E2920",Структура!E2920)</f>
        <v>7.0000000000000007E-2</v>
      </c>
      <c r="K4235" s="114" t="str">
        <f>HYPERLINK("#Структура!G2920","")</f>
        <v/>
      </c>
      <c r="L4235" s="120">
        <f>HYPERLINK("#Покупные_изделия!D197",Покупные_изделия!D197)</f>
        <v>264.50399999999996</v>
      </c>
      <c r="M4235" s="76">
        <f t="shared" si="158"/>
        <v>18.515280000000001</v>
      </c>
      <c r="N4235" s="77"/>
      <c r="O4235" s="77"/>
      <c r="P4235" s="76"/>
      <c r="Q4235" s="76"/>
    </row>
    <row r="4236" spans="4:17" hidden="1" outlineLevel="3" x14ac:dyDescent="0.25">
      <c r="E4236" s="74" t="s">
        <v>155</v>
      </c>
      <c r="F4236" s="74"/>
      <c r="G4236" s="74"/>
      <c r="H4236" s="75"/>
      <c r="I4236" s="76"/>
      <c r="J4236" s="78">
        <f>HYPERLINK("#Структура!E2921",Структура!E2921)</f>
        <v>2.3E-2</v>
      </c>
      <c r="K4236" s="114" t="str">
        <f>HYPERLINK("#Структура!G2921","")</f>
        <v/>
      </c>
      <c r="L4236" s="120">
        <f>HYPERLINK("#Покупные_изделия!D423",Покупные_изделия!D423)</f>
        <v>218.28</v>
      </c>
      <c r="M4236" s="76">
        <f t="shared" si="158"/>
        <v>5.0204399999999998</v>
      </c>
      <c r="N4236" s="77"/>
      <c r="O4236" s="77"/>
      <c r="P4236" s="76"/>
      <c r="Q4236" s="76"/>
    </row>
    <row r="4237" spans="4:17" hidden="1" outlineLevel="3" x14ac:dyDescent="0.25">
      <c r="E4237" s="74" t="s">
        <v>156</v>
      </c>
      <c r="F4237" s="74"/>
      <c r="G4237" s="74"/>
      <c r="H4237" s="75"/>
      <c r="I4237" s="76"/>
      <c r="J4237" s="78">
        <f>HYPERLINK("#Структура!E2922",Структура!E2922)</f>
        <v>0.09</v>
      </c>
      <c r="K4237" s="114" t="str">
        <f>HYPERLINK("#Структура!G2922","")</f>
        <v/>
      </c>
      <c r="L4237" s="120">
        <f>HYPERLINK("#Покупные_изделия!D427",Покупные_изделия!D427)</f>
        <v>155.53200000000001</v>
      </c>
      <c r="M4237" s="76">
        <f t="shared" si="158"/>
        <v>13.99788</v>
      </c>
      <c r="N4237" s="77"/>
      <c r="O4237" s="77"/>
      <c r="P4237" s="76"/>
      <c r="Q4237" s="76"/>
    </row>
    <row r="4238" spans="4:17" hidden="1" outlineLevel="3" x14ac:dyDescent="0.25">
      <c r="E4238" s="74" t="s">
        <v>157</v>
      </c>
      <c r="F4238" s="74"/>
      <c r="G4238" s="74"/>
      <c r="H4238" s="75"/>
      <c r="I4238" s="76"/>
      <c r="J4238" s="78">
        <f>HYPERLINK("#Структура!E2923",Структура!E2923)</f>
        <v>0.09</v>
      </c>
      <c r="K4238" s="114" t="str">
        <f>HYPERLINK("#Структура!G2923","")</f>
        <v/>
      </c>
      <c r="L4238" s="120">
        <f>HYPERLINK("#Покупные_изделия!D428",Покупные_изделия!D428)</f>
        <v>138.756</v>
      </c>
      <c r="M4238" s="76">
        <f t="shared" si="158"/>
        <v>12.48804</v>
      </c>
      <c r="N4238" s="77"/>
      <c r="O4238" s="77"/>
      <c r="P4238" s="76"/>
      <c r="Q4238" s="76"/>
    </row>
    <row r="4239" spans="4:17" hidden="1" outlineLevel="3" x14ac:dyDescent="0.25">
      <c r="E4239" s="74" t="s">
        <v>215</v>
      </c>
      <c r="F4239" s="74"/>
      <c r="G4239" s="74"/>
      <c r="H4239" s="75"/>
      <c r="I4239" s="76"/>
      <c r="J4239" s="78">
        <f>HYPERLINK("#Структура!E2924",Структура!E2924)</f>
        <v>0.13900000000000001</v>
      </c>
      <c r="K4239" s="114" t="str">
        <f>HYPERLINK("#Структура!G2924","")</f>
        <v/>
      </c>
      <c r="L4239" s="120">
        <f>HYPERLINK("#Покупные_изделия!D567",Покупные_изделия!D567)</f>
        <v>405.74399999999997</v>
      </c>
      <c r="M4239" s="76">
        <f t="shared" si="158"/>
        <v>56.398416000000005</v>
      </c>
      <c r="N4239" s="77"/>
      <c r="O4239" s="77"/>
      <c r="P4239" s="76"/>
      <c r="Q4239" s="76"/>
    </row>
    <row r="4240" spans="4:17" hidden="1" outlineLevel="2" x14ac:dyDescent="0.25">
      <c r="D4240" s="96" t="s">
        <v>1457</v>
      </c>
      <c r="E4240" s="91"/>
      <c r="F4240" s="91"/>
      <c r="G4240" s="91"/>
      <c r="H4240" s="92"/>
      <c r="I4240" s="93"/>
      <c r="J4240" s="95">
        <f>HYPERLINK("#Структура!E3355",Структура!E3355)</f>
        <v>1</v>
      </c>
      <c r="K4240" s="116">
        <f>HYPERLINK("#Структура!G3355",Структура!G3355)</f>
        <v>30.490950000000002</v>
      </c>
      <c r="L4240" s="93">
        <f>M4240/J4240</f>
        <v>78579.125479200011</v>
      </c>
      <c r="M4240" s="93">
        <f>SUMIF(E4241:E4276,"*",M4241:M4276)*J4240</f>
        <v>78579.125479200011</v>
      </c>
      <c r="N4240" s="125">
        <f>HYPERLINK("#Трудозатраты!B741",Трудозатраты!B741+SUMIF(E4241:E4276,"*",O4241:O4276))</f>
        <v>408.34</v>
      </c>
      <c r="O4240" s="94">
        <f>N4240*J4240</f>
        <v>408.34</v>
      </c>
      <c r="P4240" s="93">
        <f>O4240/60*(1+запас_труд)*стоимость_трудочаса</f>
        <v>15993.316666666666</v>
      </c>
      <c r="Q4240" s="130">
        <f>M4240*(1+наценка_покупное)+P4240</f>
        <v>110288.26724170668</v>
      </c>
    </row>
    <row r="4241" spans="5:17" hidden="1" outlineLevel="3" collapsed="1" x14ac:dyDescent="0.25">
      <c r="E4241" s="97" t="s">
        <v>1392</v>
      </c>
      <c r="F4241" s="98"/>
      <c r="G4241" s="98"/>
      <c r="H4241" s="99"/>
      <c r="I4241" s="100"/>
      <c r="J4241" s="102">
        <f>HYPERLINK("#Структура!E2928",Структура!E2928)</f>
        <v>1</v>
      </c>
      <c r="K4241" s="112">
        <f>HYPERLINK("#Структура!G2928",Структура!G2928)</f>
        <v>4.8410000000000002E-2</v>
      </c>
      <c r="L4241" s="100">
        <f>M4241/J4241</f>
        <v>372.60729119999996</v>
      </c>
      <c r="M4241" s="100">
        <f>SUMIF(F4242:F4247,"*",M4242:M4247)*J4241</f>
        <v>372.60729119999996</v>
      </c>
      <c r="N4241" s="122">
        <f>HYPERLINK("#Трудозатраты!B684",Трудозатраты!B684+SUMIF(F4242:F4247,"*",O4242:O4247))</f>
        <v>38.340000000000003</v>
      </c>
      <c r="O4241" s="101">
        <f>N4241*J4241</f>
        <v>38.340000000000003</v>
      </c>
      <c r="P4241" s="100">
        <f>O4241/60*(1+запас_труд)*стоимость_трудочаса</f>
        <v>1501.65</v>
      </c>
      <c r="Q4241" s="127">
        <f>M4241*(1+наценка_покупное)+P4241</f>
        <v>1948.77874944</v>
      </c>
    </row>
    <row r="4242" spans="5:17" hidden="1" outlineLevel="4" collapsed="1" x14ac:dyDescent="0.25">
      <c r="F4242" s="85" t="s">
        <v>1396</v>
      </c>
      <c r="G4242" s="86"/>
      <c r="H4242" s="87"/>
      <c r="I4242" s="88"/>
      <c r="J4242" s="90">
        <f>HYPERLINK("#Структура!E2732",Структура!E2732)</f>
        <v>1</v>
      </c>
      <c r="K4242" s="113">
        <f>HYPERLINK("#Структура!G2732",Структура!G2732)</f>
        <v>4.0910000000000002E-2</v>
      </c>
      <c r="L4242" s="88">
        <f>M4242/J4242</f>
        <v>99.267379199999993</v>
      </c>
      <c r="M4242" s="88">
        <f>SUMIF(G4243,"*",M4243)*J4242</f>
        <v>99.267379199999993</v>
      </c>
      <c r="N4242" s="123">
        <f>HYPERLINK("#Трудозатраты!B685",Трудозатраты!B685+SUMIF(G4243,"*",O4243))</f>
        <v>19.670000000000002</v>
      </c>
      <c r="O4242" s="89">
        <f>N4242*J4242</f>
        <v>19.670000000000002</v>
      </c>
      <c r="P4242" s="88">
        <f>O4242/60*(1+запас_труд)*стоимость_трудочаса</f>
        <v>770.40833333333342</v>
      </c>
      <c r="Q4242" s="128">
        <f>M4242*(1+наценка_покупное)+P4242</f>
        <v>889.52918837333345</v>
      </c>
    </row>
    <row r="4243" spans="5:17" hidden="1" outlineLevel="5" x14ac:dyDescent="0.25">
      <c r="G4243" s="74" t="s">
        <v>154</v>
      </c>
      <c r="H4243" s="75"/>
      <c r="I4243" s="76"/>
      <c r="J4243" s="78">
        <f>HYPERLINK("#Структура!E2736",Структура!E2736)</f>
        <v>0.10199999999999999</v>
      </c>
      <c r="K4243" s="114" t="str">
        <f>HYPERLINK("#Структура!G2736","")</f>
        <v/>
      </c>
      <c r="L4243" s="120">
        <f>HYPERLINK("#Покупные_изделия!D422",Покупные_изделия!D422)</f>
        <v>973.20960000000002</v>
      </c>
      <c r="M4243" s="76">
        <f>J4243*L4243</f>
        <v>99.267379199999993</v>
      </c>
      <c r="N4243" s="77"/>
      <c r="O4243" s="77"/>
      <c r="P4243" s="76"/>
      <c r="Q4243" s="76"/>
    </row>
    <row r="4244" spans="5:17" hidden="1" outlineLevel="4" collapsed="1" x14ac:dyDescent="0.25">
      <c r="F4244" s="84" t="s">
        <v>1397</v>
      </c>
      <c r="G4244" s="79"/>
      <c r="H4244" s="80"/>
      <c r="I4244" s="81"/>
      <c r="J4244" s="83">
        <f>HYPERLINK("#Структура!E2733",Структура!E2733)</f>
        <v>1</v>
      </c>
      <c r="K4244" s="115">
        <f>HYPERLINK("#Структура!G2733",Структура!G2733)</f>
        <v>3.0699999999999998E-3</v>
      </c>
      <c r="L4244" s="81">
        <f>M4244/J4244</f>
        <v>42.662400000000005</v>
      </c>
      <c r="M4244" s="81">
        <f>SUMIF(G4245,"*",M4245)*J4244</f>
        <v>42.662400000000005</v>
      </c>
      <c r="N4244" s="124">
        <f>HYPERLINK("#Трудозатраты!B686",Трудозатраты!B686+SUMIF(G4245,"*",O4245))</f>
        <v>8.67</v>
      </c>
      <c r="O4244" s="82">
        <f>N4244*J4244</f>
        <v>8.67</v>
      </c>
      <c r="P4244" s="81">
        <f>O4244/60*(1+запас_труд)*стоимость_трудочаса</f>
        <v>339.57499999999999</v>
      </c>
      <c r="Q4244" s="129">
        <f>M4244*(1+наценка_покупное)+P4244</f>
        <v>390.76988</v>
      </c>
    </row>
    <row r="4245" spans="5:17" hidden="1" outlineLevel="5" x14ac:dyDescent="0.25">
      <c r="G4245" s="74" t="s">
        <v>153</v>
      </c>
      <c r="H4245" s="75"/>
      <c r="I4245" s="76"/>
      <c r="J4245" s="78">
        <f>HYPERLINK("#Структура!E2737",Структура!E2737)</f>
        <v>4.8000000000000001E-2</v>
      </c>
      <c r="K4245" s="114" t="str">
        <f>HYPERLINK("#Структура!G2737","")</f>
        <v/>
      </c>
      <c r="L4245" s="120">
        <f>HYPERLINK("#Покупные_изделия!D421",Покупные_изделия!D421)</f>
        <v>888.80000000000007</v>
      </c>
      <c r="M4245" s="76">
        <f>J4245*L4245</f>
        <v>42.662400000000005</v>
      </c>
      <c r="N4245" s="77"/>
      <c r="O4245" s="77"/>
      <c r="P4245" s="76"/>
      <c r="Q4245" s="76"/>
    </row>
    <row r="4246" spans="5:17" hidden="1" outlineLevel="4" x14ac:dyDescent="0.25">
      <c r="F4246" s="74" t="s">
        <v>197</v>
      </c>
      <c r="G4246" s="74"/>
      <c r="H4246" s="75"/>
      <c r="I4246" s="76"/>
      <c r="J4246" s="78">
        <f>HYPERLINK("#Структура!E2734",Структура!E2734)</f>
        <v>1</v>
      </c>
      <c r="K4246" s="114">
        <f>HYPERLINK("#Структура!G2734",Структура!G2734)</f>
        <v>4.4400000000000004E-3</v>
      </c>
      <c r="L4246" s="120">
        <f>HYPERLINK("#Покупные_изделия!D512",Покупные_изделия!D512)</f>
        <v>230.39999999999998</v>
      </c>
      <c r="M4246" s="76">
        <f>J4246*L4246</f>
        <v>230.39999999999998</v>
      </c>
      <c r="N4246" s="77"/>
      <c r="O4246" s="77"/>
      <c r="P4246" s="76"/>
      <c r="Q4246" s="76"/>
    </row>
    <row r="4247" spans="5:17" hidden="1" outlineLevel="4" x14ac:dyDescent="0.25">
      <c r="F4247" s="74" t="s">
        <v>157</v>
      </c>
      <c r="G4247" s="74"/>
      <c r="H4247" s="75"/>
      <c r="I4247" s="76"/>
      <c r="J4247" s="78">
        <f>HYPERLINK("#Структура!E2735",Структура!E2735)</f>
        <v>2E-3</v>
      </c>
      <c r="K4247" s="114" t="str">
        <f>HYPERLINK("#Структура!G2735","")</f>
        <v/>
      </c>
      <c r="L4247" s="120">
        <f>HYPERLINK("#Покупные_изделия!D428",Покупные_изделия!D428)</f>
        <v>138.756</v>
      </c>
      <c r="M4247" s="76">
        <f>J4247*L4247</f>
        <v>0.27751199999999998</v>
      </c>
      <c r="N4247" s="77"/>
      <c r="O4247" s="77"/>
      <c r="P4247" s="76"/>
      <c r="Q4247" s="76"/>
    </row>
    <row r="4248" spans="5:17" hidden="1" outlineLevel="3" collapsed="1" x14ac:dyDescent="0.25">
      <c r="E4248" s="84" t="s">
        <v>1453</v>
      </c>
      <c r="F4248" s="79"/>
      <c r="G4248" s="79"/>
      <c r="H4248" s="80"/>
      <c r="I4248" s="81"/>
      <c r="J4248" s="83">
        <f>HYPERLINK("#Структура!E2929",Структура!E2929)</f>
        <v>2</v>
      </c>
      <c r="K4248" s="115">
        <f>HYPERLINK("#Структура!G2929",Структура!G2929)</f>
        <v>2.48245</v>
      </c>
      <c r="L4248" s="81">
        <f>M4248/J4248</f>
        <v>312.84000000000003</v>
      </c>
      <c r="M4248" s="81">
        <f>SUMIF(F4249,"*",M4249)*J4248</f>
        <v>625.68000000000006</v>
      </c>
      <c r="N4248" s="124">
        <f>HYPERLINK("#Трудозатраты!B738",Трудозатраты!B738+SUMIF(F4249,"*",O4249))</f>
        <v>10.5</v>
      </c>
      <c r="O4248" s="82">
        <f>N4248*J4248</f>
        <v>21</v>
      </c>
      <c r="P4248" s="81">
        <f>O4248/60*(1+запас_труд)*стоимость_трудочаса</f>
        <v>822.5</v>
      </c>
      <c r="Q4248" s="129">
        <f>M4248*(1+наценка_покупное)+P4248</f>
        <v>1573.316</v>
      </c>
    </row>
    <row r="4249" spans="5:17" hidden="1" outlineLevel="4" x14ac:dyDescent="0.25">
      <c r="F4249" s="74" t="s">
        <v>179</v>
      </c>
      <c r="G4249" s="74"/>
      <c r="H4249" s="75"/>
      <c r="I4249" s="76"/>
      <c r="J4249" s="78">
        <f>HYPERLINK("#Структура!E2925",Структура!E2925)</f>
        <v>2.6070000000000002</v>
      </c>
      <c r="K4249" s="114" t="str">
        <f>HYPERLINK("#Структура!G2925","")</f>
        <v/>
      </c>
      <c r="L4249" s="120">
        <f>HYPERLINK("#Покупные_изделия!D490",Покупные_изделия!D490)</f>
        <v>120</v>
      </c>
      <c r="M4249" s="76">
        <f>J4249*L4249</f>
        <v>312.84000000000003</v>
      </c>
      <c r="N4249" s="77"/>
      <c r="O4249" s="77"/>
      <c r="P4249" s="76"/>
      <c r="Q4249" s="76"/>
    </row>
    <row r="4250" spans="5:17" hidden="1" outlineLevel="3" collapsed="1" x14ac:dyDescent="0.25">
      <c r="E4250" s="84" t="s">
        <v>1458</v>
      </c>
      <c r="F4250" s="79"/>
      <c r="G4250" s="79"/>
      <c r="H4250" s="80"/>
      <c r="I4250" s="81"/>
      <c r="J4250" s="83">
        <f>HYPERLINK("#Структура!E2930",Структура!E2930)</f>
        <v>1</v>
      </c>
      <c r="K4250" s="115">
        <f>HYPERLINK("#Структура!G2930",Структура!G2930)</f>
        <v>4.2103799999999998</v>
      </c>
      <c r="L4250" s="81">
        <f>M4250/J4250</f>
        <v>530.52</v>
      </c>
      <c r="M4250" s="81">
        <f>SUMIF(F4251,"*",M4251)*J4250</f>
        <v>530.52</v>
      </c>
      <c r="N4250" s="124">
        <f>HYPERLINK("#Трудозатраты!B742",Трудозатраты!B742+SUMIF(F4251,"*",O4251))</f>
        <v>12.5</v>
      </c>
      <c r="O4250" s="82">
        <f>N4250*J4250</f>
        <v>12.5</v>
      </c>
      <c r="P4250" s="81">
        <f>O4250/60*(1+запас_труд)*стоимость_трудочаса</f>
        <v>489.58333333333337</v>
      </c>
      <c r="Q4250" s="129">
        <f>M4250*(1+наценка_покупное)+P4250</f>
        <v>1126.2073333333333</v>
      </c>
    </row>
    <row r="4251" spans="5:17" hidden="1" outlineLevel="4" x14ac:dyDescent="0.25">
      <c r="F4251" s="74" t="s">
        <v>182</v>
      </c>
      <c r="G4251" s="74"/>
      <c r="H4251" s="75"/>
      <c r="I4251" s="76"/>
      <c r="J4251" s="78">
        <f>HYPERLINK("#Структура!E2951",Структура!E2951)</f>
        <v>4.4210000000000003</v>
      </c>
      <c r="K4251" s="114" t="str">
        <f>HYPERLINK("#Структура!G2951","")</f>
        <v/>
      </c>
      <c r="L4251" s="120">
        <f>HYPERLINK("#Покупные_изделия!D493",Покупные_изделия!D493)</f>
        <v>120</v>
      </c>
      <c r="M4251" s="76">
        <f>J4251*L4251</f>
        <v>530.52</v>
      </c>
      <c r="N4251" s="77"/>
      <c r="O4251" s="77"/>
      <c r="P4251" s="76"/>
      <c r="Q4251" s="76"/>
    </row>
    <row r="4252" spans="5:17" hidden="1" outlineLevel="3" collapsed="1" x14ac:dyDescent="0.25">
      <c r="E4252" s="84" t="s">
        <v>1459</v>
      </c>
      <c r="F4252" s="79"/>
      <c r="G4252" s="79"/>
      <c r="H4252" s="80"/>
      <c r="I4252" s="81"/>
      <c r="J4252" s="83">
        <f>HYPERLINK("#Структура!E2931",Структура!E2931)</f>
        <v>1</v>
      </c>
      <c r="K4252" s="115">
        <f>HYPERLINK("#Структура!G2931",Структура!G2931)</f>
        <v>8.1970200000000002</v>
      </c>
      <c r="L4252" s="81">
        <f>M4252/J4252</f>
        <v>1032.8399999999999</v>
      </c>
      <c r="M4252" s="81">
        <f>SUMIF(F4253,"*",M4253)*J4252</f>
        <v>1032.8399999999999</v>
      </c>
      <c r="N4252" s="124">
        <f>HYPERLINK("#Трудозатраты!B743",Трудозатраты!B743+SUMIF(F4253,"*",O4253))</f>
        <v>12.5</v>
      </c>
      <c r="O4252" s="82">
        <f>N4252*J4252</f>
        <v>12.5</v>
      </c>
      <c r="P4252" s="81">
        <f>O4252/60*(1+запас_труд)*стоимость_трудочаса</f>
        <v>489.58333333333337</v>
      </c>
      <c r="Q4252" s="129">
        <f>M4252*(1+наценка_покупное)+P4252</f>
        <v>1728.9913333333334</v>
      </c>
    </row>
    <row r="4253" spans="5:17" hidden="1" outlineLevel="4" x14ac:dyDescent="0.25">
      <c r="F4253" s="74" t="s">
        <v>182</v>
      </c>
      <c r="G4253" s="74"/>
      <c r="H4253" s="75"/>
      <c r="I4253" s="76"/>
      <c r="J4253" s="78">
        <f>HYPERLINK("#Структура!E2952",Структура!E2952)</f>
        <v>8.6069999999999993</v>
      </c>
      <c r="K4253" s="114" t="str">
        <f>HYPERLINK("#Структура!G2952","")</f>
        <v/>
      </c>
      <c r="L4253" s="120">
        <f>HYPERLINK("#Покупные_изделия!D493",Покупные_изделия!D493)</f>
        <v>120</v>
      </c>
      <c r="M4253" s="76">
        <f>J4253*L4253</f>
        <v>1032.8399999999999</v>
      </c>
      <c r="N4253" s="77"/>
      <c r="O4253" s="77"/>
      <c r="P4253" s="76"/>
      <c r="Q4253" s="76"/>
    </row>
    <row r="4254" spans="5:17" hidden="1" outlineLevel="3" collapsed="1" x14ac:dyDescent="0.25">
      <c r="E4254" s="84" t="s">
        <v>1460</v>
      </c>
      <c r="F4254" s="79"/>
      <c r="G4254" s="79"/>
      <c r="H4254" s="80"/>
      <c r="I4254" s="81"/>
      <c r="J4254" s="83">
        <f>HYPERLINK("#Структура!E2932",Структура!E2932)</f>
        <v>1</v>
      </c>
      <c r="K4254" s="115">
        <f>HYPERLINK("#Структура!G2932",Структура!G2932)</f>
        <v>1.9119600000000001</v>
      </c>
      <c r="L4254" s="81">
        <f>M4254/J4254</f>
        <v>240.96</v>
      </c>
      <c r="M4254" s="81">
        <f>SUMIF(F4255,"*",M4255)*J4254</f>
        <v>240.96</v>
      </c>
      <c r="N4254" s="124">
        <f>HYPERLINK("#Трудозатраты!B744",Трудозатраты!B744+SUMIF(F4255,"*",O4255))</f>
        <v>12.5</v>
      </c>
      <c r="O4254" s="82">
        <f>N4254*J4254</f>
        <v>12.5</v>
      </c>
      <c r="P4254" s="81">
        <f>O4254/60*(1+запас_труд)*стоимость_трудочаса</f>
        <v>489.58333333333337</v>
      </c>
      <c r="Q4254" s="129">
        <f>M4254*(1+наценка_покупное)+P4254</f>
        <v>778.7353333333333</v>
      </c>
    </row>
    <row r="4255" spans="5:17" hidden="1" outlineLevel="4" x14ac:dyDescent="0.25">
      <c r="F4255" s="74" t="s">
        <v>182</v>
      </c>
      <c r="G4255" s="74"/>
      <c r="H4255" s="75"/>
      <c r="I4255" s="76"/>
      <c r="J4255" s="78">
        <f>HYPERLINK("#Структура!E2953",Структура!E2953)</f>
        <v>2.008</v>
      </c>
      <c r="K4255" s="114" t="str">
        <f>HYPERLINK("#Структура!G2953","")</f>
        <v/>
      </c>
      <c r="L4255" s="120">
        <f>HYPERLINK("#Покупные_изделия!D493",Покупные_изделия!D493)</f>
        <v>120</v>
      </c>
      <c r="M4255" s="76">
        <f>J4255*L4255</f>
        <v>240.96</v>
      </c>
      <c r="N4255" s="77"/>
      <c r="O4255" s="77"/>
      <c r="P4255" s="76"/>
      <c r="Q4255" s="76"/>
    </row>
    <row r="4256" spans="5:17" hidden="1" outlineLevel="3" collapsed="1" x14ac:dyDescent="0.25">
      <c r="E4256" s="84" t="s">
        <v>1461</v>
      </c>
      <c r="F4256" s="79"/>
      <c r="G4256" s="79"/>
      <c r="H4256" s="80"/>
      <c r="I4256" s="81"/>
      <c r="J4256" s="83">
        <f>HYPERLINK("#Структура!E2933",Структура!E2933)</f>
        <v>1</v>
      </c>
      <c r="K4256" s="115">
        <f>HYPERLINK("#Структура!G2933",Структура!G2933)</f>
        <v>5.9200000000000003E-2</v>
      </c>
      <c r="L4256" s="81">
        <f>M4256/J4256</f>
        <v>14.2</v>
      </c>
      <c r="M4256" s="81">
        <f>SUMIF(F4257,"*",M4257)*J4256</f>
        <v>14.2</v>
      </c>
      <c r="N4256" s="124">
        <f>HYPERLINK("#Трудозатраты!B837",Трудозатраты!B837+SUMIF(F4257,"*",O4257))</f>
        <v>7.6</v>
      </c>
      <c r="O4256" s="82">
        <f>N4256*J4256</f>
        <v>7.6</v>
      </c>
      <c r="P4256" s="81">
        <f>O4256/60*(1+запас_труд)*стоимость_трудочаса</f>
        <v>297.66666666666663</v>
      </c>
      <c r="Q4256" s="129">
        <f>M4256*(1+наценка_покупное)+P4256</f>
        <v>314.70666666666665</v>
      </c>
    </row>
    <row r="4257" spans="5:17" hidden="1" outlineLevel="4" x14ac:dyDescent="0.25">
      <c r="F4257" s="74" t="s">
        <v>83</v>
      </c>
      <c r="G4257" s="74"/>
      <c r="H4257" s="75"/>
      <c r="I4257" s="76"/>
      <c r="J4257" s="78">
        <f>HYPERLINK("#Структура!E3238",Структура!E3238)</f>
        <v>0.14199999999999999</v>
      </c>
      <c r="K4257" s="114" t="str">
        <f>HYPERLINK("#Структура!G3238","")</f>
        <v/>
      </c>
      <c r="L4257" s="120">
        <f>HYPERLINK("#Покупные_изделия!D252",Покупные_изделия!D252)</f>
        <v>100</v>
      </c>
      <c r="M4257" s="76">
        <f>J4257*L4257</f>
        <v>14.2</v>
      </c>
      <c r="N4257" s="77"/>
      <c r="O4257" s="77"/>
      <c r="P4257" s="76"/>
      <c r="Q4257" s="76"/>
    </row>
    <row r="4258" spans="5:17" hidden="1" outlineLevel="3" collapsed="1" x14ac:dyDescent="0.25">
      <c r="E4258" s="84" t="s">
        <v>1462</v>
      </c>
      <c r="F4258" s="79"/>
      <c r="G4258" s="79"/>
      <c r="H4258" s="80"/>
      <c r="I4258" s="81"/>
      <c r="J4258" s="83">
        <f>HYPERLINK("#Структура!E2934",Структура!E2934)</f>
        <v>1</v>
      </c>
      <c r="K4258" s="115">
        <f>HYPERLINK("#Структура!G2934",Структура!G2934)</f>
        <v>0.1424</v>
      </c>
      <c r="L4258" s="81">
        <f>M4258/J4258</f>
        <v>18</v>
      </c>
      <c r="M4258" s="81">
        <f>SUMIF(F4259,"*",M4259)*J4258</f>
        <v>18</v>
      </c>
      <c r="N4258" s="124">
        <f>HYPERLINK("#Трудозатраты!B838",Трудозатраты!B838+SUMIF(F4259,"*",O4259))</f>
        <v>7</v>
      </c>
      <c r="O4258" s="82">
        <f>N4258*J4258</f>
        <v>7</v>
      </c>
      <c r="P4258" s="81">
        <f>O4258/60*(1+запас_труд)*стоимость_трудочаса</f>
        <v>274.16666666666669</v>
      </c>
      <c r="Q4258" s="129">
        <f>M4258*(1+наценка_покупное)+P4258</f>
        <v>295.76666666666671</v>
      </c>
    </row>
    <row r="4259" spans="5:17" hidden="1" outlineLevel="4" x14ac:dyDescent="0.25">
      <c r="F4259" s="74" t="s">
        <v>176</v>
      </c>
      <c r="G4259" s="74"/>
      <c r="H4259" s="75"/>
      <c r="I4259" s="76"/>
      <c r="J4259" s="78">
        <f>HYPERLINK("#Структура!E3239",Структура!E3239)</f>
        <v>0.15</v>
      </c>
      <c r="K4259" s="114" t="str">
        <f>HYPERLINK("#Структура!G3239","")</f>
        <v/>
      </c>
      <c r="L4259" s="120">
        <f>HYPERLINK("#Покупные_изделия!D487",Покупные_изделия!D487)</f>
        <v>120</v>
      </c>
      <c r="M4259" s="76">
        <f>J4259*L4259</f>
        <v>18</v>
      </c>
      <c r="N4259" s="77"/>
      <c r="O4259" s="77"/>
      <c r="P4259" s="76"/>
      <c r="Q4259" s="76"/>
    </row>
    <row r="4260" spans="5:17" hidden="1" outlineLevel="3" collapsed="1" x14ac:dyDescent="0.25">
      <c r="E4260" s="84" t="s">
        <v>1463</v>
      </c>
      <c r="F4260" s="79"/>
      <c r="G4260" s="79"/>
      <c r="H4260" s="80"/>
      <c r="I4260" s="81"/>
      <c r="J4260" s="83">
        <f>HYPERLINK("#Структура!E2935",Структура!E2935)</f>
        <v>3</v>
      </c>
      <c r="K4260" s="115">
        <f>HYPERLINK("#Структура!G2935",Структура!G2935)</f>
        <v>0.74580000000000002</v>
      </c>
      <c r="L4260" s="81">
        <f>M4260/J4260</f>
        <v>94.08</v>
      </c>
      <c r="M4260" s="81">
        <f>SUMIF(F4261,"*",M4261)*J4260</f>
        <v>282.24</v>
      </c>
      <c r="N4260" s="124">
        <f>HYPERLINK("#Трудозатраты!B839",Трудозатраты!B839+SUMIF(F4261,"*",O4261))</f>
        <v>12.5</v>
      </c>
      <c r="O4260" s="82">
        <f>N4260*J4260</f>
        <v>37.5</v>
      </c>
      <c r="P4260" s="81">
        <f>O4260/60*(1+запас_труд)*стоимость_трудочаса</f>
        <v>1468.75</v>
      </c>
      <c r="Q4260" s="129">
        <f>M4260*(1+наценка_покупное)+P4260</f>
        <v>1807.4380000000001</v>
      </c>
    </row>
    <row r="4261" spans="5:17" hidden="1" outlineLevel="4" x14ac:dyDescent="0.25">
      <c r="F4261" s="74" t="s">
        <v>182</v>
      </c>
      <c r="G4261" s="74"/>
      <c r="H4261" s="75"/>
      <c r="I4261" s="76"/>
      <c r="J4261" s="78">
        <f>HYPERLINK("#Структура!E3240",Структура!E3240)</f>
        <v>0.78400000000000003</v>
      </c>
      <c r="K4261" s="114" t="str">
        <f>HYPERLINK("#Структура!G3240","")</f>
        <v/>
      </c>
      <c r="L4261" s="120">
        <f>HYPERLINK("#Покупные_изделия!D493",Покупные_изделия!D493)</f>
        <v>120</v>
      </c>
      <c r="M4261" s="76">
        <f t="shared" ref="M4261:M4287" si="159">J4261*L4261</f>
        <v>94.08</v>
      </c>
      <c r="N4261" s="77"/>
      <c r="O4261" s="77"/>
      <c r="P4261" s="76"/>
      <c r="Q4261" s="76"/>
    </row>
    <row r="4262" spans="5:17" hidden="1" outlineLevel="3" x14ac:dyDescent="0.25">
      <c r="E4262" s="74" t="s">
        <v>562</v>
      </c>
      <c r="F4262" s="74"/>
      <c r="G4262" s="74"/>
      <c r="H4262" s="75"/>
      <c r="I4262" s="76"/>
      <c r="J4262" s="78">
        <f>HYPERLINK("#Структура!E2936",Структура!E2936)</f>
        <v>1</v>
      </c>
      <c r="K4262" s="114">
        <f>HYPERLINK("#Структура!G2936",Структура!G2936)</f>
        <v>0.67200000000000004</v>
      </c>
      <c r="L4262" s="120">
        <f>HYPERLINK("#Покупные_изделия!D482",Покупные_изделия!D482)</f>
        <v>234.9204</v>
      </c>
      <c r="M4262" s="76">
        <f t="shared" si="159"/>
        <v>234.9204</v>
      </c>
      <c r="N4262" s="77"/>
      <c r="O4262" s="77"/>
      <c r="P4262" s="76"/>
      <c r="Q4262" s="76"/>
    </row>
    <row r="4263" spans="5:17" hidden="1" outlineLevel="3" x14ac:dyDescent="0.25">
      <c r="E4263" s="74" t="s">
        <v>563</v>
      </c>
      <c r="F4263" s="74"/>
      <c r="G4263" s="74"/>
      <c r="H4263" s="75"/>
      <c r="I4263" s="76"/>
      <c r="J4263" s="78">
        <f>HYPERLINK("#Структура!E2937",Структура!E2937)</f>
        <v>2</v>
      </c>
      <c r="K4263" s="114">
        <f>HYPERLINK("#Структура!G2937",Структура!G2937)</f>
        <v>0.86699999999999999</v>
      </c>
      <c r="L4263" s="120">
        <f>HYPERLINK("#Покупные_изделия!D483",Покупные_изделия!D483)</f>
        <v>382.23599999999993</v>
      </c>
      <c r="M4263" s="76">
        <f t="shared" si="159"/>
        <v>764.47199999999987</v>
      </c>
      <c r="N4263" s="77"/>
      <c r="O4263" s="77"/>
      <c r="P4263" s="76"/>
      <c r="Q4263" s="76"/>
    </row>
    <row r="4264" spans="5:17" hidden="1" outlineLevel="3" x14ac:dyDescent="0.25">
      <c r="E4264" s="74" t="s">
        <v>193</v>
      </c>
      <c r="F4264" s="74"/>
      <c r="G4264" s="74"/>
      <c r="H4264" s="75"/>
      <c r="I4264" s="76"/>
      <c r="J4264" s="78">
        <f>HYPERLINK("#Структура!E2938",Структура!E2938)</f>
        <v>1</v>
      </c>
      <c r="K4264" s="114">
        <f>HYPERLINK("#Структура!G2938",Структура!G2938)</f>
        <v>9.4E-2</v>
      </c>
      <c r="L4264" s="120">
        <f>HYPERLINK("#Покупные_изделия!D506",Покупные_изделия!D506)</f>
        <v>43.98</v>
      </c>
      <c r="M4264" s="76">
        <f t="shared" si="159"/>
        <v>43.98</v>
      </c>
      <c r="N4264" s="77"/>
      <c r="O4264" s="77"/>
      <c r="P4264" s="76"/>
      <c r="Q4264" s="76"/>
    </row>
    <row r="4265" spans="5:17" hidden="1" outlineLevel="3" x14ac:dyDescent="0.25">
      <c r="E4265" s="74" t="s">
        <v>196</v>
      </c>
      <c r="F4265" s="74"/>
      <c r="G4265" s="74"/>
      <c r="H4265" s="75"/>
      <c r="I4265" s="76"/>
      <c r="J4265" s="78">
        <f>HYPERLINK("#Структура!E2939",Структура!E2939)</f>
        <v>1</v>
      </c>
      <c r="K4265" s="114">
        <f>HYPERLINK("#Структура!G2939",Структура!G2939)</f>
        <v>0.79</v>
      </c>
      <c r="L4265" s="120">
        <f>HYPERLINK("#Покупные_изделия!D509",Покупные_изделия!D509)</f>
        <v>327.22800000000001</v>
      </c>
      <c r="M4265" s="76">
        <f t="shared" si="159"/>
        <v>327.22800000000001</v>
      </c>
      <c r="N4265" s="77"/>
      <c r="O4265" s="77"/>
      <c r="P4265" s="76"/>
      <c r="Q4265" s="76"/>
    </row>
    <row r="4266" spans="5:17" hidden="1" outlineLevel="3" x14ac:dyDescent="0.25">
      <c r="E4266" s="74" t="s">
        <v>198</v>
      </c>
      <c r="F4266" s="74"/>
      <c r="G4266" s="74"/>
      <c r="H4266" s="75"/>
      <c r="I4266" s="76"/>
      <c r="J4266" s="78">
        <f>HYPERLINK("#Структура!E2940",Структура!E2940)</f>
        <v>1</v>
      </c>
      <c r="K4266" s="114">
        <f>HYPERLINK("#Структура!G2940",Структура!G2940)</f>
        <v>3.7999999999999999E-2</v>
      </c>
      <c r="L4266" s="120">
        <f>HYPERLINK("#Покупные_изделия!D516",Покупные_изделия!D516)</f>
        <v>102.35280000000002</v>
      </c>
      <c r="M4266" s="76">
        <f t="shared" si="159"/>
        <v>102.35280000000002</v>
      </c>
      <c r="N4266" s="77"/>
      <c r="O4266" s="77"/>
      <c r="P4266" s="76"/>
      <c r="Q4266" s="76"/>
    </row>
    <row r="4267" spans="5:17" hidden="1" outlineLevel="3" x14ac:dyDescent="0.25">
      <c r="E4267" s="74" t="s">
        <v>3</v>
      </c>
      <c r="F4267" s="74"/>
      <c r="G4267" s="74"/>
      <c r="H4267" s="75"/>
      <c r="I4267" s="76"/>
      <c r="J4267" s="78">
        <f>HYPERLINK("#Структура!E2941",Структура!E2941)</f>
        <v>2</v>
      </c>
      <c r="K4267" s="114">
        <f>HYPERLINK("#Структура!G2941",Структура!G2941)</f>
        <v>0.68352999999999997</v>
      </c>
      <c r="L4267" s="120">
        <f>HYPERLINK("#Покупные_изделия!D5",Покупные_изделия!D5)</f>
        <v>747.04</v>
      </c>
      <c r="M4267" s="76">
        <f t="shared" si="159"/>
        <v>1494.08</v>
      </c>
      <c r="N4267" s="77"/>
      <c r="O4267" s="77"/>
      <c r="P4267" s="76"/>
      <c r="Q4267" s="76"/>
    </row>
    <row r="4268" spans="5:17" hidden="1" outlineLevel="3" x14ac:dyDescent="0.25">
      <c r="E4268" s="74" t="s">
        <v>4</v>
      </c>
      <c r="F4268" s="74"/>
      <c r="G4268" s="74"/>
      <c r="H4268" s="75"/>
      <c r="I4268" s="76"/>
      <c r="J4268" s="78">
        <f>HYPERLINK("#Структура!E2942",Структура!E2942)</f>
        <v>1</v>
      </c>
      <c r="K4268" s="114">
        <f>HYPERLINK("#Структура!G2942",Структура!G2942)</f>
        <v>1.55443</v>
      </c>
      <c r="L4268" s="120">
        <f>HYPERLINK("#Покупные_изделия!D6",Покупные_изделия!D6)</f>
        <v>1071.8399999999999</v>
      </c>
      <c r="M4268" s="76">
        <f t="shared" si="159"/>
        <v>1071.8399999999999</v>
      </c>
      <c r="N4268" s="77"/>
      <c r="O4268" s="77"/>
      <c r="P4268" s="76"/>
      <c r="Q4268" s="76"/>
    </row>
    <row r="4269" spans="5:17" hidden="1" outlineLevel="3" x14ac:dyDescent="0.25">
      <c r="E4269" s="74" t="s">
        <v>11</v>
      </c>
      <c r="F4269" s="74"/>
      <c r="G4269" s="74"/>
      <c r="H4269" s="75"/>
      <c r="I4269" s="76"/>
      <c r="J4269" s="78">
        <f>HYPERLINK("#Структура!E2943",Структура!E2943)</f>
        <v>1</v>
      </c>
      <c r="K4269" s="114">
        <f>HYPERLINK("#Структура!G2943",Структура!G2943)</f>
        <v>0.70323999999999998</v>
      </c>
      <c r="L4269" s="120">
        <f>HYPERLINK("#Покупные_изделия!D15",Покупные_изделия!D15)</f>
        <v>66721.34713200001</v>
      </c>
      <c r="M4269" s="76">
        <f t="shared" si="159"/>
        <v>66721.34713200001</v>
      </c>
      <c r="N4269" s="77"/>
      <c r="O4269" s="77"/>
      <c r="P4269" s="76"/>
      <c r="Q4269" s="76"/>
    </row>
    <row r="4270" spans="5:17" hidden="1" outlineLevel="3" x14ac:dyDescent="0.25">
      <c r="E4270" s="74" t="s">
        <v>558</v>
      </c>
      <c r="F4270" s="74"/>
      <c r="G4270" s="74"/>
      <c r="H4270" s="75"/>
      <c r="I4270" s="76"/>
      <c r="J4270" s="78">
        <f>HYPERLINK("#Структура!E2944",Структура!E2944)</f>
        <v>1</v>
      </c>
      <c r="K4270" s="114">
        <f>HYPERLINK("#Структура!G2944",Структура!G2944)</f>
        <v>3.7509199999999998</v>
      </c>
      <c r="L4270" s="120">
        <f>HYPERLINK("#Покупные_изделия!D241",Покупные_изделия!D241)</f>
        <v>4494.7056000000002</v>
      </c>
      <c r="M4270" s="76">
        <f t="shared" si="159"/>
        <v>4494.7056000000002</v>
      </c>
      <c r="N4270" s="77"/>
      <c r="O4270" s="77"/>
      <c r="P4270" s="76"/>
      <c r="Q4270" s="76"/>
    </row>
    <row r="4271" spans="5:17" hidden="1" outlineLevel="3" x14ac:dyDescent="0.25">
      <c r="E4271" s="74" t="s">
        <v>62</v>
      </c>
      <c r="F4271" s="74"/>
      <c r="G4271" s="74"/>
      <c r="H4271" s="75"/>
      <c r="I4271" s="76"/>
      <c r="J4271" s="78">
        <f>HYPERLINK("#Структура!E2945",Структура!E2945)</f>
        <v>0.2</v>
      </c>
      <c r="K4271" s="114" t="str">
        <f>HYPERLINK("#Структура!G2945","")</f>
        <v/>
      </c>
      <c r="L4271" s="120">
        <f>HYPERLINK("#Покупные_изделия!D194",Покупные_изделия!D194)</f>
        <v>333.22800000000001</v>
      </c>
      <c r="M4271" s="76">
        <f t="shared" si="159"/>
        <v>66.645600000000002</v>
      </c>
      <c r="N4271" s="77"/>
      <c r="O4271" s="77"/>
      <c r="P4271" s="76"/>
      <c r="Q4271" s="76"/>
    </row>
    <row r="4272" spans="5:17" hidden="1" outlineLevel="3" x14ac:dyDescent="0.25">
      <c r="E4272" s="74" t="s">
        <v>65</v>
      </c>
      <c r="F4272" s="74"/>
      <c r="G4272" s="74"/>
      <c r="H4272" s="75"/>
      <c r="I4272" s="76"/>
      <c r="J4272" s="78">
        <f>HYPERLINK("#Структура!E2946",Структура!E2946)</f>
        <v>9.9000000000000005E-2</v>
      </c>
      <c r="K4272" s="114" t="str">
        <f>HYPERLINK("#Структура!G2946","")</f>
        <v/>
      </c>
      <c r="L4272" s="120">
        <f>HYPERLINK("#Покупные_изделия!D197",Покупные_изделия!D197)</f>
        <v>264.50399999999996</v>
      </c>
      <c r="M4272" s="76">
        <f t="shared" si="159"/>
        <v>26.185895999999996</v>
      </c>
      <c r="N4272" s="77"/>
      <c r="O4272" s="77"/>
      <c r="P4272" s="76"/>
      <c r="Q4272" s="76"/>
    </row>
    <row r="4273" spans="3:17" hidden="1" outlineLevel="3" x14ac:dyDescent="0.25">
      <c r="E4273" s="74" t="s">
        <v>155</v>
      </c>
      <c r="F4273" s="74"/>
      <c r="G4273" s="74"/>
      <c r="H4273" s="75"/>
      <c r="I4273" s="76"/>
      <c r="J4273" s="78">
        <f>HYPERLINK("#Структура!E2947",Структура!E2947)</f>
        <v>3.3000000000000002E-2</v>
      </c>
      <c r="K4273" s="114" t="str">
        <f>HYPERLINK("#Структура!G2947","")</f>
        <v/>
      </c>
      <c r="L4273" s="120">
        <f>HYPERLINK("#Покупные_изделия!D423",Покупные_изделия!D423)</f>
        <v>218.28</v>
      </c>
      <c r="M4273" s="76">
        <f t="shared" si="159"/>
        <v>7.2032400000000001</v>
      </c>
      <c r="N4273" s="77"/>
      <c r="O4273" s="77"/>
      <c r="P4273" s="76"/>
      <c r="Q4273" s="76"/>
    </row>
    <row r="4274" spans="3:17" hidden="1" outlineLevel="3" x14ac:dyDescent="0.25">
      <c r="E4274" s="74" t="s">
        <v>156</v>
      </c>
      <c r="F4274" s="74"/>
      <c r="G4274" s="74"/>
      <c r="H4274" s="75"/>
      <c r="I4274" s="76"/>
      <c r="J4274" s="78">
        <f>HYPERLINK("#Структура!E2948",Структура!E2948)</f>
        <v>9.0999999999999998E-2</v>
      </c>
      <c r="K4274" s="114" t="str">
        <f>HYPERLINK("#Структура!G2948","")</f>
        <v/>
      </c>
      <c r="L4274" s="120">
        <f>HYPERLINK("#Покупные_изделия!D427",Покупные_изделия!D427)</f>
        <v>155.53200000000001</v>
      </c>
      <c r="M4274" s="76">
        <f t="shared" si="159"/>
        <v>14.153412000000001</v>
      </c>
      <c r="N4274" s="77"/>
      <c r="O4274" s="77"/>
      <c r="P4274" s="76"/>
      <c r="Q4274" s="76"/>
    </row>
    <row r="4275" spans="3:17" hidden="1" outlineLevel="3" x14ac:dyDescent="0.25">
      <c r="E4275" s="74" t="s">
        <v>157</v>
      </c>
      <c r="F4275" s="74"/>
      <c r="G4275" s="74"/>
      <c r="H4275" s="75"/>
      <c r="I4275" s="76"/>
      <c r="J4275" s="78">
        <f>HYPERLINK("#Структура!E2949",Структура!E2949)</f>
        <v>9.0999999999999998E-2</v>
      </c>
      <c r="K4275" s="114" t="str">
        <f>HYPERLINK("#Структура!G2949","")</f>
        <v/>
      </c>
      <c r="L4275" s="120">
        <f>HYPERLINK("#Покупные_изделия!D428",Покупные_изделия!D428)</f>
        <v>138.756</v>
      </c>
      <c r="M4275" s="76">
        <f t="shared" si="159"/>
        <v>12.626795999999999</v>
      </c>
      <c r="N4275" s="77"/>
      <c r="O4275" s="77"/>
      <c r="P4275" s="76"/>
      <c r="Q4275" s="76"/>
    </row>
    <row r="4276" spans="3:17" hidden="1" outlineLevel="3" x14ac:dyDescent="0.25">
      <c r="E4276" s="74" t="s">
        <v>215</v>
      </c>
      <c r="F4276" s="74"/>
      <c r="G4276" s="74"/>
      <c r="H4276" s="75"/>
      <c r="I4276" s="76"/>
      <c r="J4276" s="78">
        <f>HYPERLINK("#Структура!E2950",Структура!E2950)</f>
        <v>0.19800000000000001</v>
      </c>
      <c r="K4276" s="114" t="str">
        <f>HYPERLINK("#Структура!G2950","")</f>
        <v/>
      </c>
      <c r="L4276" s="120">
        <f>HYPERLINK("#Покупные_изделия!D567",Покупные_изделия!D567)</f>
        <v>405.74399999999997</v>
      </c>
      <c r="M4276" s="76">
        <f t="shared" si="159"/>
        <v>80.337311999999997</v>
      </c>
      <c r="N4276" s="77"/>
      <c r="O4276" s="77"/>
      <c r="P4276" s="76"/>
      <c r="Q4276" s="76"/>
    </row>
    <row r="4277" spans="3:17" hidden="1" outlineLevel="1" x14ac:dyDescent="0.25">
      <c r="C4277" s="74" t="s">
        <v>1560</v>
      </c>
      <c r="D4277" s="74"/>
      <c r="E4277" s="74"/>
      <c r="F4277" s="74"/>
      <c r="G4277" s="74"/>
      <c r="H4277" s="75"/>
      <c r="I4277" s="76"/>
      <c r="J4277" s="78">
        <f>HYPERLINK("#Структура!E3265",Структура!E3265)</f>
        <v>16</v>
      </c>
      <c r="K4277" s="114">
        <f>HYPERLINK("#Структура!G3265",Структура!G3265)</f>
        <v>1.2700000000000001E-3</v>
      </c>
      <c r="L4277" s="120">
        <f>HYPERLINK("#Покупные_изделия!D148",Покупные_изделия!D148)</f>
        <v>1.26</v>
      </c>
      <c r="M4277" s="76">
        <f t="shared" si="159"/>
        <v>20.16</v>
      </c>
      <c r="N4277" s="77"/>
      <c r="O4277" s="77"/>
      <c r="P4277" s="76"/>
      <c r="Q4277" s="76"/>
    </row>
    <row r="4278" spans="3:17" hidden="1" outlineLevel="1" x14ac:dyDescent="0.25">
      <c r="C4278" s="74" t="s">
        <v>623</v>
      </c>
      <c r="D4278" s="74"/>
      <c r="E4278" s="74"/>
      <c r="F4278" s="74"/>
      <c r="G4278" s="74"/>
      <c r="H4278" s="75"/>
      <c r="I4278" s="76"/>
      <c r="J4278" s="78">
        <f>HYPERLINK("#Структура!E3266",Структура!E3266)</f>
        <v>2300</v>
      </c>
      <c r="K4278" s="114">
        <f>HYPERLINK("#Структура!G3266",Структура!G3266)</f>
        <v>1.67E-2</v>
      </c>
      <c r="L4278" s="120">
        <f>HYPERLINK("#Покупные_изделия!D86",Покупные_изделия!D86)</f>
        <v>8.7719999999999985</v>
      </c>
      <c r="M4278" s="76">
        <f t="shared" si="159"/>
        <v>20175.599999999995</v>
      </c>
      <c r="N4278" s="77"/>
      <c r="O4278" s="77"/>
      <c r="P4278" s="76"/>
      <c r="Q4278" s="76"/>
    </row>
    <row r="4279" spans="3:17" hidden="1" outlineLevel="1" x14ac:dyDescent="0.25">
      <c r="C4279" s="74" t="s">
        <v>730</v>
      </c>
      <c r="D4279" s="74"/>
      <c r="E4279" s="74"/>
      <c r="F4279" s="74"/>
      <c r="G4279" s="74"/>
      <c r="H4279" s="75"/>
      <c r="I4279" s="76"/>
      <c r="J4279" s="78">
        <f>HYPERLINK("#Структура!E3267",Структура!E3267)</f>
        <v>116</v>
      </c>
      <c r="K4279" s="114">
        <f>HYPERLINK("#Структура!G3267",Структура!G3267)</f>
        <v>9.7989999999999994E-2</v>
      </c>
      <c r="L4279" s="120">
        <f>HYPERLINK("#Покупные_изделия!D96",Покупные_изделия!D96)</f>
        <v>21.563999999999997</v>
      </c>
      <c r="M4279" s="76">
        <f t="shared" si="159"/>
        <v>2501.4239999999995</v>
      </c>
      <c r="N4279" s="77"/>
      <c r="O4279" s="77"/>
      <c r="P4279" s="76"/>
      <c r="Q4279" s="76"/>
    </row>
    <row r="4280" spans="3:17" hidden="1" outlineLevel="1" x14ac:dyDescent="0.25">
      <c r="C4280" s="74" t="s">
        <v>1561</v>
      </c>
      <c r="D4280" s="74"/>
      <c r="E4280" s="74"/>
      <c r="F4280" s="74"/>
      <c r="G4280" s="74"/>
      <c r="H4280" s="75"/>
      <c r="I4280" s="76"/>
      <c r="J4280" s="78">
        <f>HYPERLINK("#Структура!E3268",Структура!E3268)</f>
        <v>4</v>
      </c>
      <c r="K4280" s="114">
        <f>HYPERLINK("#Структура!G3268",Структура!G3268)</f>
        <v>5.9300000000000004E-3</v>
      </c>
      <c r="L4280" s="120">
        <f>HYPERLINK("#Покупные_изделия!D100",Покупные_изделия!D100)</f>
        <v>8.2199999999999989</v>
      </c>
      <c r="M4280" s="76">
        <f t="shared" si="159"/>
        <v>32.879999999999995</v>
      </c>
      <c r="N4280" s="77"/>
      <c r="O4280" s="77"/>
      <c r="P4280" s="76"/>
      <c r="Q4280" s="76"/>
    </row>
    <row r="4281" spans="3:17" hidden="1" outlineLevel="1" x14ac:dyDescent="0.25">
      <c r="C4281" s="74" t="s">
        <v>818</v>
      </c>
      <c r="D4281" s="74"/>
      <c r="E4281" s="74"/>
      <c r="F4281" s="74"/>
      <c r="G4281" s="74"/>
      <c r="H4281" s="75"/>
      <c r="I4281" s="76"/>
      <c r="J4281" s="78">
        <f>HYPERLINK("#Структура!E3269",Структура!E3269)</f>
        <v>8</v>
      </c>
      <c r="K4281" s="114">
        <f>HYPERLINK("#Структура!G3269",Структура!G3269)</f>
        <v>3.7609999999999998E-2</v>
      </c>
      <c r="L4281" s="120">
        <f>HYPERLINK("#Покупные_изделия!D177",Покупные_изделия!D177)</f>
        <v>9.4320000000000004</v>
      </c>
      <c r="M4281" s="76">
        <f t="shared" si="159"/>
        <v>75.456000000000003</v>
      </c>
      <c r="N4281" s="77"/>
      <c r="O4281" s="77"/>
      <c r="P4281" s="76"/>
      <c r="Q4281" s="76"/>
    </row>
    <row r="4282" spans="3:17" hidden="1" outlineLevel="1" x14ac:dyDescent="0.25">
      <c r="C4282" s="74" t="s">
        <v>625</v>
      </c>
      <c r="D4282" s="74"/>
      <c r="E4282" s="74"/>
      <c r="F4282" s="74"/>
      <c r="G4282" s="74"/>
      <c r="H4282" s="75"/>
      <c r="I4282" s="76"/>
      <c r="J4282" s="78">
        <f>HYPERLINK("#Структура!E3270",Структура!E3270)</f>
        <v>2300</v>
      </c>
      <c r="K4282" s="114">
        <f>HYPERLINK("#Структура!G3270",Структура!G3270)</f>
        <v>7.1399999999999996E-3</v>
      </c>
      <c r="L4282" s="120">
        <f>HYPERLINK("#Покупные_изделия!D168",Покупные_изделия!D168)</f>
        <v>1.9715672368421051</v>
      </c>
      <c r="M4282" s="76">
        <f t="shared" si="159"/>
        <v>4534.6046447368417</v>
      </c>
      <c r="N4282" s="77"/>
      <c r="O4282" s="77"/>
      <c r="P4282" s="76"/>
      <c r="Q4282" s="76"/>
    </row>
    <row r="4283" spans="3:17" hidden="1" outlineLevel="1" x14ac:dyDescent="0.25">
      <c r="C4283" s="74" t="s">
        <v>819</v>
      </c>
      <c r="D4283" s="74"/>
      <c r="E4283" s="74"/>
      <c r="F4283" s="74"/>
      <c r="G4283" s="74"/>
      <c r="H4283" s="75"/>
      <c r="I4283" s="76"/>
      <c r="J4283" s="78">
        <f>HYPERLINK("#Структура!E3271",Структура!E3271)</f>
        <v>116</v>
      </c>
      <c r="K4283" s="114">
        <f>HYPERLINK("#Структура!G3271",Структура!G3271)</f>
        <v>6.0800000000000003E-3</v>
      </c>
      <c r="L4283" s="120">
        <f>HYPERLINK("#Покупные_изделия!D525",Покупные_изделия!D525)</f>
        <v>1.9345375522388062</v>
      </c>
      <c r="M4283" s="76">
        <f t="shared" si="159"/>
        <v>224.40635605970152</v>
      </c>
      <c r="N4283" s="77"/>
      <c r="O4283" s="77"/>
      <c r="P4283" s="76"/>
      <c r="Q4283" s="76"/>
    </row>
    <row r="4284" spans="3:17" hidden="1" outlineLevel="1" x14ac:dyDescent="0.25">
      <c r="C4284" s="74" t="s">
        <v>662</v>
      </c>
      <c r="D4284" s="74"/>
      <c r="E4284" s="74"/>
      <c r="F4284" s="74"/>
      <c r="G4284" s="74"/>
      <c r="H4284" s="75"/>
      <c r="I4284" s="76"/>
      <c r="J4284" s="78">
        <f>HYPERLINK("#Структура!E3272",Структура!E3272)</f>
        <v>116</v>
      </c>
      <c r="K4284" s="114">
        <f>HYPERLINK("#Структура!G3272",Структура!G3272)</f>
        <v>1.098E-2</v>
      </c>
      <c r="L4284" s="120">
        <f>HYPERLINK("#Покупные_изделия!D541",Покупные_изделия!D541)</f>
        <v>1.713367999999998</v>
      </c>
      <c r="M4284" s="76">
        <f t="shared" si="159"/>
        <v>198.75068799999977</v>
      </c>
      <c r="N4284" s="77"/>
      <c r="O4284" s="77"/>
      <c r="P4284" s="76"/>
      <c r="Q4284" s="76"/>
    </row>
    <row r="4285" spans="3:17" hidden="1" outlineLevel="1" x14ac:dyDescent="0.25">
      <c r="C4285" s="74" t="s">
        <v>737</v>
      </c>
      <c r="D4285" s="74"/>
      <c r="E4285" s="74"/>
      <c r="F4285" s="74"/>
      <c r="G4285" s="74"/>
      <c r="H4285" s="75"/>
      <c r="I4285" s="76"/>
      <c r="J4285" s="78">
        <f>HYPERLINK("#Структура!E3273",Структура!E3273)</f>
        <v>4</v>
      </c>
      <c r="K4285" s="114">
        <f>HYPERLINK("#Структура!G3273",Структура!G3273)</f>
        <v>1.73E-3</v>
      </c>
      <c r="L4285" s="120">
        <f>HYPERLINK("#Покупные_изделия!D547",Покупные_изделия!D547)</f>
        <v>1.0415213493975914</v>
      </c>
      <c r="M4285" s="76">
        <f t="shared" si="159"/>
        <v>4.1660853975903658</v>
      </c>
      <c r="N4285" s="77"/>
      <c r="O4285" s="77"/>
      <c r="P4285" s="76"/>
      <c r="Q4285" s="76"/>
    </row>
    <row r="4286" spans="3:17" hidden="1" outlineLevel="1" x14ac:dyDescent="0.25">
      <c r="C4286" s="74" t="s">
        <v>63</v>
      </c>
      <c r="D4286" s="74"/>
      <c r="E4286" s="74"/>
      <c r="F4286" s="74"/>
      <c r="G4286" s="74"/>
      <c r="H4286" s="75"/>
      <c r="I4286" s="76"/>
      <c r="J4286" s="78">
        <f>HYPERLINK("#Структура!E3274",Структура!E3274)</f>
        <v>6</v>
      </c>
      <c r="K4286" s="114" t="str">
        <f>HYPERLINK("#Структура!G3274","")</f>
        <v/>
      </c>
      <c r="L4286" s="120">
        <f>HYPERLINK("#Покупные_изделия!D195",Покупные_изделия!D195)</f>
        <v>560.00400000000002</v>
      </c>
      <c r="M4286" s="76">
        <f t="shared" si="159"/>
        <v>3360.0240000000003</v>
      </c>
      <c r="N4286" s="77"/>
      <c r="O4286" s="77"/>
      <c r="P4286" s="76"/>
      <c r="Q4286" s="76"/>
    </row>
    <row r="4287" spans="3:17" hidden="1" outlineLevel="1" x14ac:dyDescent="0.25">
      <c r="C4287" s="74" t="s">
        <v>185</v>
      </c>
      <c r="D4287" s="74"/>
      <c r="E4287" s="74"/>
      <c r="F4287" s="74"/>
      <c r="G4287" s="74"/>
      <c r="H4287" s="75"/>
      <c r="I4287" s="76"/>
      <c r="J4287" s="78">
        <f>HYPERLINK("#Структура!E3275",Структура!E3275)</f>
        <v>1.2</v>
      </c>
      <c r="K4287" s="114" t="str">
        <f>HYPERLINK("#Структура!G3275","")</f>
        <v/>
      </c>
      <c r="L4287" s="120">
        <f>HYPERLINK("#Покупные_изделия!D497",Покупные_изделия!D497)</f>
        <v>1653.3000000000002</v>
      </c>
      <c r="M4287" s="76">
        <f t="shared" si="159"/>
        <v>1983.96</v>
      </c>
      <c r="N4287" s="77"/>
      <c r="O4287" s="77"/>
      <c r="P4287" s="76"/>
      <c r="Q4287" s="76"/>
    </row>
    <row r="4288" spans="3:17" hidden="1" outlineLevel="1" collapsed="1" x14ac:dyDescent="0.25">
      <c r="C4288" s="96" t="s">
        <v>600</v>
      </c>
      <c r="D4288" s="91"/>
      <c r="E4288" s="91"/>
      <c r="F4288" s="91"/>
      <c r="G4288" s="91"/>
      <c r="H4288" s="92"/>
      <c r="I4288" s="93"/>
      <c r="J4288" s="95">
        <f>HYPERLINK("#Структура!E3276",Структура!E3276)</f>
        <v>1</v>
      </c>
      <c r="K4288" s="117">
        <f t="array" ref="K4288">SUMPRODUCT(IF(ISTEXT(D4289:D4405),1,0),J4289:J4405,K4289:K4405)</f>
        <v>2307.155099999999</v>
      </c>
      <c r="L4288" s="93">
        <f>M4288/J4288</f>
        <v>859956.85569893254</v>
      </c>
      <c r="M4288" s="93">
        <f>SUMIF(D4289:D4405,"*",M4289:M4405)*J4288</f>
        <v>859956.85569893254</v>
      </c>
      <c r="N4288" s="125">
        <f>HYPERLINK("#Трудозатраты!B12",Трудозатраты!B12+SUMIF(D4289:D4405,"*",O4289:O4405))</f>
        <v>3844</v>
      </c>
      <c r="O4288" s="94">
        <f>N4288*J4288</f>
        <v>3844</v>
      </c>
      <c r="P4288" s="93">
        <f>O4288/60*(1+запас_труд)*стоимость_трудочаса</f>
        <v>150556.66666666666</v>
      </c>
      <c r="Q4288" s="130">
        <f>M4288*(1+наценка_покупное)+P4288</f>
        <v>1182504.8935053856</v>
      </c>
    </row>
    <row r="4289" spans="4:17" hidden="1" outlineLevel="2" collapsed="1" x14ac:dyDescent="0.25">
      <c r="D4289" s="97" t="s">
        <v>599</v>
      </c>
      <c r="E4289" s="98"/>
      <c r="F4289" s="98"/>
      <c r="G4289" s="98"/>
      <c r="H4289" s="99"/>
      <c r="I4289" s="100"/>
      <c r="J4289" s="102">
        <f>HYPERLINK("#Структура!E21",Структура!E21)</f>
        <v>2</v>
      </c>
      <c r="K4289" s="112">
        <f>HYPERLINK("#Структура!G21",Структура!G21)</f>
        <v>2.6271</v>
      </c>
      <c r="L4289" s="100">
        <f>M4289/J4289</f>
        <v>540.28466894736846</v>
      </c>
      <c r="M4289" s="100">
        <f>SUMIF(E4290:E4297,"*",M4290:M4297)*J4289</f>
        <v>1080.5693378947369</v>
      </c>
      <c r="N4289" s="122">
        <f>HYPERLINK("#Трудозатраты!B181",Трудозатраты!B181+SUMIF(E4290:E4297,"*",O4290:O4297))</f>
        <v>9.3000000000000007</v>
      </c>
      <c r="O4289" s="101">
        <f>N4289*J4289</f>
        <v>18.600000000000001</v>
      </c>
      <c r="P4289" s="100">
        <f>O4289/60*(1+запас_труд)*стоимость_трудочаса</f>
        <v>728.5</v>
      </c>
      <c r="Q4289" s="127">
        <f>M4289*(1+наценка_покупное)+P4289</f>
        <v>2025.1832054736842</v>
      </c>
    </row>
    <row r="4290" spans="4:17" hidden="1" outlineLevel="3" collapsed="1" x14ac:dyDescent="0.25">
      <c r="E4290" s="85" t="s">
        <v>845</v>
      </c>
      <c r="F4290" s="86"/>
      <c r="G4290" s="86"/>
      <c r="H4290" s="87"/>
      <c r="I4290" s="88"/>
      <c r="J4290" s="90">
        <f>HYPERLINK("#Структура!E803",Структура!E803)</f>
        <v>1</v>
      </c>
      <c r="K4290" s="113">
        <f>HYPERLINK("#Структура!G803",Структура!G803)</f>
        <v>2.39235</v>
      </c>
      <c r="L4290" s="88">
        <f>M4290/J4290</f>
        <v>452.40160000000003</v>
      </c>
      <c r="M4290" s="88">
        <f>SUMIF(F4291,"*",M4291)*J4290</f>
        <v>452.40160000000003</v>
      </c>
      <c r="N4290" s="123">
        <f>HYPERLINK("#Трудозатраты!B182",Трудозатраты!B182+SUMIF(F4291,"*",O4291))</f>
        <v>4.3</v>
      </c>
      <c r="O4290" s="89">
        <f>N4290*J4290</f>
        <v>4.3</v>
      </c>
      <c r="P4290" s="88">
        <f>O4290/60*(1+запас_труд)*стоимость_трудочаса</f>
        <v>168.41666666666669</v>
      </c>
      <c r="Q4290" s="128">
        <f>M4290*(1+наценка_покупное)+P4290</f>
        <v>711.29858666666678</v>
      </c>
    </row>
    <row r="4291" spans="4:17" hidden="1" outlineLevel="4" x14ac:dyDescent="0.25">
      <c r="F4291" s="74" t="s">
        <v>130</v>
      </c>
      <c r="G4291" s="74"/>
      <c r="H4291" s="75"/>
      <c r="I4291" s="76"/>
      <c r="J4291" s="78">
        <f>HYPERLINK("#Структура!E808",Структура!E808)</f>
        <v>2.8275100000000002</v>
      </c>
      <c r="K4291" s="114" t="str">
        <f>HYPERLINK("#Структура!G808","")</f>
        <v/>
      </c>
      <c r="L4291" s="120">
        <f>HYPERLINK("#Покупные_изделия!D305",Покупные_изделия!D305)</f>
        <v>160</v>
      </c>
      <c r="M4291" s="76">
        <f>J4291*L4291</f>
        <v>452.40160000000003</v>
      </c>
      <c r="N4291" s="77"/>
      <c r="O4291" s="77"/>
      <c r="P4291" s="76"/>
      <c r="Q4291" s="76"/>
    </row>
    <row r="4292" spans="4:17" hidden="1" outlineLevel="3" collapsed="1" x14ac:dyDescent="0.25">
      <c r="E4292" s="84" t="s">
        <v>846</v>
      </c>
      <c r="F4292" s="79"/>
      <c r="G4292" s="79"/>
      <c r="H4292" s="80"/>
      <c r="I4292" s="81"/>
      <c r="J4292" s="83">
        <f>HYPERLINK("#Структура!E804",Структура!E804)</f>
        <v>2</v>
      </c>
      <c r="K4292" s="115">
        <f>HYPERLINK("#Структура!G804",Структура!G804)</f>
        <v>3.9190000000000003E-2</v>
      </c>
      <c r="L4292" s="81">
        <f>M4292/J4292</f>
        <v>7.976</v>
      </c>
      <c r="M4292" s="81">
        <f>SUMIF(F4293,"*",M4293)*J4292</f>
        <v>15.952</v>
      </c>
      <c r="N4292" s="124">
        <f>HYPERLINK("#Трудозатраты!B183",Трудозатраты!B183+SUMIF(F4293,"*",O4293))</f>
        <v>0.2</v>
      </c>
      <c r="O4292" s="82">
        <f>N4292*J4292</f>
        <v>0.4</v>
      </c>
      <c r="P4292" s="81">
        <f>O4292/60*(1+запас_труд)*стоимость_трудочаса</f>
        <v>15.666666666666668</v>
      </c>
      <c r="Q4292" s="129">
        <f>M4292*(1+наценка_покупное)+P4292</f>
        <v>34.809066666666666</v>
      </c>
    </row>
    <row r="4293" spans="4:17" hidden="1" outlineLevel="4" x14ac:dyDescent="0.25">
      <c r="F4293" s="74" t="s">
        <v>131</v>
      </c>
      <c r="G4293" s="74"/>
      <c r="H4293" s="75"/>
      <c r="I4293" s="76"/>
      <c r="J4293" s="78">
        <f>HYPERLINK("#Структура!E809",Структура!E809)</f>
        <v>4.9849999999999998E-2</v>
      </c>
      <c r="K4293" s="114" t="str">
        <f>HYPERLINK("#Структура!G809","")</f>
        <v/>
      </c>
      <c r="L4293" s="120">
        <f>HYPERLINK("#Покупные_изделия!D306",Покупные_изделия!D306)</f>
        <v>160</v>
      </c>
      <c r="M4293" s="76">
        <f>J4293*L4293</f>
        <v>7.976</v>
      </c>
      <c r="N4293" s="77"/>
      <c r="O4293" s="77"/>
      <c r="P4293" s="76"/>
      <c r="Q4293" s="76"/>
    </row>
    <row r="4294" spans="4:17" hidden="1" outlineLevel="3" collapsed="1" x14ac:dyDescent="0.25">
      <c r="E4294" s="84" t="s">
        <v>847</v>
      </c>
      <c r="F4294" s="79"/>
      <c r="G4294" s="79"/>
      <c r="H4294" s="80"/>
      <c r="I4294" s="81"/>
      <c r="J4294" s="83">
        <f>HYPERLINK("#Структура!E805",Структура!E805)</f>
        <v>2</v>
      </c>
      <c r="K4294" s="115">
        <f>HYPERLINK("#Структура!G805",Структура!G805)</f>
        <v>7.1459999999999996E-2</v>
      </c>
      <c r="L4294" s="81">
        <f>M4294/J4294</f>
        <v>14.622399999999999</v>
      </c>
      <c r="M4294" s="81">
        <f>SUMIF(F4295,"*",M4295)*J4294</f>
        <v>29.244799999999998</v>
      </c>
      <c r="N4294" s="124">
        <f>HYPERLINK("#Трудозатраты!B184",Трудозатраты!B184+SUMIF(F4295,"*",O4295))</f>
        <v>0.3</v>
      </c>
      <c r="O4294" s="82">
        <f>N4294*J4294</f>
        <v>0.6</v>
      </c>
      <c r="P4294" s="81">
        <f>O4294/60*(1+запас_труд)*стоимость_трудочаса</f>
        <v>23.5</v>
      </c>
      <c r="Q4294" s="129">
        <f>M4294*(1+наценка_покупное)+P4294</f>
        <v>58.593759999999996</v>
      </c>
    </row>
    <row r="4295" spans="4:17" hidden="1" outlineLevel="4" x14ac:dyDescent="0.25">
      <c r="F4295" s="74" t="s">
        <v>131</v>
      </c>
      <c r="G4295" s="74"/>
      <c r="H4295" s="75"/>
      <c r="I4295" s="76"/>
      <c r="J4295" s="78">
        <f>HYPERLINK("#Структура!E810",Структура!E810)</f>
        <v>9.1389999999999999E-2</v>
      </c>
      <c r="K4295" s="114" t="str">
        <f>HYPERLINK("#Структура!G810","")</f>
        <v/>
      </c>
      <c r="L4295" s="120">
        <f>HYPERLINK("#Покупные_изделия!D306",Покупные_изделия!D306)</f>
        <v>160</v>
      </c>
      <c r="M4295" s="76">
        <f>J4295*L4295</f>
        <v>14.622399999999999</v>
      </c>
      <c r="N4295" s="77"/>
      <c r="O4295" s="77"/>
      <c r="P4295" s="76"/>
      <c r="Q4295" s="76"/>
    </row>
    <row r="4296" spans="4:17" hidden="1" outlineLevel="3" x14ac:dyDescent="0.25">
      <c r="E4296" s="74" t="s">
        <v>622</v>
      </c>
      <c r="F4296" s="74"/>
      <c r="G4296" s="74"/>
      <c r="H4296" s="75"/>
      <c r="I4296" s="76"/>
      <c r="J4296" s="78">
        <f>HYPERLINK("#Структура!E806",Структура!E806)</f>
        <v>4</v>
      </c>
      <c r="K4296" s="114">
        <f>HYPERLINK("#Структура!G806",Структура!G806)</f>
        <v>1.52E-2</v>
      </c>
      <c r="L4296" s="120">
        <f>HYPERLINK("#Покупные_изделия!D85",Покупные_изделия!D85)</f>
        <v>8.6999999999999993</v>
      </c>
      <c r="M4296" s="76">
        <f>J4296*L4296</f>
        <v>34.799999999999997</v>
      </c>
      <c r="N4296" s="77"/>
      <c r="O4296" s="77"/>
      <c r="P4296" s="76"/>
      <c r="Q4296" s="76"/>
    </row>
    <row r="4297" spans="4:17" hidden="1" outlineLevel="3" x14ac:dyDescent="0.25">
      <c r="E4297" s="74" t="s">
        <v>625</v>
      </c>
      <c r="F4297" s="74"/>
      <c r="G4297" s="74"/>
      <c r="H4297" s="75"/>
      <c r="I4297" s="76"/>
      <c r="J4297" s="78">
        <f>HYPERLINK("#Структура!E807",Структура!E807)</f>
        <v>4</v>
      </c>
      <c r="K4297" s="114">
        <f>HYPERLINK("#Структура!G807",Структура!G807)</f>
        <v>7.1399999999999996E-3</v>
      </c>
      <c r="L4297" s="120">
        <f>HYPERLINK("#Покупные_изделия!D168",Покупные_изделия!D168)</f>
        <v>1.9715672368421051</v>
      </c>
      <c r="M4297" s="76">
        <f>J4297*L4297</f>
        <v>7.8862689473684204</v>
      </c>
      <c r="N4297" s="77"/>
      <c r="O4297" s="77"/>
      <c r="P4297" s="76"/>
      <c r="Q4297" s="76"/>
    </row>
    <row r="4298" spans="4:17" hidden="1" outlineLevel="2" collapsed="1" x14ac:dyDescent="0.25">
      <c r="D4298" s="96" t="s">
        <v>601</v>
      </c>
      <c r="E4298" s="91"/>
      <c r="F4298" s="91"/>
      <c r="G4298" s="91"/>
      <c r="H4298" s="92"/>
      <c r="I4298" s="93"/>
      <c r="J4298" s="95">
        <f>HYPERLINK("#Структура!E22",Структура!E22)</f>
        <v>4</v>
      </c>
      <c r="K4298" s="116">
        <f>HYPERLINK("#Структура!G22",Структура!G22)</f>
        <v>82.16807</v>
      </c>
      <c r="L4298" s="93">
        <f>M4298/J4298</f>
        <v>13206.403775999999</v>
      </c>
      <c r="M4298" s="93">
        <f>SUMIF(E4299:E4318,"*",M4299:M4318)*J4298</f>
        <v>52825.615103999997</v>
      </c>
      <c r="N4298" s="125">
        <f>HYPERLINK("#Трудозатраты!B622",Трудозатраты!B622+SUMIF(E4299:E4318,"*",O4299:O4318))</f>
        <v>125</v>
      </c>
      <c r="O4298" s="94">
        <f>N4298*J4298</f>
        <v>500</v>
      </c>
      <c r="P4298" s="93">
        <f>O4298/60*(1+запас_труд)*стоимость_трудочаса</f>
        <v>19583.333333333336</v>
      </c>
      <c r="Q4298" s="130">
        <f>M4298*(1+наценка_покупное)+P4298</f>
        <v>82974.07145813333</v>
      </c>
    </row>
    <row r="4299" spans="4:17" hidden="1" outlineLevel="3" collapsed="1" x14ac:dyDescent="0.25">
      <c r="E4299" s="85" t="s">
        <v>1332</v>
      </c>
      <c r="F4299" s="86"/>
      <c r="G4299" s="86"/>
      <c r="H4299" s="87"/>
      <c r="I4299" s="88"/>
      <c r="J4299" s="90">
        <f>HYPERLINK("#Структура!E2470",Структура!E2470)</f>
        <v>1</v>
      </c>
      <c r="K4299" s="113">
        <f>HYPERLINK("#Структура!G2470",Структура!G2470)</f>
        <v>32.67248</v>
      </c>
      <c r="L4299" s="88">
        <f>M4299/J4299</f>
        <v>5186.4121439999999</v>
      </c>
      <c r="M4299" s="88">
        <f>SUMIF(F4300:F4305,"*",M4300:M4305)*J4299</f>
        <v>5186.4121439999999</v>
      </c>
      <c r="N4299" s="123">
        <f>HYPERLINK("#Трудозатраты!B623",Трудозатраты!B623+SUMIF(F4300:F4305,"*",O4300:O4305))</f>
        <v>43</v>
      </c>
      <c r="O4299" s="89">
        <f>N4299*J4299</f>
        <v>43</v>
      </c>
      <c r="P4299" s="88">
        <f>O4299/60*(1+запас_труд)*стоимость_трудочаса</f>
        <v>1684.1666666666667</v>
      </c>
      <c r="Q4299" s="128">
        <f>M4299*(1+наценка_покупное)+P4299</f>
        <v>7907.861239466667</v>
      </c>
    </row>
    <row r="4300" spans="4:17" hidden="1" outlineLevel="4" x14ac:dyDescent="0.25">
      <c r="F4300" s="74" t="s">
        <v>65</v>
      </c>
      <c r="G4300" s="74"/>
      <c r="H4300" s="75"/>
      <c r="I4300" s="76"/>
      <c r="J4300" s="78">
        <f>HYPERLINK("#Структура!E2473",Структура!E2473)</f>
        <v>0.33400000000000002</v>
      </c>
      <c r="K4300" s="114" t="str">
        <f>HYPERLINK("#Структура!G2473","")</f>
        <v/>
      </c>
      <c r="L4300" s="120">
        <f>HYPERLINK("#Покупные_изделия!D197",Покупные_изделия!D197)</f>
        <v>264.50399999999996</v>
      </c>
      <c r="M4300" s="76">
        <f t="shared" ref="M4300:M4305" si="160">J4300*L4300</f>
        <v>88.344335999999998</v>
      </c>
      <c r="N4300" s="77"/>
      <c r="O4300" s="77"/>
      <c r="P4300" s="76"/>
      <c r="Q4300" s="76"/>
    </row>
    <row r="4301" spans="4:17" hidden="1" outlineLevel="4" x14ac:dyDescent="0.25">
      <c r="F4301" s="74" t="s">
        <v>115</v>
      </c>
      <c r="G4301" s="74"/>
      <c r="H4301" s="75"/>
      <c r="I4301" s="76"/>
      <c r="J4301" s="78">
        <f>HYPERLINK("#Структура!E2474",Структура!E2474)</f>
        <v>39.414650000000002</v>
      </c>
      <c r="K4301" s="114" t="str">
        <f>HYPERLINK("#Структура!G2474","")</f>
        <v/>
      </c>
      <c r="L4301" s="120">
        <f>HYPERLINK("#Покупные_изделия!D289",Покупные_изделия!D289)</f>
        <v>120</v>
      </c>
      <c r="M4301" s="76">
        <f t="shared" si="160"/>
        <v>4729.7579999999998</v>
      </c>
      <c r="N4301" s="77"/>
      <c r="O4301" s="77"/>
      <c r="P4301" s="76"/>
      <c r="Q4301" s="76"/>
    </row>
    <row r="4302" spans="4:17" hidden="1" outlineLevel="4" x14ac:dyDescent="0.25">
      <c r="F4302" s="74" t="s">
        <v>155</v>
      </c>
      <c r="G4302" s="74"/>
      <c r="H4302" s="75"/>
      <c r="I4302" s="76"/>
      <c r="J4302" s="78">
        <f>HYPERLINK("#Структура!E2475",Структура!E2475)</f>
        <v>0.20100000000000001</v>
      </c>
      <c r="K4302" s="114" t="str">
        <f>HYPERLINK("#Структура!G2475","")</f>
        <v/>
      </c>
      <c r="L4302" s="120">
        <f>HYPERLINK("#Покупные_изделия!D423",Покупные_изделия!D423)</f>
        <v>218.28</v>
      </c>
      <c r="M4302" s="76">
        <f t="shared" si="160"/>
        <v>43.874280000000006</v>
      </c>
      <c r="N4302" s="77"/>
      <c r="O4302" s="77"/>
      <c r="P4302" s="76"/>
      <c r="Q4302" s="76"/>
    </row>
    <row r="4303" spans="4:17" hidden="1" outlineLevel="4" x14ac:dyDescent="0.25">
      <c r="F4303" s="74" t="s">
        <v>156</v>
      </c>
      <c r="G4303" s="74"/>
      <c r="H4303" s="75"/>
      <c r="I4303" s="76"/>
      <c r="J4303" s="78">
        <f>HYPERLINK("#Структура!E2476",Структура!E2476)</f>
        <v>0.30599999999999999</v>
      </c>
      <c r="K4303" s="114" t="str">
        <f>HYPERLINK("#Структура!G2476","")</f>
        <v/>
      </c>
      <c r="L4303" s="120">
        <f>HYPERLINK("#Покупные_изделия!D427",Покупные_изделия!D427)</f>
        <v>155.53200000000001</v>
      </c>
      <c r="M4303" s="76">
        <f t="shared" si="160"/>
        <v>47.592792000000003</v>
      </c>
      <c r="N4303" s="77"/>
      <c r="O4303" s="77"/>
      <c r="P4303" s="76"/>
      <c r="Q4303" s="76"/>
    </row>
    <row r="4304" spans="4:17" hidden="1" outlineLevel="4" x14ac:dyDescent="0.25">
      <c r="F4304" s="74" t="s">
        <v>200</v>
      </c>
      <c r="G4304" s="74"/>
      <c r="H4304" s="75"/>
      <c r="I4304" s="76"/>
      <c r="J4304" s="78">
        <f>HYPERLINK("#Структура!E2477",Структура!E2477)</f>
        <v>0.02</v>
      </c>
      <c r="K4304" s="114" t="str">
        <f>HYPERLINK("#Структура!G2477","")</f>
        <v/>
      </c>
      <c r="L4304" s="120">
        <f>HYPERLINK("#Покупные_изделия!D518",Покупные_изделия!D518)</f>
        <v>270</v>
      </c>
      <c r="M4304" s="76">
        <f t="shared" si="160"/>
        <v>5.4</v>
      </c>
      <c r="N4304" s="77"/>
      <c r="O4304" s="77"/>
      <c r="P4304" s="76"/>
      <c r="Q4304" s="76"/>
    </row>
    <row r="4305" spans="4:17" hidden="1" outlineLevel="4" x14ac:dyDescent="0.25">
      <c r="F4305" s="74" t="s">
        <v>215</v>
      </c>
      <c r="G4305" s="74"/>
      <c r="H4305" s="75"/>
      <c r="I4305" s="76"/>
      <c r="J4305" s="78">
        <f>HYPERLINK("#Структура!E2478",Структура!E2478)</f>
        <v>0.66900000000000004</v>
      </c>
      <c r="K4305" s="114" t="str">
        <f>HYPERLINK("#Структура!G2478","")</f>
        <v/>
      </c>
      <c r="L4305" s="120">
        <f>HYPERLINK("#Покупные_изделия!D567",Покупные_изделия!D567)</f>
        <v>405.74399999999997</v>
      </c>
      <c r="M4305" s="76">
        <f t="shared" si="160"/>
        <v>271.44273600000002</v>
      </c>
      <c r="N4305" s="77"/>
      <c r="O4305" s="77"/>
      <c r="P4305" s="76"/>
      <c r="Q4305" s="76"/>
    </row>
    <row r="4306" spans="4:17" hidden="1" outlineLevel="3" collapsed="1" x14ac:dyDescent="0.25">
      <c r="E4306" s="84" t="s">
        <v>1333</v>
      </c>
      <c r="F4306" s="79"/>
      <c r="G4306" s="79"/>
      <c r="H4306" s="80"/>
      <c r="I4306" s="81"/>
      <c r="J4306" s="83">
        <f>HYPERLINK("#Структура!E2471",Структура!E2471)</f>
        <v>1</v>
      </c>
      <c r="K4306" s="115">
        <f>HYPERLINK("#Структура!G2471",Структура!G2471)</f>
        <v>32.67248</v>
      </c>
      <c r="L4306" s="81">
        <f>M4306/J4306</f>
        <v>5186.4121439999999</v>
      </c>
      <c r="M4306" s="81">
        <f>SUMIF(F4307:F4312,"*",M4307:M4312)*J4306</f>
        <v>5186.4121439999999</v>
      </c>
      <c r="N4306" s="124">
        <f>HYPERLINK("#Трудозатраты!B624",Трудозатраты!B624+SUMIF(F4307:F4312,"*",O4307:O4312))</f>
        <v>43</v>
      </c>
      <c r="O4306" s="82">
        <f>N4306*J4306</f>
        <v>43</v>
      </c>
      <c r="P4306" s="81">
        <f>O4306/60*(1+запас_труд)*стоимость_трудочаса</f>
        <v>1684.1666666666667</v>
      </c>
      <c r="Q4306" s="129">
        <f>M4306*(1+наценка_покупное)+P4306</f>
        <v>7907.861239466667</v>
      </c>
    </row>
    <row r="4307" spans="4:17" hidden="1" outlineLevel="4" x14ac:dyDescent="0.25">
      <c r="F4307" s="74" t="s">
        <v>65</v>
      </c>
      <c r="G4307" s="74"/>
      <c r="H4307" s="75"/>
      <c r="I4307" s="76"/>
      <c r="J4307" s="78">
        <f>HYPERLINK("#Структура!E2479",Структура!E2479)</f>
        <v>0.33400000000000002</v>
      </c>
      <c r="K4307" s="114" t="str">
        <f>HYPERLINK("#Структура!G2479","")</f>
        <v/>
      </c>
      <c r="L4307" s="120">
        <f>HYPERLINK("#Покупные_изделия!D197",Покупные_изделия!D197)</f>
        <v>264.50399999999996</v>
      </c>
      <c r="M4307" s="76">
        <f t="shared" ref="M4307:M4312" si="161">J4307*L4307</f>
        <v>88.344335999999998</v>
      </c>
      <c r="N4307" s="77"/>
      <c r="O4307" s="77"/>
      <c r="P4307" s="76"/>
      <c r="Q4307" s="76"/>
    </row>
    <row r="4308" spans="4:17" hidden="1" outlineLevel="4" x14ac:dyDescent="0.25">
      <c r="F4308" s="74" t="s">
        <v>115</v>
      </c>
      <c r="G4308" s="74"/>
      <c r="H4308" s="75"/>
      <c r="I4308" s="76"/>
      <c r="J4308" s="78">
        <f>HYPERLINK("#Структура!E2480",Структура!E2480)</f>
        <v>39.414650000000002</v>
      </c>
      <c r="K4308" s="114" t="str">
        <f>HYPERLINK("#Структура!G2480","")</f>
        <v/>
      </c>
      <c r="L4308" s="120">
        <f>HYPERLINK("#Покупные_изделия!D289",Покупные_изделия!D289)</f>
        <v>120</v>
      </c>
      <c r="M4308" s="76">
        <f t="shared" si="161"/>
        <v>4729.7579999999998</v>
      </c>
      <c r="N4308" s="77"/>
      <c r="O4308" s="77"/>
      <c r="P4308" s="76"/>
      <c r="Q4308" s="76"/>
    </row>
    <row r="4309" spans="4:17" hidden="1" outlineLevel="4" x14ac:dyDescent="0.25">
      <c r="F4309" s="74" t="s">
        <v>155</v>
      </c>
      <c r="G4309" s="74"/>
      <c r="H4309" s="75"/>
      <c r="I4309" s="76"/>
      <c r="J4309" s="78">
        <f>HYPERLINK("#Структура!E2481",Структура!E2481)</f>
        <v>0.20100000000000001</v>
      </c>
      <c r="K4309" s="114" t="str">
        <f>HYPERLINK("#Структура!G2481","")</f>
        <v/>
      </c>
      <c r="L4309" s="120">
        <f>HYPERLINK("#Покупные_изделия!D423",Покупные_изделия!D423)</f>
        <v>218.28</v>
      </c>
      <c r="M4309" s="76">
        <f t="shared" si="161"/>
        <v>43.874280000000006</v>
      </c>
      <c r="N4309" s="77"/>
      <c r="O4309" s="77"/>
      <c r="P4309" s="76"/>
      <c r="Q4309" s="76"/>
    </row>
    <row r="4310" spans="4:17" hidden="1" outlineLevel="4" x14ac:dyDescent="0.25">
      <c r="F4310" s="74" t="s">
        <v>156</v>
      </c>
      <c r="G4310" s="74"/>
      <c r="H4310" s="75"/>
      <c r="I4310" s="76"/>
      <c r="J4310" s="78">
        <f>HYPERLINK("#Структура!E2482",Структура!E2482)</f>
        <v>0.30599999999999999</v>
      </c>
      <c r="K4310" s="114" t="str">
        <f>HYPERLINK("#Структура!G2482","")</f>
        <v/>
      </c>
      <c r="L4310" s="120">
        <f>HYPERLINK("#Покупные_изделия!D427",Покупные_изделия!D427)</f>
        <v>155.53200000000001</v>
      </c>
      <c r="M4310" s="76">
        <f t="shared" si="161"/>
        <v>47.592792000000003</v>
      </c>
      <c r="N4310" s="77"/>
      <c r="O4310" s="77"/>
      <c r="P4310" s="76"/>
      <c r="Q4310" s="76"/>
    </row>
    <row r="4311" spans="4:17" hidden="1" outlineLevel="4" x14ac:dyDescent="0.25">
      <c r="F4311" s="74" t="s">
        <v>200</v>
      </c>
      <c r="G4311" s="74"/>
      <c r="H4311" s="75"/>
      <c r="I4311" s="76"/>
      <c r="J4311" s="78">
        <f>HYPERLINK("#Структура!E2483",Структура!E2483)</f>
        <v>0.02</v>
      </c>
      <c r="K4311" s="114" t="str">
        <f>HYPERLINK("#Структура!G2483","")</f>
        <v/>
      </c>
      <c r="L4311" s="120">
        <f>HYPERLINK("#Покупные_изделия!D518",Покупные_изделия!D518)</f>
        <v>270</v>
      </c>
      <c r="M4311" s="76">
        <f t="shared" si="161"/>
        <v>5.4</v>
      </c>
      <c r="N4311" s="77"/>
      <c r="O4311" s="77"/>
      <c r="P4311" s="76"/>
      <c r="Q4311" s="76"/>
    </row>
    <row r="4312" spans="4:17" hidden="1" outlineLevel="4" x14ac:dyDescent="0.25">
      <c r="F4312" s="74" t="s">
        <v>215</v>
      </c>
      <c r="G4312" s="74"/>
      <c r="H4312" s="75"/>
      <c r="I4312" s="76"/>
      <c r="J4312" s="78">
        <f>HYPERLINK("#Структура!E2484",Структура!E2484)</f>
        <v>0.66900000000000004</v>
      </c>
      <c r="K4312" s="114" t="str">
        <f>HYPERLINK("#Структура!G2484","")</f>
        <v/>
      </c>
      <c r="L4312" s="120">
        <f>HYPERLINK("#Покупные_изделия!D567",Покупные_изделия!D567)</f>
        <v>405.74399999999997</v>
      </c>
      <c r="M4312" s="76">
        <f t="shared" si="161"/>
        <v>271.44273600000002</v>
      </c>
      <c r="N4312" s="77"/>
      <c r="O4312" s="77"/>
      <c r="P4312" s="76"/>
      <c r="Q4312" s="76"/>
    </row>
    <row r="4313" spans="4:17" hidden="1" outlineLevel="3" collapsed="1" x14ac:dyDescent="0.25">
      <c r="E4313" s="84" t="s">
        <v>1334</v>
      </c>
      <c r="F4313" s="79"/>
      <c r="G4313" s="79"/>
      <c r="H4313" s="80"/>
      <c r="I4313" s="81"/>
      <c r="J4313" s="83">
        <f>HYPERLINK("#Структура!E2472",Структура!E2472)</f>
        <v>1</v>
      </c>
      <c r="K4313" s="115">
        <f>HYPERLINK("#Структура!G2472",Структура!G2472)</f>
        <v>16.76932</v>
      </c>
      <c r="L4313" s="81">
        <f>M4313/J4313</f>
        <v>2833.5794879999999</v>
      </c>
      <c r="M4313" s="81">
        <f>SUMIF(F4314:F4318,"*",M4314:M4318)*J4313</f>
        <v>2833.5794879999999</v>
      </c>
      <c r="N4313" s="124">
        <f>HYPERLINK("#Трудозатраты!B625",Трудозатраты!B625+SUMIF(F4314:F4318,"*",O4314:O4318))</f>
        <v>29</v>
      </c>
      <c r="O4313" s="82">
        <f>N4313*J4313</f>
        <v>29</v>
      </c>
      <c r="P4313" s="81">
        <f>O4313/60*(1+запас_труд)*стоимость_трудочаса</f>
        <v>1135.8333333333333</v>
      </c>
      <c r="Q4313" s="129">
        <f>M4313*(1+наценка_покупное)+P4313</f>
        <v>4536.1287189333334</v>
      </c>
    </row>
    <row r="4314" spans="4:17" hidden="1" outlineLevel="4" x14ac:dyDescent="0.25">
      <c r="F4314" s="74" t="s">
        <v>65</v>
      </c>
      <c r="G4314" s="74"/>
      <c r="H4314" s="75"/>
      <c r="I4314" s="76"/>
      <c r="J4314" s="78">
        <f>HYPERLINK("#Структура!E2485",Структура!E2485)</f>
        <v>0.34200000000000003</v>
      </c>
      <c r="K4314" s="114" t="str">
        <f>HYPERLINK("#Структура!G2485","")</f>
        <v/>
      </c>
      <c r="L4314" s="120">
        <f>HYPERLINK("#Покупные_изделия!D197",Покупные_изделия!D197)</f>
        <v>264.50399999999996</v>
      </c>
      <c r="M4314" s="76">
        <f>J4314*L4314</f>
        <v>90.460367999999988</v>
      </c>
      <c r="N4314" s="77"/>
      <c r="O4314" s="77"/>
      <c r="P4314" s="76"/>
      <c r="Q4314" s="76"/>
    </row>
    <row r="4315" spans="4:17" hidden="1" outlineLevel="4" x14ac:dyDescent="0.25">
      <c r="F4315" s="74" t="s">
        <v>109</v>
      </c>
      <c r="G4315" s="74"/>
      <c r="H4315" s="75"/>
      <c r="I4315" s="76"/>
      <c r="J4315" s="78">
        <f>HYPERLINK("#Структура!E2486",Структура!E2486)</f>
        <v>20.145990000000001</v>
      </c>
      <c r="K4315" s="114" t="str">
        <f>HYPERLINK("#Структура!G2486","")</f>
        <v/>
      </c>
      <c r="L4315" s="120">
        <f>HYPERLINK("#Покупные_изделия!D281",Покупные_изделия!D281)</f>
        <v>120</v>
      </c>
      <c r="M4315" s="76">
        <f>J4315*L4315</f>
        <v>2417.5188000000003</v>
      </c>
      <c r="N4315" s="77"/>
      <c r="O4315" s="77"/>
      <c r="P4315" s="76"/>
      <c r="Q4315" s="76"/>
    </row>
    <row r="4316" spans="4:17" hidden="1" outlineLevel="4" x14ac:dyDescent="0.25">
      <c r="F4316" s="74" t="s">
        <v>155</v>
      </c>
      <c r="G4316" s="74"/>
      <c r="H4316" s="75"/>
      <c r="I4316" s="76"/>
      <c r="J4316" s="78">
        <f>HYPERLINK("#Структура!E2487",Структура!E2487)</f>
        <v>0.20599999999999999</v>
      </c>
      <c r="K4316" s="114" t="str">
        <f>HYPERLINK("#Структура!G2487","")</f>
        <v/>
      </c>
      <c r="L4316" s="120">
        <f>HYPERLINK("#Покупные_изделия!D423",Покупные_изделия!D423)</f>
        <v>218.28</v>
      </c>
      <c r="M4316" s="76">
        <f>J4316*L4316</f>
        <v>44.965679999999999</v>
      </c>
      <c r="N4316" s="77"/>
      <c r="O4316" s="77"/>
      <c r="P4316" s="76"/>
      <c r="Q4316" s="76"/>
    </row>
    <row r="4317" spans="4:17" hidden="1" outlineLevel="4" x14ac:dyDescent="0.25">
      <c r="F4317" s="74" t="s">
        <v>200</v>
      </c>
      <c r="G4317" s="74"/>
      <c r="H4317" s="75"/>
      <c r="I4317" s="76"/>
      <c r="J4317" s="78">
        <f>HYPERLINK("#Структура!E2488",Структура!E2488)</f>
        <v>0.01</v>
      </c>
      <c r="K4317" s="114" t="str">
        <f>HYPERLINK("#Структура!G2488","")</f>
        <v/>
      </c>
      <c r="L4317" s="120">
        <f>HYPERLINK("#Покупные_изделия!D518",Покупные_изделия!D518)</f>
        <v>270</v>
      </c>
      <c r="M4317" s="76">
        <f>J4317*L4317</f>
        <v>2.7</v>
      </c>
      <c r="N4317" s="77"/>
      <c r="O4317" s="77"/>
      <c r="P4317" s="76"/>
      <c r="Q4317" s="76"/>
    </row>
    <row r="4318" spans="4:17" hidden="1" outlineLevel="4" x14ac:dyDescent="0.25">
      <c r="F4318" s="74" t="s">
        <v>215</v>
      </c>
      <c r="G4318" s="74"/>
      <c r="H4318" s="75"/>
      <c r="I4318" s="76"/>
      <c r="J4318" s="78">
        <f>HYPERLINK("#Структура!E2489",Структура!E2489)</f>
        <v>0.68500000000000005</v>
      </c>
      <c r="K4318" s="114" t="str">
        <f>HYPERLINK("#Структура!G2489","")</f>
        <v/>
      </c>
      <c r="L4318" s="120">
        <f>HYPERLINK("#Покупные_изделия!D567",Покупные_изделия!D567)</f>
        <v>405.74399999999997</v>
      </c>
      <c r="M4318" s="76">
        <f>J4318*L4318</f>
        <v>277.93464</v>
      </c>
      <c r="N4318" s="77"/>
      <c r="O4318" s="77"/>
      <c r="P4318" s="76"/>
      <c r="Q4318" s="76"/>
    </row>
    <row r="4319" spans="4:17" hidden="1" outlineLevel="2" collapsed="1" x14ac:dyDescent="0.25">
      <c r="D4319" s="96" t="s">
        <v>602</v>
      </c>
      <c r="E4319" s="91"/>
      <c r="F4319" s="91"/>
      <c r="G4319" s="91"/>
      <c r="H4319" s="92"/>
      <c r="I4319" s="93"/>
      <c r="J4319" s="95">
        <f>HYPERLINK("#Структура!E23",Структура!E23)</f>
        <v>10</v>
      </c>
      <c r="K4319" s="116">
        <f>HYPERLINK("#Структура!G23",Структура!G23)</f>
        <v>26.333829999999999</v>
      </c>
      <c r="L4319" s="93">
        <f>M4319/J4319</f>
        <v>7945.3982796</v>
      </c>
      <c r="M4319" s="93">
        <f>SUMIF(E4320:E4329,"*",M4320:M4329)*J4319</f>
        <v>79453.982795999997</v>
      </c>
      <c r="N4319" s="125">
        <f>HYPERLINK("#Трудозатраты!B828",Трудозатраты!B828+SUMIF(E4320:E4329,"*",O4320:O4329))</f>
        <v>73.599999999999994</v>
      </c>
      <c r="O4319" s="94">
        <f>N4319*J4319</f>
        <v>736</v>
      </c>
      <c r="P4319" s="93">
        <f>O4319/60*(1+запас_труд)*стоимость_трудочаса</f>
        <v>28826.666666666668</v>
      </c>
      <c r="Q4319" s="130">
        <f>M4319*(1+наценка_покупное)+P4319</f>
        <v>124171.44602186666</v>
      </c>
    </row>
    <row r="4320" spans="4:17" ht="15" hidden="1" customHeight="1" outlineLevel="3" collapsed="1" x14ac:dyDescent="0.25">
      <c r="E4320" s="85" t="s">
        <v>1551</v>
      </c>
      <c r="F4320" s="86"/>
      <c r="G4320" s="86"/>
      <c r="H4320" s="87"/>
      <c r="I4320" s="88"/>
      <c r="J4320" s="90">
        <f>HYPERLINK("#Структура!E3209",Структура!E3209)</f>
        <v>1</v>
      </c>
      <c r="K4320" s="113">
        <f>HYPERLINK("#Структура!G3209",Структура!G3209)</f>
        <v>24.058730000000001</v>
      </c>
      <c r="L4320" s="88">
        <f>M4320/J4320</f>
        <v>7170</v>
      </c>
      <c r="M4320" s="88">
        <f>SUMIF(F4321,"*",M4321)*J4320</f>
        <v>7170</v>
      </c>
      <c r="N4320" s="123">
        <f>HYPERLINK("#Трудозатраты!B829",Трудозатраты!B829+SUMIF(F4321,"*",O4321))</f>
        <v>12.8</v>
      </c>
      <c r="O4320" s="89">
        <f>N4320*J4320</f>
        <v>12.8</v>
      </c>
      <c r="P4320" s="88">
        <f>O4320/60*(1+запас_труд)*стоимость_трудочаса</f>
        <v>501.33333333333337</v>
      </c>
      <c r="Q4320" s="128">
        <f>M4320*(1+наценка_покупное)+P4320</f>
        <v>9105.3333333333339</v>
      </c>
    </row>
    <row r="4321" spans="4:17" ht="15" hidden="1" customHeight="1" outlineLevel="4" x14ac:dyDescent="0.25">
      <c r="F4321" s="74" t="s">
        <v>559</v>
      </c>
      <c r="G4321" s="74"/>
      <c r="H4321" s="75"/>
      <c r="I4321" s="76"/>
      <c r="J4321" s="78">
        <f>HYPERLINK("#Структура!E3217",Структура!E3217)</f>
        <v>23.9</v>
      </c>
      <c r="K4321" s="114" t="str">
        <f>HYPERLINK("#Структура!G3217","")</f>
        <v/>
      </c>
      <c r="L4321" s="120">
        <f>HYPERLINK("#Покупные_изделия!D290",Покупные_изделия!D290)</f>
        <v>300</v>
      </c>
      <c r="M4321" s="76">
        <f>J4321*L4321</f>
        <v>7170</v>
      </c>
      <c r="N4321" s="77"/>
      <c r="O4321" s="77"/>
      <c r="P4321" s="76"/>
      <c r="Q4321" s="76"/>
    </row>
    <row r="4322" spans="4:17" ht="15" hidden="1" customHeight="1" outlineLevel="3" collapsed="1" x14ac:dyDescent="0.25">
      <c r="E4322" s="84" t="s">
        <v>1552</v>
      </c>
      <c r="F4322" s="79"/>
      <c r="G4322" s="79"/>
      <c r="H4322" s="80"/>
      <c r="I4322" s="81"/>
      <c r="J4322" s="83">
        <f>HYPERLINK("#Структура!E3210",Структура!E3210)</f>
        <v>1</v>
      </c>
      <c r="K4322" s="115">
        <f>HYPERLINK("#Структура!G3210",Структура!G3210)</f>
        <v>2.2751000000000001</v>
      </c>
      <c r="L4322" s="81">
        <f>M4322/J4322</f>
        <v>282</v>
      </c>
      <c r="M4322" s="81">
        <f>SUMIF(F4323,"*",M4323)*J4322</f>
        <v>282</v>
      </c>
      <c r="N4322" s="124">
        <f>HYPERLINK("#Трудозатраты!B830",Трудозатраты!B830+SUMIF(F4323,"*",O4323))</f>
        <v>2.8</v>
      </c>
      <c r="O4322" s="82">
        <f>N4322*J4322</f>
        <v>2.8</v>
      </c>
      <c r="P4322" s="81">
        <f>O4322/60*(1+запас_труд)*стоимость_трудочаса</f>
        <v>109.66666666666666</v>
      </c>
      <c r="Q4322" s="129">
        <f>M4322*(1+наценка_покупное)+P4322</f>
        <v>448.06666666666661</v>
      </c>
    </row>
    <row r="4323" spans="4:17" ht="15" hidden="1" customHeight="1" outlineLevel="4" x14ac:dyDescent="0.25">
      <c r="F4323" s="74" t="s">
        <v>110</v>
      </c>
      <c r="G4323" s="74"/>
      <c r="H4323" s="75"/>
      <c r="I4323" s="76"/>
      <c r="J4323" s="78">
        <f>HYPERLINK("#Структура!E3218",Структура!E3218)</f>
        <v>2.35</v>
      </c>
      <c r="K4323" s="114" t="str">
        <f>HYPERLINK("#Структура!G3218","")</f>
        <v/>
      </c>
      <c r="L4323" s="120">
        <f>HYPERLINK("#Покупные_изделия!D282",Покупные_изделия!D282)</f>
        <v>120</v>
      </c>
      <c r="M4323" s="76">
        <f t="shared" ref="M4323:M4329" si="162">J4323*L4323</f>
        <v>282</v>
      </c>
      <c r="N4323" s="77"/>
      <c r="O4323" s="77"/>
      <c r="P4323" s="76"/>
      <c r="Q4323" s="76"/>
    </row>
    <row r="4324" spans="4:17" ht="15" hidden="1" customHeight="1" outlineLevel="3" x14ac:dyDescent="0.25">
      <c r="E4324" s="74" t="s">
        <v>44</v>
      </c>
      <c r="F4324" s="74"/>
      <c r="G4324" s="74"/>
      <c r="H4324" s="75"/>
      <c r="I4324" s="76"/>
      <c r="J4324" s="78">
        <f>HYPERLINK("#Структура!E3211",Структура!E3211)</f>
        <v>0.57599999999999996</v>
      </c>
      <c r="K4324" s="114" t="str">
        <f>HYPERLINK("#Структура!G3211","")</f>
        <v/>
      </c>
      <c r="L4324" s="120">
        <f>HYPERLINK("#Покупные_изделия!D63",Покупные_изделия!D63)</f>
        <v>396.00000000000006</v>
      </c>
      <c r="M4324" s="76">
        <f t="shared" si="162"/>
        <v>228.096</v>
      </c>
      <c r="N4324" s="77"/>
      <c r="O4324" s="77"/>
      <c r="P4324" s="76"/>
      <c r="Q4324" s="76"/>
    </row>
    <row r="4325" spans="4:17" ht="15" hidden="1" customHeight="1" outlineLevel="3" x14ac:dyDescent="0.25">
      <c r="E4325" s="74" t="s">
        <v>67</v>
      </c>
      <c r="F4325" s="74"/>
      <c r="G4325" s="74"/>
      <c r="H4325" s="75"/>
      <c r="I4325" s="76"/>
      <c r="J4325" s="78">
        <f>HYPERLINK("#Структура!E3212",Структура!E3212)</f>
        <v>0.16500000000000001</v>
      </c>
      <c r="K4325" s="114" t="str">
        <f>HYPERLINK("#Структура!G3212","")</f>
        <v/>
      </c>
      <c r="L4325" s="120">
        <f>HYPERLINK("#Покупные_изделия!D203",Покупные_изделия!D203)</f>
        <v>30.003600000000002</v>
      </c>
      <c r="M4325" s="76">
        <f t="shared" si="162"/>
        <v>4.9505940000000006</v>
      </c>
      <c r="N4325" s="77"/>
      <c r="O4325" s="77"/>
      <c r="P4325" s="76"/>
      <c r="Q4325" s="76"/>
    </row>
    <row r="4326" spans="4:17" ht="15" hidden="1" customHeight="1" outlineLevel="3" x14ac:dyDescent="0.25">
      <c r="E4326" s="74" t="s">
        <v>139</v>
      </c>
      <c r="F4326" s="74"/>
      <c r="G4326" s="74"/>
      <c r="H4326" s="75"/>
      <c r="I4326" s="76"/>
      <c r="J4326" s="78">
        <f>HYPERLINK("#Структура!E3213",Структура!E3213)</f>
        <v>5.8000000000000003E-2</v>
      </c>
      <c r="K4326" s="114" t="str">
        <f>HYPERLINK("#Структура!G3213","")</f>
        <v/>
      </c>
      <c r="L4326" s="120">
        <f>HYPERLINK("#Покупные_изделия!D360",Покупные_изделия!D360)</f>
        <v>171.87720000000002</v>
      </c>
      <c r="M4326" s="76">
        <f t="shared" si="162"/>
        <v>9.9688776000000008</v>
      </c>
      <c r="N4326" s="77"/>
      <c r="O4326" s="77"/>
      <c r="P4326" s="76"/>
      <c r="Q4326" s="76"/>
    </row>
    <row r="4327" spans="4:17" ht="15" hidden="1" customHeight="1" outlineLevel="3" x14ac:dyDescent="0.25">
      <c r="E4327" s="74" t="s">
        <v>146</v>
      </c>
      <c r="F4327" s="74"/>
      <c r="G4327" s="74"/>
      <c r="H4327" s="75"/>
      <c r="I4327" s="76"/>
      <c r="J4327" s="78">
        <f>HYPERLINK("#Структура!E3214",Структура!E3214)</f>
        <v>9.7000000000000003E-2</v>
      </c>
      <c r="K4327" s="114" t="str">
        <f>HYPERLINK("#Структура!G3214","")</f>
        <v/>
      </c>
      <c r="L4327" s="120">
        <f>HYPERLINK("#Покупные_изделия!D406",Покупные_изделия!D406)</f>
        <v>105.996</v>
      </c>
      <c r="M4327" s="76">
        <f t="shared" si="162"/>
        <v>10.281611999999999</v>
      </c>
      <c r="N4327" s="77"/>
      <c r="O4327" s="77"/>
      <c r="P4327" s="76"/>
      <c r="Q4327" s="76"/>
    </row>
    <row r="4328" spans="4:17" ht="15" hidden="1" customHeight="1" outlineLevel="3" x14ac:dyDescent="0.25">
      <c r="E4328" s="74" t="s">
        <v>156</v>
      </c>
      <c r="F4328" s="74"/>
      <c r="G4328" s="74"/>
      <c r="H4328" s="75"/>
      <c r="I4328" s="76"/>
      <c r="J4328" s="78">
        <f>HYPERLINK("#Структура!E3215",Структура!E3215)</f>
        <v>0.35299999999999998</v>
      </c>
      <c r="K4328" s="114" t="str">
        <f>HYPERLINK("#Структура!G3215","")</f>
        <v/>
      </c>
      <c r="L4328" s="120">
        <f>HYPERLINK("#Покупные_изделия!D427",Покупные_изделия!D427)</f>
        <v>155.53200000000001</v>
      </c>
      <c r="M4328" s="76">
        <f t="shared" si="162"/>
        <v>54.902796000000002</v>
      </c>
      <c r="N4328" s="77"/>
      <c r="O4328" s="77"/>
      <c r="P4328" s="76"/>
      <c r="Q4328" s="76"/>
    </row>
    <row r="4329" spans="4:17" ht="15" hidden="1" customHeight="1" outlineLevel="3" x14ac:dyDescent="0.25">
      <c r="E4329" s="74" t="s">
        <v>202</v>
      </c>
      <c r="F4329" s="74"/>
      <c r="G4329" s="74"/>
      <c r="H4329" s="75"/>
      <c r="I4329" s="76"/>
      <c r="J4329" s="78">
        <f>HYPERLINK("#Структура!E3216",Структура!E3216)</f>
        <v>0.4</v>
      </c>
      <c r="K4329" s="114" t="str">
        <f>HYPERLINK("#Структура!G3216","")</f>
        <v/>
      </c>
      <c r="L4329" s="120">
        <f>HYPERLINK("#Покупные_изделия!D521",Покупные_изделия!D521)</f>
        <v>462.99599999999998</v>
      </c>
      <c r="M4329" s="76">
        <f t="shared" si="162"/>
        <v>185.19839999999999</v>
      </c>
      <c r="N4329" s="77"/>
      <c r="O4329" s="77"/>
      <c r="P4329" s="76"/>
      <c r="Q4329" s="76"/>
    </row>
    <row r="4330" spans="4:17" hidden="1" outlineLevel="2" collapsed="1" x14ac:dyDescent="0.25">
      <c r="D4330" s="96" t="s">
        <v>603</v>
      </c>
      <c r="E4330" s="91"/>
      <c r="F4330" s="91"/>
      <c r="G4330" s="91"/>
      <c r="H4330" s="92"/>
      <c r="I4330" s="93"/>
      <c r="J4330" s="95">
        <f>HYPERLINK("#Структура!E24",Структура!E24)</f>
        <v>50</v>
      </c>
      <c r="K4330" s="116">
        <f>HYPERLINK("#Структура!G24",Структура!G24)</f>
        <v>28.042619999999999</v>
      </c>
      <c r="L4330" s="93">
        <f>M4330/J4330</f>
        <v>11951.753510154798</v>
      </c>
      <c r="M4330" s="93">
        <f>SUMIF(E4331:E4338,"*",M4331:M4338)*J4330</f>
        <v>597587.67550773988</v>
      </c>
      <c r="N4330" s="125">
        <f>HYPERLINK("#Трудозатраты!B831",Трудозатраты!B831+SUMIF(E4331:E4338,"*",O4331:O4338))</f>
        <v>21.7</v>
      </c>
      <c r="O4330" s="94">
        <f>N4330*J4330</f>
        <v>1085</v>
      </c>
      <c r="P4330" s="93">
        <f>O4330/60*(1+запас_труд)*стоимость_трудочаса</f>
        <v>42495.833333333328</v>
      </c>
      <c r="Q4330" s="130">
        <f>M4330*(1+наценка_покупное)+P4330</f>
        <v>759601.04394262121</v>
      </c>
    </row>
    <row r="4331" spans="4:17" hidden="1" outlineLevel="3" collapsed="1" x14ac:dyDescent="0.25">
      <c r="E4331" s="85" t="s">
        <v>1553</v>
      </c>
      <c r="F4331" s="86"/>
      <c r="G4331" s="86"/>
      <c r="H4331" s="87"/>
      <c r="I4331" s="88"/>
      <c r="J4331" s="90">
        <f>HYPERLINK("#Структура!E3219",Структура!E3219)</f>
        <v>1</v>
      </c>
      <c r="K4331" s="113">
        <f>HYPERLINK("#Структура!G3219",Структура!G3219)</f>
        <v>24.87866</v>
      </c>
      <c r="L4331" s="88">
        <f>M4331/J4331</f>
        <v>9030</v>
      </c>
      <c r="M4331" s="88">
        <f>SUMIF(F4332,"*",M4332)*J4331</f>
        <v>9030</v>
      </c>
      <c r="N4331" s="123">
        <f>HYPERLINK("#Трудозатраты!B832",Трудозатраты!B832+SUMIF(F4332,"*",O4332))</f>
        <v>12.9</v>
      </c>
      <c r="O4331" s="89">
        <f>N4331*J4331</f>
        <v>12.9</v>
      </c>
      <c r="P4331" s="88">
        <f>O4331/60*(1+запас_труд)*стоимость_трудочаса</f>
        <v>505.25</v>
      </c>
      <c r="Q4331" s="128">
        <f>M4331*(1+наценка_покупное)+P4331</f>
        <v>11341.25</v>
      </c>
    </row>
    <row r="4332" spans="4:17" hidden="1" outlineLevel="4" x14ac:dyDescent="0.25">
      <c r="F4332" s="74" t="s">
        <v>559</v>
      </c>
      <c r="G4332" s="74"/>
      <c r="H4332" s="75"/>
      <c r="I4332" s="76"/>
      <c r="J4332" s="78">
        <f>HYPERLINK("#Структура!E3225",Структура!E3225)</f>
        <v>30.1</v>
      </c>
      <c r="K4332" s="114" t="str">
        <f>HYPERLINK("#Структура!G3225","")</f>
        <v/>
      </c>
      <c r="L4332" s="120">
        <f>HYPERLINK("#Покупные_изделия!D290",Покупные_изделия!D290)</f>
        <v>300</v>
      </c>
      <c r="M4332" s="76">
        <f>J4332*L4332</f>
        <v>9030</v>
      </c>
      <c r="N4332" s="77"/>
      <c r="O4332" s="77"/>
      <c r="P4332" s="76"/>
      <c r="Q4332" s="76"/>
    </row>
    <row r="4333" spans="4:17" hidden="1" outlineLevel="3" collapsed="1" x14ac:dyDescent="0.25">
      <c r="E4333" s="84" t="s">
        <v>1554</v>
      </c>
      <c r="F4333" s="79"/>
      <c r="G4333" s="79"/>
      <c r="H4333" s="80"/>
      <c r="I4333" s="81"/>
      <c r="J4333" s="83">
        <f>HYPERLINK("#Структура!E3220",Структура!E3220)</f>
        <v>1</v>
      </c>
      <c r="K4333" s="115">
        <f>HYPERLINK("#Структура!G3220",Структура!G3220)</f>
        <v>3.1639599999999999</v>
      </c>
      <c r="L4333" s="81">
        <f>M4333/J4333</f>
        <v>1155</v>
      </c>
      <c r="M4333" s="81">
        <f>SUMIF(F4334,"*",M4334)*J4333</f>
        <v>1155</v>
      </c>
      <c r="N4333" s="124">
        <f>HYPERLINK("#Трудозатраты!B833",Трудозатраты!B833+SUMIF(F4334,"*",O4334))</f>
        <v>5.3</v>
      </c>
      <c r="O4333" s="82">
        <f>N4333*J4333</f>
        <v>5.3</v>
      </c>
      <c r="P4333" s="81">
        <f>O4333/60*(1+запас_труд)*стоимость_трудочаса</f>
        <v>207.58333333333334</v>
      </c>
      <c r="Q4333" s="129">
        <f>M4333*(1+наценка_покупное)+P4333</f>
        <v>1593.5833333333333</v>
      </c>
    </row>
    <row r="4334" spans="4:17" hidden="1" outlineLevel="4" x14ac:dyDescent="0.25">
      <c r="F4334" s="74" t="s">
        <v>559</v>
      </c>
      <c r="G4334" s="74"/>
      <c r="H4334" s="75"/>
      <c r="I4334" s="76"/>
      <c r="J4334" s="78">
        <f>HYPERLINK("#Структура!E3226",Структура!E3226)</f>
        <v>3.85</v>
      </c>
      <c r="K4334" s="114" t="str">
        <f>HYPERLINK("#Структура!G3226","")</f>
        <v/>
      </c>
      <c r="L4334" s="120">
        <f>HYPERLINK("#Покупные_изделия!D290",Покупные_изделия!D290)</f>
        <v>300</v>
      </c>
      <c r="M4334" s="76">
        <f>J4334*L4334</f>
        <v>1155</v>
      </c>
      <c r="N4334" s="77"/>
      <c r="O4334" s="77"/>
      <c r="P4334" s="76"/>
      <c r="Q4334" s="76"/>
    </row>
    <row r="4335" spans="4:17" hidden="1" outlineLevel="3" x14ac:dyDescent="0.25">
      <c r="E4335" s="74" t="s">
        <v>621</v>
      </c>
      <c r="F4335" s="74"/>
      <c r="G4335" s="74"/>
      <c r="H4335" s="75"/>
      <c r="I4335" s="76"/>
      <c r="J4335" s="78">
        <f>HYPERLINK("#Структура!E3221",Структура!E3221)</f>
        <v>27</v>
      </c>
      <c r="K4335" s="114">
        <f>HYPERLINK("#Структура!G3221",Структура!G3221)</f>
        <v>4.6600000000000003E-2</v>
      </c>
      <c r="L4335" s="120">
        <f>HYPERLINK("#Покупные_изделия!D76",Покупные_изделия!D76)</f>
        <v>47.4</v>
      </c>
      <c r="M4335" s="76">
        <f>J4335*L4335</f>
        <v>1279.8</v>
      </c>
      <c r="N4335" s="77"/>
      <c r="O4335" s="77"/>
      <c r="P4335" s="76"/>
      <c r="Q4335" s="76"/>
    </row>
    <row r="4336" spans="4:17" hidden="1" outlineLevel="3" x14ac:dyDescent="0.25">
      <c r="E4336" s="74" t="s">
        <v>623</v>
      </c>
      <c r="F4336" s="74"/>
      <c r="G4336" s="74"/>
      <c r="H4336" s="75"/>
      <c r="I4336" s="76"/>
      <c r="J4336" s="78">
        <f>HYPERLINK("#Структура!E3222",Структура!E3222)</f>
        <v>24</v>
      </c>
      <c r="K4336" s="114">
        <f>HYPERLINK("#Структура!G3222",Структура!G3222)</f>
        <v>1.67E-2</v>
      </c>
      <c r="L4336" s="120">
        <f>HYPERLINK("#Покупные_изделия!D86",Покупные_изделия!D86)</f>
        <v>8.7719999999999985</v>
      </c>
      <c r="M4336" s="76">
        <f>J4336*L4336</f>
        <v>210.52799999999996</v>
      </c>
      <c r="N4336" s="77"/>
      <c r="O4336" s="77"/>
      <c r="P4336" s="76"/>
      <c r="Q4336" s="76"/>
    </row>
    <row r="4337" spans="4:17" hidden="1" outlineLevel="3" x14ac:dyDescent="0.25">
      <c r="E4337" s="74" t="s">
        <v>624</v>
      </c>
      <c r="F4337" s="74"/>
      <c r="G4337" s="74"/>
      <c r="H4337" s="75"/>
      <c r="I4337" s="76"/>
      <c r="J4337" s="78">
        <f>HYPERLINK("#Структура!E3223",Структура!E3223)</f>
        <v>27</v>
      </c>
      <c r="K4337" s="114">
        <f>HYPERLINK("#Структура!G3223",Структура!G3223)</f>
        <v>1.9900000000000001E-2</v>
      </c>
      <c r="L4337" s="120">
        <f>HYPERLINK("#Покупные_изделия!D164",Покупные_изделия!D164)</f>
        <v>8.4854776470588238</v>
      </c>
      <c r="M4337" s="76">
        <f>J4337*L4337</f>
        <v>229.10789647058823</v>
      </c>
      <c r="N4337" s="77"/>
      <c r="O4337" s="77"/>
      <c r="P4337" s="76"/>
      <c r="Q4337" s="76"/>
    </row>
    <row r="4338" spans="4:17" hidden="1" outlineLevel="3" x14ac:dyDescent="0.25">
      <c r="E4338" s="74" t="s">
        <v>625</v>
      </c>
      <c r="F4338" s="74"/>
      <c r="G4338" s="74"/>
      <c r="H4338" s="75"/>
      <c r="I4338" s="76"/>
      <c r="J4338" s="78">
        <f>HYPERLINK("#Структура!E3224",Структура!E3224)</f>
        <v>24</v>
      </c>
      <c r="K4338" s="114">
        <f>HYPERLINK("#Структура!G3224",Структура!G3224)</f>
        <v>7.1399999999999996E-3</v>
      </c>
      <c r="L4338" s="120">
        <f>HYPERLINK("#Покупные_изделия!D168",Покупные_изделия!D168)</f>
        <v>1.9715672368421051</v>
      </c>
      <c r="M4338" s="76">
        <f>J4338*L4338</f>
        <v>47.317613684210521</v>
      </c>
      <c r="N4338" s="77"/>
      <c r="O4338" s="77"/>
      <c r="P4338" s="76"/>
      <c r="Q4338" s="76"/>
    </row>
    <row r="4339" spans="4:17" hidden="1" outlineLevel="2" collapsed="1" x14ac:dyDescent="0.25">
      <c r="D4339" s="96" t="s">
        <v>604</v>
      </c>
      <c r="E4339" s="91"/>
      <c r="F4339" s="91"/>
      <c r="G4339" s="91"/>
      <c r="H4339" s="92"/>
      <c r="I4339" s="93"/>
      <c r="J4339" s="95">
        <f>HYPERLINK("#Структура!E25",Структура!E25)</f>
        <v>4</v>
      </c>
      <c r="K4339" s="116">
        <f>HYPERLINK("#Структура!G25",Структура!G25)</f>
        <v>4.9579300000000002</v>
      </c>
      <c r="L4339" s="93">
        <f>M4339/J4339</f>
        <v>664.7114928000002</v>
      </c>
      <c r="M4339" s="93">
        <f>SUMIF(E4340:E4350,"*",M4340:M4350)*J4339</f>
        <v>2658.8459712000008</v>
      </c>
      <c r="N4339" s="125">
        <f>HYPERLINK("#Трудозатраты!B834",Трудозатраты!B834+SUMIF(E4340:E4350,"*",O4340:O4350))</f>
        <v>21.3</v>
      </c>
      <c r="O4339" s="94">
        <f>N4339*J4339</f>
        <v>85.2</v>
      </c>
      <c r="P4339" s="93">
        <f>O4339/60*(1+запас_труд)*стоимость_трудочаса</f>
        <v>3337.0000000000005</v>
      </c>
      <c r="Q4339" s="130">
        <f>M4339*(1+наценка_покупное)+P4339</f>
        <v>6527.6151654400019</v>
      </c>
    </row>
    <row r="4340" spans="4:17" hidden="1" outlineLevel="3" collapsed="1" x14ac:dyDescent="0.25">
      <c r="E4340" s="85" t="s">
        <v>1555</v>
      </c>
      <c r="F4340" s="86"/>
      <c r="G4340" s="86"/>
      <c r="H4340" s="87"/>
      <c r="I4340" s="88"/>
      <c r="J4340" s="90">
        <f>HYPERLINK("#Структура!E3227",Структура!E3227)</f>
        <v>1</v>
      </c>
      <c r="K4340" s="113">
        <f>HYPERLINK("#Структура!G3227",Структура!G3227)</f>
        <v>2.5577899999999998</v>
      </c>
      <c r="L4340" s="88">
        <f>M4340/J4340</f>
        <v>300</v>
      </c>
      <c r="M4340" s="88">
        <f>SUMIF(F4341,"*",M4341)*J4340</f>
        <v>300</v>
      </c>
      <c r="N4340" s="123">
        <f>HYPERLINK("#Трудозатраты!B835",Трудозатраты!B835+SUMIF(F4341,"*",O4341))</f>
        <v>3.4</v>
      </c>
      <c r="O4340" s="89">
        <f>N4340*J4340</f>
        <v>3.4</v>
      </c>
      <c r="P4340" s="88">
        <f>O4340/60*(1+запас_труд)*стоимость_трудочаса</f>
        <v>133.16666666666666</v>
      </c>
      <c r="Q4340" s="128">
        <f>M4340*(1+наценка_покупное)+P4340</f>
        <v>493.16666666666663</v>
      </c>
    </row>
    <row r="4341" spans="4:17" hidden="1" outlineLevel="4" x14ac:dyDescent="0.25">
      <c r="F4341" s="74" t="s">
        <v>120</v>
      </c>
      <c r="G4341" s="74"/>
      <c r="H4341" s="75"/>
      <c r="I4341" s="76"/>
      <c r="J4341" s="78">
        <f>HYPERLINK("#Структура!E3236",Структура!E3236)</f>
        <v>2.5</v>
      </c>
      <c r="K4341" s="114" t="str">
        <f>HYPERLINK("#Структура!G3236","")</f>
        <v/>
      </c>
      <c r="L4341" s="120">
        <f>HYPERLINK("#Покупные_изделия!D295",Покупные_изделия!D295)</f>
        <v>120</v>
      </c>
      <c r="M4341" s="76">
        <f>J4341*L4341</f>
        <v>300</v>
      </c>
      <c r="N4341" s="77"/>
      <c r="O4341" s="77"/>
      <c r="P4341" s="76"/>
      <c r="Q4341" s="76"/>
    </row>
    <row r="4342" spans="4:17" hidden="1" outlineLevel="3" collapsed="1" x14ac:dyDescent="0.25">
      <c r="E4342" s="84" t="s">
        <v>1556</v>
      </c>
      <c r="F4342" s="79"/>
      <c r="G4342" s="79"/>
      <c r="H4342" s="80"/>
      <c r="I4342" s="81"/>
      <c r="J4342" s="83">
        <f>HYPERLINK("#Структура!E3228",Структура!E3228)</f>
        <v>1</v>
      </c>
      <c r="K4342" s="115">
        <f>HYPERLINK("#Структура!G3228",Структура!G3228)</f>
        <v>2.4001399999999999</v>
      </c>
      <c r="L4342" s="81">
        <f>M4342/J4342</f>
        <v>348</v>
      </c>
      <c r="M4342" s="81">
        <f>SUMIF(F4343,"*",M4343)*J4342</f>
        <v>348</v>
      </c>
      <c r="N4342" s="124">
        <f>HYPERLINK("#Трудозатраты!B836",Трудозатраты!B836+SUMIF(F4343,"*",O4343))</f>
        <v>0.9</v>
      </c>
      <c r="O4342" s="82">
        <f>N4342*J4342</f>
        <v>0.9</v>
      </c>
      <c r="P4342" s="81">
        <f>O4342/60*(1+запас_труд)*стоимость_трудочаса</f>
        <v>35.25</v>
      </c>
      <c r="Q4342" s="129">
        <f>M4342*(1+наценка_покупное)+P4342</f>
        <v>452.84999999999997</v>
      </c>
    </row>
    <row r="4343" spans="4:17" hidden="1" outlineLevel="4" x14ac:dyDescent="0.25">
      <c r="F4343" s="74" t="s">
        <v>120</v>
      </c>
      <c r="G4343" s="74"/>
      <c r="H4343" s="75"/>
      <c r="I4343" s="76"/>
      <c r="J4343" s="78">
        <f>HYPERLINK("#Структура!E3237",Структура!E3237)</f>
        <v>2.9</v>
      </c>
      <c r="K4343" s="114" t="str">
        <f>HYPERLINK("#Структура!G3237","")</f>
        <v/>
      </c>
      <c r="L4343" s="120">
        <f>HYPERLINK("#Покупные_изделия!D295",Покупные_изделия!D295)</f>
        <v>120</v>
      </c>
      <c r="M4343" s="76">
        <f t="shared" ref="M4343:M4350" si="163">J4343*L4343</f>
        <v>348</v>
      </c>
      <c r="N4343" s="77"/>
      <c r="O4343" s="77"/>
      <c r="P4343" s="76"/>
      <c r="Q4343" s="76"/>
    </row>
    <row r="4344" spans="4:17" hidden="1" outlineLevel="3" x14ac:dyDescent="0.25">
      <c r="E4344" s="74" t="s">
        <v>65</v>
      </c>
      <c r="F4344" s="74"/>
      <c r="G4344" s="74"/>
      <c r="H4344" s="75"/>
      <c r="I4344" s="76"/>
      <c r="J4344" s="78">
        <f>HYPERLINK("#Структура!E3229",Структура!E3229)</f>
        <v>6.0000000000000001E-3</v>
      </c>
      <c r="K4344" s="114" t="str">
        <f>HYPERLINK("#Структура!G3229","")</f>
        <v/>
      </c>
      <c r="L4344" s="120">
        <f>HYPERLINK("#Покупные_изделия!D197",Покупные_изделия!D197)</f>
        <v>264.50399999999996</v>
      </c>
      <c r="M4344" s="76">
        <f t="shared" si="163"/>
        <v>1.5870239999999998</v>
      </c>
      <c r="N4344" s="77"/>
      <c r="O4344" s="77"/>
      <c r="P4344" s="76"/>
      <c r="Q4344" s="76"/>
    </row>
    <row r="4345" spans="4:17" hidden="1" outlineLevel="3" x14ac:dyDescent="0.25">
      <c r="E4345" s="74" t="s">
        <v>67</v>
      </c>
      <c r="F4345" s="74"/>
      <c r="G4345" s="74"/>
      <c r="H4345" s="75"/>
      <c r="I4345" s="76"/>
      <c r="J4345" s="78">
        <f>HYPERLINK("#Структура!E3230",Структура!E3230)</f>
        <v>8.7999999999999995E-2</v>
      </c>
      <c r="K4345" s="114" t="str">
        <f>HYPERLINK("#Структура!G3230","")</f>
        <v/>
      </c>
      <c r="L4345" s="120">
        <f>HYPERLINK("#Покупные_изделия!D203",Покупные_изделия!D203)</f>
        <v>30.003600000000002</v>
      </c>
      <c r="M4345" s="76">
        <f t="shared" si="163"/>
        <v>2.6403167999999999</v>
      </c>
      <c r="N4345" s="77"/>
      <c r="O4345" s="77"/>
      <c r="P4345" s="76"/>
      <c r="Q4345" s="76"/>
    </row>
    <row r="4346" spans="4:17" hidden="1" outlineLevel="3" x14ac:dyDescent="0.25">
      <c r="E4346" s="74" t="s">
        <v>146</v>
      </c>
      <c r="F4346" s="74"/>
      <c r="G4346" s="74"/>
      <c r="H4346" s="75"/>
      <c r="I4346" s="76"/>
      <c r="J4346" s="78">
        <f>HYPERLINK("#Структура!E3231",Структура!E3231)</f>
        <v>5.5E-2</v>
      </c>
      <c r="K4346" s="114" t="str">
        <f>HYPERLINK("#Структура!G3231","")</f>
        <v/>
      </c>
      <c r="L4346" s="120">
        <f>HYPERLINK("#Покупные_изделия!D406",Покупные_изделия!D406)</f>
        <v>105.996</v>
      </c>
      <c r="M4346" s="76">
        <f t="shared" si="163"/>
        <v>5.8297799999999995</v>
      </c>
      <c r="N4346" s="77"/>
      <c r="O4346" s="77"/>
      <c r="P4346" s="76"/>
      <c r="Q4346" s="76"/>
    </row>
    <row r="4347" spans="4:17" hidden="1" outlineLevel="3" x14ac:dyDescent="0.25">
      <c r="E4347" s="74" t="s">
        <v>155</v>
      </c>
      <c r="F4347" s="74"/>
      <c r="G4347" s="74"/>
      <c r="H4347" s="75"/>
      <c r="I4347" s="76"/>
      <c r="J4347" s="78">
        <f>HYPERLINK("#Структура!E3232",Структура!E3232)</f>
        <v>5.0000000000000001E-3</v>
      </c>
      <c r="K4347" s="114" t="str">
        <f>HYPERLINK("#Структура!G3232","")</f>
        <v/>
      </c>
      <c r="L4347" s="120">
        <f>HYPERLINK("#Покупные_изделия!D423",Покупные_изделия!D423)</f>
        <v>218.28</v>
      </c>
      <c r="M4347" s="76">
        <f t="shared" si="163"/>
        <v>1.0913999999999999</v>
      </c>
      <c r="N4347" s="77"/>
      <c r="O4347" s="77"/>
      <c r="P4347" s="76"/>
      <c r="Q4347" s="76"/>
    </row>
    <row r="4348" spans="4:17" hidden="1" outlineLevel="3" x14ac:dyDescent="0.25">
      <c r="E4348" s="74" t="s">
        <v>156</v>
      </c>
      <c r="F4348" s="74"/>
      <c r="G4348" s="74"/>
      <c r="H4348" s="75"/>
      <c r="I4348" s="76"/>
      <c r="J4348" s="78">
        <f>HYPERLINK("#Структура!E3233",Структура!E3233)</f>
        <v>1E-3</v>
      </c>
      <c r="K4348" s="114" t="str">
        <f>HYPERLINK("#Структура!G3233","")</f>
        <v/>
      </c>
      <c r="L4348" s="120">
        <f>HYPERLINK("#Покупные_изделия!D427",Покупные_изделия!D427)</f>
        <v>155.53200000000001</v>
      </c>
      <c r="M4348" s="76">
        <f t="shared" si="163"/>
        <v>0.155532</v>
      </c>
      <c r="N4348" s="77"/>
      <c r="O4348" s="77"/>
      <c r="P4348" s="76"/>
      <c r="Q4348" s="76"/>
    </row>
    <row r="4349" spans="4:17" hidden="1" outlineLevel="3" x14ac:dyDescent="0.25">
      <c r="E4349" s="74" t="s">
        <v>200</v>
      </c>
      <c r="F4349" s="74"/>
      <c r="G4349" s="74"/>
      <c r="H4349" s="75"/>
      <c r="I4349" s="76"/>
      <c r="J4349" s="78">
        <f>HYPERLINK("#Структура!E3234",Структура!E3234)</f>
        <v>5.0000000000000001E-3</v>
      </c>
      <c r="K4349" s="114" t="str">
        <f>HYPERLINK("#Структура!G3234","")</f>
        <v/>
      </c>
      <c r="L4349" s="120">
        <f>HYPERLINK("#Покупные_изделия!D518",Покупные_изделия!D518)</f>
        <v>270</v>
      </c>
      <c r="M4349" s="76">
        <f t="shared" si="163"/>
        <v>1.35</v>
      </c>
      <c r="N4349" s="77"/>
      <c r="O4349" s="77"/>
      <c r="P4349" s="76"/>
      <c r="Q4349" s="76"/>
    </row>
    <row r="4350" spans="4:17" hidden="1" outlineLevel="3" x14ac:dyDescent="0.25">
      <c r="E4350" s="74" t="s">
        <v>215</v>
      </c>
      <c r="F4350" s="74"/>
      <c r="G4350" s="74"/>
      <c r="H4350" s="75"/>
      <c r="I4350" s="76"/>
      <c r="J4350" s="78">
        <f>HYPERLINK("#Структура!E3235",Структура!E3235)</f>
        <v>0.01</v>
      </c>
      <c r="K4350" s="114" t="str">
        <f>HYPERLINK("#Структура!G3235","")</f>
        <v/>
      </c>
      <c r="L4350" s="120">
        <f>HYPERLINK("#Покупные_изделия!D567",Покупные_изделия!D567)</f>
        <v>405.74399999999997</v>
      </c>
      <c r="M4350" s="76">
        <f t="shared" si="163"/>
        <v>4.0574399999999997</v>
      </c>
      <c r="N4350" s="77"/>
      <c r="O4350" s="77"/>
      <c r="P4350" s="76"/>
      <c r="Q4350" s="76"/>
    </row>
    <row r="4351" spans="4:17" hidden="1" outlineLevel="2" collapsed="1" x14ac:dyDescent="0.25">
      <c r="D4351" s="84" t="s">
        <v>605</v>
      </c>
      <c r="E4351" s="79"/>
      <c r="F4351" s="79"/>
      <c r="G4351" s="79"/>
      <c r="H4351" s="80"/>
      <c r="I4351" s="81"/>
      <c r="J4351" s="83">
        <f>HYPERLINK("#Структура!E26",Структура!E26)</f>
        <v>11</v>
      </c>
      <c r="K4351" s="115">
        <f>HYPERLINK("#Структура!G26",Структура!G26)</f>
        <v>1.0809800000000001</v>
      </c>
      <c r="L4351" s="81">
        <f>M4351/J4351</f>
        <v>211.70240000000001</v>
      </c>
      <c r="M4351" s="81">
        <f>SUMIF(E4352,"*",M4352)*J4351</f>
        <v>2328.7264</v>
      </c>
      <c r="N4351" s="124">
        <f>HYPERLINK("#Трудозатраты!B128",Трудозатраты!B128+SUMIF(E4352,"*",O4352))</f>
        <v>21.5</v>
      </c>
      <c r="O4351" s="82">
        <f>N4351*J4351</f>
        <v>236.5</v>
      </c>
      <c r="P4351" s="81">
        <f>O4351/60*(1+запас_труд)*стоимость_трудочаса</f>
        <v>9262.9166666666679</v>
      </c>
      <c r="Q4351" s="129">
        <f>M4351*(1+наценка_покупное)+P4351</f>
        <v>12057.388346666668</v>
      </c>
    </row>
    <row r="4352" spans="4:17" hidden="1" outlineLevel="3" x14ac:dyDescent="0.25">
      <c r="E4352" s="74" t="s">
        <v>131</v>
      </c>
      <c r="F4352" s="74"/>
      <c r="G4352" s="74"/>
      <c r="H4352" s="75"/>
      <c r="I4352" s="76"/>
      <c r="J4352" s="78">
        <f>HYPERLINK("#Структура!E671",Структура!E671)</f>
        <v>1.32314</v>
      </c>
      <c r="K4352" s="114" t="str">
        <f>HYPERLINK("#Структура!G671","")</f>
        <v/>
      </c>
      <c r="L4352" s="120">
        <f>HYPERLINK("#Покупные_изделия!D306",Покупные_изделия!D306)</f>
        <v>160</v>
      </c>
      <c r="M4352" s="76">
        <f>J4352*L4352</f>
        <v>211.70240000000001</v>
      </c>
      <c r="N4352" s="77"/>
      <c r="O4352" s="77"/>
      <c r="P4352" s="76"/>
      <c r="Q4352" s="76"/>
    </row>
    <row r="4353" spans="4:17" hidden="1" outlineLevel="2" collapsed="1" x14ac:dyDescent="0.25">
      <c r="D4353" s="84" t="s">
        <v>606</v>
      </c>
      <c r="E4353" s="79"/>
      <c r="F4353" s="79"/>
      <c r="G4353" s="79"/>
      <c r="H4353" s="80"/>
      <c r="I4353" s="81"/>
      <c r="J4353" s="83">
        <f>HYPERLINK("#Структура!E27",Структура!E27)</f>
        <v>11</v>
      </c>
      <c r="K4353" s="115">
        <f>HYPERLINK("#Структура!G27",Структура!G27)</f>
        <v>1.0809800000000001</v>
      </c>
      <c r="L4353" s="81">
        <f>M4353/J4353</f>
        <v>211.70240000000001</v>
      </c>
      <c r="M4353" s="81">
        <f>SUMIF(E4354,"*",M4354)*J4353</f>
        <v>2328.7264</v>
      </c>
      <c r="N4353" s="124">
        <f>HYPERLINK("#Трудозатраты!B129",Трудозатраты!B129+SUMIF(E4354,"*",O4354))</f>
        <v>21.5</v>
      </c>
      <c r="O4353" s="82">
        <f>N4353*J4353</f>
        <v>236.5</v>
      </c>
      <c r="P4353" s="81">
        <f>O4353/60*(1+запас_труд)*стоимость_трудочаса</f>
        <v>9262.9166666666679</v>
      </c>
      <c r="Q4353" s="129">
        <f>M4353*(1+наценка_покупное)+P4353</f>
        <v>12057.388346666668</v>
      </c>
    </row>
    <row r="4354" spans="4:17" hidden="1" outlineLevel="3" x14ac:dyDescent="0.25">
      <c r="E4354" s="74" t="s">
        <v>131</v>
      </c>
      <c r="F4354" s="74"/>
      <c r="G4354" s="74"/>
      <c r="H4354" s="75"/>
      <c r="I4354" s="76"/>
      <c r="J4354" s="78">
        <f>HYPERLINK("#Структура!E672",Структура!E672)</f>
        <v>1.32314</v>
      </c>
      <c r="K4354" s="114" t="str">
        <f>HYPERLINK("#Структура!G672","")</f>
        <v/>
      </c>
      <c r="L4354" s="120">
        <f>HYPERLINK("#Покупные_изделия!D306",Покупные_изделия!D306)</f>
        <v>160</v>
      </c>
      <c r="M4354" s="76">
        <f>J4354*L4354</f>
        <v>211.70240000000001</v>
      </c>
      <c r="N4354" s="77"/>
      <c r="O4354" s="77"/>
      <c r="P4354" s="76"/>
      <c r="Q4354" s="76"/>
    </row>
    <row r="4355" spans="4:17" hidden="1" outlineLevel="2" collapsed="1" x14ac:dyDescent="0.25">
      <c r="D4355" s="84" t="s">
        <v>607</v>
      </c>
      <c r="E4355" s="79"/>
      <c r="F4355" s="79"/>
      <c r="G4355" s="79"/>
      <c r="H4355" s="80"/>
      <c r="I4355" s="81"/>
      <c r="J4355" s="83">
        <f>HYPERLINK("#Структура!E28",Структура!E28)</f>
        <v>8</v>
      </c>
      <c r="K4355" s="115">
        <f>HYPERLINK("#Структура!G28",Структура!G28)</f>
        <v>1.40137</v>
      </c>
      <c r="L4355" s="81">
        <f>M4355/J4355</f>
        <v>1230.0640000000001</v>
      </c>
      <c r="M4355" s="81">
        <f>SUMIF(E4356,"*",M4356)*J4355</f>
        <v>9840.5120000000006</v>
      </c>
      <c r="N4355" s="124">
        <f>HYPERLINK("#Трудозатраты!B130",Трудозатраты!B130+SUMIF(E4356,"*",O4356))</f>
        <v>1.5</v>
      </c>
      <c r="O4355" s="82">
        <f>N4355*J4355</f>
        <v>12</v>
      </c>
      <c r="P4355" s="81">
        <f>O4355/60*(1+запас_труд)*стоимость_трудочаса</f>
        <v>470</v>
      </c>
      <c r="Q4355" s="129">
        <f>M4355*(1+наценка_покупное)+P4355</f>
        <v>12278.6144</v>
      </c>
    </row>
    <row r="4356" spans="4:17" hidden="1" outlineLevel="3" x14ac:dyDescent="0.25">
      <c r="E4356" s="74" t="s">
        <v>131</v>
      </c>
      <c r="F4356" s="74"/>
      <c r="G4356" s="74"/>
      <c r="H4356" s="75"/>
      <c r="I4356" s="76"/>
      <c r="J4356" s="78">
        <f>HYPERLINK("#Структура!E673",Структура!E673)</f>
        <v>7.6879</v>
      </c>
      <c r="K4356" s="114" t="str">
        <f>HYPERLINK("#Структура!G673","")</f>
        <v/>
      </c>
      <c r="L4356" s="120">
        <f>HYPERLINK("#Покупные_изделия!D306",Покупные_изделия!D306)</f>
        <v>160</v>
      </c>
      <c r="M4356" s="76">
        <f>J4356*L4356</f>
        <v>1230.0640000000001</v>
      </c>
      <c r="N4356" s="77"/>
      <c r="O4356" s="77"/>
      <c r="P4356" s="76"/>
      <c r="Q4356" s="76"/>
    </row>
    <row r="4357" spans="4:17" hidden="1" outlineLevel="2" collapsed="1" x14ac:dyDescent="0.25">
      <c r="D4357" s="84" t="s">
        <v>608</v>
      </c>
      <c r="E4357" s="79"/>
      <c r="F4357" s="79"/>
      <c r="G4357" s="79"/>
      <c r="H4357" s="80"/>
      <c r="I4357" s="81"/>
      <c r="J4357" s="83">
        <f>HYPERLINK("#Структура!E29",Структура!E29)</f>
        <v>10</v>
      </c>
      <c r="K4357" s="115">
        <f>HYPERLINK("#Структура!G29",Структура!G29)</f>
        <v>6.0740000000000002E-2</v>
      </c>
      <c r="L4357" s="81">
        <f>M4357/J4357</f>
        <v>13.865600000000001</v>
      </c>
      <c r="M4357" s="81">
        <f>SUMIF(E4358,"*",M4358)*J4357</f>
        <v>138.65600000000001</v>
      </c>
      <c r="N4357" s="124">
        <f>HYPERLINK("#Трудозатраты!B138",Трудозатраты!B138+SUMIF(E4358,"*",O4358))</f>
        <v>0.45</v>
      </c>
      <c r="O4357" s="82">
        <f>N4357*J4357</f>
        <v>4.5</v>
      </c>
      <c r="P4357" s="81">
        <f>O4357/60*(1+запас_труд)*стоимость_трудочаса</f>
        <v>176.25</v>
      </c>
      <c r="Q4357" s="129">
        <f>M4357*(1+наценка_покупное)+P4357</f>
        <v>342.63720000000001</v>
      </c>
    </row>
    <row r="4358" spans="4:17" hidden="1" outlineLevel="3" x14ac:dyDescent="0.25">
      <c r="E4358" s="74" t="s">
        <v>130</v>
      </c>
      <c r="F4358" s="74"/>
      <c r="G4358" s="74"/>
      <c r="H4358" s="75"/>
      <c r="I4358" s="76"/>
      <c r="J4358" s="78">
        <f>HYPERLINK("#Структура!E681",Структура!E681)</f>
        <v>8.6660000000000001E-2</v>
      </c>
      <c r="K4358" s="114" t="str">
        <f>HYPERLINK("#Структура!G681","")</f>
        <v/>
      </c>
      <c r="L4358" s="120">
        <f>HYPERLINK("#Покупные_изделия!D305",Покупные_изделия!D305)</f>
        <v>160</v>
      </c>
      <c r="M4358" s="76">
        <f>J4358*L4358</f>
        <v>13.865600000000001</v>
      </c>
      <c r="N4358" s="77"/>
      <c r="O4358" s="77"/>
      <c r="P4358" s="76"/>
      <c r="Q4358" s="76"/>
    </row>
    <row r="4359" spans="4:17" hidden="1" outlineLevel="2" collapsed="1" x14ac:dyDescent="0.25">
      <c r="D4359" s="84" t="s">
        <v>609</v>
      </c>
      <c r="E4359" s="79"/>
      <c r="F4359" s="79"/>
      <c r="G4359" s="79"/>
      <c r="H4359" s="80"/>
      <c r="I4359" s="81"/>
      <c r="J4359" s="83">
        <f>HYPERLINK("#Структура!E30",Структура!E30)</f>
        <v>10</v>
      </c>
      <c r="K4359" s="115">
        <f>HYPERLINK("#Структура!G30",Структура!G30)</f>
        <v>3.703E-2</v>
      </c>
      <c r="L4359" s="81">
        <f>M4359/J4359</f>
        <v>10.0016</v>
      </c>
      <c r="M4359" s="81">
        <f>SUMIF(E4360,"*",M4360)*J4359</f>
        <v>100.01599999999999</v>
      </c>
      <c r="N4359" s="124">
        <f>HYPERLINK("#Трудозатраты!B145",Трудозатраты!B145+SUMIF(E4360,"*",O4360))</f>
        <v>2.4</v>
      </c>
      <c r="O4359" s="82">
        <f>N4359*J4359</f>
        <v>24</v>
      </c>
      <c r="P4359" s="81">
        <f>O4359/60*(1+запас_труд)*стоимость_трудочаса</f>
        <v>940</v>
      </c>
      <c r="Q4359" s="129">
        <f>M4359*(1+наценка_покупное)+P4359</f>
        <v>1060.0192</v>
      </c>
    </row>
    <row r="4360" spans="4:17" hidden="1" outlineLevel="3" x14ac:dyDescent="0.25">
      <c r="E4360" s="74" t="s">
        <v>130</v>
      </c>
      <c r="F4360" s="74"/>
      <c r="G4360" s="74"/>
      <c r="H4360" s="75"/>
      <c r="I4360" s="76"/>
      <c r="J4360" s="78">
        <f>HYPERLINK("#Структура!E696",Структура!E696)</f>
        <v>6.2509999999999996E-2</v>
      </c>
      <c r="K4360" s="114" t="str">
        <f>HYPERLINK("#Структура!G696","")</f>
        <v/>
      </c>
      <c r="L4360" s="120">
        <f>HYPERLINK("#Покупные_изделия!D305",Покупные_изделия!D305)</f>
        <v>160</v>
      </c>
      <c r="M4360" s="76">
        <f>J4360*L4360</f>
        <v>10.0016</v>
      </c>
      <c r="N4360" s="77"/>
      <c r="O4360" s="77"/>
      <c r="P4360" s="76"/>
      <c r="Q4360" s="76"/>
    </row>
    <row r="4361" spans="4:17" hidden="1" outlineLevel="2" collapsed="1" x14ac:dyDescent="0.25">
      <c r="D4361" s="84" t="s">
        <v>610</v>
      </c>
      <c r="E4361" s="79"/>
      <c r="F4361" s="79"/>
      <c r="G4361" s="79"/>
      <c r="H4361" s="80"/>
      <c r="I4361" s="81"/>
      <c r="J4361" s="83">
        <f>HYPERLINK("#Структура!E31",Структура!E31)</f>
        <v>80</v>
      </c>
      <c r="K4361" s="115">
        <f>HYPERLINK("#Структура!G31",Структура!G31)</f>
        <v>0.86478999999999995</v>
      </c>
      <c r="L4361" s="81">
        <f>M4361/J4361</f>
        <v>149.85117599999998</v>
      </c>
      <c r="M4361" s="81">
        <f>SUMIF(E4362:E4366,"*",M4362:M4366)*J4361</f>
        <v>11988.094079999999</v>
      </c>
      <c r="N4361" s="124">
        <f>HYPERLINK("#Трудозатраты!B146",Трудозатраты!B146+SUMIF(E4362:E4366,"*",O4362:O4366))</f>
        <v>2.4</v>
      </c>
      <c r="O4361" s="82">
        <f>N4361*J4361</f>
        <v>192</v>
      </c>
      <c r="P4361" s="81">
        <f>O4361/60*(1+запас_труд)*стоимость_трудочаса</f>
        <v>7520</v>
      </c>
      <c r="Q4361" s="129">
        <f>M4361*(1+наценка_покупное)+P4361</f>
        <v>21905.712895999997</v>
      </c>
    </row>
    <row r="4362" spans="4:17" hidden="1" outlineLevel="3" x14ac:dyDescent="0.25">
      <c r="E4362" s="74" t="s">
        <v>65</v>
      </c>
      <c r="F4362" s="74"/>
      <c r="G4362" s="74"/>
      <c r="H4362" s="75"/>
      <c r="I4362" s="76"/>
      <c r="J4362" s="78">
        <f>HYPERLINK("#Структура!E697",Структура!E697)</f>
        <v>3.0000000000000001E-3</v>
      </c>
      <c r="K4362" s="114" t="str">
        <f>HYPERLINK("#Структура!G697","")</f>
        <v/>
      </c>
      <c r="L4362" s="120">
        <f>HYPERLINK("#Покупные_изделия!D197",Покупные_изделия!D197)</f>
        <v>264.50399999999996</v>
      </c>
      <c r="M4362" s="76">
        <f>J4362*L4362</f>
        <v>0.79351199999999988</v>
      </c>
      <c r="N4362" s="77"/>
      <c r="O4362" s="77"/>
      <c r="P4362" s="76"/>
      <c r="Q4362" s="76"/>
    </row>
    <row r="4363" spans="4:17" hidden="1" outlineLevel="3" x14ac:dyDescent="0.25">
      <c r="E4363" s="74" t="s">
        <v>811</v>
      </c>
      <c r="F4363" s="74"/>
      <c r="G4363" s="74"/>
      <c r="H4363" s="75"/>
      <c r="I4363" s="76"/>
      <c r="J4363" s="78">
        <f>HYPERLINK("#Структура!E698",Структура!E698)</f>
        <v>1.2208300000000001</v>
      </c>
      <c r="K4363" s="114" t="str">
        <f>HYPERLINK("#Структура!G698","")</f>
        <v/>
      </c>
      <c r="L4363" s="120">
        <f>HYPERLINK("#Покупные_изделия!D284",Покупные_изделия!D284)</f>
        <v>120</v>
      </c>
      <c r="M4363" s="76">
        <f>J4363*L4363</f>
        <v>146.49960000000002</v>
      </c>
      <c r="N4363" s="77"/>
      <c r="O4363" s="77"/>
      <c r="P4363" s="76"/>
      <c r="Q4363" s="76"/>
    </row>
    <row r="4364" spans="4:17" hidden="1" outlineLevel="3" x14ac:dyDescent="0.25">
      <c r="E4364" s="74" t="s">
        <v>155</v>
      </c>
      <c r="F4364" s="74"/>
      <c r="G4364" s="74"/>
      <c r="H4364" s="75"/>
      <c r="I4364" s="76"/>
      <c r="J4364" s="78">
        <f>HYPERLINK("#Структура!E699",Структура!E699)</f>
        <v>1E-3</v>
      </c>
      <c r="K4364" s="114" t="str">
        <f>HYPERLINK("#Структура!G699","")</f>
        <v/>
      </c>
      <c r="L4364" s="120">
        <f>HYPERLINK("#Покупные_изделия!D423",Покупные_изделия!D423)</f>
        <v>218.28</v>
      </c>
      <c r="M4364" s="76">
        <f>J4364*L4364</f>
        <v>0.21828</v>
      </c>
      <c r="N4364" s="77"/>
      <c r="O4364" s="77"/>
      <c r="P4364" s="76"/>
      <c r="Q4364" s="76"/>
    </row>
    <row r="4365" spans="4:17" hidden="1" outlineLevel="3" x14ac:dyDescent="0.25">
      <c r="E4365" s="74" t="s">
        <v>156</v>
      </c>
      <c r="F4365" s="74"/>
      <c r="G4365" s="74"/>
      <c r="H4365" s="75"/>
      <c r="I4365" s="76"/>
      <c r="J4365" s="78">
        <f>HYPERLINK("#Структура!E700",Структура!E700)</f>
        <v>2E-3</v>
      </c>
      <c r="K4365" s="114" t="str">
        <f>HYPERLINK("#Структура!G700","")</f>
        <v/>
      </c>
      <c r="L4365" s="120">
        <f>HYPERLINK("#Покупные_изделия!D427",Покупные_изделия!D427)</f>
        <v>155.53200000000001</v>
      </c>
      <c r="M4365" s="76">
        <f>J4365*L4365</f>
        <v>0.31106400000000001</v>
      </c>
      <c r="N4365" s="77"/>
      <c r="O4365" s="77"/>
      <c r="P4365" s="76"/>
      <c r="Q4365" s="76"/>
    </row>
    <row r="4366" spans="4:17" hidden="1" outlineLevel="3" x14ac:dyDescent="0.25">
      <c r="E4366" s="74" t="s">
        <v>215</v>
      </c>
      <c r="F4366" s="74"/>
      <c r="G4366" s="74"/>
      <c r="H4366" s="75"/>
      <c r="I4366" s="76"/>
      <c r="J4366" s="78">
        <f>HYPERLINK("#Структура!E701",Структура!E701)</f>
        <v>5.0000000000000001E-3</v>
      </c>
      <c r="K4366" s="114" t="str">
        <f>HYPERLINK("#Структура!G701","")</f>
        <v/>
      </c>
      <c r="L4366" s="120">
        <f>HYPERLINK("#Покупные_изделия!D567",Покупные_изделия!D567)</f>
        <v>405.74399999999997</v>
      </c>
      <c r="M4366" s="76">
        <f>J4366*L4366</f>
        <v>2.0287199999999999</v>
      </c>
      <c r="N4366" s="77"/>
      <c r="O4366" s="77"/>
      <c r="P4366" s="76"/>
      <c r="Q4366" s="76"/>
    </row>
    <row r="4367" spans="4:17" hidden="1" outlineLevel="2" collapsed="1" x14ac:dyDescent="0.25">
      <c r="D4367" s="84" t="s">
        <v>611</v>
      </c>
      <c r="E4367" s="79"/>
      <c r="F4367" s="79"/>
      <c r="G4367" s="79"/>
      <c r="H4367" s="80"/>
      <c r="I4367" s="81"/>
      <c r="J4367" s="83">
        <f>HYPERLINK("#Структура!E32",Структура!E32)</f>
        <v>48</v>
      </c>
      <c r="K4367" s="115">
        <f>HYPERLINK("#Структура!G32",Структура!G32)</f>
        <v>1.487E-2</v>
      </c>
      <c r="L4367" s="81">
        <f>M4367/J4367</f>
        <v>3.2000000000000006</v>
      </c>
      <c r="M4367" s="81">
        <f>SUMIF(E4368,"*",M4368)*J4367</f>
        <v>153.60000000000002</v>
      </c>
      <c r="N4367" s="124">
        <f>HYPERLINK("#Трудозатраты!B149",Трудозатраты!B149+SUMIF(E4368,"*",O4368))</f>
        <v>0.19999999999999998</v>
      </c>
      <c r="O4367" s="82">
        <f>N4367*J4367</f>
        <v>9.6</v>
      </c>
      <c r="P4367" s="81">
        <f>O4367/60*(1+запас_труд)*стоимость_трудочаса</f>
        <v>376</v>
      </c>
      <c r="Q4367" s="129">
        <f>M4367*(1+наценка_покупное)+P4367</f>
        <v>560.32000000000005</v>
      </c>
    </row>
    <row r="4368" spans="4:17" hidden="1" outlineLevel="3" x14ac:dyDescent="0.25">
      <c r="E4368" s="74" t="s">
        <v>128</v>
      </c>
      <c r="F4368" s="74"/>
      <c r="G4368" s="74"/>
      <c r="H4368" s="75"/>
      <c r="I4368" s="76"/>
      <c r="J4368" s="78">
        <f>HYPERLINK("#Структура!E704",Структура!E704)</f>
        <v>0.02</v>
      </c>
      <c r="K4368" s="114" t="str">
        <f>HYPERLINK("#Структура!G704","")</f>
        <v/>
      </c>
      <c r="L4368" s="120">
        <f>HYPERLINK("#Покупные_изделия!D303",Покупные_изделия!D303)</f>
        <v>160</v>
      </c>
      <c r="M4368" s="76">
        <f>J4368*L4368</f>
        <v>3.2</v>
      </c>
      <c r="N4368" s="77"/>
      <c r="O4368" s="77"/>
      <c r="P4368" s="76"/>
      <c r="Q4368" s="76"/>
    </row>
    <row r="4369" spans="4:17" hidden="1" outlineLevel="2" collapsed="1" x14ac:dyDescent="0.25">
      <c r="D4369" s="84" t="s">
        <v>612</v>
      </c>
      <c r="E4369" s="79"/>
      <c r="F4369" s="79"/>
      <c r="G4369" s="79"/>
      <c r="H4369" s="80"/>
      <c r="I4369" s="81"/>
      <c r="J4369" s="83">
        <f>HYPERLINK("#Структура!E33",Структура!E33)</f>
        <v>6</v>
      </c>
      <c r="K4369" s="115">
        <f>HYPERLINK("#Структура!G33",Структура!G33)</f>
        <v>0.27456999999999998</v>
      </c>
      <c r="L4369" s="81">
        <f>M4369/J4369</f>
        <v>56</v>
      </c>
      <c r="M4369" s="81">
        <f>SUMIF(E4370,"*",M4370)*J4369</f>
        <v>336</v>
      </c>
      <c r="N4369" s="124">
        <f>HYPERLINK("#Трудозатраты!B150",Трудозатраты!B150+SUMIF(E4370,"*",O4370))</f>
        <v>7.25</v>
      </c>
      <c r="O4369" s="82">
        <f>N4369*J4369</f>
        <v>43.5</v>
      </c>
      <c r="P4369" s="81">
        <f>O4369/60*(1+запас_труд)*стоимость_трудочаса</f>
        <v>1703.75</v>
      </c>
      <c r="Q4369" s="129">
        <f>M4369*(1+наценка_покупное)+P4369</f>
        <v>2106.9499999999998</v>
      </c>
    </row>
    <row r="4370" spans="4:17" hidden="1" outlineLevel="3" x14ac:dyDescent="0.25">
      <c r="E4370" s="74" t="s">
        <v>130</v>
      </c>
      <c r="F4370" s="74"/>
      <c r="G4370" s="74"/>
      <c r="H4370" s="75"/>
      <c r="I4370" s="76"/>
      <c r="J4370" s="78">
        <f>HYPERLINK("#Структура!E705",Структура!E705)</f>
        <v>0.35</v>
      </c>
      <c r="K4370" s="114" t="str">
        <f>HYPERLINK("#Структура!G705","")</f>
        <v/>
      </c>
      <c r="L4370" s="120">
        <f>HYPERLINK("#Покупные_изделия!D305",Покупные_изделия!D305)</f>
        <v>160</v>
      </c>
      <c r="M4370" s="76">
        <f>J4370*L4370</f>
        <v>56</v>
      </c>
      <c r="N4370" s="77"/>
      <c r="O4370" s="77"/>
      <c r="P4370" s="76"/>
      <c r="Q4370" s="76"/>
    </row>
    <row r="4371" spans="4:17" hidden="1" outlineLevel="2" collapsed="1" x14ac:dyDescent="0.25">
      <c r="D4371" s="84" t="s">
        <v>613</v>
      </c>
      <c r="E4371" s="79"/>
      <c r="F4371" s="79"/>
      <c r="G4371" s="79"/>
      <c r="H4371" s="80"/>
      <c r="I4371" s="81"/>
      <c r="J4371" s="83">
        <f>HYPERLINK("#Структура!E34",Структура!E34)</f>
        <v>10</v>
      </c>
      <c r="K4371" s="115">
        <f>HYPERLINK("#Структура!G34",Структура!G34)</f>
        <v>2.8542700000000001</v>
      </c>
      <c r="L4371" s="81">
        <f>M4371/J4371</f>
        <v>440.14177200000006</v>
      </c>
      <c r="M4371" s="81">
        <f>SUMIF(E4372:E4376,"*",M4372:M4376)*J4371</f>
        <v>4401.4177200000004</v>
      </c>
      <c r="N4371" s="124">
        <f>HYPERLINK("#Трудозатраты!B151",Трудозатраты!B151+SUMIF(E4372:E4376,"*",O4372:O4376))</f>
        <v>2.5</v>
      </c>
      <c r="O4371" s="82">
        <f>N4371*J4371</f>
        <v>25</v>
      </c>
      <c r="P4371" s="81">
        <f>O4371/60*(1+запас_труд)*стоимость_трудочаса</f>
        <v>979.16666666666674</v>
      </c>
      <c r="Q4371" s="129">
        <f>M4371*(1+наценка_покупное)+P4371</f>
        <v>6260.8679306666672</v>
      </c>
    </row>
    <row r="4372" spans="4:17" hidden="1" outlineLevel="3" x14ac:dyDescent="0.25">
      <c r="E4372" s="74" t="s">
        <v>65</v>
      </c>
      <c r="F4372" s="74"/>
      <c r="G4372" s="74"/>
      <c r="H4372" s="75"/>
      <c r="I4372" s="76"/>
      <c r="J4372" s="78">
        <f>HYPERLINK("#Структура!E706",Структура!E706)</f>
        <v>1.2E-2</v>
      </c>
      <c r="K4372" s="114" t="str">
        <f>HYPERLINK("#Структура!G706","")</f>
        <v/>
      </c>
      <c r="L4372" s="120">
        <f>HYPERLINK("#Покупные_изделия!D197",Покупные_изделия!D197)</f>
        <v>264.50399999999996</v>
      </c>
      <c r="M4372" s="76">
        <f>J4372*L4372</f>
        <v>3.1740479999999995</v>
      </c>
      <c r="N4372" s="77"/>
      <c r="O4372" s="77"/>
      <c r="P4372" s="76"/>
      <c r="Q4372" s="76"/>
    </row>
    <row r="4373" spans="4:17" hidden="1" outlineLevel="3" x14ac:dyDescent="0.25">
      <c r="E4373" s="74" t="s">
        <v>110</v>
      </c>
      <c r="F4373" s="74"/>
      <c r="G4373" s="74"/>
      <c r="H4373" s="75"/>
      <c r="I4373" s="76"/>
      <c r="J4373" s="78">
        <f>HYPERLINK("#Структура!E707",Структура!E707)</f>
        <v>3.5366399999999998</v>
      </c>
      <c r="K4373" s="114" t="str">
        <f>HYPERLINK("#Структура!G707","")</f>
        <v/>
      </c>
      <c r="L4373" s="120">
        <f>HYPERLINK("#Покупные_изделия!D282",Покупные_изделия!D282)</f>
        <v>120</v>
      </c>
      <c r="M4373" s="76">
        <f>J4373*L4373</f>
        <v>424.39679999999998</v>
      </c>
      <c r="N4373" s="77"/>
      <c r="O4373" s="77"/>
      <c r="P4373" s="76"/>
      <c r="Q4373" s="76"/>
    </row>
    <row r="4374" spans="4:17" hidden="1" outlineLevel="3" x14ac:dyDescent="0.25">
      <c r="E4374" s="74" t="s">
        <v>155</v>
      </c>
      <c r="F4374" s="74"/>
      <c r="G4374" s="74"/>
      <c r="H4374" s="75"/>
      <c r="I4374" s="76"/>
      <c r="J4374" s="78">
        <f>HYPERLINK("#Структура!E708",Структура!E708)</f>
        <v>7.0000000000000001E-3</v>
      </c>
      <c r="K4374" s="114" t="str">
        <f>HYPERLINK("#Структура!G708","")</f>
        <v/>
      </c>
      <c r="L4374" s="120">
        <f>HYPERLINK("#Покупные_изделия!D423",Покупные_изделия!D423)</f>
        <v>218.28</v>
      </c>
      <c r="M4374" s="76">
        <f>J4374*L4374</f>
        <v>1.52796</v>
      </c>
      <c r="N4374" s="77"/>
      <c r="O4374" s="77"/>
      <c r="P4374" s="76"/>
      <c r="Q4374" s="76"/>
    </row>
    <row r="4375" spans="4:17" hidden="1" outlineLevel="3" x14ac:dyDescent="0.25">
      <c r="E4375" s="74" t="s">
        <v>156</v>
      </c>
      <c r="F4375" s="74"/>
      <c r="G4375" s="74"/>
      <c r="H4375" s="75"/>
      <c r="I4375" s="76"/>
      <c r="J4375" s="78">
        <f>HYPERLINK("#Структура!E709",Структура!E709)</f>
        <v>1.0999999999999999E-2</v>
      </c>
      <c r="K4375" s="114" t="str">
        <f>HYPERLINK("#Структура!G709","")</f>
        <v/>
      </c>
      <c r="L4375" s="120">
        <f>HYPERLINK("#Покупные_изделия!D427",Покупные_изделия!D427)</f>
        <v>155.53200000000001</v>
      </c>
      <c r="M4375" s="76">
        <f>J4375*L4375</f>
        <v>1.710852</v>
      </c>
      <c r="N4375" s="77"/>
      <c r="O4375" s="77"/>
      <c r="P4375" s="76"/>
      <c r="Q4375" s="76"/>
    </row>
    <row r="4376" spans="4:17" hidden="1" outlineLevel="3" x14ac:dyDescent="0.25">
      <c r="E4376" s="74" t="s">
        <v>215</v>
      </c>
      <c r="F4376" s="74"/>
      <c r="G4376" s="74"/>
      <c r="H4376" s="75"/>
      <c r="I4376" s="76"/>
      <c r="J4376" s="78">
        <f>HYPERLINK("#Структура!E710",Структура!E710)</f>
        <v>2.3E-2</v>
      </c>
      <c r="K4376" s="114" t="str">
        <f>HYPERLINK("#Структура!G710","")</f>
        <v/>
      </c>
      <c r="L4376" s="120">
        <f>HYPERLINK("#Покупные_изделия!D567",Покупные_изделия!D567)</f>
        <v>405.74399999999997</v>
      </c>
      <c r="M4376" s="76">
        <f>J4376*L4376</f>
        <v>9.3321119999999986</v>
      </c>
      <c r="N4376" s="77"/>
      <c r="O4376" s="77"/>
      <c r="P4376" s="76"/>
      <c r="Q4376" s="76"/>
    </row>
    <row r="4377" spans="4:17" hidden="1" outlineLevel="2" collapsed="1" x14ac:dyDescent="0.25">
      <c r="D4377" s="84" t="s">
        <v>614</v>
      </c>
      <c r="E4377" s="79"/>
      <c r="F4377" s="79"/>
      <c r="G4377" s="79"/>
      <c r="H4377" s="80"/>
      <c r="I4377" s="81"/>
      <c r="J4377" s="83">
        <f>HYPERLINK("#Структура!E35",Структура!E35)</f>
        <v>24</v>
      </c>
      <c r="K4377" s="115">
        <f>HYPERLINK("#Структура!G35",Структура!G35)</f>
        <v>2.2780000000000002E-2</v>
      </c>
      <c r="L4377" s="81">
        <f>M4377/J4377</f>
        <v>21</v>
      </c>
      <c r="M4377" s="81">
        <f>SUMIF(E4378,"*",M4378)*J4377</f>
        <v>504</v>
      </c>
      <c r="N4377" s="124">
        <f>HYPERLINK("#Трудозатраты!B152",Трудозатраты!B152+SUMIF(E4378,"*",O4378))</f>
        <v>10.6</v>
      </c>
      <c r="O4377" s="82">
        <f>N4377*J4377</f>
        <v>254.39999999999998</v>
      </c>
      <c r="P4377" s="81">
        <f>O4377/60*(1+запас_труд)*стоимость_трудочаса</f>
        <v>9963.9999999999982</v>
      </c>
      <c r="Q4377" s="129">
        <f>M4377*(1+наценка_покупное)+P4377</f>
        <v>10568.799999999997</v>
      </c>
    </row>
    <row r="4378" spans="4:17" hidden="1" outlineLevel="3" x14ac:dyDescent="0.25">
      <c r="E4378" s="74" t="s">
        <v>89</v>
      </c>
      <c r="F4378" s="74"/>
      <c r="G4378" s="74"/>
      <c r="H4378" s="75"/>
      <c r="I4378" s="76"/>
      <c r="J4378" s="78">
        <f>HYPERLINK("#Структура!E711",Структура!E711)</f>
        <v>0.21</v>
      </c>
      <c r="K4378" s="114" t="str">
        <f>HYPERLINK("#Структура!G711","")</f>
        <v/>
      </c>
      <c r="L4378" s="120">
        <f>HYPERLINK("#Покупные_изделия!D258",Покупные_изделия!D258)</f>
        <v>100</v>
      </c>
      <c r="M4378" s="76">
        <f>J4378*L4378</f>
        <v>21</v>
      </c>
      <c r="N4378" s="77"/>
      <c r="O4378" s="77"/>
      <c r="P4378" s="76"/>
      <c r="Q4378" s="76"/>
    </row>
    <row r="4379" spans="4:17" hidden="1" outlineLevel="2" collapsed="1" x14ac:dyDescent="0.25">
      <c r="D4379" s="84" t="s">
        <v>615</v>
      </c>
      <c r="E4379" s="79"/>
      <c r="F4379" s="79"/>
      <c r="G4379" s="79"/>
      <c r="H4379" s="80"/>
      <c r="I4379" s="81"/>
      <c r="J4379" s="83">
        <f>HYPERLINK("#Структура!E36",Структура!E36)</f>
        <v>12</v>
      </c>
      <c r="K4379" s="115">
        <f>HYPERLINK("#Структура!G36",Структура!G36)</f>
        <v>0.32214999999999999</v>
      </c>
      <c r="L4379" s="81">
        <f>M4379/J4379</f>
        <v>63.72079440000001</v>
      </c>
      <c r="M4379" s="81">
        <f>SUMIF(E4380:E4384,"*",M4380:M4384)*J4379</f>
        <v>764.64953280000009</v>
      </c>
      <c r="N4379" s="124">
        <f>HYPERLINK("#Трудозатраты!B482",Трудозатраты!B482+SUMIF(E4380:E4384,"*",O4380:O4384))</f>
        <v>3</v>
      </c>
      <c r="O4379" s="82">
        <f>N4379*J4379</f>
        <v>36</v>
      </c>
      <c r="P4379" s="81">
        <f>O4379/60*(1+запас_труд)*стоимость_трудочаса</f>
        <v>1410</v>
      </c>
      <c r="Q4379" s="129">
        <f>M4379*(1+наценка_покупное)+P4379</f>
        <v>2327.5794393599999</v>
      </c>
    </row>
    <row r="4380" spans="4:17" hidden="1" outlineLevel="3" x14ac:dyDescent="0.25">
      <c r="E4380" s="74" t="s">
        <v>44</v>
      </c>
      <c r="F4380" s="74"/>
      <c r="G4380" s="74"/>
      <c r="H4380" s="75"/>
      <c r="I4380" s="76"/>
      <c r="J4380" s="78">
        <f>HYPERLINK("#Структура!E1767",Структура!E1767)</f>
        <v>8.0000000000000002E-3</v>
      </c>
      <c r="K4380" s="114" t="str">
        <f>HYPERLINK("#Структура!G1767","")</f>
        <v/>
      </c>
      <c r="L4380" s="120">
        <f>HYPERLINK("#Покупные_изделия!D63",Покупные_изделия!D63)</f>
        <v>396.00000000000006</v>
      </c>
      <c r="M4380" s="76">
        <f>J4380*L4380</f>
        <v>3.1680000000000006</v>
      </c>
      <c r="N4380" s="77"/>
      <c r="O4380" s="77"/>
      <c r="P4380" s="76"/>
      <c r="Q4380" s="76"/>
    </row>
    <row r="4381" spans="4:17" hidden="1" outlineLevel="3" x14ac:dyDescent="0.25">
      <c r="E4381" s="74" t="s">
        <v>118</v>
      </c>
      <c r="F4381" s="74"/>
      <c r="G4381" s="74"/>
      <c r="H4381" s="75"/>
      <c r="I4381" s="76"/>
      <c r="J4381" s="78">
        <f>HYPERLINK("#Структура!E1768",Структура!E1768)</f>
        <v>0.47599999999999998</v>
      </c>
      <c r="K4381" s="114" t="str">
        <f>HYPERLINK("#Структура!G1768","")</f>
        <v/>
      </c>
      <c r="L4381" s="120">
        <f>HYPERLINK("#Покупные_изделия!D293",Покупные_изделия!D293)</f>
        <v>120</v>
      </c>
      <c r="M4381" s="76">
        <f>J4381*L4381</f>
        <v>57.12</v>
      </c>
      <c r="N4381" s="77"/>
      <c r="O4381" s="77"/>
      <c r="P4381" s="76"/>
      <c r="Q4381" s="76"/>
    </row>
    <row r="4382" spans="4:17" hidden="1" outlineLevel="3" x14ac:dyDescent="0.25">
      <c r="E4382" s="74" t="s">
        <v>139</v>
      </c>
      <c r="F4382" s="74"/>
      <c r="G4382" s="74"/>
      <c r="H4382" s="75"/>
      <c r="I4382" s="76"/>
      <c r="J4382" s="78">
        <f>HYPERLINK("#Структура!E1769",Структура!E1769)</f>
        <v>2E-3</v>
      </c>
      <c r="K4382" s="114" t="str">
        <f>HYPERLINK("#Структура!G1769","")</f>
        <v/>
      </c>
      <c r="L4382" s="120">
        <f>HYPERLINK("#Покупные_изделия!D360",Покупные_изделия!D360)</f>
        <v>171.87720000000002</v>
      </c>
      <c r="M4382" s="76">
        <f>J4382*L4382</f>
        <v>0.34375440000000002</v>
      </c>
      <c r="N4382" s="77"/>
      <c r="O4382" s="77"/>
      <c r="P4382" s="76"/>
      <c r="Q4382" s="76"/>
    </row>
    <row r="4383" spans="4:17" hidden="1" outlineLevel="3" x14ac:dyDescent="0.25">
      <c r="E4383" s="74" t="s">
        <v>156</v>
      </c>
      <c r="F4383" s="74"/>
      <c r="G4383" s="74"/>
      <c r="H4383" s="75"/>
      <c r="I4383" s="76"/>
      <c r="J4383" s="78">
        <f>HYPERLINK("#Структура!E1770",Структура!E1770)</f>
        <v>2E-3</v>
      </c>
      <c r="K4383" s="114" t="str">
        <f>HYPERLINK("#Структура!G1770","")</f>
        <v/>
      </c>
      <c r="L4383" s="120">
        <f>HYPERLINK("#Покупные_изделия!D427",Покупные_изделия!D427)</f>
        <v>155.53200000000001</v>
      </c>
      <c r="M4383" s="76">
        <f>J4383*L4383</f>
        <v>0.31106400000000001</v>
      </c>
      <c r="N4383" s="77"/>
      <c r="O4383" s="77"/>
      <c r="P4383" s="76"/>
      <c r="Q4383" s="76"/>
    </row>
    <row r="4384" spans="4:17" hidden="1" outlineLevel="3" x14ac:dyDescent="0.25">
      <c r="E4384" s="74" t="s">
        <v>202</v>
      </c>
      <c r="F4384" s="74"/>
      <c r="G4384" s="74"/>
      <c r="H4384" s="75"/>
      <c r="I4384" s="76"/>
      <c r="J4384" s="78">
        <f>HYPERLINK("#Структура!E1771",Структура!E1771)</f>
        <v>6.0000000000000001E-3</v>
      </c>
      <c r="K4384" s="114" t="str">
        <f>HYPERLINK("#Структура!G1771","")</f>
        <v/>
      </c>
      <c r="L4384" s="120">
        <f>HYPERLINK("#Покупные_изделия!D521",Покупные_изделия!D521)</f>
        <v>462.99599999999998</v>
      </c>
      <c r="M4384" s="76">
        <f>J4384*L4384</f>
        <v>2.7779759999999998</v>
      </c>
      <c r="N4384" s="77"/>
      <c r="O4384" s="77"/>
      <c r="P4384" s="76"/>
      <c r="Q4384" s="76"/>
    </row>
    <row r="4385" spans="4:17" hidden="1" outlineLevel="2" collapsed="1" x14ac:dyDescent="0.25">
      <c r="D4385" s="84" t="s">
        <v>616</v>
      </c>
      <c r="E4385" s="79"/>
      <c r="F4385" s="79"/>
      <c r="G4385" s="79"/>
      <c r="H4385" s="80"/>
      <c r="I4385" s="81"/>
      <c r="J4385" s="83">
        <f>HYPERLINK("#Структура!E37",Структура!E37)</f>
        <v>12</v>
      </c>
      <c r="K4385" s="115">
        <f>HYPERLINK("#Структура!G37",Структура!G37)</f>
        <v>6.9110000000000005E-2</v>
      </c>
      <c r="L4385" s="81">
        <f>M4385/J4385</f>
        <v>9.9824052000000023</v>
      </c>
      <c r="M4385" s="81">
        <f>SUMIF(E4386:E4390,"*",M4386:M4390)*J4385</f>
        <v>119.78886240000003</v>
      </c>
      <c r="N4385" s="124">
        <f>HYPERLINK("#Трудозатраты!B483",Трудозатраты!B483+SUMIF(E4386:E4390,"*",O4386:O4390))</f>
        <v>10.3</v>
      </c>
      <c r="O4385" s="82">
        <f>N4385*J4385</f>
        <v>123.60000000000001</v>
      </c>
      <c r="P4385" s="81">
        <f>O4385/60*(1+запас_труд)*стоимость_трудочаса</f>
        <v>4841</v>
      </c>
      <c r="Q4385" s="129">
        <f>M4385*(1+наценка_покупное)+P4385</f>
        <v>4984.7466348799999</v>
      </c>
    </row>
    <row r="4386" spans="4:17" hidden="1" outlineLevel="3" x14ac:dyDescent="0.25">
      <c r="E4386" s="74" t="s">
        <v>44</v>
      </c>
      <c r="F4386" s="74"/>
      <c r="G4386" s="74"/>
      <c r="H4386" s="75"/>
      <c r="I4386" s="76"/>
      <c r="J4386" s="78">
        <f>HYPERLINK("#Структура!E1772",Структура!E1772)</f>
        <v>2E-3</v>
      </c>
      <c r="K4386" s="114" t="str">
        <f>HYPERLINK("#Структура!G1772","")</f>
        <v/>
      </c>
      <c r="L4386" s="120">
        <f>HYPERLINK("#Покупные_изделия!D63",Покупные_изделия!D63)</f>
        <v>396.00000000000006</v>
      </c>
      <c r="M4386" s="76">
        <f>J4386*L4386</f>
        <v>0.79200000000000015</v>
      </c>
      <c r="N4386" s="77"/>
      <c r="O4386" s="77"/>
      <c r="P4386" s="76"/>
      <c r="Q4386" s="76"/>
    </row>
    <row r="4387" spans="4:17" hidden="1" outlineLevel="3" x14ac:dyDescent="0.25">
      <c r="E4387" s="74" t="s">
        <v>1175</v>
      </c>
      <c r="F4387" s="74"/>
      <c r="G4387" s="74"/>
      <c r="H4387" s="75"/>
      <c r="I4387" s="76"/>
      <c r="J4387" s="78">
        <f>HYPERLINK("#Структура!E1773",Структура!E1773)</f>
        <v>8.4000000000000005E-2</v>
      </c>
      <c r="K4387" s="114" t="str">
        <f>HYPERLINK("#Структура!G1773","")</f>
        <v/>
      </c>
      <c r="L4387" s="120">
        <f>HYPERLINK("#Покупные_изделия!D275",Покупные_изделия!D275)</f>
        <v>100</v>
      </c>
      <c r="M4387" s="76">
        <f>J4387*L4387</f>
        <v>8.4</v>
      </c>
      <c r="N4387" s="77"/>
      <c r="O4387" s="77"/>
      <c r="P4387" s="76"/>
      <c r="Q4387" s="76"/>
    </row>
    <row r="4388" spans="4:17" hidden="1" outlineLevel="3" x14ac:dyDescent="0.25">
      <c r="E4388" s="74" t="s">
        <v>139</v>
      </c>
      <c r="F4388" s="74"/>
      <c r="G4388" s="74"/>
      <c r="H4388" s="75"/>
      <c r="I4388" s="76"/>
      <c r="J4388" s="78">
        <f>HYPERLINK("#Структура!E1774",Структура!E1774)</f>
        <v>1E-3</v>
      </c>
      <c r="K4388" s="114" t="str">
        <f>HYPERLINK("#Структура!G1774","")</f>
        <v/>
      </c>
      <c r="L4388" s="120">
        <f>HYPERLINK("#Покупные_изделия!D360",Покупные_изделия!D360)</f>
        <v>171.87720000000002</v>
      </c>
      <c r="M4388" s="76">
        <f>J4388*L4388</f>
        <v>0.17187720000000001</v>
      </c>
      <c r="N4388" s="77"/>
      <c r="O4388" s="77"/>
      <c r="P4388" s="76"/>
      <c r="Q4388" s="76"/>
    </row>
    <row r="4389" spans="4:17" hidden="1" outlineLevel="3" x14ac:dyDescent="0.25">
      <c r="E4389" s="74" t="s">
        <v>156</v>
      </c>
      <c r="F4389" s="74"/>
      <c r="G4389" s="74"/>
      <c r="H4389" s="75"/>
      <c r="I4389" s="76"/>
      <c r="J4389" s="78">
        <f>HYPERLINK("#Структура!E1775",Структура!E1775)</f>
        <v>1E-3</v>
      </c>
      <c r="K4389" s="114" t="str">
        <f>HYPERLINK("#Структура!G1775","")</f>
        <v/>
      </c>
      <c r="L4389" s="120">
        <f>HYPERLINK("#Покупные_изделия!D427",Покупные_изделия!D427)</f>
        <v>155.53200000000001</v>
      </c>
      <c r="M4389" s="76">
        <f>J4389*L4389</f>
        <v>0.155532</v>
      </c>
      <c r="N4389" s="77"/>
      <c r="O4389" s="77"/>
      <c r="P4389" s="76"/>
      <c r="Q4389" s="76"/>
    </row>
    <row r="4390" spans="4:17" hidden="1" outlineLevel="3" x14ac:dyDescent="0.25">
      <c r="E4390" s="74" t="s">
        <v>202</v>
      </c>
      <c r="F4390" s="74"/>
      <c r="G4390" s="74"/>
      <c r="H4390" s="75"/>
      <c r="I4390" s="76"/>
      <c r="J4390" s="78">
        <f>HYPERLINK("#Структура!E1776",Структура!E1776)</f>
        <v>1E-3</v>
      </c>
      <c r="K4390" s="114" t="str">
        <f>HYPERLINK("#Структура!G1776","")</f>
        <v/>
      </c>
      <c r="L4390" s="120">
        <f>HYPERLINK("#Покупные_изделия!D521",Покупные_изделия!D521)</f>
        <v>462.99599999999998</v>
      </c>
      <c r="M4390" s="76">
        <f>J4390*L4390</f>
        <v>0.46299599999999996</v>
      </c>
      <c r="N4390" s="77"/>
      <c r="O4390" s="77"/>
      <c r="P4390" s="76"/>
      <c r="Q4390" s="76"/>
    </row>
    <row r="4391" spans="4:17" hidden="1" outlineLevel="2" collapsed="1" x14ac:dyDescent="0.25">
      <c r="D4391" s="84" t="s">
        <v>617</v>
      </c>
      <c r="E4391" s="79"/>
      <c r="F4391" s="79"/>
      <c r="G4391" s="79"/>
      <c r="H4391" s="80"/>
      <c r="I4391" s="81"/>
      <c r="J4391" s="83">
        <f>HYPERLINK("#Структура!E38",Структура!E38)</f>
        <v>1</v>
      </c>
      <c r="K4391" s="115">
        <f>HYPERLINK("#Структура!G38",Структура!G38)</f>
        <v>18.75817</v>
      </c>
      <c r="L4391" s="81">
        <f>M4391/J4391</f>
        <v>3038.1689760000004</v>
      </c>
      <c r="M4391" s="81">
        <f>SUMIF(E4392:E4396,"*",M4392:M4396)*J4391</f>
        <v>3038.1689760000004</v>
      </c>
      <c r="N4391" s="124">
        <f>HYPERLINK("#Трудозатраты!B484",Трудозатраты!B484+SUMIF(E4392:E4396,"*",O4392:O4396))</f>
        <v>91</v>
      </c>
      <c r="O4391" s="82">
        <f>N4391*J4391</f>
        <v>91</v>
      </c>
      <c r="P4391" s="81">
        <f>O4391/60*(1+запас_труд)*стоимость_трудочаса</f>
        <v>3564.1666666666665</v>
      </c>
      <c r="Q4391" s="129">
        <f>M4391*(1+наценка_покупное)+P4391</f>
        <v>7209.9694378666663</v>
      </c>
    </row>
    <row r="4392" spans="4:17" hidden="1" outlineLevel="3" x14ac:dyDescent="0.25">
      <c r="E4392" s="74" t="s">
        <v>65</v>
      </c>
      <c r="F4392" s="74"/>
      <c r="G4392" s="74"/>
      <c r="H4392" s="75"/>
      <c r="I4392" s="76"/>
      <c r="J4392" s="78">
        <f>HYPERLINK("#Структура!E1777",Структура!E1777)</f>
        <v>0.28799999999999998</v>
      </c>
      <c r="K4392" s="114" t="str">
        <f>HYPERLINK("#Структура!G1777","")</f>
        <v/>
      </c>
      <c r="L4392" s="120">
        <f>HYPERLINK("#Покупные_изделия!D197",Покупные_изделия!D197)</f>
        <v>264.50399999999996</v>
      </c>
      <c r="M4392" s="76">
        <f>J4392*L4392</f>
        <v>76.177151999999978</v>
      </c>
      <c r="N4392" s="77"/>
      <c r="O4392" s="77"/>
      <c r="P4392" s="76"/>
      <c r="Q4392" s="76"/>
    </row>
    <row r="4393" spans="4:17" hidden="1" outlineLevel="3" x14ac:dyDescent="0.25">
      <c r="E4393" s="74" t="s">
        <v>113</v>
      </c>
      <c r="F4393" s="74"/>
      <c r="G4393" s="74"/>
      <c r="H4393" s="75"/>
      <c r="I4393" s="76"/>
      <c r="J4393" s="78">
        <f>HYPERLINK("#Структура!E1778",Структура!E1778)</f>
        <v>22.556760000000001</v>
      </c>
      <c r="K4393" s="114" t="str">
        <f>HYPERLINK("#Структура!G1778","")</f>
        <v/>
      </c>
      <c r="L4393" s="120">
        <f>HYPERLINK("#Покупные_изделия!D286",Покупные_изделия!D286)</f>
        <v>120</v>
      </c>
      <c r="M4393" s="76">
        <f>J4393*L4393</f>
        <v>2706.8112000000001</v>
      </c>
      <c r="N4393" s="77"/>
      <c r="O4393" s="77"/>
      <c r="P4393" s="76"/>
      <c r="Q4393" s="76"/>
    </row>
    <row r="4394" spans="4:17" hidden="1" outlineLevel="3" x14ac:dyDescent="0.25">
      <c r="E4394" s="74" t="s">
        <v>155</v>
      </c>
      <c r="F4394" s="74"/>
      <c r="G4394" s="74"/>
      <c r="H4394" s="75"/>
      <c r="I4394" s="76"/>
      <c r="J4394" s="78">
        <f>HYPERLINK("#Структура!E1779",Структура!E1779)</f>
        <v>8.5999999999999993E-2</v>
      </c>
      <c r="K4394" s="114" t="str">
        <f>HYPERLINK("#Структура!G1779","")</f>
        <v/>
      </c>
      <c r="L4394" s="120">
        <f>HYPERLINK("#Покупные_изделия!D423",Покупные_изделия!D423)</f>
        <v>218.28</v>
      </c>
      <c r="M4394" s="76">
        <f>J4394*L4394</f>
        <v>18.772079999999999</v>
      </c>
      <c r="N4394" s="77"/>
      <c r="O4394" s="77"/>
      <c r="P4394" s="76"/>
      <c r="Q4394" s="76"/>
    </row>
    <row r="4395" spans="4:17" hidden="1" outlineLevel="3" x14ac:dyDescent="0.25">
      <c r="E4395" s="74" t="s">
        <v>200</v>
      </c>
      <c r="F4395" s="74"/>
      <c r="G4395" s="74"/>
      <c r="H4395" s="75"/>
      <c r="I4395" s="76"/>
      <c r="J4395" s="78">
        <f>HYPERLINK("#Структура!E1780",Структура!E1780)</f>
        <v>0.01</v>
      </c>
      <c r="K4395" s="114" t="str">
        <f>HYPERLINK("#Структура!G1780","")</f>
        <v/>
      </c>
      <c r="L4395" s="120">
        <f>HYPERLINK("#Покупные_изделия!D518",Покупные_изделия!D518)</f>
        <v>270</v>
      </c>
      <c r="M4395" s="76">
        <f>J4395*L4395</f>
        <v>2.7</v>
      </c>
      <c r="N4395" s="77"/>
      <c r="O4395" s="77"/>
      <c r="P4395" s="76"/>
      <c r="Q4395" s="76"/>
    </row>
    <row r="4396" spans="4:17" hidden="1" outlineLevel="3" x14ac:dyDescent="0.25">
      <c r="E4396" s="74" t="s">
        <v>215</v>
      </c>
      <c r="F4396" s="74"/>
      <c r="G4396" s="74"/>
      <c r="H4396" s="75"/>
      <c r="I4396" s="76"/>
      <c r="J4396" s="78">
        <f>HYPERLINK("#Структура!E1781",Структура!E1781)</f>
        <v>0.57599999999999996</v>
      </c>
      <c r="K4396" s="114" t="str">
        <f>HYPERLINK("#Структура!G1781","")</f>
        <v/>
      </c>
      <c r="L4396" s="120">
        <f>HYPERLINK("#Покупные_изделия!D567",Покупные_изделия!D567)</f>
        <v>405.74399999999997</v>
      </c>
      <c r="M4396" s="76">
        <f>J4396*L4396</f>
        <v>233.70854399999996</v>
      </c>
      <c r="N4396" s="77"/>
      <c r="O4396" s="77"/>
      <c r="P4396" s="76"/>
      <c r="Q4396" s="76"/>
    </row>
    <row r="4397" spans="4:17" hidden="1" outlineLevel="2" collapsed="1" x14ac:dyDescent="0.25">
      <c r="D4397" s="84" t="s">
        <v>618</v>
      </c>
      <c r="E4397" s="79"/>
      <c r="F4397" s="79"/>
      <c r="G4397" s="79"/>
      <c r="H4397" s="80"/>
      <c r="I4397" s="81"/>
      <c r="J4397" s="83">
        <f>HYPERLINK("#Структура!E39",Структура!E39)</f>
        <v>1</v>
      </c>
      <c r="K4397" s="115">
        <f>HYPERLINK("#Структура!G39",Структура!G39)</f>
        <v>1.1409899999999999</v>
      </c>
      <c r="L4397" s="81">
        <f>M4397/J4397</f>
        <v>221.64960000000002</v>
      </c>
      <c r="M4397" s="81">
        <f>SUMIF(E4398,"*",M4398)*J4397</f>
        <v>221.64960000000002</v>
      </c>
      <c r="N4397" s="124">
        <f>HYPERLINK("#Трудозатраты!B485",Трудозатраты!B485+SUMIF(E4398,"*",O4398))</f>
        <v>1.8</v>
      </c>
      <c r="O4397" s="82">
        <f>N4397*J4397</f>
        <v>1.8</v>
      </c>
      <c r="P4397" s="81">
        <f>O4397/60*(1+запас_труд)*стоимость_трудочаса</f>
        <v>70.5</v>
      </c>
      <c r="Q4397" s="129">
        <f>M4397*(1+наценка_покупное)+P4397</f>
        <v>336.47952000000004</v>
      </c>
    </row>
    <row r="4398" spans="4:17" hidden="1" outlineLevel="3" x14ac:dyDescent="0.25">
      <c r="E4398" s="74" t="s">
        <v>128</v>
      </c>
      <c r="F4398" s="74"/>
      <c r="G4398" s="74"/>
      <c r="H4398" s="75"/>
      <c r="I4398" s="76"/>
      <c r="J4398" s="78">
        <f>HYPERLINK("#Структура!E1782",Структура!E1782)</f>
        <v>1.38531</v>
      </c>
      <c r="K4398" s="114" t="str">
        <f>HYPERLINK("#Структура!G1782","")</f>
        <v/>
      </c>
      <c r="L4398" s="120">
        <f>HYPERLINK("#Покупные_изделия!D303",Покупные_изделия!D303)</f>
        <v>160</v>
      </c>
      <c r="M4398" s="76">
        <f>J4398*L4398</f>
        <v>221.64960000000002</v>
      </c>
      <c r="N4398" s="77"/>
      <c r="O4398" s="77"/>
      <c r="P4398" s="76"/>
      <c r="Q4398" s="76"/>
    </row>
    <row r="4399" spans="4:17" hidden="1" outlineLevel="2" collapsed="1" x14ac:dyDescent="0.25">
      <c r="D4399" s="84" t="s">
        <v>619</v>
      </c>
      <c r="E4399" s="79"/>
      <c r="F4399" s="79"/>
      <c r="G4399" s="79"/>
      <c r="H4399" s="80"/>
      <c r="I4399" s="81"/>
      <c r="J4399" s="83">
        <f>HYPERLINK("#Структура!E40",Структура!E40)</f>
        <v>1</v>
      </c>
      <c r="K4399" s="115">
        <f>HYPERLINK("#Структура!G40",Структура!G40)</f>
        <v>6.9165400000000004</v>
      </c>
      <c r="L4399" s="81">
        <f>M4399/J4399</f>
        <v>1065.5056</v>
      </c>
      <c r="M4399" s="81">
        <f>SUMIF(E4400,"*",M4400)*J4399</f>
        <v>1065.5056</v>
      </c>
      <c r="N4399" s="124">
        <f>HYPERLINK("#Трудозатраты!B486",Трудозатраты!B486+SUMIF(E4400,"*",O4400))</f>
        <v>3.8</v>
      </c>
      <c r="O4399" s="82">
        <f>N4399*J4399</f>
        <v>3.8</v>
      </c>
      <c r="P4399" s="81">
        <f>O4399/60*(1+запас_труд)*стоимость_трудочаса</f>
        <v>148.83333333333331</v>
      </c>
      <c r="Q4399" s="129">
        <f>M4399*(1+наценка_покупное)+P4399</f>
        <v>1427.4400533333333</v>
      </c>
    </row>
    <row r="4400" spans="4:17" hidden="1" outlineLevel="3" x14ac:dyDescent="0.25">
      <c r="E4400" s="74" t="s">
        <v>124</v>
      </c>
      <c r="F4400" s="74"/>
      <c r="G4400" s="74"/>
      <c r="H4400" s="75"/>
      <c r="I4400" s="76"/>
      <c r="J4400" s="78">
        <f>HYPERLINK("#Структура!E1783",Структура!E1783)</f>
        <v>6.6594100000000003</v>
      </c>
      <c r="K4400" s="114" t="str">
        <f>HYPERLINK("#Структура!G1783","")</f>
        <v/>
      </c>
      <c r="L4400" s="120">
        <f>HYPERLINK("#Покупные_изделия!D299",Покупные_изделия!D299)</f>
        <v>160</v>
      </c>
      <c r="M4400" s="76">
        <f t="shared" ref="M4400:M4405" si="164">J4400*L4400</f>
        <v>1065.5056</v>
      </c>
      <c r="N4400" s="77"/>
      <c r="O4400" s="77"/>
      <c r="P4400" s="76"/>
      <c r="Q4400" s="76"/>
    </row>
    <row r="4401" spans="3:17" hidden="1" outlineLevel="2" x14ac:dyDescent="0.25">
      <c r="D4401" s="74" t="s">
        <v>621</v>
      </c>
      <c r="E4401" s="74"/>
      <c r="F4401" s="74"/>
      <c r="G4401" s="74"/>
      <c r="H4401" s="75"/>
      <c r="I4401" s="76"/>
      <c r="J4401" s="78">
        <f>HYPERLINK("#Структура!E41",Структура!E41)</f>
        <v>1350</v>
      </c>
      <c r="K4401" s="114">
        <f>HYPERLINK("#Структура!G41",Структура!G41)</f>
        <v>4.6600000000000003E-2</v>
      </c>
      <c r="L4401" s="120">
        <f>HYPERLINK("#Покупные_изделия!D76",Покупные_изделия!D76)</f>
        <v>47.4</v>
      </c>
      <c r="M4401" s="76">
        <f t="shared" si="164"/>
        <v>63990</v>
      </c>
      <c r="N4401" s="77"/>
      <c r="O4401" s="77"/>
      <c r="P4401" s="76"/>
      <c r="Q4401" s="76"/>
    </row>
    <row r="4402" spans="3:17" hidden="1" outlineLevel="2" x14ac:dyDescent="0.25">
      <c r="D4402" s="74" t="s">
        <v>622</v>
      </c>
      <c r="E4402" s="74"/>
      <c r="F4402" s="74"/>
      <c r="G4402" s="74"/>
      <c r="H4402" s="75"/>
      <c r="I4402" s="76"/>
      <c r="J4402" s="78">
        <f>HYPERLINK("#Структура!E42",Структура!E42)</f>
        <v>64</v>
      </c>
      <c r="K4402" s="114">
        <f>HYPERLINK("#Структура!G42",Структура!G42)</f>
        <v>1.52E-2</v>
      </c>
      <c r="L4402" s="120">
        <f>HYPERLINK("#Покупные_изделия!D85",Покупные_изделия!D85)</f>
        <v>8.6999999999999993</v>
      </c>
      <c r="M4402" s="76">
        <f t="shared" si="164"/>
        <v>556.79999999999995</v>
      </c>
      <c r="N4402" s="77"/>
      <c r="O4402" s="77"/>
      <c r="P4402" s="76"/>
      <c r="Q4402" s="76"/>
    </row>
    <row r="4403" spans="3:17" hidden="1" outlineLevel="2" x14ac:dyDescent="0.25">
      <c r="D4403" s="74" t="s">
        <v>623</v>
      </c>
      <c r="E4403" s="74"/>
      <c r="F4403" s="74"/>
      <c r="G4403" s="74"/>
      <c r="H4403" s="75"/>
      <c r="I4403" s="76"/>
      <c r="J4403" s="78">
        <f>HYPERLINK("#Структура!E43",Структура!E43)</f>
        <v>1200</v>
      </c>
      <c r="K4403" s="114">
        <f>HYPERLINK("#Структура!G43",Структура!G43)</f>
        <v>1.67E-2</v>
      </c>
      <c r="L4403" s="120">
        <f>HYPERLINK("#Покупные_изделия!D86",Покупные_изделия!D86)</f>
        <v>8.7719999999999985</v>
      </c>
      <c r="M4403" s="76">
        <f t="shared" si="164"/>
        <v>10526.399999999998</v>
      </c>
      <c r="N4403" s="77"/>
      <c r="O4403" s="77"/>
      <c r="P4403" s="76"/>
      <c r="Q4403" s="76"/>
    </row>
    <row r="4404" spans="3:17" hidden="1" outlineLevel="2" x14ac:dyDescent="0.25">
      <c r="D4404" s="74" t="s">
        <v>624</v>
      </c>
      <c r="E4404" s="74"/>
      <c r="F4404" s="74"/>
      <c r="G4404" s="74"/>
      <c r="H4404" s="75"/>
      <c r="I4404" s="76"/>
      <c r="J4404" s="78">
        <f>HYPERLINK("#Структура!E44",Структура!E44)</f>
        <v>1350</v>
      </c>
      <c r="K4404" s="114">
        <f>HYPERLINK("#Структура!G44",Структура!G44)</f>
        <v>1.9900000000000001E-2</v>
      </c>
      <c r="L4404" s="120">
        <f>HYPERLINK("#Покупные_изделия!D164",Покупные_изделия!D164)</f>
        <v>8.4854776470588238</v>
      </c>
      <c r="M4404" s="76">
        <f t="shared" si="164"/>
        <v>11455.394823529412</v>
      </c>
      <c r="N4404" s="77"/>
      <c r="O4404" s="77"/>
      <c r="P4404" s="76"/>
      <c r="Q4404" s="76"/>
    </row>
    <row r="4405" spans="3:17" hidden="1" outlineLevel="2" x14ac:dyDescent="0.25">
      <c r="D4405" s="74" t="s">
        <v>625</v>
      </c>
      <c r="E4405" s="74"/>
      <c r="F4405" s="74"/>
      <c r="G4405" s="74"/>
      <c r="H4405" s="75"/>
      <c r="I4405" s="76"/>
      <c r="J4405" s="78">
        <f>HYPERLINK("#Структура!E45",Структура!E45)</f>
        <v>1264</v>
      </c>
      <c r="K4405" s="114">
        <f>HYPERLINK("#Структура!G45",Структура!G45)</f>
        <v>7.1399999999999996E-3</v>
      </c>
      <c r="L4405" s="120">
        <f>HYPERLINK("#Покупные_изделия!D168",Покупные_изделия!D168)</f>
        <v>1.9715672368421051</v>
      </c>
      <c r="M4405" s="76">
        <f t="shared" si="164"/>
        <v>2492.0609873684207</v>
      </c>
      <c r="N4405" s="77"/>
      <c r="O4405" s="77"/>
      <c r="P4405" s="76"/>
      <c r="Q4405" s="76"/>
    </row>
    <row r="4406" spans="3:17" hidden="1" outlineLevel="1" collapsed="1" x14ac:dyDescent="0.25">
      <c r="C4406" s="96" t="s">
        <v>1562</v>
      </c>
      <c r="D4406" s="91"/>
      <c r="E4406" s="91"/>
      <c r="F4406" s="91"/>
      <c r="G4406" s="91"/>
      <c r="H4406" s="92"/>
      <c r="I4406" s="93"/>
      <c r="J4406" s="95">
        <f>HYPERLINK("#Структура!E3277",Структура!E3277)</f>
        <v>1</v>
      </c>
      <c r="K4406" s="117">
        <f t="array" ref="K4406">SUMPRODUCT(IF(ISTEXT(D4407:D4453),1,0),J4407:J4453,K4407:K4453)</f>
        <v>25.455390000000001</v>
      </c>
      <c r="L4406" s="93">
        <f>M4406/J4406</f>
        <v>7026.4002984105264</v>
      </c>
      <c r="M4406" s="93">
        <f>SUMIF(D4407:D4453,"*",M4407:M4453)*J4406</f>
        <v>7026.4002984105264</v>
      </c>
      <c r="N4406" s="125">
        <f>HYPERLINK("#Трудозатраты!B871",Трудозатраты!B871+SUMIF(D4407:D4453,"*",O4407:O4453))</f>
        <v>338.9</v>
      </c>
      <c r="O4406" s="94">
        <f>N4406*J4406</f>
        <v>338.9</v>
      </c>
      <c r="P4406" s="93">
        <f>O4406/60*(1+запас_труд)*стоимость_трудочаса</f>
        <v>13273.583333333332</v>
      </c>
      <c r="Q4406" s="130">
        <f>M4406*(1+наценка_покупное)+P4406</f>
        <v>21705.263691425964</v>
      </c>
    </row>
    <row r="4407" spans="3:17" hidden="1" outlineLevel="2" collapsed="1" x14ac:dyDescent="0.25">
      <c r="D4407" s="97" t="s">
        <v>828</v>
      </c>
      <c r="E4407" s="98"/>
      <c r="F4407" s="98"/>
      <c r="G4407" s="98"/>
      <c r="H4407" s="99"/>
      <c r="I4407" s="100"/>
      <c r="J4407" s="102">
        <f>HYPERLINK("#Структура!E3472",Структура!E3472)</f>
        <v>1</v>
      </c>
      <c r="K4407" s="112">
        <f>HYPERLINK("#Структура!G3472",Структура!G3472)</f>
        <v>12.59076</v>
      </c>
      <c r="L4407" s="100">
        <f>M4407/J4407</f>
        <v>3589.2184912000002</v>
      </c>
      <c r="M4407" s="100">
        <f>SUMIF(E4408:E4435,"*",M4408:M4435)*J4407</f>
        <v>3589.2184912000002</v>
      </c>
      <c r="N4407" s="122">
        <f>HYPERLINK("#Трудозатраты!B163",Трудозатраты!B163+SUMIF(E4408:E4435,"*",O4408:O4435))</f>
        <v>84.499999999999986</v>
      </c>
      <c r="O4407" s="101">
        <f>N4407*J4407</f>
        <v>84.499999999999986</v>
      </c>
      <c r="P4407" s="100">
        <f>O4407/60*(1+запас_труд)*стоимость_трудочаса</f>
        <v>3309.5833333333326</v>
      </c>
      <c r="Q4407" s="127">
        <f>M4407*(1+наценка_покупное)+P4407</f>
        <v>7616.6455227733331</v>
      </c>
    </row>
    <row r="4408" spans="3:17" hidden="1" outlineLevel="3" collapsed="1" x14ac:dyDescent="0.25">
      <c r="E4408" s="97" t="s">
        <v>827</v>
      </c>
      <c r="F4408" s="98"/>
      <c r="G4408" s="98"/>
      <c r="H4408" s="99"/>
      <c r="I4408" s="100"/>
      <c r="J4408" s="102">
        <f>HYPERLINK("#Структура!E748",Структура!E748)</f>
        <v>1</v>
      </c>
      <c r="K4408" s="112">
        <f>HYPERLINK("#Структура!G748",Структура!G748)</f>
        <v>3.7452299999999998</v>
      </c>
      <c r="L4408" s="100">
        <f>M4408/J4408</f>
        <v>1819.0092456</v>
      </c>
      <c r="M4408" s="100">
        <f>SUMIF(F4409:F4420,"*",M4409:M4420)*J4408</f>
        <v>1819.0092456</v>
      </c>
      <c r="N4408" s="122">
        <f>HYPERLINK("#Трудозатраты!B165",Трудозатраты!B165+SUMIF(F4409:F4420,"*",O4409:O4420))</f>
        <v>37.799999999999997</v>
      </c>
      <c r="O4408" s="101">
        <f>N4408*J4408</f>
        <v>37.799999999999997</v>
      </c>
      <c r="P4408" s="100">
        <f>O4408/60*(1+запас_труд)*стоимость_трудочаса</f>
        <v>1480.5</v>
      </c>
      <c r="Q4408" s="127">
        <f>M4408*(1+наценка_покупное)+P4408</f>
        <v>3663.3110947199998</v>
      </c>
    </row>
    <row r="4409" spans="3:17" hidden="1" outlineLevel="4" collapsed="1" x14ac:dyDescent="0.25">
      <c r="F4409" s="85" t="s">
        <v>831</v>
      </c>
      <c r="G4409" s="86"/>
      <c r="H4409" s="87"/>
      <c r="I4409" s="88"/>
      <c r="J4409" s="90">
        <f>HYPERLINK("#Структура!E752",Структура!E752)</f>
        <v>2</v>
      </c>
      <c r="K4409" s="113">
        <f>HYPERLINK("#Структура!G752",Структура!G752)</f>
        <v>0.92035</v>
      </c>
      <c r="L4409" s="88">
        <f>M4409/J4409</f>
        <v>138</v>
      </c>
      <c r="M4409" s="88">
        <f>SUMIF(G4410,"*",M4410)*J4409</f>
        <v>276</v>
      </c>
      <c r="N4409" s="123">
        <f>HYPERLINK("#Трудозатраты!B167",Трудозатраты!B167+SUMIF(G4410,"*",O4410))</f>
        <v>1.8</v>
      </c>
      <c r="O4409" s="89">
        <f>N4409*J4409</f>
        <v>3.6</v>
      </c>
      <c r="P4409" s="88">
        <f>O4409/60*(1+запас_труд)*стоимость_трудочаса</f>
        <v>141</v>
      </c>
      <c r="Q4409" s="128">
        <f>M4409*(1+наценка_покупное)+P4409</f>
        <v>472.2</v>
      </c>
    </row>
    <row r="4410" spans="3:17" hidden="1" outlineLevel="5" x14ac:dyDescent="0.25">
      <c r="G4410" s="74" t="s">
        <v>120</v>
      </c>
      <c r="H4410" s="75"/>
      <c r="I4410" s="76"/>
      <c r="J4410" s="78">
        <f>HYPERLINK("#Структура!E770",Структура!E770)</f>
        <v>1.1499999999999999</v>
      </c>
      <c r="K4410" s="114" t="str">
        <f>HYPERLINK("#Структура!G770","")</f>
        <v/>
      </c>
      <c r="L4410" s="120">
        <f>HYPERLINK("#Покупные_изделия!D295",Покупные_изделия!D295)</f>
        <v>120</v>
      </c>
      <c r="M4410" s="76">
        <f>J4410*L4410</f>
        <v>138</v>
      </c>
      <c r="N4410" s="77"/>
      <c r="O4410" s="77"/>
      <c r="P4410" s="76"/>
      <c r="Q4410" s="76"/>
    </row>
    <row r="4411" spans="3:17" hidden="1" outlineLevel="4" collapsed="1" x14ac:dyDescent="0.25">
      <c r="F4411" s="84" t="s">
        <v>832</v>
      </c>
      <c r="G4411" s="79"/>
      <c r="H4411" s="80"/>
      <c r="I4411" s="81"/>
      <c r="J4411" s="83">
        <f>HYPERLINK("#Структура!E753",Структура!E753)</f>
        <v>2</v>
      </c>
      <c r="K4411" s="115">
        <f>HYPERLINK("#Структура!G753",Структура!G753)</f>
        <v>1.66551</v>
      </c>
      <c r="L4411" s="81">
        <f>M4411/J4411</f>
        <v>245.99999999999997</v>
      </c>
      <c r="M4411" s="81">
        <f>SUMIF(G4412,"*",M4412)*J4411</f>
        <v>491.99999999999994</v>
      </c>
      <c r="N4411" s="124">
        <f>HYPERLINK("#Трудозатраты!B168",Трудозатраты!B168+SUMIF(G4412,"*",O4412))</f>
        <v>2.6999999999999997</v>
      </c>
      <c r="O4411" s="82">
        <f>N4411*J4411</f>
        <v>5.3999999999999995</v>
      </c>
      <c r="P4411" s="81">
        <f>O4411/60*(1+запас_труд)*стоимость_трудочаса</f>
        <v>211.5</v>
      </c>
      <c r="Q4411" s="129">
        <f>M4411*(1+наценка_покупное)+P4411</f>
        <v>801.89999999999986</v>
      </c>
    </row>
    <row r="4412" spans="3:17" hidden="1" outlineLevel="5" x14ac:dyDescent="0.25">
      <c r="G4412" s="74" t="s">
        <v>120</v>
      </c>
      <c r="H4412" s="75"/>
      <c r="I4412" s="76"/>
      <c r="J4412" s="78">
        <f>HYPERLINK("#Структура!E771",Структура!E771)</f>
        <v>2.0499999999999998</v>
      </c>
      <c r="K4412" s="114" t="str">
        <f>HYPERLINK("#Структура!G771","")</f>
        <v/>
      </c>
      <c r="L4412" s="120">
        <f>HYPERLINK("#Покупные_изделия!D295",Покупные_изделия!D295)</f>
        <v>120</v>
      </c>
      <c r="M4412" s="76">
        <f>J4412*L4412</f>
        <v>245.99999999999997</v>
      </c>
      <c r="N4412" s="77"/>
      <c r="O4412" s="77"/>
      <c r="P4412" s="76"/>
      <c r="Q4412" s="76"/>
    </row>
    <row r="4413" spans="3:17" hidden="1" outlineLevel="4" collapsed="1" x14ac:dyDescent="0.25">
      <c r="F4413" s="84" t="s">
        <v>833</v>
      </c>
      <c r="G4413" s="79"/>
      <c r="H4413" s="80"/>
      <c r="I4413" s="81"/>
      <c r="J4413" s="83">
        <f>HYPERLINK("#Структура!E754",Структура!E754)</f>
        <v>2</v>
      </c>
      <c r="K4413" s="115">
        <f>HYPERLINK("#Структура!G754",Структура!G754)</f>
        <v>1.1593800000000001</v>
      </c>
      <c r="L4413" s="81">
        <f>M4413/J4413</f>
        <v>491.99999999999994</v>
      </c>
      <c r="M4413" s="81">
        <f>SUMIF(G4414,"*",M4414)*J4413</f>
        <v>983.99999999999989</v>
      </c>
      <c r="N4413" s="124">
        <f>HYPERLINK("#Трудозатраты!B169",Трудозатраты!B169+SUMIF(G4414,"*",O4414))</f>
        <v>3.9</v>
      </c>
      <c r="O4413" s="82">
        <f>N4413*J4413</f>
        <v>7.8</v>
      </c>
      <c r="P4413" s="81">
        <f>O4413/60*(1+запас_труд)*стоимость_трудочаса</f>
        <v>305.5</v>
      </c>
      <c r="Q4413" s="129">
        <f>M4413*(1+наценка_покупное)+P4413</f>
        <v>1486.2999999999997</v>
      </c>
    </row>
    <row r="4414" spans="3:17" hidden="1" outlineLevel="5" x14ac:dyDescent="0.25">
      <c r="G4414" s="74" t="s">
        <v>120</v>
      </c>
      <c r="H4414" s="75"/>
      <c r="I4414" s="76"/>
      <c r="J4414" s="78">
        <f>HYPERLINK("#Структура!E772",Структура!E772)</f>
        <v>4.0999999999999996</v>
      </c>
      <c r="K4414" s="114" t="str">
        <f>HYPERLINK("#Структура!G772","")</f>
        <v/>
      </c>
      <c r="L4414" s="120">
        <f>HYPERLINK("#Покупные_изделия!D295",Покупные_изделия!D295)</f>
        <v>120</v>
      </c>
      <c r="M4414" s="76">
        <f t="shared" ref="M4414:M4420" si="165">J4414*L4414</f>
        <v>491.99999999999994</v>
      </c>
      <c r="N4414" s="77"/>
      <c r="O4414" s="77"/>
      <c r="P4414" s="76"/>
      <c r="Q4414" s="76"/>
    </row>
    <row r="4415" spans="3:17" hidden="1" outlineLevel="4" x14ac:dyDescent="0.25">
      <c r="F4415" s="74" t="s">
        <v>44</v>
      </c>
      <c r="G4415" s="74"/>
      <c r="H4415" s="75"/>
      <c r="I4415" s="76"/>
      <c r="J4415" s="78">
        <f>HYPERLINK("#Структура!E755",Структура!E755)</f>
        <v>6.5000000000000002E-2</v>
      </c>
      <c r="K4415" s="114" t="str">
        <f>HYPERLINK("#Структура!G755","")</f>
        <v/>
      </c>
      <c r="L4415" s="120">
        <f>HYPERLINK("#Покупные_изделия!D63",Покупные_изделия!D63)</f>
        <v>396.00000000000006</v>
      </c>
      <c r="M4415" s="76">
        <f t="shared" si="165"/>
        <v>25.740000000000006</v>
      </c>
      <c r="N4415" s="77"/>
      <c r="O4415" s="77"/>
      <c r="P4415" s="76"/>
      <c r="Q4415" s="76"/>
    </row>
    <row r="4416" spans="3:17" hidden="1" outlineLevel="4" x14ac:dyDescent="0.25">
      <c r="F4416" s="74" t="s">
        <v>67</v>
      </c>
      <c r="G4416" s="74"/>
      <c r="H4416" s="75"/>
      <c r="I4416" s="76"/>
      <c r="J4416" s="78">
        <f>HYPERLINK("#Структура!E756",Структура!E756)</f>
        <v>0.13700000000000001</v>
      </c>
      <c r="K4416" s="114" t="str">
        <f>HYPERLINK("#Структура!G756","")</f>
        <v/>
      </c>
      <c r="L4416" s="120">
        <f>HYPERLINK("#Покупные_изделия!D203",Покупные_изделия!D203)</f>
        <v>30.003600000000002</v>
      </c>
      <c r="M4416" s="76">
        <f t="shared" si="165"/>
        <v>4.1104932000000005</v>
      </c>
      <c r="N4416" s="77"/>
      <c r="O4416" s="77"/>
      <c r="P4416" s="76"/>
      <c r="Q4416" s="76"/>
    </row>
    <row r="4417" spans="5:17" hidden="1" outlineLevel="4" x14ac:dyDescent="0.25">
      <c r="F4417" s="74" t="s">
        <v>139</v>
      </c>
      <c r="G4417" s="74"/>
      <c r="H4417" s="75"/>
      <c r="I4417" s="76"/>
      <c r="J4417" s="78">
        <f>HYPERLINK("#Структура!E757",Структура!E757)</f>
        <v>7.0000000000000001E-3</v>
      </c>
      <c r="K4417" s="114" t="str">
        <f>HYPERLINK("#Структура!G757","")</f>
        <v/>
      </c>
      <c r="L4417" s="120">
        <f>HYPERLINK("#Покупные_изделия!D360",Покупные_изделия!D360)</f>
        <v>171.87720000000002</v>
      </c>
      <c r="M4417" s="76">
        <f t="shared" si="165"/>
        <v>1.2031404000000001</v>
      </c>
      <c r="N4417" s="77"/>
      <c r="O4417" s="77"/>
      <c r="P4417" s="76"/>
      <c r="Q4417" s="76"/>
    </row>
    <row r="4418" spans="5:17" hidden="1" outlineLevel="4" x14ac:dyDescent="0.25">
      <c r="F4418" s="74" t="s">
        <v>146</v>
      </c>
      <c r="G4418" s="74"/>
      <c r="H4418" s="75"/>
      <c r="I4418" s="76"/>
      <c r="J4418" s="78">
        <f>HYPERLINK("#Структура!E758",Структура!E758)</f>
        <v>0.09</v>
      </c>
      <c r="K4418" s="114" t="str">
        <f>HYPERLINK("#Структура!G758","")</f>
        <v/>
      </c>
      <c r="L4418" s="120">
        <f>HYPERLINK("#Покупные_изделия!D406",Покупные_изделия!D406)</f>
        <v>105.996</v>
      </c>
      <c r="M4418" s="76">
        <f t="shared" si="165"/>
        <v>9.5396399999999986</v>
      </c>
      <c r="N4418" s="77"/>
      <c r="O4418" s="77"/>
      <c r="P4418" s="76"/>
      <c r="Q4418" s="76"/>
    </row>
    <row r="4419" spans="5:17" hidden="1" outlineLevel="4" x14ac:dyDescent="0.25">
      <c r="F4419" s="74" t="s">
        <v>156</v>
      </c>
      <c r="G4419" s="74"/>
      <c r="H4419" s="75"/>
      <c r="I4419" s="76"/>
      <c r="J4419" s="78">
        <f>HYPERLINK("#Структура!E759",Структура!E759)</f>
        <v>2.1000000000000001E-2</v>
      </c>
      <c r="K4419" s="114" t="str">
        <f>HYPERLINK("#Структура!G759","")</f>
        <v/>
      </c>
      <c r="L4419" s="120">
        <f>HYPERLINK("#Покупные_изделия!D427",Покупные_изделия!D427)</f>
        <v>155.53200000000001</v>
      </c>
      <c r="M4419" s="76">
        <f t="shared" si="165"/>
        <v>3.2661720000000005</v>
      </c>
      <c r="N4419" s="77"/>
      <c r="O4419" s="77"/>
      <c r="P4419" s="76"/>
      <c r="Q4419" s="76"/>
    </row>
    <row r="4420" spans="5:17" hidden="1" outlineLevel="4" x14ac:dyDescent="0.25">
      <c r="F4420" s="74" t="s">
        <v>202</v>
      </c>
      <c r="G4420" s="74"/>
      <c r="H4420" s="75"/>
      <c r="I4420" s="76"/>
      <c r="J4420" s="78">
        <f>HYPERLINK("#Структура!E760",Структура!E760)</f>
        <v>0.05</v>
      </c>
      <c r="K4420" s="114" t="str">
        <f>HYPERLINK("#Структура!G760","")</f>
        <v/>
      </c>
      <c r="L4420" s="120">
        <f>HYPERLINK("#Покупные_изделия!D521",Покупные_изделия!D521)</f>
        <v>462.99599999999998</v>
      </c>
      <c r="M4420" s="76">
        <f t="shared" si="165"/>
        <v>23.149799999999999</v>
      </c>
      <c r="N4420" s="77"/>
      <c r="O4420" s="77"/>
      <c r="P4420" s="76"/>
      <c r="Q4420" s="76"/>
    </row>
    <row r="4421" spans="5:17" hidden="1" outlineLevel="3" collapsed="1" x14ac:dyDescent="0.25">
      <c r="E4421" s="96" t="s">
        <v>829</v>
      </c>
      <c r="F4421" s="91"/>
      <c r="G4421" s="91"/>
      <c r="H4421" s="92"/>
      <c r="I4421" s="93"/>
      <c r="J4421" s="95">
        <f>HYPERLINK("#Структура!E749",Структура!E749)</f>
        <v>1</v>
      </c>
      <c r="K4421" s="116">
        <f>HYPERLINK("#Структура!G749",Структура!G749)</f>
        <v>3.7452299999999998</v>
      </c>
      <c r="L4421" s="93">
        <f>M4421/J4421</f>
        <v>943.00924559999999</v>
      </c>
      <c r="M4421" s="93">
        <f>SUMIF(F4422:F4433,"*",M4422:M4433)*J4421</f>
        <v>943.00924559999999</v>
      </c>
      <c r="N4421" s="125">
        <f>HYPERLINK("#Трудозатраты!B166",Трудозатраты!B166+SUMIF(F4422:F4433,"*",O4422:O4433))</f>
        <v>29.4</v>
      </c>
      <c r="O4421" s="94">
        <f>N4421*J4421</f>
        <v>29.4</v>
      </c>
      <c r="P4421" s="93">
        <f>O4421/60*(1+запас_труд)*стоимость_трудочаса</f>
        <v>1151.5</v>
      </c>
      <c r="Q4421" s="130">
        <f>M4421*(1+наценка_покупное)+P4421</f>
        <v>2283.11109472</v>
      </c>
    </row>
    <row r="4422" spans="5:17" hidden="1" outlineLevel="4" collapsed="1" x14ac:dyDescent="0.25">
      <c r="F4422" s="85" t="s">
        <v>831</v>
      </c>
      <c r="G4422" s="86"/>
      <c r="H4422" s="87"/>
      <c r="I4422" s="88"/>
      <c r="J4422" s="90">
        <f>HYPERLINK("#Структура!E761",Структура!E761)</f>
        <v>1</v>
      </c>
      <c r="K4422" s="113">
        <f>HYPERLINK("#Структура!G761",Структура!G761)</f>
        <v>0.92035</v>
      </c>
      <c r="L4422" s="88">
        <f>M4422/J4422</f>
        <v>138</v>
      </c>
      <c r="M4422" s="88">
        <f>SUMIF(G4423,"*",M4423)*J4422</f>
        <v>138</v>
      </c>
      <c r="N4422" s="123">
        <f>HYPERLINK("#Трудозатраты!B167",Трудозатраты!B167+SUMIF(G4423,"*",O4423))</f>
        <v>1.8</v>
      </c>
      <c r="O4422" s="89">
        <f>N4422*J4422</f>
        <v>1.8</v>
      </c>
      <c r="P4422" s="88">
        <f>O4422/60*(1+запас_труд)*стоимость_трудочаса</f>
        <v>70.5</v>
      </c>
      <c r="Q4422" s="128">
        <f>M4422*(1+наценка_покупное)+P4422</f>
        <v>236.1</v>
      </c>
    </row>
    <row r="4423" spans="5:17" hidden="1" outlineLevel="5" x14ac:dyDescent="0.25">
      <c r="G4423" s="74" t="s">
        <v>120</v>
      </c>
      <c r="H4423" s="75"/>
      <c r="I4423" s="76"/>
      <c r="J4423" s="78">
        <f>HYPERLINK("#Структура!E770",Структура!E770)</f>
        <v>1.1499999999999999</v>
      </c>
      <c r="K4423" s="114" t="str">
        <f>HYPERLINK("#Структура!G770","")</f>
        <v/>
      </c>
      <c r="L4423" s="120">
        <f>HYPERLINK("#Покупные_изделия!D295",Покупные_изделия!D295)</f>
        <v>120</v>
      </c>
      <c r="M4423" s="76">
        <f>J4423*L4423</f>
        <v>138</v>
      </c>
      <c r="N4423" s="77"/>
      <c r="O4423" s="77"/>
      <c r="P4423" s="76"/>
      <c r="Q4423" s="76"/>
    </row>
    <row r="4424" spans="5:17" hidden="1" outlineLevel="4" collapsed="1" x14ac:dyDescent="0.25">
      <c r="F4424" s="84" t="s">
        <v>832</v>
      </c>
      <c r="G4424" s="79"/>
      <c r="H4424" s="80"/>
      <c r="I4424" s="81"/>
      <c r="J4424" s="83">
        <f>HYPERLINK("#Структура!E762",Структура!E762)</f>
        <v>1</v>
      </c>
      <c r="K4424" s="115">
        <f>HYPERLINK("#Структура!G762",Структура!G762)</f>
        <v>1.66551</v>
      </c>
      <c r="L4424" s="81">
        <f>M4424/J4424</f>
        <v>245.99999999999997</v>
      </c>
      <c r="M4424" s="81">
        <f>SUMIF(G4425,"*",M4425)*J4424</f>
        <v>245.99999999999997</v>
      </c>
      <c r="N4424" s="124">
        <f>HYPERLINK("#Трудозатраты!B168",Трудозатраты!B168+SUMIF(G4425,"*",O4425))</f>
        <v>2.6999999999999997</v>
      </c>
      <c r="O4424" s="82">
        <f>N4424*J4424</f>
        <v>2.6999999999999997</v>
      </c>
      <c r="P4424" s="81">
        <f>O4424/60*(1+запас_труд)*стоимость_трудочаса</f>
        <v>105.75</v>
      </c>
      <c r="Q4424" s="129">
        <f>M4424*(1+наценка_покупное)+P4424</f>
        <v>400.94999999999993</v>
      </c>
    </row>
    <row r="4425" spans="5:17" hidden="1" outlineLevel="5" x14ac:dyDescent="0.25">
      <c r="G4425" s="74" t="s">
        <v>120</v>
      </c>
      <c r="H4425" s="75"/>
      <c r="I4425" s="76"/>
      <c r="J4425" s="78">
        <f>HYPERLINK("#Структура!E771",Структура!E771)</f>
        <v>2.0499999999999998</v>
      </c>
      <c r="K4425" s="114" t="str">
        <f>HYPERLINK("#Структура!G771","")</f>
        <v/>
      </c>
      <c r="L4425" s="120">
        <f>HYPERLINK("#Покупные_изделия!D295",Покупные_изделия!D295)</f>
        <v>120</v>
      </c>
      <c r="M4425" s="76">
        <f>J4425*L4425</f>
        <v>245.99999999999997</v>
      </c>
      <c r="N4425" s="77"/>
      <c r="O4425" s="77"/>
      <c r="P4425" s="76"/>
      <c r="Q4425" s="76"/>
    </row>
    <row r="4426" spans="5:17" hidden="1" outlineLevel="4" collapsed="1" x14ac:dyDescent="0.25">
      <c r="F4426" s="84" t="s">
        <v>833</v>
      </c>
      <c r="G4426" s="79"/>
      <c r="H4426" s="80"/>
      <c r="I4426" s="81"/>
      <c r="J4426" s="83">
        <f>HYPERLINK("#Структура!E763",Структура!E763)</f>
        <v>1</v>
      </c>
      <c r="K4426" s="115">
        <f>HYPERLINK("#Структура!G763",Структура!G763)</f>
        <v>1.1593800000000001</v>
      </c>
      <c r="L4426" s="81">
        <f>M4426/J4426</f>
        <v>491.99999999999994</v>
      </c>
      <c r="M4426" s="81">
        <f>SUMIF(G4427,"*",M4427)*J4426</f>
        <v>491.99999999999994</v>
      </c>
      <c r="N4426" s="124">
        <f>HYPERLINK("#Трудозатраты!B169",Трудозатраты!B169+SUMIF(G4427,"*",O4427))</f>
        <v>3.9</v>
      </c>
      <c r="O4426" s="82">
        <f>N4426*J4426</f>
        <v>3.9</v>
      </c>
      <c r="P4426" s="81">
        <f>O4426/60*(1+запас_труд)*стоимость_трудочаса</f>
        <v>152.75</v>
      </c>
      <c r="Q4426" s="129">
        <f>M4426*(1+наценка_покупное)+P4426</f>
        <v>743.14999999999986</v>
      </c>
    </row>
    <row r="4427" spans="5:17" hidden="1" outlineLevel="5" x14ac:dyDescent="0.25">
      <c r="G4427" s="74" t="s">
        <v>120</v>
      </c>
      <c r="H4427" s="75"/>
      <c r="I4427" s="76"/>
      <c r="J4427" s="78">
        <f>HYPERLINK("#Структура!E772",Структура!E772)</f>
        <v>4.0999999999999996</v>
      </c>
      <c r="K4427" s="114" t="str">
        <f>HYPERLINK("#Структура!G772","")</f>
        <v/>
      </c>
      <c r="L4427" s="120">
        <f>HYPERLINK("#Покупные_изделия!D295",Покупные_изделия!D295)</f>
        <v>120</v>
      </c>
      <c r="M4427" s="76">
        <f t="shared" ref="M4427:M4433" si="166">J4427*L4427</f>
        <v>491.99999999999994</v>
      </c>
      <c r="N4427" s="77"/>
      <c r="O4427" s="77"/>
      <c r="P4427" s="76"/>
      <c r="Q4427" s="76"/>
    </row>
    <row r="4428" spans="5:17" hidden="1" outlineLevel="4" x14ac:dyDescent="0.25">
      <c r="F4428" s="74" t="s">
        <v>44</v>
      </c>
      <c r="G4428" s="74"/>
      <c r="H4428" s="75"/>
      <c r="I4428" s="76"/>
      <c r="J4428" s="78">
        <f>HYPERLINK("#Структура!E764",Структура!E764)</f>
        <v>6.5000000000000002E-2</v>
      </c>
      <c r="K4428" s="114" t="str">
        <f>HYPERLINK("#Структура!G764","")</f>
        <v/>
      </c>
      <c r="L4428" s="120">
        <f>HYPERLINK("#Покупные_изделия!D63",Покупные_изделия!D63)</f>
        <v>396.00000000000006</v>
      </c>
      <c r="M4428" s="76">
        <f t="shared" si="166"/>
        <v>25.740000000000006</v>
      </c>
      <c r="N4428" s="77"/>
      <c r="O4428" s="77"/>
      <c r="P4428" s="76"/>
      <c r="Q4428" s="76"/>
    </row>
    <row r="4429" spans="5:17" hidden="1" outlineLevel="4" x14ac:dyDescent="0.25">
      <c r="F4429" s="74" t="s">
        <v>67</v>
      </c>
      <c r="G4429" s="74"/>
      <c r="H4429" s="75"/>
      <c r="I4429" s="76"/>
      <c r="J4429" s="78">
        <f>HYPERLINK("#Структура!E765",Структура!E765)</f>
        <v>0.13700000000000001</v>
      </c>
      <c r="K4429" s="114" t="str">
        <f>HYPERLINK("#Структура!G765","")</f>
        <v/>
      </c>
      <c r="L4429" s="120">
        <f>HYPERLINK("#Покупные_изделия!D203",Покупные_изделия!D203)</f>
        <v>30.003600000000002</v>
      </c>
      <c r="M4429" s="76">
        <f t="shared" si="166"/>
        <v>4.1104932000000005</v>
      </c>
      <c r="N4429" s="77"/>
      <c r="O4429" s="77"/>
      <c r="P4429" s="76"/>
      <c r="Q4429" s="76"/>
    </row>
    <row r="4430" spans="5:17" hidden="1" outlineLevel="4" x14ac:dyDescent="0.25">
      <c r="F4430" s="74" t="s">
        <v>139</v>
      </c>
      <c r="G4430" s="74"/>
      <c r="H4430" s="75"/>
      <c r="I4430" s="76"/>
      <c r="J4430" s="78">
        <f>HYPERLINK("#Структура!E766",Структура!E766)</f>
        <v>7.0000000000000001E-3</v>
      </c>
      <c r="K4430" s="114" t="str">
        <f>HYPERLINK("#Структура!G766","")</f>
        <v/>
      </c>
      <c r="L4430" s="120">
        <f>HYPERLINK("#Покупные_изделия!D360",Покупные_изделия!D360)</f>
        <v>171.87720000000002</v>
      </c>
      <c r="M4430" s="76">
        <f t="shared" si="166"/>
        <v>1.2031404000000001</v>
      </c>
      <c r="N4430" s="77"/>
      <c r="O4430" s="77"/>
      <c r="P4430" s="76"/>
      <c r="Q4430" s="76"/>
    </row>
    <row r="4431" spans="5:17" hidden="1" outlineLevel="4" x14ac:dyDescent="0.25">
      <c r="F4431" s="74" t="s">
        <v>146</v>
      </c>
      <c r="G4431" s="74"/>
      <c r="H4431" s="75"/>
      <c r="I4431" s="76"/>
      <c r="J4431" s="78">
        <f>HYPERLINK("#Структура!E767",Структура!E767)</f>
        <v>0.09</v>
      </c>
      <c r="K4431" s="114" t="str">
        <f>HYPERLINK("#Структура!G767","")</f>
        <v/>
      </c>
      <c r="L4431" s="120">
        <f>HYPERLINK("#Покупные_изделия!D406",Покупные_изделия!D406)</f>
        <v>105.996</v>
      </c>
      <c r="M4431" s="76">
        <f t="shared" si="166"/>
        <v>9.5396399999999986</v>
      </c>
      <c r="N4431" s="77"/>
      <c r="O4431" s="77"/>
      <c r="P4431" s="76"/>
      <c r="Q4431" s="76"/>
    </row>
    <row r="4432" spans="5:17" hidden="1" outlineLevel="4" x14ac:dyDescent="0.25">
      <c r="F4432" s="74" t="s">
        <v>156</v>
      </c>
      <c r="G4432" s="74"/>
      <c r="H4432" s="75"/>
      <c r="I4432" s="76"/>
      <c r="J4432" s="78">
        <f>HYPERLINK("#Структура!E768",Структура!E768)</f>
        <v>2.1000000000000001E-2</v>
      </c>
      <c r="K4432" s="114" t="str">
        <f>HYPERLINK("#Структура!G768","")</f>
        <v/>
      </c>
      <c r="L4432" s="120">
        <f>HYPERLINK("#Покупные_изделия!D427",Покупные_изделия!D427)</f>
        <v>155.53200000000001</v>
      </c>
      <c r="M4432" s="76">
        <f t="shared" si="166"/>
        <v>3.2661720000000005</v>
      </c>
      <c r="N4432" s="77"/>
      <c r="O4432" s="77"/>
      <c r="P4432" s="76"/>
      <c r="Q4432" s="76"/>
    </row>
    <row r="4433" spans="4:17" hidden="1" outlineLevel="4" x14ac:dyDescent="0.25">
      <c r="F4433" s="74" t="s">
        <v>202</v>
      </c>
      <c r="G4433" s="74"/>
      <c r="H4433" s="75"/>
      <c r="I4433" s="76"/>
      <c r="J4433" s="78">
        <f>HYPERLINK("#Структура!E769",Структура!E769)</f>
        <v>0.05</v>
      </c>
      <c r="K4433" s="114" t="str">
        <f>HYPERLINK("#Структура!G769","")</f>
        <v/>
      </c>
      <c r="L4433" s="120">
        <f>HYPERLINK("#Покупные_изделия!D521",Покупные_изделия!D521)</f>
        <v>462.99599999999998</v>
      </c>
      <c r="M4433" s="76">
        <f t="shared" si="166"/>
        <v>23.149799999999999</v>
      </c>
      <c r="N4433" s="77"/>
      <c r="O4433" s="77"/>
      <c r="P4433" s="76"/>
      <c r="Q4433" s="76"/>
    </row>
    <row r="4434" spans="4:17" hidden="1" outlineLevel="3" collapsed="1" x14ac:dyDescent="0.25">
      <c r="E4434" s="84" t="s">
        <v>830</v>
      </c>
      <c r="F4434" s="79"/>
      <c r="G4434" s="79"/>
      <c r="H4434" s="80"/>
      <c r="I4434" s="81"/>
      <c r="J4434" s="83">
        <f>HYPERLINK("#Структура!E750",Структура!E750)</f>
        <v>1</v>
      </c>
      <c r="K4434" s="115">
        <f>HYPERLINK("#Структура!G750",Структура!G750)</f>
        <v>4.3710800000000001</v>
      </c>
      <c r="L4434" s="81">
        <f>M4434/J4434</f>
        <v>827.2</v>
      </c>
      <c r="M4434" s="81">
        <f>SUMIF(F4435,"*",M4435)*J4434</f>
        <v>827.2</v>
      </c>
      <c r="N4434" s="124">
        <f>HYPERLINK("#Трудозатраты!B164",Трудозатраты!B164+SUMIF(F4435,"*",O4435))</f>
        <v>7.3</v>
      </c>
      <c r="O4434" s="82">
        <f>N4434*J4434</f>
        <v>7.3</v>
      </c>
      <c r="P4434" s="81">
        <f>O4434/60*(1+запас_труд)*стоимость_трудочаса</f>
        <v>285.91666666666663</v>
      </c>
      <c r="Q4434" s="129">
        <f>M4434*(1+наценка_покупное)+P4434</f>
        <v>1278.5566666666666</v>
      </c>
    </row>
    <row r="4435" spans="4:17" hidden="1" outlineLevel="4" x14ac:dyDescent="0.25">
      <c r="F4435" s="74" t="s">
        <v>131</v>
      </c>
      <c r="G4435" s="74"/>
      <c r="H4435" s="75"/>
      <c r="I4435" s="76"/>
      <c r="J4435" s="78">
        <f>HYPERLINK("#Структура!E751",Структура!E751)</f>
        <v>5.17</v>
      </c>
      <c r="K4435" s="114" t="str">
        <f>HYPERLINK("#Структура!G751","")</f>
        <v/>
      </c>
      <c r="L4435" s="120">
        <f>HYPERLINK("#Покупные_изделия!D306",Покупные_изделия!D306)</f>
        <v>160</v>
      </c>
      <c r="M4435" s="76">
        <f>J4435*L4435</f>
        <v>827.2</v>
      </c>
      <c r="N4435" s="77"/>
      <c r="O4435" s="77"/>
      <c r="P4435" s="76"/>
      <c r="Q4435" s="76"/>
    </row>
    <row r="4436" spans="4:17" hidden="1" outlineLevel="2" collapsed="1" x14ac:dyDescent="0.25">
      <c r="D4436" s="84" t="s">
        <v>806</v>
      </c>
      <c r="E4436" s="79"/>
      <c r="F4436" s="79"/>
      <c r="G4436" s="79"/>
      <c r="H4436" s="80"/>
      <c r="I4436" s="81"/>
      <c r="J4436" s="83">
        <f>HYPERLINK("#Структура!E3473",Структура!E3473)</f>
        <v>1</v>
      </c>
      <c r="K4436" s="115">
        <f>HYPERLINK("#Структура!G3473",Структура!G3473)</f>
        <v>5.2122599999999997</v>
      </c>
      <c r="L4436" s="81">
        <f>M4436/J4436</f>
        <v>1624.528</v>
      </c>
      <c r="M4436" s="81">
        <f>SUMIF(E4437,"*",M4437)*J4436</f>
        <v>1624.528</v>
      </c>
      <c r="N4436" s="124">
        <f>HYPERLINK("#Трудозатраты!B140",Трудозатраты!B140+SUMIF(E4437,"*",O4437))</f>
        <v>20</v>
      </c>
      <c r="O4436" s="82">
        <f>N4436*J4436</f>
        <v>20</v>
      </c>
      <c r="P4436" s="81">
        <f>O4436/60*(1+запас_труд)*стоимость_трудочаса</f>
        <v>783.33333333333326</v>
      </c>
      <c r="Q4436" s="129">
        <f>M4436*(1+наценка_покупное)+P4436</f>
        <v>2732.7669333333333</v>
      </c>
    </row>
    <row r="4437" spans="4:17" hidden="1" outlineLevel="3" x14ac:dyDescent="0.25">
      <c r="E4437" s="74" t="s">
        <v>131</v>
      </c>
      <c r="F4437" s="74"/>
      <c r="G4437" s="74"/>
      <c r="H4437" s="75"/>
      <c r="I4437" s="76"/>
      <c r="J4437" s="78">
        <f>HYPERLINK("#Структура!E683",Структура!E683)</f>
        <v>10.1533</v>
      </c>
      <c r="K4437" s="114" t="str">
        <f>HYPERLINK("#Структура!G683","")</f>
        <v/>
      </c>
      <c r="L4437" s="120">
        <f>HYPERLINK("#Покупные_изделия!D306",Покупные_изделия!D306)</f>
        <v>160</v>
      </c>
      <c r="M4437" s="76">
        <f>J4437*L4437</f>
        <v>1624.528</v>
      </c>
      <c r="N4437" s="77"/>
      <c r="O4437" s="77"/>
      <c r="P4437" s="76"/>
      <c r="Q4437" s="76"/>
    </row>
    <row r="4438" spans="4:17" hidden="1" outlineLevel="2" collapsed="1" x14ac:dyDescent="0.25">
      <c r="D4438" s="84" t="s">
        <v>807</v>
      </c>
      <c r="E4438" s="79"/>
      <c r="F4438" s="79"/>
      <c r="G4438" s="79"/>
      <c r="H4438" s="80"/>
      <c r="I4438" s="81"/>
      <c r="J4438" s="83">
        <f>HYPERLINK("#Структура!E3474",Структура!E3474)</f>
        <v>1</v>
      </c>
      <c r="K4438" s="115">
        <f>HYPERLINK("#Структура!G3474",Структура!G3474)</f>
        <v>6.0886500000000003</v>
      </c>
      <c r="L4438" s="81">
        <f>M4438/J4438</f>
        <v>1383.7871999999998</v>
      </c>
      <c r="M4438" s="81">
        <f>SUMIF(E4439,"*",M4439)*J4438</f>
        <v>1383.7871999999998</v>
      </c>
      <c r="N4438" s="124">
        <f>HYPERLINK("#Трудозатраты!B141",Трудозатраты!B141+SUMIF(E4439,"*",O4439))</f>
        <v>20</v>
      </c>
      <c r="O4438" s="82">
        <f>N4438*J4438</f>
        <v>20</v>
      </c>
      <c r="P4438" s="81">
        <f>O4438/60*(1+запас_труд)*стоимость_трудочаса</f>
        <v>783.33333333333326</v>
      </c>
      <c r="Q4438" s="129">
        <f>M4438*(1+наценка_покупное)+P4438</f>
        <v>2443.8779733333331</v>
      </c>
    </row>
    <row r="4439" spans="4:17" hidden="1" outlineLevel="3" x14ac:dyDescent="0.25">
      <c r="E4439" s="74" t="s">
        <v>131</v>
      </c>
      <c r="F4439" s="74"/>
      <c r="G4439" s="74"/>
      <c r="H4439" s="75"/>
      <c r="I4439" s="76"/>
      <c r="J4439" s="78">
        <f>HYPERLINK("#Структура!E684",Структура!E684)</f>
        <v>8.6486699999999992</v>
      </c>
      <c r="K4439" s="114" t="str">
        <f>HYPERLINK("#Структура!G684","")</f>
        <v/>
      </c>
      <c r="L4439" s="120">
        <f>HYPERLINK("#Покупные_изделия!D306",Покупные_изделия!D306)</f>
        <v>160</v>
      </c>
      <c r="M4439" s="76">
        <f>J4439*L4439</f>
        <v>1383.7871999999998</v>
      </c>
      <c r="N4439" s="77"/>
      <c r="O4439" s="77"/>
      <c r="P4439" s="76"/>
      <c r="Q4439" s="76"/>
    </row>
    <row r="4440" spans="4:17" hidden="1" outlineLevel="2" collapsed="1" x14ac:dyDescent="0.25">
      <c r="D4440" s="84" t="s">
        <v>809</v>
      </c>
      <c r="E4440" s="79"/>
      <c r="F4440" s="79"/>
      <c r="G4440" s="79"/>
      <c r="H4440" s="80"/>
      <c r="I4440" s="81"/>
      <c r="J4440" s="83">
        <f>HYPERLINK("#Структура!E3475",Структура!E3475)</f>
        <v>4</v>
      </c>
      <c r="K4440" s="115">
        <f>HYPERLINK("#Структура!G3475",Структура!G3475)</f>
        <v>0.16059000000000001</v>
      </c>
      <c r="L4440" s="81">
        <f>M4440/J4440</f>
        <v>29.81298</v>
      </c>
      <c r="M4440" s="81">
        <f>SUMIF(E4441:E4445,"*",M4441:M4445)*J4440</f>
        <v>119.25192</v>
      </c>
      <c r="N4440" s="124">
        <f>HYPERLINK("#Трудозатраты!B143",Трудозатраты!B143+SUMIF(E4441:E4445,"*",O4441:O4445))</f>
        <v>8.1</v>
      </c>
      <c r="O4440" s="82">
        <f>N4440*J4440</f>
        <v>32.4</v>
      </c>
      <c r="P4440" s="81">
        <f>O4440/60*(1+запас_труд)*стоимость_трудочаса</f>
        <v>1268.9999999999998</v>
      </c>
      <c r="Q4440" s="129">
        <f>M4440*(1+наценка_покупное)+P4440</f>
        <v>1412.1023039999998</v>
      </c>
    </row>
    <row r="4441" spans="4:17" hidden="1" outlineLevel="3" x14ac:dyDescent="0.25">
      <c r="E4441" s="74" t="s">
        <v>65</v>
      </c>
      <c r="F4441" s="74"/>
      <c r="G4441" s="74"/>
      <c r="H4441" s="75"/>
      <c r="I4441" s="76"/>
      <c r="J4441" s="78">
        <f>HYPERLINK("#Структура!E686",Структура!E686)</f>
        <v>5.0000000000000001E-3</v>
      </c>
      <c r="K4441" s="114" t="str">
        <f>HYPERLINK("#Структура!G686","")</f>
        <v/>
      </c>
      <c r="L4441" s="120">
        <f>HYPERLINK("#Покупные_изделия!D197",Покупные_изделия!D197)</f>
        <v>264.50399999999996</v>
      </c>
      <c r="M4441" s="76">
        <f>J4441*L4441</f>
        <v>1.3225199999999999</v>
      </c>
      <c r="N4441" s="77"/>
      <c r="O4441" s="77"/>
      <c r="P4441" s="76"/>
      <c r="Q4441" s="76"/>
    </row>
    <row r="4442" spans="4:17" hidden="1" outlineLevel="3" x14ac:dyDescent="0.25">
      <c r="E4442" s="74" t="s">
        <v>107</v>
      </c>
      <c r="F4442" s="74"/>
      <c r="G4442" s="74"/>
      <c r="H4442" s="75"/>
      <c r="I4442" s="76"/>
      <c r="J4442" s="78">
        <f>HYPERLINK("#Структура!E687",Структура!E687)</f>
        <v>0.19349</v>
      </c>
      <c r="K4442" s="114" t="str">
        <f>HYPERLINK("#Структура!G687","")</f>
        <v/>
      </c>
      <c r="L4442" s="120">
        <f>HYPERLINK("#Покупные_изделия!D279",Покупные_изделия!D279)</f>
        <v>120</v>
      </c>
      <c r="M4442" s="76">
        <f>J4442*L4442</f>
        <v>23.218799999999998</v>
      </c>
      <c r="N4442" s="77"/>
      <c r="O4442" s="77"/>
      <c r="P4442" s="76"/>
      <c r="Q4442" s="76"/>
    </row>
    <row r="4443" spans="4:17" hidden="1" outlineLevel="3" x14ac:dyDescent="0.25">
      <c r="E4443" s="74" t="s">
        <v>155</v>
      </c>
      <c r="F4443" s="74"/>
      <c r="G4443" s="74"/>
      <c r="H4443" s="75"/>
      <c r="I4443" s="76"/>
      <c r="J4443" s="78">
        <f>HYPERLINK("#Структура!E688",Структура!E688)</f>
        <v>2E-3</v>
      </c>
      <c r="K4443" s="114" t="str">
        <f>HYPERLINK("#Структура!G688","")</f>
        <v/>
      </c>
      <c r="L4443" s="120">
        <f>HYPERLINK("#Покупные_изделия!D423",Покупные_изделия!D423)</f>
        <v>218.28</v>
      </c>
      <c r="M4443" s="76">
        <f>J4443*L4443</f>
        <v>0.43656</v>
      </c>
      <c r="N4443" s="77"/>
      <c r="O4443" s="77"/>
      <c r="P4443" s="76"/>
      <c r="Q4443" s="76"/>
    </row>
    <row r="4444" spans="4:17" hidden="1" outlineLevel="3" x14ac:dyDescent="0.25">
      <c r="E4444" s="74" t="s">
        <v>156</v>
      </c>
      <c r="F4444" s="74"/>
      <c r="G4444" s="74"/>
      <c r="H4444" s="75"/>
      <c r="I4444" s="76"/>
      <c r="J4444" s="78">
        <f>HYPERLINK("#Структура!E689",Структура!E689)</f>
        <v>5.0000000000000001E-3</v>
      </c>
      <c r="K4444" s="114" t="str">
        <f>HYPERLINK("#Структура!G689","")</f>
        <v/>
      </c>
      <c r="L4444" s="120">
        <f>HYPERLINK("#Покупные_изделия!D427",Покупные_изделия!D427)</f>
        <v>155.53200000000001</v>
      </c>
      <c r="M4444" s="76">
        <f>J4444*L4444</f>
        <v>0.77766000000000002</v>
      </c>
      <c r="N4444" s="77"/>
      <c r="O4444" s="77"/>
      <c r="P4444" s="76"/>
      <c r="Q4444" s="76"/>
    </row>
    <row r="4445" spans="4:17" hidden="1" outlineLevel="3" x14ac:dyDescent="0.25">
      <c r="E4445" s="74" t="s">
        <v>215</v>
      </c>
      <c r="F4445" s="74"/>
      <c r="G4445" s="74"/>
      <c r="H4445" s="75"/>
      <c r="I4445" s="76"/>
      <c r="J4445" s="78">
        <f>HYPERLINK("#Структура!E690",Структура!E690)</f>
        <v>0.01</v>
      </c>
      <c r="K4445" s="114" t="str">
        <f>HYPERLINK("#Структура!G690","")</f>
        <v/>
      </c>
      <c r="L4445" s="120">
        <f>HYPERLINK("#Покупные_изделия!D567",Покупные_изделия!D567)</f>
        <v>405.74399999999997</v>
      </c>
      <c r="M4445" s="76">
        <f>J4445*L4445</f>
        <v>4.0574399999999997</v>
      </c>
      <c r="N4445" s="77"/>
      <c r="O4445" s="77"/>
      <c r="P4445" s="76"/>
      <c r="Q4445" s="76"/>
    </row>
    <row r="4446" spans="4:17" hidden="1" outlineLevel="2" collapsed="1" x14ac:dyDescent="0.25">
      <c r="D4446" s="84" t="s">
        <v>810</v>
      </c>
      <c r="E4446" s="79"/>
      <c r="F4446" s="79"/>
      <c r="G4446" s="79"/>
      <c r="H4446" s="80"/>
      <c r="I4446" s="81"/>
      <c r="J4446" s="83">
        <f>HYPERLINK("#Структура!E3476",Структура!E3476)</f>
        <v>4</v>
      </c>
      <c r="K4446" s="115">
        <f>HYPERLINK("#Структура!G3476",Структура!G3476)</f>
        <v>9.9220000000000003E-2</v>
      </c>
      <c r="L4446" s="81">
        <f>M4446/J4446</f>
        <v>18.314052</v>
      </c>
      <c r="M4446" s="81">
        <f>SUMIF(E4447:E4451,"*",M4447:M4451)*J4446</f>
        <v>73.256208000000001</v>
      </c>
      <c r="N4446" s="124">
        <f>HYPERLINK("#Трудозатраты!B144",Трудозатраты!B144+SUMIF(E4447:E4451,"*",O4447:O4451))</f>
        <v>3.0000000000000004</v>
      </c>
      <c r="O4446" s="82">
        <f>N4446*J4446</f>
        <v>12.000000000000002</v>
      </c>
      <c r="P4446" s="81">
        <f>O4446/60*(1+запас_труд)*стоимость_трудочаса</f>
        <v>470.00000000000011</v>
      </c>
      <c r="Q4446" s="129">
        <f>M4446*(1+наценка_покупное)+P4446</f>
        <v>557.90744960000006</v>
      </c>
    </row>
    <row r="4447" spans="4:17" hidden="1" outlineLevel="3" x14ac:dyDescent="0.25">
      <c r="E4447" s="74" t="s">
        <v>65</v>
      </c>
      <c r="F4447" s="74"/>
      <c r="G4447" s="74"/>
      <c r="H4447" s="75"/>
      <c r="I4447" s="76"/>
      <c r="J4447" s="78">
        <f>HYPERLINK("#Структура!E691",Структура!E691)</f>
        <v>3.0000000000000001E-3</v>
      </c>
      <c r="K4447" s="114" t="str">
        <f>HYPERLINK("#Структура!G691","")</f>
        <v/>
      </c>
      <c r="L4447" s="120">
        <f>HYPERLINK("#Покупные_изделия!D197",Покупные_изделия!D197)</f>
        <v>264.50399999999996</v>
      </c>
      <c r="M4447" s="76">
        <f t="shared" ref="M4447:M4453" si="167">J4447*L4447</f>
        <v>0.79351199999999988</v>
      </c>
      <c r="N4447" s="77"/>
      <c r="O4447" s="77"/>
      <c r="P4447" s="76"/>
      <c r="Q4447" s="76"/>
    </row>
    <row r="4448" spans="4:17" hidden="1" outlineLevel="3" x14ac:dyDescent="0.25">
      <c r="E4448" s="74" t="s">
        <v>107</v>
      </c>
      <c r="F4448" s="74"/>
      <c r="G4448" s="74"/>
      <c r="H4448" s="75"/>
      <c r="I4448" s="76"/>
      <c r="J4448" s="78">
        <f>HYPERLINK("#Структура!E692",Структура!E692)</f>
        <v>0.12001000000000001</v>
      </c>
      <c r="K4448" s="114" t="str">
        <f>HYPERLINK("#Структура!G692","")</f>
        <v/>
      </c>
      <c r="L4448" s="120">
        <f>HYPERLINK("#Покупные_изделия!D279",Покупные_изделия!D279)</f>
        <v>120</v>
      </c>
      <c r="M4448" s="76">
        <f t="shared" si="167"/>
        <v>14.401200000000001</v>
      </c>
      <c r="N4448" s="77"/>
      <c r="O4448" s="77"/>
      <c r="P4448" s="76"/>
      <c r="Q4448" s="76"/>
    </row>
    <row r="4449" spans="3:17" hidden="1" outlineLevel="3" x14ac:dyDescent="0.25">
      <c r="E4449" s="74" t="s">
        <v>155</v>
      </c>
      <c r="F4449" s="74"/>
      <c r="G4449" s="74"/>
      <c r="H4449" s="75"/>
      <c r="I4449" s="76"/>
      <c r="J4449" s="78">
        <f>HYPERLINK("#Структура!E693",Структура!E693)</f>
        <v>1E-3</v>
      </c>
      <c r="K4449" s="114" t="str">
        <f>HYPERLINK("#Структура!G693","")</f>
        <v/>
      </c>
      <c r="L4449" s="120">
        <f>HYPERLINK("#Покупные_изделия!D423",Покупные_изделия!D423)</f>
        <v>218.28</v>
      </c>
      <c r="M4449" s="76">
        <f t="shared" si="167"/>
        <v>0.21828</v>
      </c>
      <c r="N4449" s="77"/>
      <c r="O4449" s="77"/>
      <c r="P4449" s="76"/>
      <c r="Q4449" s="76"/>
    </row>
    <row r="4450" spans="3:17" hidden="1" outlineLevel="3" x14ac:dyDescent="0.25">
      <c r="E4450" s="74" t="s">
        <v>156</v>
      </c>
      <c r="F4450" s="74"/>
      <c r="G4450" s="74"/>
      <c r="H4450" s="75"/>
      <c r="I4450" s="76"/>
      <c r="J4450" s="78">
        <f>HYPERLINK("#Структура!E694",Структура!E694)</f>
        <v>3.0000000000000001E-3</v>
      </c>
      <c r="K4450" s="114" t="str">
        <f>HYPERLINK("#Структура!G694","")</f>
        <v/>
      </c>
      <c r="L4450" s="120">
        <f>HYPERLINK("#Покупные_изделия!D427",Покупные_изделия!D427)</f>
        <v>155.53200000000001</v>
      </c>
      <c r="M4450" s="76">
        <f t="shared" si="167"/>
        <v>0.46659600000000007</v>
      </c>
      <c r="N4450" s="77"/>
      <c r="O4450" s="77"/>
      <c r="P4450" s="76"/>
      <c r="Q4450" s="76"/>
    </row>
    <row r="4451" spans="3:17" hidden="1" outlineLevel="3" x14ac:dyDescent="0.25">
      <c r="E4451" s="74" t="s">
        <v>215</v>
      </c>
      <c r="F4451" s="74"/>
      <c r="G4451" s="74"/>
      <c r="H4451" s="75"/>
      <c r="I4451" s="76"/>
      <c r="J4451" s="78">
        <f>HYPERLINK("#Структура!E695",Структура!E695)</f>
        <v>6.0000000000000001E-3</v>
      </c>
      <c r="K4451" s="114" t="str">
        <f>HYPERLINK("#Структура!G695","")</f>
        <v/>
      </c>
      <c r="L4451" s="120">
        <f>HYPERLINK("#Покупные_изделия!D567",Покупные_изделия!D567)</f>
        <v>405.74399999999997</v>
      </c>
      <c r="M4451" s="76">
        <f t="shared" si="167"/>
        <v>2.4344639999999997</v>
      </c>
      <c r="N4451" s="77"/>
      <c r="O4451" s="77"/>
      <c r="P4451" s="76"/>
      <c r="Q4451" s="76"/>
    </row>
    <row r="4452" spans="3:17" hidden="1" outlineLevel="2" x14ac:dyDescent="0.25">
      <c r="D4452" s="74" t="s">
        <v>623</v>
      </c>
      <c r="E4452" s="74"/>
      <c r="F4452" s="74"/>
      <c r="G4452" s="74"/>
      <c r="H4452" s="75"/>
      <c r="I4452" s="76"/>
      <c r="J4452" s="78">
        <f>HYPERLINK("#Структура!E3477",Структура!E3477)</f>
        <v>22</v>
      </c>
      <c r="K4452" s="114">
        <f>HYPERLINK("#Структура!G3477",Структура!G3477)</f>
        <v>1.67E-2</v>
      </c>
      <c r="L4452" s="120">
        <f>HYPERLINK("#Покупные_изделия!D86",Покупные_изделия!D86)</f>
        <v>8.7719999999999985</v>
      </c>
      <c r="M4452" s="76">
        <f t="shared" si="167"/>
        <v>192.98399999999998</v>
      </c>
      <c r="N4452" s="77"/>
      <c r="O4452" s="77"/>
      <c r="P4452" s="76"/>
      <c r="Q4452" s="76"/>
    </row>
    <row r="4453" spans="3:17" hidden="1" outlineLevel="2" x14ac:dyDescent="0.25">
      <c r="D4453" s="74" t="s">
        <v>625</v>
      </c>
      <c r="E4453" s="74"/>
      <c r="F4453" s="74"/>
      <c r="G4453" s="74"/>
      <c r="H4453" s="75"/>
      <c r="I4453" s="76"/>
      <c r="J4453" s="78">
        <f>HYPERLINK("#Структура!E3478",Структура!E3478)</f>
        <v>22</v>
      </c>
      <c r="K4453" s="114">
        <f>HYPERLINK("#Структура!G3478",Структура!G3478)</f>
        <v>7.1399999999999996E-3</v>
      </c>
      <c r="L4453" s="120">
        <f>HYPERLINK("#Покупные_изделия!D168",Покупные_изделия!D168)</f>
        <v>1.9715672368421051</v>
      </c>
      <c r="M4453" s="76">
        <f t="shared" si="167"/>
        <v>43.37447921052631</v>
      </c>
      <c r="N4453" s="77"/>
      <c r="O4453" s="77"/>
      <c r="P4453" s="76"/>
      <c r="Q4453" s="76"/>
    </row>
    <row r="4454" spans="3:17" hidden="1" outlineLevel="1" collapsed="1" x14ac:dyDescent="0.25">
      <c r="C4454" s="96" t="s">
        <v>1563</v>
      </c>
      <c r="D4454" s="91"/>
      <c r="E4454" s="91"/>
      <c r="F4454" s="91"/>
      <c r="G4454" s="91"/>
      <c r="H4454" s="92"/>
      <c r="I4454" s="93"/>
      <c r="J4454" s="95">
        <f>HYPERLINK("#Структура!E3278",Структура!E3278)</f>
        <v>1</v>
      </c>
      <c r="K4454" s="117">
        <f t="array" ref="K4454">SUMPRODUCT(IF(ISTEXT(D4455:D4497),1,0),J4455:J4497,K4455:K4497)</f>
        <v>13.241180000000002</v>
      </c>
      <c r="L4454" s="93">
        <f>M4454/J4454</f>
        <v>7613.3515667247939</v>
      </c>
      <c r="M4454" s="93">
        <f>SUMIF(D4455:D4497,"*",M4455:M4497)*J4454</f>
        <v>7613.3515667247939</v>
      </c>
      <c r="N4454" s="125">
        <f>HYPERLINK("#Трудозатраты!B872",Трудозатраты!B872+SUMIF(D4455:D4497,"*",O4455:O4497))</f>
        <v>2260.5</v>
      </c>
      <c r="O4454" s="94">
        <f>N4454*J4454</f>
        <v>2260.5</v>
      </c>
      <c r="P4454" s="93">
        <f>O4454/60*(1+запас_труд)*стоимость_трудочаса</f>
        <v>88536.25</v>
      </c>
      <c r="Q4454" s="130">
        <f>M4454*(1+наценка_покупное)+P4454</f>
        <v>97672.271880069748</v>
      </c>
    </row>
    <row r="4455" spans="3:17" hidden="1" outlineLevel="2" collapsed="1" x14ac:dyDescent="0.25">
      <c r="D4455" s="85" t="s">
        <v>800</v>
      </c>
      <c r="E4455" s="86"/>
      <c r="F4455" s="86"/>
      <c r="G4455" s="86"/>
      <c r="H4455" s="87"/>
      <c r="I4455" s="88"/>
      <c r="J4455" s="90">
        <f>HYPERLINK("#Структура!E3479",Структура!E3479)</f>
        <v>12</v>
      </c>
      <c r="K4455" s="113">
        <f>HYPERLINK("#Структура!G3479",Структура!G3479)</f>
        <v>0.12250999999999999</v>
      </c>
      <c r="L4455" s="88">
        <f>M4455/J4455</f>
        <v>24.207999999999998</v>
      </c>
      <c r="M4455" s="88">
        <f>SUMIF(E4456,"*",M4456)*J4455</f>
        <v>290.49599999999998</v>
      </c>
      <c r="N4455" s="123">
        <f>HYPERLINK("#Трудозатраты!B131",Трудозатраты!B131+SUMIF(E4456,"*",O4456))</f>
        <v>5.0999999999999996</v>
      </c>
      <c r="O4455" s="89">
        <f>N4455*J4455</f>
        <v>61.199999999999996</v>
      </c>
      <c r="P4455" s="88">
        <f>O4455/60*(1+запас_труд)*стоимость_трудочаса</f>
        <v>2397</v>
      </c>
      <c r="Q4455" s="128">
        <f>M4455*(1+наценка_покупное)+P4455</f>
        <v>2745.5951999999997</v>
      </c>
    </row>
    <row r="4456" spans="3:17" hidden="1" outlineLevel="3" x14ac:dyDescent="0.25">
      <c r="E4456" s="74" t="s">
        <v>130</v>
      </c>
      <c r="F4456" s="74"/>
      <c r="G4456" s="74"/>
      <c r="H4456" s="75"/>
      <c r="I4456" s="76"/>
      <c r="J4456" s="78">
        <f>HYPERLINK("#Структура!E674",Структура!E674)</f>
        <v>0.15129999999999999</v>
      </c>
      <c r="K4456" s="114" t="str">
        <f>HYPERLINK("#Структура!G674","")</f>
        <v/>
      </c>
      <c r="L4456" s="120">
        <f>HYPERLINK("#Покупные_изделия!D305",Покупные_изделия!D305)</f>
        <v>160</v>
      </c>
      <c r="M4456" s="76">
        <f>J4456*L4456</f>
        <v>24.207999999999998</v>
      </c>
      <c r="N4456" s="77"/>
      <c r="O4456" s="77"/>
      <c r="P4456" s="76"/>
      <c r="Q4456" s="76"/>
    </row>
    <row r="4457" spans="3:17" hidden="1" outlineLevel="2" collapsed="1" x14ac:dyDescent="0.25">
      <c r="D4457" s="84" t="s">
        <v>801</v>
      </c>
      <c r="E4457" s="79"/>
      <c r="F4457" s="79"/>
      <c r="G4457" s="79"/>
      <c r="H4457" s="80"/>
      <c r="I4457" s="81"/>
      <c r="J4457" s="83">
        <f>HYPERLINK("#Структура!E3480",Структура!E3480)</f>
        <v>12</v>
      </c>
      <c r="K4457" s="115">
        <f>HYPERLINK("#Структура!G3480",Структура!G3480)</f>
        <v>0.20648</v>
      </c>
      <c r="L4457" s="81">
        <f>M4457/J4457</f>
        <v>44.459200000000003</v>
      </c>
      <c r="M4457" s="81">
        <f>SUMIF(E4458,"*",M4458)*J4457</f>
        <v>533.5104</v>
      </c>
      <c r="N4457" s="124">
        <f>HYPERLINK("#Трудозатраты!B132",Трудозатраты!B132+SUMIF(E4458,"*",O4458))</f>
        <v>11</v>
      </c>
      <c r="O4457" s="82">
        <f>N4457*J4457</f>
        <v>132</v>
      </c>
      <c r="P4457" s="81">
        <f>O4457/60*(1+запас_труд)*стоимость_трудочаса</f>
        <v>5170</v>
      </c>
      <c r="Q4457" s="129">
        <f>M4457*(1+наценка_покупное)+P4457</f>
        <v>5810.2124800000001</v>
      </c>
    </row>
    <row r="4458" spans="3:17" hidden="1" outlineLevel="3" x14ac:dyDescent="0.25">
      <c r="E4458" s="74" t="s">
        <v>128</v>
      </c>
      <c r="F4458" s="74"/>
      <c r="G4458" s="74"/>
      <c r="H4458" s="75"/>
      <c r="I4458" s="76"/>
      <c r="J4458" s="78">
        <f>HYPERLINK("#Структура!E675",Структура!E675)</f>
        <v>0.27787000000000001</v>
      </c>
      <c r="K4458" s="114" t="str">
        <f>HYPERLINK("#Структура!G675","")</f>
        <v/>
      </c>
      <c r="L4458" s="120">
        <f>HYPERLINK("#Покупные_изделия!D303",Покупные_изделия!D303)</f>
        <v>160</v>
      </c>
      <c r="M4458" s="76">
        <f>J4458*L4458</f>
        <v>44.459200000000003</v>
      </c>
      <c r="N4458" s="77"/>
      <c r="O4458" s="77"/>
      <c r="P4458" s="76"/>
      <c r="Q4458" s="76"/>
    </row>
    <row r="4459" spans="3:17" hidden="1" outlineLevel="2" collapsed="1" x14ac:dyDescent="0.25">
      <c r="D4459" s="84" t="s">
        <v>802</v>
      </c>
      <c r="E4459" s="79"/>
      <c r="F4459" s="79"/>
      <c r="G4459" s="79"/>
      <c r="H4459" s="80"/>
      <c r="I4459" s="81"/>
      <c r="J4459" s="83">
        <f>HYPERLINK("#Структура!E3481",Структура!E3481)</f>
        <v>1</v>
      </c>
      <c r="K4459" s="115">
        <f>HYPERLINK("#Структура!G3481",Структура!G3481)</f>
        <v>1.389E-2</v>
      </c>
      <c r="L4459" s="81">
        <f>M4459/J4459</f>
        <v>2.6719999999999997</v>
      </c>
      <c r="M4459" s="81">
        <f>SUMIF(E4460,"*",M4460)*J4459</f>
        <v>2.6719999999999997</v>
      </c>
      <c r="N4459" s="124">
        <f>HYPERLINK("#Трудозатраты!B133",Трудозатраты!B133+SUMIF(E4460,"*",O4460))</f>
        <v>7.75</v>
      </c>
      <c r="O4459" s="82">
        <f>N4459*J4459</f>
        <v>7.75</v>
      </c>
      <c r="P4459" s="81">
        <f>O4459/60*(1+запас_труд)*стоимость_трудочаса</f>
        <v>303.54166666666669</v>
      </c>
      <c r="Q4459" s="129">
        <f>M4459*(1+наценка_покупное)+P4459</f>
        <v>306.74806666666666</v>
      </c>
    </row>
    <row r="4460" spans="3:17" hidden="1" outlineLevel="3" x14ac:dyDescent="0.25">
      <c r="E4460" s="74" t="s">
        <v>123</v>
      </c>
      <c r="F4460" s="74"/>
      <c r="G4460" s="74"/>
      <c r="H4460" s="75"/>
      <c r="I4460" s="76"/>
      <c r="J4460" s="78">
        <f>HYPERLINK("#Структура!E676",Структура!E676)</f>
        <v>1.67E-2</v>
      </c>
      <c r="K4460" s="114" t="str">
        <f>HYPERLINK("#Структура!G676","")</f>
        <v/>
      </c>
      <c r="L4460" s="120">
        <f>HYPERLINK("#Покупные_изделия!D298",Покупные_изделия!D298)</f>
        <v>160</v>
      </c>
      <c r="M4460" s="76">
        <f>J4460*L4460</f>
        <v>2.6719999999999997</v>
      </c>
      <c r="N4460" s="77"/>
      <c r="O4460" s="77"/>
      <c r="P4460" s="76"/>
      <c r="Q4460" s="76"/>
    </row>
    <row r="4461" spans="3:17" hidden="1" outlineLevel="2" collapsed="1" x14ac:dyDescent="0.25">
      <c r="D4461" s="84" t="s">
        <v>803</v>
      </c>
      <c r="E4461" s="79"/>
      <c r="F4461" s="79"/>
      <c r="G4461" s="79"/>
      <c r="H4461" s="80"/>
      <c r="I4461" s="81"/>
      <c r="J4461" s="83">
        <f>HYPERLINK("#Структура!E3482",Структура!E3482)</f>
        <v>14</v>
      </c>
      <c r="K4461" s="115">
        <f>HYPERLINK("#Структура!G3482",Структура!G3482)</f>
        <v>5.6759999999999998E-2</v>
      </c>
      <c r="L4461" s="81">
        <f>M4461/J4461</f>
        <v>51.599999999999987</v>
      </c>
      <c r="M4461" s="81">
        <f>SUMIF(E4462,"*",M4462)*J4461</f>
        <v>722.39999999999986</v>
      </c>
      <c r="N4461" s="124">
        <f>HYPERLINK("#Трудозатраты!B134",Трудозатраты!B134+SUMIF(E4462,"*",O4462))</f>
        <v>21</v>
      </c>
      <c r="O4461" s="82">
        <f>N4461*J4461</f>
        <v>294</v>
      </c>
      <c r="P4461" s="81">
        <f>O4461/60*(1+запас_труд)*стоимость_трудочаса</f>
        <v>11515</v>
      </c>
      <c r="Q4461" s="129">
        <f>M4461*(1+наценка_покупное)+P4461</f>
        <v>12381.88</v>
      </c>
    </row>
    <row r="4462" spans="3:17" hidden="1" outlineLevel="3" x14ac:dyDescent="0.25">
      <c r="E4462" s="74" t="s">
        <v>92</v>
      </c>
      <c r="F4462" s="74"/>
      <c r="G4462" s="74"/>
      <c r="H4462" s="75"/>
      <c r="I4462" s="76"/>
      <c r="J4462" s="78">
        <f>HYPERLINK("#Структура!E677",Структура!E677)</f>
        <v>0.17199999999999999</v>
      </c>
      <c r="K4462" s="114" t="str">
        <f>HYPERLINK("#Структура!G677","")</f>
        <v/>
      </c>
      <c r="L4462" s="120">
        <f>HYPERLINK("#Покупные_изделия!D261",Покупные_изделия!D261)</f>
        <v>300</v>
      </c>
      <c r="M4462" s="76">
        <f>J4462*L4462</f>
        <v>51.599999999999994</v>
      </c>
      <c r="N4462" s="77"/>
      <c r="O4462" s="77"/>
      <c r="P4462" s="76"/>
      <c r="Q4462" s="76"/>
    </row>
    <row r="4463" spans="3:17" hidden="1" outlineLevel="2" collapsed="1" x14ac:dyDescent="0.25">
      <c r="D4463" s="84" t="s">
        <v>793</v>
      </c>
      <c r="E4463" s="79"/>
      <c r="F4463" s="79"/>
      <c r="G4463" s="79"/>
      <c r="H4463" s="80"/>
      <c r="I4463" s="81"/>
      <c r="J4463" s="83">
        <f>HYPERLINK("#Структура!E3483",Структура!E3483)</f>
        <v>1</v>
      </c>
      <c r="K4463" s="115">
        <f>HYPERLINK("#Структура!G3483",Структура!G3483)</f>
        <v>6.9870000000000002E-2</v>
      </c>
      <c r="L4463" s="81">
        <f>M4463/J4463</f>
        <v>52.5</v>
      </c>
      <c r="M4463" s="81">
        <f>SUMIF(E4464,"*",M4464)*J4463</f>
        <v>52.5</v>
      </c>
      <c r="N4463" s="124">
        <f>HYPERLINK("#Трудозатраты!B135",Трудозатраты!B135+SUMIF(E4464,"*",O4464))</f>
        <v>33.75</v>
      </c>
      <c r="O4463" s="82">
        <f>N4463*J4463</f>
        <v>33.75</v>
      </c>
      <c r="P4463" s="81">
        <f>O4463/60*(1+запас_труд)*стоимость_трудочаса</f>
        <v>1321.875</v>
      </c>
      <c r="Q4463" s="129">
        <f>M4463*(1+наценка_покупное)+P4463</f>
        <v>1384.875</v>
      </c>
    </row>
    <row r="4464" spans="3:17" hidden="1" outlineLevel="3" x14ac:dyDescent="0.25">
      <c r="E4464" s="74" t="s">
        <v>92</v>
      </c>
      <c r="F4464" s="74"/>
      <c r="G4464" s="74"/>
      <c r="H4464" s="75"/>
      <c r="I4464" s="76"/>
      <c r="J4464" s="78">
        <f>HYPERLINK("#Структура!E678",Структура!E678)</f>
        <v>0.17499999999999999</v>
      </c>
      <c r="K4464" s="114" t="str">
        <f>HYPERLINK("#Структура!G678","")</f>
        <v/>
      </c>
      <c r="L4464" s="120">
        <f>HYPERLINK("#Покупные_изделия!D261",Покупные_изделия!D261)</f>
        <v>300</v>
      </c>
      <c r="M4464" s="76">
        <f>J4464*L4464</f>
        <v>52.5</v>
      </c>
      <c r="N4464" s="77"/>
      <c r="O4464" s="77"/>
      <c r="P4464" s="76"/>
      <c r="Q4464" s="76"/>
    </row>
    <row r="4465" spans="4:17" hidden="1" outlineLevel="2" collapsed="1" x14ac:dyDescent="0.25">
      <c r="D4465" s="84" t="s">
        <v>804</v>
      </c>
      <c r="E4465" s="79"/>
      <c r="F4465" s="79"/>
      <c r="G4465" s="79"/>
      <c r="H4465" s="80"/>
      <c r="I4465" s="81"/>
      <c r="J4465" s="83">
        <f>HYPERLINK("#Структура!E3484",Структура!E3484)</f>
        <v>5</v>
      </c>
      <c r="K4465" s="115">
        <f>HYPERLINK("#Структура!G3484",Структура!G3484)</f>
        <v>5.6759999999999998E-2</v>
      </c>
      <c r="L4465" s="81">
        <f>M4465/J4465</f>
        <v>51.6</v>
      </c>
      <c r="M4465" s="81">
        <f>SUMIF(E4466,"*",M4466)*J4465</f>
        <v>258</v>
      </c>
      <c r="N4465" s="124">
        <f>HYPERLINK("#Трудозатраты!B136",Трудозатраты!B136+SUMIF(E4466,"*",O4466))</f>
        <v>17</v>
      </c>
      <c r="O4465" s="82">
        <f>N4465*J4465</f>
        <v>85</v>
      </c>
      <c r="P4465" s="81">
        <f>O4465/60*(1+запас_труд)*стоимость_трудочаса</f>
        <v>3329.166666666667</v>
      </c>
      <c r="Q4465" s="129">
        <f>M4465*(1+наценка_покупное)+P4465</f>
        <v>3638.7666666666669</v>
      </c>
    </row>
    <row r="4466" spans="4:17" hidden="1" outlineLevel="3" x14ac:dyDescent="0.25">
      <c r="E4466" s="74" t="s">
        <v>92</v>
      </c>
      <c r="F4466" s="74"/>
      <c r="G4466" s="74"/>
      <c r="H4466" s="75"/>
      <c r="I4466" s="76"/>
      <c r="J4466" s="78">
        <f>HYPERLINK("#Структура!E679",Структура!E679)</f>
        <v>0.17199999999999999</v>
      </c>
      <c r="K4466" s="114" t="str">
        <f>HYPERLINK("#Структура!G679","")</f>
        <v/>
      </c>
      <c r="L4466" s="120">
        <f>HYPERLINK("#Покупные_изделия!D261",Покупные_изделия!D261)</f>
        <v>300</v>
      </c>
      <c r="M4466" s="76">
        <f>J4466*L4466</f>
        <v>51.599999999999994</v>
      </c>
      <c r="N4466" s="77"/>
      <c r="O4466" s="77"/>
      <c r="P4466" s="76"/>
      <c r="Q4466" s="76"/>
    </row>
    <row r="4467" spans="4:17" hidden="1" outlineLevel="2" collapsed="1" x14ac:dyDescent="0.25">
      <c r="D4467" s="84" t="s">
        <v>776</v>
      </c>
      <c r="E4467" s="79"/>
      <c r="F4467" s="79"/>
      <c r="G4467" s="79"/>
      <c r="H4467" s="80"/>
      <c r="I4467" s="81"/>
      <c r="J4467" s="83">
        <f>HYPERLINK("#Структура!E3485",Структура!E3485)</f>
        <v>4</v>
      </c>
      <c r="K4467" s="115">
        <f>HYPERLINK("#Структура!G3485",Структура!G3485)</f>
        <v>4.9739999999999999E-2</v>
      </c>
      <c r="L4467" s="81">
        <f>M4467/J4467</f>
        <v>72</v>
      </c>
      <c r="M4467" s="81">
        <f>SUMIF(E4468,"*",M4468)*J4467</f>
        <v>288</v>
      </c>
      <c r="N4467" s="124">
        <f>HYPERLINK("#Трудозатраты!B137",Трудозатраты!B137+SUMIF(E4468,"*",O4468))</f>
        <v>31.5</v>
      </c>
      <c r="O4467" s="82">
        <f>N4467*J4467</f>
        <v>126</v>
      </c>
      <c r="P4467" s="81">
        <f>O4467/60*(1+запас_труд)*стоимость_трудочаса</f>
        <v>4935</v>
      </c>
      <c r="Q4467" s="129">
        <f>M4467*(1+наценка_покупное)+P4467</f>
        <v>5280.6</v>
      </c>
    </row>
    <row r="4468" spans="4:17" hidden="1" outlineLevel="3" x14ac:dyDescent="0.25">
      <c r="E4468" s="74" t="s">
        <v>90</v>
      </c>
      <c r="F4468" s="74"/>
      <c r="G4468" s="74"/>
      <c r="H4468" s="75"/>
      <c r="I4468" s="76"/>
      <c r="J4468" s="78">
        <f>HYPERLINK("#Структура!E680",Структура!E680)</f>
        <v>0.24</v>
      </c>
      <c r="K4468" s="114" t="str">
        <f>HYPERLINK("#Структура!G680","")</f>
        <v/>
      </c>
      <c r="L4468" s="120">
        <f>HYPERLINK("#Покупные_изделия!D259",Покупные_изделия!D259)</f>
        <v>300</v>
      </c>
      <c r="M4468" s="76">
        <f>J4468*L4468</f>
        <v>72</v>
      </c>
      <c r="N4468" s="77"/>
      <c r="O4468" s="77"/>
      <c r="P4468" s="76"/>
      <c r="Q4468" s="76"/>
    </row>
    <row r="4469" spans="4:17" hidden="1" outlineLevel="2" collapsed="1" x14ac:dyDescent="0.25">
      <c r="D4469" s="84" t="s">
        <v>805</v>
      </c>
      <c r="E4469" s="79"/>
      <c r="F4469" s="79"/>
      <c r="G4469" s="79"/>
      <c r="H4469" s="80"/>
      <c r="I4469" s="81"/>
      <c r="J4469" s="83">
        <f>HYPERLINK("#Структура!E3486",Структура!E3486)</f>
        <v>4</v>
      </c>
      <c r="K4469" s="115">
        <f>HYPERLINK("#Структура!G3486",Структура!G3486)</f>
        <v>9.0939999999999993E-2</v>
      </c>
      <c r="L4469" s="81">
        <f>M4469/J4469</f>
        <v>20.438399999999998</v>
      </c>
      <c r="M4469" s="81">
        <f>SUMIF(E4470,"*",M4470)*J4469</f>
        <v>81.753599999999992</v>
      </c>
      <c r="N4469" s="124">
        <f>HYPERLINK("#Трудозатраты!B139",Трудозатраты!B139+SUMIF(E4470,"*",O4470))</f>
        <v>4.5999999999999996</v>
      </c>
      <c r="O4469" s="82">
        <f>N4469*J4469</f>
        <v>18.399999999999999</v>
      </c>
      <c r="P4469" s="81">
        <f>O4469/60*(1+запас_труд)*стоимость_трудочаса</f>
        <v>720.66666666666663</v>
      </c>
      <c r="Q4469" s="129">
        <f>M4469*(1+наценка_покупное)+P4469</f>
        <v>818.77098666666666</v>
      </c>
    </row>
    <row r="4470" spans="4:17" hidden="1" outlineLevel="3" x14ac:dyDescent="0.25">
      <c r="E4470" s="74" t="s">
        <v>128</v>
      </c>
      <c r="F4470" s="74"/>
      <c r="G4470" s="74"/>
      <c r="H4470" s="75"/>
      <c r="I4470" s="76"/>
      <c r="J4470" s="78">
        <f>HYPERLINK("#Структура!E682",Структура!E682)</f>
        <v>0.12773999999999999</v>
      </c>
      <c r="K4470" s="114" t="str">
        <f>HYPERLINK("#Структура!G682","")</f>
        <v/>
      </c>
      <c r="L4470" s="120">
        <f>HYPERLINK("#Покупные_изделия!D303",Покупные_изделия!D303)</f>
        <v>160</v>
      </c>
      <c r="M4470" s="76">
        <f>J4470*L4470</f>
        <v>20.438399999999998</v>
      </c>
      <c r="N4470" s="77"/>
      <c r="O4470" s="77"/>
      <c r="P4470" s="76"/>
      <c r="Q4470" s="76"/>
    </row>
    <row r="4471" spans="4:17" hidden="1" outlineLevel="2" collapsed="1" x14ac:dyDescent="0.25">
      <c r="D4471" s="84" t="s">
        <v>808</v>
      </c>
      <c r="E4471" s="79"/>
      <c r="F4471" s="79"/>
      <c r="G4471" s="79"/>
      <c r="H4471" s="80"/>
      <c r="I4471" s="81"/>
      <c r="J4471" s="83">
        <f>HYPERLINK("#Структура!E3487",Структура!E3487)</f>
        <v>48</v>
      </c>
      <c r="K4471" s="115">
        <f>HYPERLINK("#Структура!G3487",Структура!G3487)</f>
        <v>4.6330000000000003E-2</v>
      </c>
      <c r="L4471" s="81">
        <f>M4471/J4471</f>
        <v>10.3248</v>
      </c>
      <c r="M4471" s="81">
        <f>SUMIF(E4472,"*",M4472)*J4471</f>
        <v>495.59039999999999</v>
      </c>
      <c r="N4471" s="124">
        <f>HYPERLINK("#Трудозатраты!B142",Трудозатраты!B142+SUMIF(E4472,"*",O4472))</f>
        <v>2.2999999999999998</v>
      </c>
      <c r="O4471" s="82">
        <f>N4471*J4471</f>
        <v>110.39999999999999</v>
      </c>
      <c r="P4471" s="81">
        <f>O4471/60*(1+запас_труд)*стоимость_трудочаса</f>
        <v>4324</v>
      </c>
      <c r="Q4471" s="129">
        <f>M4471*(1+наценка_покупное)+P4471</f>
        <v>4918.7084800000002</v>
      </c>
    </row>
    <row r="4472" spans="4:17" hidden="1" outlineLevel="3" x14ac:dyDescent="0.25">
      <c r="E4472" s="74" t="s">
        <v>131</v>
      </c>
      <c r="F4472" s="74"/>
      <c r="G4472" s="74"/>
      <c r="H4472" s="75"/>
      <c r="I4472" s="76"/>
      <c r="J4472" s="78">
        <f>HYPERLINK("#Структура!E685",Структура!E685)</f>
        <v>6.4530000000000004E-2</v>
      </c>
      <c r="K4472" s="114" t="str">
        <f>HYPERLINK("#Структура!G685","")</f>
        <v/>
      </c>
      <c r="L4472" s="120">
        <f>HYPERLINK("#Покупные_изделия!D306",Покупные_изделия!D306)</f>
        <v>160</v>
      </c>
      <c r="M4472" s="76">
        <f>J4472*L4472</f>
        <v>10.3248</v>
      </c>
      <c r="N4472" s="77"/>
      <c r="O4472" s="77"/>
      <c r="P4472" s="76"/>
      <c r="Q4472" s="76"/>
    </row>
    <row r="4473" spans="4:17" hidden="1" outlineLevel="2" collapsed="1" x14ac:dyDescent="0.25">
      <c r="D4473" s="84" t="s">
        <v>812</v>
      </c>
      <c r="E4473" s="79"/>
      <c r="F4473" s="79"/>
      <c r="G4473" s="79"/>
      <c r="H4473" s="80"/>
      <c r="I4473" s="81"/>
      <c r="J4473" s="83">
        <f>HYPERLINK("#Структура!E3488",Структура!E3488)</f>
        <v>4</v>
      </c>
      <c r="K4473" s="115">
        <f>HYPERLINK("#Структура!G3488",Структура!G3488)</f>
        <v>0.1003</v>
      </c>
      <c r="L4473" s="81">
        <f>M4473/J4473</f>
        <v>60</v>
      </c>
      <c r="M4473" s="81">
        <f>SUMIF(E4474,"*",M4474)*J4473</f>
        <v>240</v>
      </c>
      <c r="N4473" s="124">
        <f>HYPERLINK("#Трудозатраты!B147",Трудозатраты!B147+SUMIF(E4474,"*",O4474))</f>
        <v>14</v>
      </c>
      <c r="O4473" s="82">
        <f>N4473*J4473</f>
        <v>56</v>
      </c>
      <c r="P4473" s="81">
        <f>O4473/60*(1+запас_труд)*стоимость_трудочаса</f>
        <v>2193.3333333333335</v>
      </c>
      <c r="Q4473" s="129">
        <f>M4473*(1+наценка_покупное)+P4473</f>
        <v>2481.3333333333335</v>
      </c>
    </row>
    <row r="4474" spans="4:17" hidden="1" outlineLevel="3" x14ac:dyDescent="0.25">
      <c r="E4474" s="74" t="s">
        <v>93</v>
      </c>
      <c r="F4474" s="74"/>
      <c r="G4474" s="74"/>
      <c r="H4474" s="75"/>
      <c r="I4474" s="76"/>
      <c r="J4474" s="78">
        <f>HYPERLINK("#Структура!E702",Структура!E702)</f>
        <v>0.2</v>
      </c>
      <c r="K4474" s="114" t="str">
        <f>HYPERLINK("#Структура!G702","")</f>
        <v/>
      </c>
      <c r="L4474" s="120">
        <f>HYPERLINK("#Покупные_изделия!D262",Покупные_изделия!D262)</f>
        <v>300</v>
      </c>
      <c r="M4474" s="76">
        <f>J4474*L4474</f>
        <v>60</v>
      </c>
      <c r="N4474" s="77"/>
      <c r="O4474" s="77"/>
      <c r="P4474" s="76"/>
      <c r="Q4474" s="76"/>
    </row>
    <row r="4475" spans="4:17" hidden="1" outlineLevel="2" collapsed="1" x14ac:dyDescent="0.25">
      <c r="D4475" s="84" t="s">
        <v>813</v>
      </c>
      <c r="E4475" s="79"/>
      <c r="F4475" s="79"/>
      <c r="G4475" s="79"/>
      <c r="H4475" s="80"/>
      <c r="I4475" s="81"/>
      <c r="J4475" s="83">
        <f>HYPERLINK("#Структура!E3489",Структура!E3489)</f>
        <v>4</v>
      </c>
      <c r="K4475" s="115">
        <f>HYPERLINK("#Структура!G3489",Структура!G3489)</f>
        <v>2.2460000000000001E-2</v>
      </c>
      <c r="L4475" s="81">
        <f>M4475/J4475</f>
        <v>30</v>
      </c>
      <c r="M4475" s="81">
        <f>SUMIF(E4476,"*",M4476)*J4475</f>
        <v>120</v>
      </c>
      <c r="N4475" s="124">
        <f>HYPERLINK("#Трудозатраты!B148",Трудозатраты!B148+SUMIF(E4476,"*",O4476))</f>
        <v>11</v>
      </c>
      <c r="O4475" s="82">
        <f>N4475*J4475</f>
        <v>44</v>
      </c>
      <c r="P4475" s="81">
        <f>O4475/60*(1+запас_труд)*стоимость_трудочаса</f>
        <v>1723.3333333333333</v>
      </c>
      <c r="Q4475" s="129">
        <f>M4475*(1+наценка_покупное)+P4475</f>
        <v>1867.3333333333333</v>
      </c>
    </row>
    <row r="4476" spans="4:17" hidden="1" outlineLevel="3" x14ac:dyDescent="0.25">
      <c r="E4476" s="74" t="s">
        <v>90</v>
      </c>
      <c r="F4476" s="74"/>
      <c r="G4476" s="74"/>
      <c r="H4476" s="75"/>
      <c r="I4476" s="76"/>
      <c r="J4476" s="78">
        <f>HYPERLINK("#Структура!E703",Структура!E703)</f>
        <v>0.1</v>
      </c>
      <c r="K4476" s="114" t="str">
        <f>HYPERLINK("#Структура!G703","")</f>
        <v/>
      </c>
      <c r="L4476" s="120">
        <f>HYPERLINK("#Покупные_изделия!D259",Покупные_изделия!D259)</f>
        <v>300</v>
      </c>
      <c r="M4476" s="76">
        <f>J4476*L4476</f>
        <v>30</v>
      </c>
      <c r="N4476" s="77"/>
      <c r="O4476" s="77"/>
      <c r="P4476" s="76"/>
      <c r="Q4476" s="76"/>
    </row>
    <row r="4477" spans="4:17" hidden="1" outlineLevel="2" collapsed="1" x14ac:dyDescent="0.25">
      <c r="D4477" s="84" t="s">
        <v>1574</v>
      </c>
      <c r="E4477" s="79"/>
      <c r="F4477" s="79"/>
      <c r="G4477" s="79"/>
      <c r="H4477" s="80"/>
      <c r="I4477" s="81"/>
      <c r="J4477" s="83">
        <f>HYPERLINK("#Структура!E3490",Структура!E3490)</f>
        <v>14</v>
      </c>
      <c r="K4477" s="115">
        <f>HYPERLINK("#Структура!G3490",Структура!G3490)</f>
        <v>3.8129999999999997E-2</v>
      </c>
      <c r="L4477" s="81">
        <f>M4477/J4477</f>
        <v>51.000000000000007</v>
      </c>
      <c r="M4477" s="81">
        <f>SUMIF(E4478,"*",M4478)*J4477</f>
        <v>714.00000000000011</v>
      </c>
      <c r="N4477" s="124">
        <f>HYPERLINK("#Трудозатраты!B845",Трудозатраты!B845+SUMIF(E4478,"*",O4478))</f>
        <v>25</v>
      </c>
      <c r="O4477" s="82">
        <f>N4477*J4477</f>
        <v>350</v>
      </c>
      <c r="P4477" s="81">
        <f>O4477/60*(1+запас_труд)*стоимость_трудочаса</f>
        <v>13708.333333333332</v>
      </c>
      <c r="Q4477" s="129">
        <f>M4477*(1+наценка_покупное)+P4477</f>
        <v>14565.133333333331</v>
      </c>
    </row>
    <row r="4478" spans="4:17" hidden="1" outlineLevel="3" x14ac:dyDescent="0.25">
      <c r="E4478" s="74" t="s">
        <v>92</v>
      </c>
      <c r="F4478" s="74"/>
      <c r="G4478" s="74"/>
      <c r="H4478" s="75"/>
      <c r="I4478" s="76"/>
      <c r="J4478" s="78">
        <f>HYPERLINK("#Структура!E3356",Структура!E3356)</f>
        <v>0.17</v>
      </c>
      <c r="K4478" s="114" t="str">
        <f>HYPERLINK("#Структура!G3356","")</f>
        <v/>
      </c>
      <c r="L4478" s="120">
        <f>HYPERLINK("#Покупные_изделия!D261",Покупные_изделия!D261)</f>
        <v>300</v>
      </c>
      <c r="M4478" s="76">
        <f>J4478*L4478</f>
        <v>51.000000000000007</v>
      </c>
      <c r="N4478" s="77"/>
      <c r="O4478" s="77"/>
      <c r="P4478" s="76"/>
      <c r="Q4478" s="76"/>
    </row>
    <row r="4479" spans="4:17" hidden="1" outlineLevel="2" collapsed="1" x14ac:dyDescent="0.25">
      <c r="D4479" s="84" t="s">
        <v>1575</v>
      </c>
      <c r="E4479" s="79"/>
      <c r="F4479" s="79"/>
      <c r="G4479" s="79"/>
      <c r="H4479" s="80"/>
      <c r="I4479" s="81"/>
      <c r="J4479" s="83">
        <f>HYPERLINK("#Структура!E3491",Структура!E3491)</f>
        <v>6</v>
      </c>
      <c r="K4479" s="115">
        <f>HYPERLINK("#Структура!G3491",Структура!G3491)</f>
        <v>6.6119999999999998E-2</v>
      </c>
      <c r="L4479" s="81">
        <f>M4479/J4479</f>
        <v>75</v>
      </c>
      <c r="M4479" s="81">
        <f>SUMIF(E4480,"*",M4480)*J4479</f>
        <v>450</v>
      </c>
      <c r="N4479" s="124">
        <f>HYPERLINK("#Трудозатраты!B846",Трудозатраты!B846+SUMIF(E4480,"*",O4480))</f>
        <v>29</v>
      </c>
      <c r="O4479" s="82">
        <f>N4479*J4479</f>
        <v>174</v>
      </c>
      <c r="P4479" s="81">
        <f>O4479/60*(1+запас_труд)*стоимость_трудочаса</f>
        <v>6815</v>
      </c>
      <c r="Q4479" s="129">
        <f>M4479*(1+наценка_покупное)+P4479</f>
        <v>7355</v>
      </c>
    </row>
    <row r="4480" spans="4:17" hidden="1" outlineLevel="3" x14ac:dyDescent="0.25">
      <c r="E4480" s="74" t="s">
        <v>92</v>
      </c>
      <c r="F4480" s="74"/>
      <c r="G4480" s="74"/>
      <c r="H4480" s="75"/>
      <c r="I4480" s="76"/>
      <c r="J4480" s="78">
        <f>HYPERLINK("#Структура!E3357",Структура!E3357)</f>
        <v>0.25</v>
      </c>
      <c r="K4480" s="114" t="str">
        <f>HYPERLINK("#Структура!G3357","")</f>
        <v/>
      </c>
      <c r="L4480" s="120">
        <f>HYPERLINK("#Покупные_изделия!D261",Покупные_изделия!D261)</f>
        <v>300</v>
      </c>
      <c r="M4480" s="76">
        <f>J4480*L4480</f>
        <v>75</v>
      </c>
      <c r="N4480" s="77"/>
      <c r="O4480" s="77"/>
      <c r="P4480" s="76"/>
      <c r="Q4480" s="76"/>
    </row>
    <row r="4481" spans="4:17" hidden="1" outlineLevel="2" collapsed="1" x14ac:dyDescent="0.25">
      <c r="D4481" s="84" t="s">
        <v>1576</v>
      </c>
      <c r="E4481" s="79"/>
      <c r="F4481" s="79"/>
      <c r="G4481" s="79"/>
      <c r="H4481" s="80"/>
      <c r="I4481" s="81"/>
      <c r="J4481" s="83">
        <f>HYPERLINK("#Структура!E3492",Структура!E3492)</f>
        <v>24</v>
      </c>
      <c r="K4481" s="115">
        <f>HYPERLINK("#Структура!G3492",Структура!G3492)</f>
        <v>3.7670000000000002E-2</v>
      </c>
      <c r="L4481" s="81">
        <f>M4481/J4481</f>
        <v>49.20000000000001</v>
      </c>
      <c r="M4481" s="81">
        <f>SUMIF(E4482,"*",M4482)*J4481</f>
        <v>1180.8000000000002</v>
      </c>
      <c r="N4481" s="124">
        <f>HYPERLINK("#Трудозатраты!B847",Трудозатраты!B847+SUMIF(E4482,"*",O4482))</f>
        <v>27</v>
      </c>
      <c r="O4481" s="82">
        <f>N4481*J4481</f>
        <v>648</v>
      </c>
      <c r="P4481" s="81">
        <f>O4481/60*(1+запас_труд)*стоимость_трудочаса</f>
        <v>25380</v>
      </c>
      <c r="Q4481" s="129">
        <f>M4481*(1+наценка_покупное)+P4481</f>
        <v>26796.959999999999</v>
      </c>
    </row>
    <row r="4482" spans="4:17" hidden="1" outlineLevel="3" x14ac:dyDescent="0.25">
      <c r="E4482" s="74" t="s">
        <v>92</v>
      </c>
      <c r="F4482" s="74"/>
      <c r="G4482" s="74"/>
      <c r="H4482" s="75"/>
      <c r="I4482" s="76"/>
      <c r="J4482" s="78">
        <f>HYPERLINK("#Структура!E3358",Структура!E3358)</f>
        <v>0.16400000000000001</v>
      </c>
      <c r="K4482" s="114" t="str">
        <f>HYPERLINK("#Структура!G3358","")</f>
        <v/>
      </c>
      <c r="L4482" s="120">
        <f>HYPERLINK("#Покупные_изделия!D261",Покупные_изделия!D261)</f>
        <v>300</v>
      </c>
      <c r="M4482" s="76">
        <f t="shared" ref="M4482:M4497" si="168">J4482*L4482</f>
        <v>49.2</v>
      </c>
      <c r="N4482" s="77"/>
      <c r="O4482" s="77"/>
      <c r="P4482" s="76"/>
      <c r="Q4482" s="76"/>
    </row>
    <row r="4483" spans="4:17" hidden="1" outlineLevel="2" x14ac:dyDescent="0.25">
      <c r="D4483" s="74" t="s">
        <v>1560</v>
      </c>
      <c r="E4483" s="74"/>
      <c r="F4483" s="74"/>
      <c r="G4483" s="74"/>
      <c r="H4483" s="75"/>
      <c r="I4483" s="76"/>
      <c r="J4483" s="78">
        <f>HYPERLINK("#Структура!E3493",Структура!E3493)</f>
        <v>16</v>
      </c>
      <c r="K4483" s="114">
        <f>HYPERLINK("#Структура!G3493",Структура!G3493)</f>
        <v>1.2700000000000001E-3</v>
      </c>
      <c r="L4483" s="120">
        <f>HYPERLINK("#Покупные_изделия!D148",Покупные_изделия!D148)</f>
        <v>1.26</v>
      </c>
      <c r="M4483" s="76">
        <f t="shared" si="168"/>
        <v>20.16</v>
      </c>
      <c r="N4483" s="77"/>
      <c r="O4483" s="77"/>
      <c r="P4483" s="76"/>
      <c r="Q4483" s="76"/>
    </row>
    <row r="4484" spans="4:17" hidden="1" outlineLevel="2" x14ac:dyDescent="0.25">
      <c r="D4484" s="74" t="s">
        <v>623</v>
      </c>
      <c r="E4484" s="74"/>
      <c r="F4484" s="74"/>
      <c r="G4484" s="74"/>
      <c r="H4484" s="75"/>
      <c r="I4484" s="76"/>
      <c r="J4484" s="78">
        <f>HYPERLINK("#Структура!E3494",Структура!E3494)</f>
        <v>40</v>
      </c>
      <c r="K4484" s="114">
        <f>HYPERLINK("#Структура!G3494",Структура!G3494)</f>
        <v>1.67E-2</v>
      </c>
      <c r="L4484" s="120">
        <f>HYPERLINK("#Покупные_изделия!D86",Покупные_изделия!D86)</f>
        <v>8.7719999999999985</v>
      </c>
      <c r="M4484" s="76">
        <f t="shared" si="168"/>
        <v>350.87999999999994</v>
      </c>
      <c r="N4484" s="77"/>
      <c r="O4484" s="77"/>
      <c r="P4484" s="76"/>
      <c r="Q4484" s="76"/>
    </row>
    <row r="4485" spans="4:17" hidden="1" outlineLevel="2" x14ac:dyDescent="0.25">
      <c r="D4485" s="74" t="s">
        <v>1561</v>
      </c>
      <c r="E4485" s="74"/>
      <c r="F4485" s="74"/>
      <c r="G4485" s="74"/>
      <c r="H4485" s="75"/>
      <c r="I4485" s="76"/>
      <c r="J4485" s="78">
        <f>HYPERLINK("#Структура!E3495",Структура!E3495)</f>
        <v>56</v>
      </c>
      <c r="K4485" s="114">
        <f>HYPERLINK("#Структура!G3495",Структура!G3495)</f>
        <v>5.9300000000000004E-3</v>
      </c>
      <c r="L4485" s="120">
        <f>HYPERLINK("#Покупные_изделия!D100",Покупные_изделия!D100)</f>
        <v>8.2199999999999989</v>
      </c>
      <c r="M4485" s="76">
        <f t="shared" si="168"/>
        <v>460.31999999999994</v>
      </c>
      <c r="N4485" s="77"/>
      <c r="O4485" s="77"/>
      <c r="P4485" s="76"/>
      <c r="Q4485" s="76"/>
    </row>
    <row r="4486" spans="4:17" hidden="1" outlineLevel="2" x14ac:dyDescent="0.25">
      <c r="D4486" s="74" t="s">
        <v>1602</v>
      </c>
      <c r="E4486" s="74"/>
      <c r="F4486" s="74"/>
      <c r="G4486" s="74"/>
      <c r="H4486" s="75"/>
      <c r="I4486" s="76"/>
      <c r="J4486" s="78">
        <f>HYPERLINK("#Структура!E3496",Структура!E3496)</f>
        <v>7</v>
      </c>
      <c r="K4486" s="114">
        <f>HYPERLINK("#Структура!G3496",Структура!G3496)</f>
        <v>1.12E-2</v>
      </c>
      <c r="L4486" s="120">
        <f>HYPERLINK("#Покупные_изделия!D102",Покупные_изделия!D102)</f>
        <v>9.3719999999999999</v>
      </c>
      <c r="M4486" s="76">
        <f t="shared" si="168"/>
        <v>65.603999999999999</v>
      </c>
      <c r="N4486" s="77"/>
      <c r="O4486" s="77"/>
      <c r="P4486" s="76"/>
      <c r="Q4486" s="76"/>
    </row>
    <row r="4487" spans="4:17" hidden="1" outlineLevel="2" x14ac:dyDescent="0.25">
      <c r="D4487" s="74" t="s">
        <v>1603</v>
      </c>
      <c r="E4487" s="74"/>
      <c r="F4487" s="74"/>
      <c r="G4487" s="74"/>
      <c r="H4487" s="75"/>
      <c r="I4487" s="76"/>
      <c r="J4487" s="78">
        <f>HYPERLINK("#Структура!E3497",Структура!E3497)</f>
        <v>2</v>
      </c>
      <c r="K4487" s="114">
        <f>HYPERLINK("#Структура!G3497",Структура!G3497)</f>
        <v>2.92E-2</v>
      </c>
      <c r="L4487" s="120">
        <f>HYPERLINK("#Покупные_изделия!D110",Покупные_изделия!D110)</f>
        <v>14.3</v>
      </c>
      <c r="M4487" s="76">
        <f t="shared" si="168"/>
        <v>28.6</v>
      </c>
      <c r="N4487" s="77"/>
      <c r="O4487" s="77"/>
      <c r="P4487" s="76"/>
      <c r="Q4487" s="76"/>
    </row>
    <row r="4488" spans="4:17" hidden="1" outlineLevel="2" x14ac:dyDescent="0.25">
      <c r="D4488" s="74" t="s">
        <v>1604</v>
      </c>
      <c r="E4488" s="74"/>
      <c r="F4488" s="74"/>
      <c r="G4488" s="74"/>
      <c r="H4488" s="75"/>
      <c r="I4488" s="76"/>
      <c r="J4488" s="78">
        <f>HYPERLINK("#Структура!E3498",Структура!E3498)</f>
        <v>4</v>
      </c>
      <c r="K4488" s="114">
        <f>HYPERLINK("#Структура!G3498",Структура!G3498)</f>
        <v>2.1860000000000001E-2</v>
      </c>
      <c r="L4488" s="120">
        <f>HYPERLINK("#Покупные_изделия!D89",Покупные_изделия!D89)</f>
        <v>5.5</v>
      </c>
      <c r="M4488" s="76">
        <f t="shared" si="168"/>
        <v>22</v>
      </c>
      <c r="N4488" s="77"/>
      <c r="O4488" s="77"/>
      <c r="P4488" s="76"/>
      <c r="Q4488" s="76"/>
    </row>
    <row r="4489" spans="4:17" hidden="1" outlineLevel="2" x14ac:dyDescent="0.25">
      <c r="D4489" s="74" t="s">
        <v>1605</v>
      </c>
      <c r="E4489" s="74"/>
      <c r="F4489" s="74"/>
      <c r="G4489" s="74"/>
      <c r="H4489" s="75"/>
      <c r="I4489" s="76"/>
      <c r="J4489" s="78">
        <f>HYPERLINK("#Структура!E3499",Структура!E3499)</f>
        <v>32</v>
      </c>
      <c r="K4489" s="114">
        <f>HYPERLINK("#Структура!G3499",Структура!G3499)</f>
        <v>6.4000000000000003E-3</v>
      </c>
      <c r="L4489" s="120">
        <f>HYPERLINK("#Покупные_изделия!D120",Покупные_изделия!D120)</f>
        <v>4.3680000000000003</v>
      </c>
      <c r="M4489" s="76">
        <f t="shared" si="168"/>
        <v>139.77600000000001</v>
      </c>
      <c r="N4489" s="77"/>
      <c r="O4489" s="77"/>
      <c r="P4489" s="76"/>
      <c r="Q4489" s="76"/>
    </row>
    <row r="4490" spans="4:17" hidden="1" outlineLevel="2" x14ac:dyDescent="0.25">
      <c r="D4490" s="74" t="s">
        <v>765</v>
      </c>
      <c r="E4490" s="74"/>
      <c r="F4490" s="74"/>
      <c r="G4490" s="74"/>
      <c r="H4490" s="75"/>
      <c r="I4490" s="76"/>
      <c r="J4490" s="78">
        <f>HYPERLINK("#Структура!E3500",Структура!E3500)</f>
        <v>32</v>
      </c>
      <c r="K4490" s="114">
        <f>HYPERLINK("#Структура!G3500",Структура!G3500)</f>
        <v>1.4400000000000001E-3</v>
      </c>
      <c r="L4490" s="120">
        <f>HYPERLINK("#Покупные_изделия!D187",Покупные_изделия!D187)</f>
        <v>0.5544</v>
      </c>
      <c r="M4490" s="76">
        <f t="shared" si="168"/>
        <v>17.7408</v>
      </c>
      <c r="N4490" s="77"/>
      <c r="O4490" s="77"/>
      <c r="P4490" s="76"/>
      <c r="Q4490" s="76"/>
    </row>
    <row r="4491" spans="4:17" hidden="1" outlineLevel="2" x14ac:dyDescent="0.25">
      <c r="D4491" s="74" t="s">
        <v>871</v>
      </c>
      <c r="E4491" s="74"/>
      <c r="F4491" s="74"/>
      <c r="G4491" s="74"/>
      <c r="H4491" s="75"/>
      <c r="I4491" s="76"/>
      <c r="J4491" s="78">
        <f>HYPERLINK("#Структура!E3501",Структура!E3501)</f>
        <v>66</v>
      </c>
      <c r="K4491" s="114">
        <f>HYPERLINK("#Структура!G3501",Структура!G3501)</f>
        <v>3.3E-3</v>
      </c>
      <c r="L4491" s="120">
        <f>HYPERLINK("#Покупные_изделия!D167",Покупные_изделия!D167)</f>
        <v>2.0654400000000002</v>
      </c>
      <c r="M4491" s="76">
        <f t="shared" si="168"/>
        <v>136.31904</v>
      </c>
      <c r="N4491" s="77"/>
      <c r="O4491" s="77"/>
      <c r="P4491" s="76"/>
      <c r="Q4491" s="76"/>
    </row>
    <row r="4492" spans="4:17" hidden="1" outlineLevel="2" x14ac:dyDescent="0.25">
      <c r="D4492" s="74" t="s">
        <v>625</v>
      </c>
      <c r="E4492" s="74"/>
      <c r="F4492" s="74"/>
      <c r="G4492" s="74"/>
      <c r="H4492" s="75"/>
      <c r="I4492" s="76"/>
      <c r="J4492" s="78">
        <f>HYPERLINK("#Структура!E3502",Структура!E3502)</f>
        <v>58</v>
      </c>
      <c r="K4492" s="114">
        <f>HYPERLINK("#Структура!G3502",Структура!G3502)</f>
        <v>7.1399999999999996E-3</v>
      </c>
      <c r="L4492" s="120">
        <f>HYPERLINK("#Покупные_изделия!D168",Покупные_изделия!D168)</f>
        <v>1.9715672368421051</v>
      </c>
      <c r="M4492" s="76">
        <f t="shared" si="168"/>
        <v>114.35089973684209</v>
      </c>
      <c r="N4492" s="77"/>
      <c r="O4492" s="77"/>
      <c r="P4492" s="76"/>
      <c r="Q4492" s="76"/>
    </row>
    <row r="4493" spans="4:17" hidden="1" outlineLevel="2" x14ac:dyDescent="0.25">
      <c r="D4493" s="74" t="s">
        <v>1606</v>
      </c>
      <c r="E4493" s="74"/>
      <c r="F4493" s="74"/>
      <c r="G4493" s="74"/>
      <c r="H4493" s="75"/>
      <c r="I4493" s="76"/>
      <c r="J4493" s="78">
        <f>HYPERLINK("#Структура!E3503",Структура!E3503)</f>
        <v>12</v>
      </c>
      <c r="K4493" s="114">
        <f>HYPERLINK("#Структура!G3503",Структура!G3503)</f>
        <v>2.8E-3</v>
      </c>
      <c r="L4493" s="120">
        <f>HYPERLINK("#Покупные_изделия!D536",Покупные_изделия!D536)</f>
        <v>1.1879999999999999</v>
      </c>
      <c r="M4493" s="76">
        <f t="shared" si="168"/>
        <v>14.256</v>
      </c>
      <c r="N4493" s="77"/>
      <c r="O4493" s="77"/>
      <c r="P4493" s="76"/>
      <c r="Q4493" s="76"/>
    </row>
    <row r="4494" spans="4:17" hidden="1" outlineLevel="2" x14ac:dyDescent="0.25">
      <c r="D4494" s="74" t="s">
        <v>747</v>
      </c>
      <c r="E4494" s="74"/>
      <c r="F4494" s="74"/>
      <c r="G4494" s="74"/>
      <c r="H4494" s="75"/>
      <c r="I4494" s="76"/>
      <c r="J4494" s="78">
        <f>HYPERLINK("#Структура!E3504",Структура!E3504)</f>
        <v>28</v>
      </c>
      <c r="K4494" s="114">
        <f>HYPERLINK("#Структура!G3504",Структура!G3504)</f>
        <v>6.13E-3</v>
      </c>
      <c r="L4494" s="120">
        <f>HYPERLINK("#Покупные_изделия!D537",Покупные_изделия!D537)</f>
        <v>2.8559999999999999</v>
      </c>
      <c r="M4494" s="76">
        <f t="shared" si="168"/>
        <v>79.967999999999989</v>
      </c>
      <c r="N4494" s="77"/>
      <c r="O4494" s="77"/>
      <c r="P4494" s="76"/>
      <c r="Q4494" s="76"/>
    </row>
    <row r="4495" spans="4:17" hidden="1" outlineLevel="2" x14ac:dyDescent="0.25">
      <c r="D4495" s="74" t="s">
        <v>1411</v>
      </c>
      <c r="E4495" s="74"/>
      <c r="F4495" s="74"/>
      <c r="G4495" s="74"/>
      <c r="H4495" s="75"/>
      <c r="I4495" s="76"/>
      <c r="J4495" s="78">
        <f>HYPERLINK("#Структура!E3505",Структура!E3505)</f>
        <v>48</v>
      </c>
      <c r="K4495" s="114">
        <f>HYPERLINK("#Структура!G3505",Структура!G3505)</f>
        <v>9.8999999999999999E-4</v>
      </c>
      <c r="L4495" s="120">
        <f>HYPERLINK("#Покупные_изделия!D546",Покупные_изделия!D546)</f>
        <v>1.1000000000000001</v>
      </c>
      <c r="M4495" s="76">
        <f t="shared" si="168"/>
        <v>52.800000000000004</v>
      </c>
      <c r="N4495" s="77"/>
      <c r="O4495" s="77"/>
      <c r="P4495" s="76"/>
      <c r="Q4495" s="76"/>
    </row>
    <row r="4496" spans="4:17" hidden="1" outlineLevel="2" x14ac:dyDescent="0.25">
      <c r="D4496" s="74" t="s">
        <v>737</v>
      </c>
      <c r="E4496" s="74"/>
      <c r="F4496" s="74"/>
      <c r="G4496" s="74"/>
      <c r="H4496" s="75"/>
      <c r="I4496" s="76"/>
      <c r="J4496" s="78">
        <f>HYPERLINK("#Структура!E3506",Структура!E3506)</f>
        <v>20</v>
      </c>
      <c r="K4496" s="114">
        <f>HYPERLINK("#Структура!G3506",Структура!G3506)</f>
        <v>1.73E-3</v>
      </c>
      <c r="L4496" s="120">
        <f>HYPERLINK("#Покупные_изделия!D547",Покупные_изделия!D547)</f>
        <v>1.0415213493975914</v>
      </c>
      <c r="M4496" s="76">
        <f t="shared" si="168"/>
        <v>20.830426987951828</v>
      </c>
      <c r="N4496" s="77"/>
      <c r="O4496" s="77"/>
      <c r="P4496" s="76"/>
      <c r="Q4496" s="76"/>
    </row>
    <row r="4497" spans="3:17" hidden="1" outlineLevel="2" x14ac:dyDescent="0.25">
      <c r="D4497" s="74" t="s">
        <v>159</v>
      </c>
      <c r="E4497" s="74"/>
      <c r="F4497" s="74"/>
      <c r="G4497" s="74"/>
      <c r="H4497" s="75"/>
      <c r="I4497" s="76"/>
      <c r="J4497" s="78">
        <f>HYPERLINK("#Структура!E3507",Структура!E3507)</f>
        <v>6</v>
      </c>
      <c r="K4497" s="114">
        <f>HYPERLINK("#Структура!G3507",Структура!G3507)</f>
        <v>0.10068000000000001</v>
      </c>
      <c r="L4497" s="120">
        <f>HYPERLINK("#Покупные_изделия!D430",Покупные_изделия!D430)</f>
        <v>110.004</v>
      </c>
      <c r="M4497" s="76">
        <f t="shared" si="168"/>
        <v>660.024</v>
      </c>
      <c r="N4497" s="77"/>
      <c r="O4497" s="77"/>
      <c r="P4497" s="76"/>
      <c r="Q4497" s="76"/>
    </row>
    <row r="4498" spans="3:17" hidden="1" outlineLevel="1" collapsed="1" x14ac:dyDescent="0.25">
      <c r="C4498" s="96" t="s">
        <v>587</v>
      </c>
      <c r="D4498" s="91"/>
      <c r="E4498" s="91"/>
      <c r="F4498" s="91"/>
      <c r="G4498" s="91"/>
      <c r="H4498" s="92"/>
      <c r="I4498" s="93"/>
      <c r="J4498" s="95">
        <f>HYPERLINK("#Структура!E3279",Структура!E3279)</f>
        <v>1</v>
      </c>
      <c r="K4498" s="116">
        <f>HYPERLINK("#Структура!G3279",Структура!G3279)</f>
        <v>1188.74073</v>
      </c>
      <c r="L4498" s="93">
        <f>M4498/J4498</f>
        <v>2261692.5664799996</v>
      </c>
      <c r="M4498" s="93">
        <f>SUMIF(D4499:D5032,"*",M4499:M5032)*J4498</f>
        <v>2261692.5664799996</v>
      </c>
      <c r="N4498" s="134">
        <f>'Электрика (спец.расчет)'!B9*60</f>
        <v>49200</v>
      </c>
      <c r="O4498" s="94">
        <f>N4498*J4498</f>
        <v>49200</v>
      </c>
      <c r="P4498" s="93">
        <f>O4498/60*(1+запас_труд)*стоимость_трудочаса</f>
        <v>1927000</v>
      </c>
      <c r="Q4498" s="130">
        <f>M4498*(1+наценка_покупное)+P4498</f>
        <v>4641031.0797759993</v>
      </c>
    </row>
    <row r="4499" spans="3:17" hidden="1" outlineLevel="2" collapsed="1" x14ac:dyDescent="0.25">
      <c r="D4499" s="85" t="s">
        <v>598</v>
      </c>
      <c r="E4499" s="86"/>
      <c r="F4499" s="86"/>
      <c r="G4499" s="86"/>
      <c r="H4499" s="87"/>
      <c r="I4499" s="88"/>
      <c r="J4499" s="90">
        <f>HYPERLINK("#Структура!E3280",Структура!E3280)</f>
        <v>1</v>
      </c>
      <c r="K4499" s="113">
        <f>HYPERLINK("#Структура!G3280",Структура!G3280)</f>
        <v>12.067259999999999</v>
      </c>
      <c r="L4499" s="88">
        <f>M4499/J4499</f>
        <v>14386.536</v>
      </c>
      <c r="M4499" s="88">
        <f>SUMIF(E4500:E4506,"*",M4500:M4506)*J4499</f>
        <v>14386.536</v>
      </c>
      <c r="N4499" s="123">
        <f>HYPERLINK("#Трудозатраты!B11",Трудозатраты!B11+SUMIF(E4500:E4506,"*",O4500:O4506))</f>
        <v>120</v>
      </c>
      <c r="O4499" s="89">
        <f>N4499*J4499</f>
        <v>120</v>
      </c>
      <c r="P4499" s="88">
        <f>O4499/60*(1+запас_труд)*стоимость_трудочаса</f>
        <v>4700</v>
      </c>
      <c r="Q4499" s="128">
        <f>M4499*(1+наценка_покупное)+P4499</f>
        <v>21963.843199999999</v>
      </c>
    </row>
    <row r="4500" spans="3:17" hidden="1" outlineLevel="3" x14ac:dyDescent="0.25">
      <c r="E4500" s="74" t="s">
        <v>366</v>
      </c>
      <c r="F4500" s="74"/>
      <c r="G4500" s="74"/>
      <c r="H4500" s="75"/>
      <c r="I4500" s="76"/>
      <c r="J4500" s="78">
        <f>HYPERLINK("#Структура!E14",Структура!E14)</f>
        <v>1</v>
      </c>
      <c r="K4500" s="114" t="str">
        <f>HYPERLINK("#Структура!G14","")</f>
        <v/>
      </c>
      <c r="L4500" s="120">
        <f>HYPERLINK("#Покупные_изделия!D66",Покупные_изделия!D66)</f>
        <v>3211.9955999999997</v>
      </c>
      <c r="M4500" s="76">
        <f t="shared" ref="M4500:M4506" si="169">J4500*L4500</f>
        <v>3211.9955999999997</v>
      </c>
      <c r="N4500" s="77"/>
      <c r="O4500" s="77"/>
      <c r="P4500" s="76"/>
      <c r="Q4500" s="76"/>
    </row>
    <row r="4501" spans="3:17" hidden="1" outlineLevel="3" x14ac:dyDescent="0.25">
      <c r="E4501" s="74" t="s">
        <v>367</v>
      </c>
      <c r="F4501" s="74"/>
      <c r="G4501" s="74"/>
      <c r="H4501" s="75"/>
      <c r="I4501" s="76"/>
      <c r="J4501" s="78">
        <f>HYPERLINK("#Структура!E15",Структура!E15)</f>
        <v>1</v>
      </c>
      <c r="K4501" s="114" t="str">
        <f>HYPERLINK("#Структура!G15","")</f>
        <v/>
      </c>
      <c r="L4501" s="120">
        <f>HYPERLINK("#Покупные_изделия!D67",Покупные_изделия!D67)</f>
        <v>1061.5044</v>
      </c>
      <c r="M4501" s="76">
        <f t="shared" si="169"/>
        <v>1061.5044</v>
      </c>
      <c r="N4501" s="77"/>
      <c r="O4501" s="77"/>
      <c r="P4501" s="76"/>
      <c r="Q4501" s="76"/>
    </row>
    <row r="4502" spans="3:17" hidden="1" outlineLevel="3" x14ac:dyDescent="0.25">
      <c r="E4502" s="74" t="s">
        <v>430</v>
      </c>
      <c r="F4502" s="74"/>
      <c r="G4502" s="74"/>
      <c r="H4502" s="75"/>
      <c r="I4502" s="76"/>
      <c r="J4502" s="78">
        <f>HYPERLINK("#Структура!E16",Структура!E16)</f>
        <v>1</v>
      </c>
      <c r="K4502" s="114">
        <f>HYPERLINK("#Структура!G16",Структура!G16)</f>
        <v>0.56821999999999995</v>
      </c>
      <c r="L4502" s="120">
        <f>HYPERLINK("#Покупные_изделия!D323",Покупные_изделия!D323)</f>
        <v>547.80000000000007</v>
      </c>
      <c r="M4502" s="76">
        <f t="shared" si="169"/>
        <v>547.80000000000007</v>
      </c>
      <c r="N4502" s="77"/>
      <c r="O4502" s="77"/>
      <c r="P4502" s="76"/>
      <c r="Q4502" s="76"/>
    </row>
    <row r="4503" spans="3:17" hidden="1" outlineLevel="3" x14ac:dyDescent="0.25">
      <c r="E4503" s="74" t="s">
        <v>468</v>
      </c>
      <c r="F4503" s="74"/>
      <c r="G4503" s="74"/>
      <c r="H4503" s="75"/>
      <c r="I4503" s="76"/>
      <c r="J4503" s="78">
        <f>HYPERLINK("#Структура!E17",Структура!E17)</f>
        <v>1</v>
      </c>
      <c r="K4503" s="114" t="str">
        <f>HYPERLINK("#Структура!G17","")</f>
        <v/>
      </c>
      <c r="L4503" s="120">
        <f>HYPERLINK("#Покупные_изделия!D374",Покупные_изделия!D374)</f>
        <v>7499.0039999999999</v>
      </c>
      <c r="M4503" s="76">
        <f t="shared" si="169"/>
        <v>7499.0039999999999</v>
      </c>
      <c r="N4503" s="77"/>
      <c r="O4503" s="77"/>
      <c r="P4503" s="76"/>
      <c r="Q4503" s="76"/>
    </row>
    <row r="4504" spans="3:17" hidden="1" outlineLevel="3" x14ac:dyDescent="0.25">
      <c r="E4504" s="74" t="s">
        <v>526</v>
      </c>
      <c r="F4504" s="74"/>
      <c r="G4504" s="74"/>
      <c r="H4504" s="75"/>
      <c r="I4504" s="76"/>
      <c r="J4504" s="78">
        <f>HYPERLINK("#Структура!E18",Структура!E18)</f>
        <v>1</v>
      </c>
      <c r="K4504" s="114" t="str">
        <f>HYPERLINK("#Структура!G18","")</f>
        <v/>
      </c>
      <c r="L4504" s="120">
        <f>HYPERLINK("#Покупные_изделия!D473",Покупные_изделия!D473)</f>
        <v>1299</v>
      </c>
      <c r="M4504" s="76">
        <f t="shared" si="169"/>
        <v>1299</v>
      </c>
      <c r="N4504" s="77"/>
      <c r="O4504" s="77"/>
      <c r="P4504" s="76"/>
      <c r="Q4504" s="76"/>
    </row>
    <row r="4505" spans="3:17" hidden="1" outlineLevel="3" x14ac:dyDescent="0.25">
      <c r="E4505" s="74" t="s">
        <v>534</v>
      </c>
      <c r="F4505" s="74"/>
      <c r="G4505" s="74"/>
      <c r="H4505" s="75"/>
      <c r="I4505" s="76"/>
      <c r="J4505" s="78">
        <f>HYPERLINK("#Структура!E19",Структура!E19)</f>
        <v>1</v>
      </c>
      <c r="K4505" s="114" t="str">
        <f>HYPERLINK("#Структура!G19","")</f>
        <v/>
      </c>
      <c r="L4505" s="120">
        <f>HYPERLINK("#Покупные_изделия!D511",Покупные_изделия!D511)</f>
        <v>36.432000000000002</v>
      </c>
      <c r="M4505" s="76">
        <f t="shared" si="169"/>
        <v>36.432000000000002</v>
      </c>
      <c r="N4505" s="77"/>
      <c r="O4505" s="77"/>
      <c r="P4505" s="76"/>
      <c r="Q4505" s="76"/>
    </row>
    <row r="4506" spans="3:17" hidden="1" outlineLevel="3" x14ac:dyDescent="0.25">
      <c r="E4506" s="74" t="s">
        <v>544</v>
      </c>
      <c r="F4506" s="74"/>
      <c r="G4506" s="74"/>
      <c r="H4506" s="75"/>
      <c r="I4506" s="76"/>
      <c r="J4506" s="78">
        <f>HYPERLINK("#Структура!E20",Структура!E20)</f>
        <v>1</v>
      </c>
      <c r="K4506" s="114" t="str">
        <f>HYPERLINK("#Структура!G20","")</f>
        <v/>
      </c>
      <c r="L4506" s="120">
        <f>HYPERLINK("#Покупные_изделия!D566",Покупные_изделия!D566)</f>
        <v>730.8</v>
      </c>
      <c r="M4506" s="76">
        <f t="shared" si="169"/>
        <v>730.8</v>
      </c>
      <c r="N4506" s="77"/>
      <c r="O4506" s="77"/>
      <c r="P4506" s="76"/>
      <c r="Q4506" s="76"/>
    </row>
    <row r="4507" spans="3:17" hidden="1" outlineLevel="2" collapsed="1" x14ac:dyDescent="0.25">
      <c r="D4507" s="84" t="s">
        <v>641</v>
      </c>
      <c r="E4507" s="79"/>
      <c r="F4507" s="79"/>
      <c r="G4507" s="79"/>
      <c r="H4507" s="80"/>
      <c r="I4507" s="81"/>
      <c r="J4507" s="83">
        <f>HYPERLINK("#Структура!E3281",Структура!E3281)</f>
        <v>1</v>
      </c>
      <c r="K4507" s="115">
        <f>HYPERLINK("#Структура!G3281",Структура!G3281)</f>
        <v>62.750579999999999</v>
      </c>
      <c r="L4507" s="81">
        <f>M4507/J4507</f>
        <v>290760.27600000001</v>
      </c>
      <c r="M4507" s="81">
        <f>SUMIF(E4508:E4517,"*",M4508:M4517)*J4507</f>
        <v>290760.27600000001</v>
      </c>
      <c r="N4507" s="124">
        <f>HYPERLINK("#Трудозатраты!B18",Трудозатраты!B18+SUMIF(E4508:E4517,"*",O4508:O4517))</f>
        <v>1</v>
      </c>
      <c r="O4507" s="82">
        <f>N4507*J4507</f>
        <v>1</v>
      </c>
      <c r="P4507" s="81">
        <f>O4507/60*(1+запас_труд)*стоимость_трудочаса</f>
        <v>39.166666666666664</v>
      </c>
      <c r="Q4507" s="129">
        <f>M4507*(1+наценка_покупное)+P4507</f>
        <v>348951.4978666667</v>
      </c>
    </row>
    <row r="4508" spans="3:17" hidden="1" outlineLevel="3" x14ac:dyDescent="0.25">
      <c r="E4508" s="74" t="s">
        <v>369</v>
      </c>
      <c r="F4508" s="74"/>
      <c r="G4508" s="74"/>
      <c r="H4508" s="75"/>
      <c r="I4508" s="76"/>
      <c r="J4508" s="78">
        <f>HYPERLINK("#Структура!E59",Структура!E59)</f>
        <v>1</v>
      </c>
      <c r="K4508" s="114" t="str">
        <f>HYPERLINK("#Структура!G59","")</f>
        <v/>
      </c>
      <c r="L4508" s="120">
        <f>HYPERLINK("#Покупные_изделия!D114",Покупные_изделия!D114)</f>
        <v>1276.2750000000001</v>
      </c>
      <c r="M4508" s="76">
        <f t="shared" ref="M4508:M4517" si="170">J4508*L4508</f>
        <v>1276.2750000000001</v>
      </c>
      <c r="N4508" s="77"/>
      <c r="O4508" s="77"/>
      <c r="P4508" s="76"/>
      <c r="Q4508" s="76"/>
    </row>
    <row r="4509" spans="3:17" hidden="1" outlineLevel="3" x14ac:dyDescent="0.25">
      <c r="E4509" s="74" t="s">
        <v>642</v>
      </c>
      <c r="F4509" s="74"/>
      <c r="G4509" s="74"/>
      <c r="H4509" s="75"/>
      <c r="I4509" s="76"/>
      <c r="J4509" s="78">
        <f>HYPERLINK("#Структура!E60",Структура!E60)</f>
        <v>1</v>
      </c>
      <c r="K4509" s="114">
        <f>HYPERLINK("#Структура!G60",Структура!G60)</f>
        <v>3.3949400000000001</v>
      </c>
      <c r="L4509" s="120">
        <f>HYPERLINK("#Покупные_изделия!D152",Покупные_изделия!D152)</f>
        <v>183750</v>
      </c>
      <c r="M4509" s="76">
        <f t="shared" si="170"/>
        <v>183750</v>
      </c>
      <c r="N4509" s="77"/>
      <c r="O4509" s="77"/>
      <c r="P4509" s="76"/>
      <c r="Q4509" s="76"/>
    </row>
    <row r="4510" spans="3:17" hidden="1" outlineLevel="3" x14ac:dyDescent="0.25">
      <c r="E4510" s="74" t="s">
        <v>643</v>
      </c>
      <c r="F4510" s="74"/>
      <c r="G4510" s="74"/>
      <c r="H4510" s="75"/>
      <c r="I4510" s="76"/>
      <c r="J4510" s="78">
        <f>HYPERLINK("#Структура!E61",Структура!E61)</f>
        <v>8</v>
      </c>
      <c r="K4510" s="114">
        <f>HYPERLINK("#Структура!G61",Структура!G61)</f>
        <v>0.12</v>
      </c>
      <c r="L4510" s="120">
        <f>HYPERLINK("#Покупные_изделия!D161",Покупные_изделия!D161)</f>
        <v>2383.92</v>
      </c>
      <c r="M4510" s="76">
        <f t="shared" si="170"/>
        <v>19071.36</v>
      </c>
      <c r="N4510" s="77"/>
      <c r="O4510" s="77"/>
      <c r="P4510" s="76"/>
      <c r="Q4510" s="76"/>
    </row>
    <row r="4511" spans="3:17" hidden="1" outlineLevel="3" x14ac:dyDescent="0.25">
      <c r="E4511" s="74" t="s">
        <v>384</v>
      </c>
      <c r="F4511" s="74"/>
      <c r="G4511" s="74"/>
      <c r="H4511" s="75"/>
      <c r="I4511" s="76"/>
      <c r="J4511" s="78">
        <f>HYPERLINK("#Структура!E62",Структура!E62)</f>
        <v>1</v>
      </c>
      <c r="K4511" s="114" t="str">
        <f>HYPERLINK("#Структура!G62","")</f>
        <v/>
      </c>
      <c r="L4511" s="120">
        <f>HYPERLINK("#Покупные_изделия!D199",Покупные_изделия!D199)</f>
        <v>2121.9263999999998</v>
      </c>
      <c r="M4511" s="76">
        <f t="shared" si="170"/>
        <v>2121.9263999999998</v>
      </c>
      <c r="N4511" s="77"/>
      <c r="O4511" s="77"/>
      <c r="P4511" s="76"/>
      <c r="Q4511" s="76"/>
    </row>
    <row r="4512" spans="3:17" hidden="1" outlineLevel="3" x14ac:dyDescent="0.25">
      <c r="E4512" s="74" t="s">
        <v>644</v>
      </c>
      <c r="F4512" s="74"/>
      <c r="G4512" s="74"/>
      <c r="H4512" s="75"/>
      <c r="I4512" s="76"/>
      <c r="J4512" s="78">
        <f>HYPERLINK("#Структура!E63",Структура!E63)</f>
        <v>4</v>
      </c>
      <c r="K4512" s="114">
        <f>HYPERLINK("#Структура!G63",Структура!G63)</f>
        <v>0.76934999999999998</v>
      </c>
      <c r="L4512" s="120">
        <f>HYPERLINK("#Покупные_изделия!D200",Покупные_изделия!D200)</f>
        <v>1839.12</v>
      </c>
      <c r="M4512" s="76">
        <f t="shared" si="170"/>
        <v>7356.48</v>
      </c>
      <c r="N4512" s="77"/>
      <c r="O4512" s="77"/>
      <c r="P4512" s="76"/>
      <c r="Q4512" s="76"/>
    </row>
    <row r="4513" spans="4:17" hidden="1" outlineLevel="3" x14ac:dyDescent="0.25">
      <c r="E4513" s="74" t="s">
        <v>386</v>
      </c>
      <c r="F4513" s="74"/>
      <c r="G4513" s="74"/>
      <c r="H4513" s="75"/>
      <c r="I4513" s="76"/>
      <c r="J4513" s="78">
        <f>HYPERLINK("#Структура!E64",Структура!E64)</f>
        <v>1</v>
      </c>
      <c r="K4513" s="114" t="str">
        <f>HYPERLINK("#Структура!G64","")</f>
        <v/>
      </c>
      <c r="L4513" s="120">
        <f>HYPERLINK("#Покупные_изделия!D201",Покупные_изделия!D201)</f>
        <v>18768.75</v>
      </c>
      <c r="M4513" s="76">
        <f t="shared" si="170"/>
        <v>18768.75</v>
      </c>
      <c r="N4513" s="77"/>
      <c r="O4513" s="77"/>
      <c r="P4513" s="76"/>
      <c r="Q4513" s="76"/>
    </row>
    <row r="4514" spans="4:17" hidden="1" outlineLevel="3" x14ac:dyDescent="0.25">
      <c r="E4514" s="74" t="s">
        <v>416</v>
      </c>
      <c r="F4514" s="74"/>
      <c r="G4514" s="74"/>
      <c r="H4514" s="75"/>
      <c r="I4514" s="76"/>
      <c r="J4514" s="78">
        <f>HYPERLINK("#Структура!E65",Структура!E65)</f>
        <v>1</v>
      </c>
      <c r="K4514" s="114" t="str">
        <f>HYPERLINK("#Структура!G65","")</f>
        <v/>
      </c>
      <c r="L4514" s="120">
        <f>HYPERLINK("#Покупные_изделия!D276",Покупные_изделия!D276)</f>
        <v>1876.8750000000002</v>
      </c>
      <c r="M4514" s="76">
        <f t="shared" si="170"/>
        <v>1876.8750000000002</v>
      </c>
      <c r="N4514" s="77"/>
      <c r="O4514" s="77"/>
      <c r="P4514" s="76"/>
      <c r="Q4514" s="76"/>
    </row>
    <row r="4515" spans="4:17" hidden="1" outlineLevel="3" x14ac:dyDescent="0.25">
      <c r="E4515" s="74" t="s">
        <v>494</v>
      </c>
      <c r="F4515" s="74"/>
      <c r="G4515" s="74"/>
      <c r="H4515" s="75"/>
      <c r="I4515" s="76"/>
      <c r="J4515" s="78">
        <f>HYPERLINK("#Структура!E66",Структура!E66)</f>
        <v>1</v>
      </c>
      <c r="K4515" s="114" t="str">
        <f>HYPERLINK("#Структура!G66","")</f>
        <v/>
      </c>
      <c r="L4515" s="120">
        <f>HYPERLINK("#Покупные_изделия!D424",Покупные_изделия!D424)</f>
        <v>33000</v>
      </c>
      <c r="M4515" s="76">
        <f t="shared" si="170"/>
        <v>33000</v>
      </c>
      <c r="N4515" s="77"/>
      <c r="O4515" s="77"/>
      <c r="P4515" s="76"/>
      <c r="Q4515" s="76"/>
    </row>
    <row r="4516" spans="4:17" hidden="1" outlineLevel="3" x14ac:dyDescent="0.25">
      <c r="E4516" s="74" t="s">
        <v>495</v>
      </c>
      <c r="F4516" s="74"/>
      <c r="G4516" s="74"/>
      <c r="H4516" s="75"/>
      <c r="I4516" s="76"/>
      <c r="J4516" s="78">
        <f>HYPERLINK("#Структура!E67",Структура!E67)</f>
        <v>1</v>
      </c>
      <c r="K4516" s="114" t="str">
        <f>HYPERLINK("#Структура!G67","")</f>
        <v/>
      </c>
      <c r="L4516" s="120">
        <f>HYPERLINK("#Покупные_изделия!D425",Покупные_изделия!D425)</f>
        <v>1106.0016000000001</v>
      </c>
      <c r="M4516" s="76">
        <f t="shared" si="170"/>
        <v>1106.0016000000001</v>
      </c>
      <c r="N4516" s="77"/>
      <c r="O4516" s="77"/>
      <c r="P4516" s="76"/>
      <c r="Q4516" s="76"/>
    </row>
    <row r="4517" spans="4:17" hidden="1" outlineLevel="3" x14ac:dyDescent="0.25">
      <c r="E4517" s="74" t="s">
        <v>517</v>
      </c>
      <c r="F4517" s="74"/>
      <c r="G4517" s="74"/>
      <c r="H4517" s="75"/>
      <c r="I4517" s="76"/>
      <c r="J4517" s="78">
        <f>HYPERLINK("#Структура!E68",Структура!E68)</f>
        <v>8</v>
      </c>
      <c r="K4517" s="114">
        <f>HYPERLINK("#Структура!G68",Структура!G68)</f>
        <v>3.8969999999999998E-2</v>
      </c>
      <c r="L4517" s="120">
        <f>HYPERLINK("#Покупные_изделия!D463",Покупные_изделия!D463)</f>
        <v>2804.0760000000005</v>
      </c>
      <c r="M4517" s="76">
        <f t="shared" si="170"/>
        <v>22432.608000000004</v>
      </c>
      <c r="N4517" s="77"/>
      <c r="O4517" s="77"/>
      <c r="P4517" s="76"/>
      <c r="Q4517" s="76"/>
    </row>
    <row r="4518" spans="4:17" hidden="1" outlineLevel="2" collapsed="1" x14ac:dyDescent="0.25">
      <c r="D4518" s="84" t="s">
        <v>772</v>
      </c>
      <c r="E4518" s="79"/>
      <c r="F4518" s="79"/>
      <c r="G4518" s="79"/>
      <c r="H4518" s="80"/>
      <c r="I4518" s="81"/>
      <c r="J4518" s="83">
        <f>HYPERLINK("#Структура!E3282",Структура!E3282)</f>
        <v>1</v>
      </c>
      <c r="K4518" s="115">
        <f>HYPERLINK("#Структура!G3282",Структура!G3282)</f>
        <v>33.621499999999997</v>
      </c>
      <c r="L4518" s="81">
        <f>M4518/J4518</f>
        <v>16229.322400000001</v>
      </c>
      <c r="M4518" s="81">
        <f>SUMIF(E4519:E4524,"*",M4519:M4524)*J4518</f>
        <v>16229.322400000001</v>
      </c>
      <c r="N4518" s="124">
        <f>HYPERLINK("#Трудозатраты!B105",Трудозатраты!B105+SUMIF(E4519:E4524,"*",O4519:O4524))</f>
        <v>1</v>
      </c>
      <c r="O4518" s="82">
        <f>N4518*J4518</f>
        <v>1</v>
      </c>
      <c r="P4518" s="81">
        <f>O4518/60*(1+запас_труд)*стоимость_трудочаса</f>
        <v>39.166666666666664</v>
      </c>
      <c r="Q4518" s="129">
        <f>M4518*(1+наценка_покупное)+P4518</f>
        <v>19514.353546666669</v>
      </c>
    </row>
    <row r="4519" spans="4:17" hidden="1" outlineLevel="3" x14ac:dyDescent="0.25">
      <c r="E4519" s="74" t="s">
        <v>423</v>
      </c>
      <c r="F4519" s="74"/>
      <c r="G4519" s="74"/>
      <c r="H4519" s="75"/>
      <c r="I4519" s="76"/>
      <c r="J4519" s="78">
        <f>HYPERLINK("#Структура!E494",Структура!E494)</f>
        <v>6</v>
      </c>
      <c r="K4519" s="114" t="str">
        <f>HYPERLINK("#Структура!G494","")</f>
        <v/>
      </c>
      <c r="L4519" s="120">
        <f>HYPERLINK("#Покупные_изделия!D316",Покупные_изделия!D316)</f>
        <v>1905.1164000000001</v>
      </c>
      <c r="M4519" s="76">
        <f t="shared" ref="M4519:M4524" si="171">J4519*L4519</f>
        <v>11430.698400000001</v>
      </c>
      <c r="N4519" s="77"/>
      <c r="O4519" s="77"/>
      <c r="P4519" s="76"/>
      <c r="Q4519" s="76"/>
    </row>
    <row r="4520" spans="4:17" hidden="1" outlineLevel="3" x14ac:dyDescent="0.25">
      <c r="E4520" s="74" t="s">
        <v>476</v>
      </c>
      <c r="F4520" s="74"/>
      <c r="G4520" s="74"/>
      <c r="H4520" s="75"/>
      <c r="I4520" s="76"/>
      <c r="J4520" s="78">
        <f>HYPERLINK("#Структура!E495",Структура!E495)</f>
        <v>8</v>
      </c>
      <c r="K4520" s="114" t="str">
        <f>HYPERLINK("#Структура!G495","")</f>
        <v/>
      </c>
      <c r="L4520" s="120">
        <f>HYPERLINK("#Покупные_изделия!D391",Покупные_изделия!D391)</f>
        <v>5.9840000000000009</v>
      </c>
      <c r="M4520" s="76">
        <f t="shared" si="171"/>
        <v>47.872000000000007</v>
      </c>
      <c r="N4520" s="77"/>
      <c r="O4520" s="77"/>
      <c r="P4520" s="76"/>
      <c r="Q4520" s="76"/>
    </row>
    <row r="4521" spans="4:17" hidden="1" outlineLevel="3" x14ac:dyDescent="0.25">
      <c r="E4521" s="74" t="s">
        <v>477</v>
      </c>
      <c r="F4521" s="74"/>
      <c r="G4521" s="74"/>
      <c r="H4521" s="75"/>
      <c r="I4521" s="76"/>
      <c r="J4521" s="78">
        <f>HYPERLINK("#Структура!E496",Структура!E496)</f>
        <v>8</v>
      </c>
      <c r="K4521" s="114" t="str">
        <f>HYPERLINK("#Структура!G496","")</f>
        <v/>
      </c>
      <c r="L4521" s="120">
        <f>HYPERLINK("#Покупные_изделия!D392",Покупные_изделия!D392)</f>
        <v>5.5440000000000005</v>
      </c>
      <c r="M4521" s="76">
        <f t="shared" si="171"/>
        <v>44.352000000000004</v>
      </c>
      <c r="N4521" s="77"/>
      <c r="O4521" s="77"/>
      <c r="P4521" s="76"/>
      <c r="Q4521" s="76"/>
    </row>
    <row r="4522" spans="4:17" hidden="1" outlineLevel="3" x14ac:dyDescent="0.25">
      <c r="E4522" s="74" t="s">
        <v>479</v>
      </c>
      <c r="F4522" s="74"/>
      <c r="G4522" s="74"/>
      <c r="H4522" s="75"/>
      <c r="I4522" s="76"/>
      <c r="J4522" s="78">
        <f>HYPERLINK("#Структура!E497",Структура!E497)</f>
        <v>8</v>
      </c>
      <c r="K4522" s="114" t="str">
        <f>HYPERLINK("#Структура!G497","")</f>
        <v/>
      </c>
      <c r="L4522" s="120">
        <f>HYPERLINK("#Покупные_изделия!D394",Покупные_изделия!D394)</f>
        <v>6.8280000000000003</v>
      </c>
      <c r="M4522" s="76">
        <f t="shared" si="171"/>
        <v>54.624000000000002</v>
      </c>
      <c r="N4522" s="77"/>
      <c r="O4522" s="77"/>
      <c r="P4522" s="76"/>
      <c r="Q4522" s="76"/>
    </row>
    <row r="4523" spans="4:17" hidden="1" outlineLevel="3" x14ac:dyDescent="0.25">
      <c r="E4523" s="74" t="s">
        <v>481</v>
      </c>
      <c r="F4523" s="74"/>
      <c r="G4523" s="74"/>
      <c r="H4523" s="75"/>
      <c r="I4523" s="76"/>
      <c r="J4523" s="78">
        <f>HYPERLINK("#Структура!E498",Структура!E498)</f>
        <v>728</v>
      </c>
      <c r="K4523" s="114" t="str">
        <f>HYPERLINK("#Структура!G498","")</f>
        <v/>
      </c>
      <c r="L4523" s="120">
        <f>HYPERLINK("#Покупные_изделия!D396",Покупные_изделия!D396)</f>
        <v>6.2519999999999998</v>
      </c>
      <c r="M4523" s="76">
        <f t="shared" si="171"/>
        <v>4551.4560000000001</v>
      </c>
      <c r="N4523" s="77"/>
      <c r="O4523" s="77"/>
      <c r="P4523" s="76"/>
      <c r="Q4523" s="76"/>
    </row>
    <row r="4524" spans="4:17" hidden="1" outlineLevel="3" x14ac:dyDescent="0.25">
      <c r="E4524" s="74" t="s">
        <v>482</v>
      </c>
      <c r="F4524" s="74"/>
      <c r="G4524" s="74"/>
      <c r="H4524" s="75"/>
      <c r="I4524" s="76"/>
      <c r="J4524" s="78">
        <f>HYPERLINK("#Структура!E499",Структура!E499)</f>
        <v>8</v>
      </c>
      <c r="K4524" s="114" t="str">
        <f>HYPERLINK("#Структура!G499","")</f>
        <v/>
      </c>
      <c r="L4524" s="120">
        <f>HYPERLINK("#Покупные_изделия!D397",Покупные_изделия!D397)</f>
        <v>12.54</v>
      </c>
      <c r="M4524" s="76">
        <f t="shared" si="171"/>
        <v>100.32</v>
      </c>
      <c r="N4524" s="77"/>
      <c r="O4524" s="77"/>
      <c r="P4524" s="76"/>
      <c r="Q4524" s="76"/>
    </row>
    <row r="4525" spans="4:17" hidden="1" outlineLevel="2" collapsed="1" x14ac:dyDescent="0.25">
      <c r="D4525" s="84" t="s">
        <v>773</v>
      </c>
      <c r="E4525" s="79"/>
      <c r="F4525" s="79"/>
      <c r="G4525" s="79"/>
      <c r="H4525" s="80"/>
      <c r="I4525" s="81"/>
      <c r="J4525" s="83">
        <f>HYPERLINK("#Структура!E3283",Структура!E3283)</f>
        <v>8</v>
      </c>
      <c r="K4525" s="115">
        <f>HYPERLINK("#Структура!G3283",Структура!G3283)</f>
        <v>1.3586499999999999</v>
      </c>
      <c r="L4525" s="81">
        <f>M4525/J4525</f>
        <v>3590.8635999999997</v>
      </c>
      <c r="M4525" s="81">
        <f>SUMIF(E4526:E4536,"*",M4526:M4536)*J4525</f>
        <v>28726.908799999997</v>
      </c>
      <c r="N4525" s="124">
        <f>HYPERLINK("#Трудозатраты!B106",Трудозатраты!B106+SUMIF(E4526:E4536,"*",O4526:O4536))</f>
        <v>150</v>
      </c>
      <c r="O4525" s="82">
        <f>N4525*J4525</f>
        <v>1200</v>
      </c>
      <c r="P4525" s="81">
        <f>O4525/60*(1+запас_труд)*стоимость_трудочаса</f>
        <v>47000</v>
      </c>
      <c r="Q4525" s="129">
        <f>M4525*(1+наценка_покупное)+P4525</f>
        <v>81472.290559999994</v>
      </c>
    </row>
    <row r="4526" spans="4:17" hidden="1" outlineLevel="3" x14ac:dyDescent="0.25">
      <c r="E4526" s="74" t="s">
        <v>502</v>
      </c>
      <c r="F4526" s="74"/>
      <c r="G4526" s="74"/>
      <c r="H4526" s="75"/>
      <c r="I4526" s="76"/>
      <c r="J4526" s="78">
        <f>HYPERLINK("#Структура!E500",Структура!E500)</f>
        <v>2</v>
      </c>
      <c r="K4526" s="114">
        <f>HYPERLINK("#Структура!G500",Структура!G500)</f>
        <v>2.1299999999999999E-3</v>
      </c>
      <c r="L4526" s="120">
        <f>HYPERLINK("#Покупные_изделия!D437",Покупные_изделия!D437)</f>
        <v>1.6500000000000001</v>
      </c>
      <c r="M4526" s="76">
        <f t="shared" ref="M4526:M4536" si="172">J4526*L4526</f>
        <v>3.3000000000000003</v>
      </c>
      <c r="N4526" s="77"/>
      <c r="O4526" s="77"/>
      <c r="P4526" s="76"/>
      <c r="Q4526" s="76"/>
    </row>
    <row r="4527" spans="4:17" hidden="1" outlineLevel="3" x14ac:dyDescent="0.25">
      <c r="E4527" s="74" t="s">
        <v>370</v>
      </c>
      <c r="F4527" s="74"/>
      <c r="G4527" s="74"/>
      <c r="H4527" s="75"/>
      <c r="I4527" s="76"/>
      <c r="J4527" s="78">
        <f>HYPERLINK("#Структура!E501",Структура!E501)</f>
        <v>2</v>
      </c>
      <c r="K4527" s="114">
        <f>HYPERLINK("#Структура!G501",Структура!G501)</f>
        <v>6.9849999999999995E-2</v>
      </c>
      <c r="L4527" s="120">
        <f>HYPERLINK("#Покупные_изделия!D115",Покупные_изделия!D115)</f>
        <v>77</v>
      </c>
      <c r="M4527" s="76">
        <f t="shared" si="172"/>
        <v>154</v>
      </c>
      <c r="N4527" s="77"/>
      <c r="O4527" s="77"/>
      <c r="P4527" s="76"/>
      <c r="Q4527" s="76"/>
    </row>
    <row r="4528" spans="4:17" hidden="1" outlineLevel="3" x14ac:dyDescent="0.25">
      <c r="E4528" s="74" t="s">
        <v>397</v>
      </c>
      <c r="F4528" s="74"/>
      <c r="G4528" s="74"/>
      <c r="H4528" s="75"/>
      <c r="I4528" s="76"/>
      <c r="J4528" s="78">
        <f>HYPERLINK("#Структура!E502",Структура!E502)</f>
        <v>2.5</v>
      </c>
      <c r="K4528" s="114" t="str">
        <f>HYPERLINK("#Структура!G502","")</f>
        <v/>
      </c>
      <c r="L4528" s="120">
        <f>HYPERLINK("#Покупные_изделия!D219",Покупные_изделия!D219)</f>
        <v>61.221600000000002</v>
      </c>
      <c r="M4528" s="76">
        <f t="shared" si="172"/>
        <v>153.054</v>
      </c>
      <c r="N4528" s="77"/>
      <c r="O4528" s="77"/>
      <c r="P4528" s="76"/>
      <c r="Q4528" s="76"/>
    </row>
    <row r="4529" spans="4:17" hidden="1" outlineLevel="3" x14ac:dyDescent="0.25">
      <c r="E4529" s="74" t="s">
        <v>398</v>
      </c>
      <c r="F4529" s="74"/>
      <c r="G4529" s="74"/>
      <c r="H4529" s="75"/>
      <c r="I4529" s="76"/>
      <c r="J4529" s="78">
        <f>HYPERLINK("#Структура!E503",Структура!E503)</f>
        <v>2.5</v>
      </c>
      <c r="K4529" s="114" t="str">
        <f>HYPERLINK("#Структура!G503","")</f>
        <v/>
      </c>
      <c r="L4529" s="120">
        <f>HYPERLINK("#Покупные_изделия!D220",Покупные_изделия!D220)</f>
        <v>61.221600000000002</v>
      </c>
      <c r="M4529" s="76">
        <f t="shared" si="172"/>
        <v>153.054</v>
      </c>
      <c r="N4529" s="77"/>
      <c r="O4529" s="77"/>
      <c r="P4529" s="76"/>
      <c r="Q4529" s="76"/>
    </row>
    <row r="4530" spans="4:17" hidden="1" outlineLevel="3" x14ac:dyDescent="0.25">
      <c r="E4530" s="74" t="s">
        <v>403</v>
      </c>
      <c r="F4530" s="74"/>
      <c r="G4530" s="74"/>
      <c r="H4530" s="75"/>
      <c r="I4530" s="76"/>
      <c r="J4530" s="78">
        <f>HYPERLINK("#Структура!E504",Структура!E504)</f>
        <v>1</v>
      </c>
      <c r="K4530" s="114">
        <f>HYPERLINK("#Структура!G504",Структура!G504)</f>
        <v>1.18E-2</v>
      </c>
      <c r="L4530" s="120">
        <f>HYPERLINK("#Покупные_изделия!D227",Покупные_изделия!D227)</f>
        <v>159.36000000000001</v>
      </c>
      <c r="M4530" s="76">
        <f t="shared" si="172"/>
        <v>159.36000000000001</v>
      </c>
      <c r="N4530" s="77"/>
      <c r="O4530" s="77"/>
      <c r="P4530" s="76"/>
      <c r="Q4530" s="76"/>
    </row>
    <row r="4531" spans="4:17" hidden="1" outlineLevel="3" x14ac:dyDescent="0.25">
      <c r="E4531" s="74" t="s">
        <v>404</v>
      </c>
      <c r="F4531" s="74"/>
      <c r="G4531" s="74"/>
      <c r="H4531" s="75"/>
      <c r="I4531" s="76"/>
      <c r="J4531" s="78">
        <f>HYPERLINK("#Структура!E505",Структура!E505)</f>
        <v>1</v>
      </c>
      <c r="K4531" s="114">
        <f>HYPERLINK("#Структура!G505",Структура!G505)</f>
        <v>1.8089999999999998E-2</v>
      </c>
      <c r="L4531" s="120">
        <f>HYPERLINK("#Покупные_изделия!D228",Покупные_изделия!D228)</f>
        <v>316.03440000000001</v>
      </c>
      <c r="M4531" s="76">
        <f t="shared" si="172"/>
        <v>316.03440000000001</v>
      </c>
      <c r="N4531" s="77"/>
      <c r="O4531" s="77"/>
      <c r="P4531" s="76"/>
      <c r="Q4531" s="76"/>
    </row>
    <row r="4532" spans="4:17" hidden="1" outlineLevel="3" x14ac:dyDescent="0.25">
      <c r="E4532" s="74" t="s">
        <v>405</v>
      </c>
      <c r="F4532" s="74"/>
      <c r="G4532" s="74"/>
      <c r="H4532" s="75"/>
      <c r="I4532" s="76"/>
      <c r="J4532" s="78">
        <f>HYPERLINK("#Структура!E506",Структура!E506)</f>
        <v>1</v>
      </c>
      <c r="K4532" s="114">
        <f>HYPERLINK("#Структура!G506",Структура!G506)</f>
        <v>3.5729999999999998E-2</v>
      </c>
      <c r="L4532" s="120">
        <f>HYPERLINK("#Покупные_изделия!D229",Покупные_изделия!D229)</f>
        <v>1554.4199999999998</v>
      </c>
      <c r="M4532" s="76">
        <f t="shared" si="172"/>
        <v>1554.4199999999998</v>
      </c>
      <c r="N4532" s="77"/>
      <c r="O4532" s="77"/>
      <c r="P4532" s="76"/>
      <c r="Q4532" s="76"/>
    </row>
    <row r="4533" spans="4:17" hidden="1" outlineLevel="3" x14ac:dyDescent="0.25">
      <c r="E4533" s="74" t="s">
        <v>446</v>
      </c>
      <c r="F4533" s="74"/>
      <c r="G4533" s="74"/>
      <c r="H4533" s="75"/>
      <c r="I4533" s="76"/>
      <c r="J4533" s="78">
        <f>HYPERLINK("#Структура!E507",Структура!E507)</f>
        <v>2</v>
      </c>
      <c r="K4533" s="114">
        <f>HYPERLINK("#Структура!G507",Структура!G507)</f>
        <v>7.467E-2</v>
      </c>
      <c r="L4533" s="120">
        <f>HYPERLINK("#Покупные_изделия!D349",Покупные_изделия!D349)</f>
        <v>459.53160000000003</v>
      </c>
      <c r="M4533" s="76">
        <f t="shared" si="172"/>
        <v>919.06320000000005</v>
      </c>
      <c r="N4533" s="77"/>
      <c r="O4533" s="77"/>
      <c r="P4533" s="76"/>
      <c r="Q4533" s="76"/>
    </row>
    <row r="4534" spans="4:17" hidden="1" outlineLevel="3" x14ac:dyDescent="0.25">
      <c r="E4534" s="74" t="s">
        <v>475</v>
      </c>
      <c r="F4534" s="74"/>
      <c r="G4534" s="74"/>
      <c r="H4534" s="75"/>
      <c r="I4534" s="76"/>
      <c r="J4534" s="78">
        <f>HYPERLINK("#Структура!E508",Структура!E508)</f>
        <v>2.5</v>
      </c>
      <c r="K4534" s="114" t="str">
        <f>HYPERLINK("#Структура!G508","")</f>
        <v/>
      </c>
      <c r="L4534" s="120">
        <f>HYPERLINK("#Покупные_изделия!D390",Покупные_изделия!D390)</f>
        <v>19.667999999999999</v>
      </c>
      <c r="M4534" s="76">
        <f t="shared" si="172"/>
        <v>49.17</v>
      </c>
      <c r="N4534" s="77"/>
      <c r="O4534" s="77"/>
      <c r="P4534" s="76"/>
      <c r="Q4534" s="76"/>
    </row>
    <row r="4535" spans="4:17" hidden="1" outlineLevel="3" x14ac:dyDescent="0.25">
      <c r="E4535" s="74" t="s">
        <v>531</v>
      </c>
      <c r="F4535" s="74"/>
      <c r="G4535" s="74"/>
      <c r="H4535" s="75"/>
      <c r="I4535" s="76"/>
      <c r="J4535" s="78">
        <f>HYPERLINK("#Структура!E509",Структура!E509)</f>
        <v>0.6</v>
      </c>
      <c r="K4535" s="114" t="str">
        <f>HYPERLINK("#Структура!G509","")</f>
        <v/>
      </c>
      <c r="L4535" s="120">
        <f>HYPERLINK("#Покупные_изделия!D496",Покупные_изделия!D496)</f>
        <v>120</v>
      </c>
      <c r="M4535" s="76">
        <f t="shared" si="172"/>
        <v>72</v>
      </c>
      <c r="N4535" s="77"/>
      <c r="O4535" s="77"/>
      <c r="P4535" s="76"/>
      <c r="Q4535" s="76"/>
    </row>
    <row r="4536" spans="4:17" hidden="1" outlineLevel="3" x14ac:dyDescent="0.25">
      <c r="E4536" s="74" t="s">
        <v>538</v>
      </c>
      <c r="F4536" s="74"/>
      <c r="G4536" s="74"/>
      <c r="H4536" s="75"/>
      <c r="I4536" s="76"/>
      <c r="J4536" s="78">
        <f>HYPERLINK("#Структура!E510",Структура!E510)</f>
        <v>2</v>
      </c>
      <c r="K4536" s="114">
        <f>HYPERLINK("#Структура!G510",Структура!G510)</f>
        <v>1.26E-2</v>
      </c>
      <c r="L4536" s="120">
        <f>HYPERLINK("#Покупные_изделия!D519",Покупные_изделия!D519)</f>
        <v>28.704000000000001</v>
      </c>
      <c r="M4536" s="76">
        <f t="shared" si="172"/>
        <v>57.408000000000001</v>
      </c>
      <c r="N4536" s="77"/>
      <c r="O4536" s="77"/>
      <c r="P4536" s="76"/>
      <c r="Q4536" s="76"/>
    </row>
    <row r="4537" spans="4:17" hidden="1" outlineLevel="2" collapsed="1" x14ac:dyDescent="0.25">
      <c r="D4537" s="84" t="s">
        <v>774</v>
      </c>
      <c r="E4537" s="79"/>
      <c r="F4537" s="79"/>
      <c r="G4537" s="79"/>
      <c r="H4537" s="80"/>
      <c r="I4537" s="81"/>
      <c r="J4537" s="83">
        <f>HYPERLINK("#Структура!E3284",Структура!E3284)</f>
        <v>8</v>
      </c>
      <c r="K4537" s="115">
        <f>HYPERLINK("#Структура!G3284",Структура!G3284)</f>
        <v>8.0375399999999999</v>
      </c>
      <c r="L4537" s="81">
        <f>M4537/J4537</f>
        <v>9411.8434799999977</v>
      </c>
      <c r="M4537" s="81">
        <f>SUMIF(E4538:E4549,"*",M4538:M4549)*J4537</f>
        <v>75294.747839999982</v>
      </c>
      <c r="N4537" s="124">
        <f>HYPERLINK("#Трудозатраты!B107",Трудозатраты!B107+SUMIF(E4538:E4549,"*",O4538:O4549))</f>
        <v>470</v>
      </c>
      <c r="O4537" s="82">
        <f>N4537*J4537</f>
        <v>3760</v>
      </c>
      <c r="P4537" s="81">
        <f>O4537/60*(1+запас_труд)*стоимость_трудочаса</f>
        <v>147266.66666666666</v>
      </c>
      <c r="Q4537" s="129">
        <f>M4537*(1+наценка_покупное)+P4537</f>
        <v>237620.36407466664</v>
      </c>
    </row>
    <row r="4538" spans="4:17" hidden="1" outlineLevel="3" x14ac:dyDescent="0.25">
      <c r="E4538" s="74" t="s">
        <v>380</v>
      </c>
      <c r="F4538" s="74"/>
      <c r="G4538" s="74"/>
      <c r="H4538" s="75"/>
      <c r="I4538" s="76"/>
      <c r="J4538" s="78">
        <f>HYPERLINK("#Структура!E511",Структура!E511)</f>
        <v>5</v>
      </c>
      <c r="K4538" s="114">
        <f>HYPERLINK("#Структура!G511",Структура!G511)</f>
        <v>5.96E-3</v>
      </c>
      <c r="L4538" s="120">
        <f>HYPERLINK("#Покупные_изделия!D180",Покупные_изделия!D180)</f>
        <v>52.074000000000005</v>
      </c>
      <c r="M4538" s="76">
        <f t="shared" ref="M4538:M4549" si="173">J4538*L4538</f>
        <v>260.37</v>
      </c>
      <c r="N4538" s="77"/>
      <c r="O4538" s="77"/>
      <c r="P4538" s="76"/>
      <c r="Q4538" s="76"/>
    </row>
    <row r="4539" spans="4:17" hidden="1" outlineLevel="3" x14ac:dyDescent="0.25">
      <c r="E4539" s="74" t="s">
        <v>775</v>
      </c>
      <c r="F4539" s="74"/>
      <c r="G4539" s="74"/>
      <c r="H4539" s="75"/>
      <c r="I4539" s="76"/>
      <c r="J4539" s="78">
        <f>HYPERLINK("#Структура!E512",Структура!E512)</f>
        <v>4</v>
      </c>
      <c r="K4539" s="114" t="str">
        <f>HYPERLINK("#Структура!G512","")</f>
        <v/>
      </c>
      <c r="L4539" s="120">
        <f>HYPERLINK("#Покупные_изделия!D216",Покупные_изделия!D216)</f>
        <v>31.536000000000001</v>
      </c>
      <c r="M4539" s="76">
        <f t="shared" si="173"/>
        <v>126.14400000000001</v>
      </c>
      <c r="N4539" s="77"/>
      <c r="O4539" s="77"/>
      <c r="P4539" s="76"/>
      <c r="Q4539" s="76"/>
    </row>
    <row r="4540" spans="4:17" hidden="1" outlineLevel="3" x14ac:dyDescent="0.25">
      <c r="E4540" s="74" t="s">
        <v>411</v>
      </c>
      <c r="F4540" s="74"/>
      <c r="G4540" s="74"/>
      <c r="H4540" s="75"/>
      <c r="I4540" s="76"/>
      <c r="J4540" s="78">
        <f>HYPERLINK("#Структура!E513",Структура!E513)</f>
        <v>1</v>
      </c>
      <c r="K4540" s="114">
        <f>HYPERLINK("#Структура!G513",Структура!G513)</f>
        <v>1.55158</v>
      </c>
      <c r="L4540" s="120">
        <f>HYPERLINK("#Покупные_изделия!D235",Покупные_изделия!D235)</f>
        <v>1085.5319999999999</v>
      </c>
      <c r="M4540" s="76">
        <f t="shared" si="173"/>
        <v>1085.5319999999999</v>
      </c>
      <c r="N4540" s="77"/>
      <c r="O4540" s="77"/>
      <c r="P4540" s="76"/>
      <c r="Q4540" s="76"/>
    </row>
    <row r="4541" spans="4:17" hidden="1" outlineLevel="3" x14ac:dyDescent="0.25">
      <c r="E4541" s="74" t="s">
        <v>420</v>
      </c>
      <c r="F4541" s="74"/>
      <c r="G4541" s="74"/>
      <c r="H4541" s="75"/>
      <c r="I4541" s="76"/>
      <c r="J4541" s="78">
        <f>HYPERLINK("#Структура!E514",Структура!E514)</f>
        <v>5.07</v>
      </c>
      <c r="K4541" s="114">
        <f>HYPERLINK("#Структура!G514",Структура!G514)</f>
        <v>0.64</v>
      </c>
      <c r="L4541" s="120">
        <f>HYPERLINK("#Покупные_изделия!D312",Покупные_изделия!D312)</f>
        <v>506.964</v>
      </c>
      <c r="M4541" s="76">
        <f t="shared" si="173"/>
        <v>2570.3074799999999</v>
      </c>
      <c r="N4541" s="77"/>
      <c r="O4541" s="77"/>
      <c r="P4541" s="76"/>
      <c r="Q4541" s="76"/>
    </row>
    <row r="4542" spans="4:17" hidden="1" outlineLevel="3" x14ac:dyDescent="0.25">
      <c r="E4542" s="74" t="s">
        <v>437</v>
      </c>
      <c r="F4542" s="74"/>
      <c r="G4542" s="74"/>
      <c r="H4542" s="75"/>
      <c r="I4542" s="76"/>
      <c r="J4542" s="78">
        <f>HYPERLINK("#Структура!E515",Структура!E515)</f>
        <v>1</v>
      </c>
      <c r="K4542" s="114">
        <f>HYPERLINK("#Структура!G515",Структура!G515)</f>
        <v>5.5140000000000002E-2</v>
      </c>
      <c r="L4542" s="120">
        <f>HYPERLINK("#Покупные_изделия!D334",Покупные_изделия!D334)</f>
        <v>715.22879999999998</v>
      </c>
      <c r="M4542" s="76">
        <f t="shared" si="173"/>
        <v>715.22879999999998</v>
      </c>
      <c r="N4542" s="77"/>
      <c r="O4542" s="77"/>
      <c r="P4542" s="76"/>
      <c r="Q4542" s="76"/>
    </row>
    <row r="4543" spans="4:17" hidden="1" outlineLevel="3" x14ac:dyDescent="0.25">
      <c r="E4543" s="74" t="s">
        <v>439</v>
      </c>
      <c r="F4543" s="74"/>
      <c r="G4543" s="74"/>
      <c r="H4543" s="75"/>
      <c r="I4543" s="76"/>
      <c r="J4543" s="78">
        <f>HYPERLINK("#Структура!E516",Структура!E516)</f>
        <v>4</v>
      </c>
      <c r="K4543" s="114">
        <f>HYPERLINK("#Структура!G516",Структура!G516)</f>
        <v>0.12127</v>
      </c>
      <c r="L4543" s="120">
        <f>HYPERLINK("#Покупные_изделия!D337",Покупные_изделия!D337)</f>
        <v>708.52319999999997</v>
      </c>
      <c r="M4543" s="76">
        <f t="shared" si="173"/>
        <v>2834.0927999999999</v>
      </c>
      <c r="N4543" s="77"/>
      <c r="O4543" s="77"/>
      <c r="P4543" s="76"/>
      <c r="Q4543" s="76"/>
    </row>
    <row r="4544" spans="4:17" hidden="1" outlineLevel="3" x14ac:dyDescent="0.25">
      <c r="E4544" s="74" t="s">
        <v>441</v>
      </c>
      <c r="F4544" s="74"/>
      <c r="G4544" s="74"/>
      <c r="H4544" s="75"/>
      <c r="I4544" s="76"/>
      <c r="J4544" s="78">
        <f>HYPERLINK("#Структура!E517",Структура!E517)</f>
        <v>3</v>
      </c>
      <c r="K4544" s="114">
        <f>HYPERLINK("#Структура!G517",Структура!G517)</f>
        <v>8.0509999999999998E-2</v>
      </c>
      <c r="L4544" s="120">
        <f>HYPERLINK("#Покупные_изделия!D340",Покупные_изделия!D340)</f>
        <v>401.29200000000003</v>
      </c>
      <c r="M4544" s="76">
        <f t="shared" si="173"/>
        <v>1203.8760000000002</v>
      </c>
      <c r="N4544" s="77"/>
      <c r="O4544" s="77"/>
      <c r="P4544" s="76"/>
      <c r="Q4544" s="76"/>
    </row>
    <row r="4545" spans="4:17" hidden="1" outlineLevel="3" x14ac:dyDescent="0.25">
      <c r="E4545" s="74" t="s">
        <v>477</v>
      </c>
      <c r="F4545" s="74"/>
      <c r="G4545" s="74"/>
      <c r="H4545" s="75"/>
      <c r="I4545" s="76"/>
      <c r="J4545" s="78">
        <f>HYPERLINK("#Структура!E518",Структура!E518)</f>
        <v>7</v>
      </c>
      <c r="K4545" s="114" t="str">
        <f>HYPERLINK("#Структура!G518","")</f>
        <v/>
      </c>
      <c r="L4545" s="120">
        <f>HYPERLINK("#Покупные_изделия!D392",Покупные_изделия!D392)</f>
        <v>5.5440000000000005</v>
      </c>
      <c r="M4545" s="76">
        <f t="shared" si="173"/>
        <v>38.808000000000007</v>
      </c>
      <c r="N4545" s="77"/>
      <c r="O4545" s="77"/>
      <c r="P4545" s="76"/>
      <c r="Q4545" s="76"/>
    </row>
    <row r="4546" spans="4:17" hidden="1" outlineLevel="3" x14ac:dyDescent="0.25">
      <c r="E4546" s="74" t="s">
        <v>481</v>
      </c>
      <c r="F4546" s="74"/>
      <c r="G4546" s="74"/>
      <c r="H4546" s="75"/>
      <c r="I4546" s="76"/>
      <c r="J4546" s="78">
        <f>HYPERLINK("#Структура!E519",Структура!E519)</f>
        <v>16</v>
      </c>
      <c r="K4546" s="114" t="str">
        <f>HYPERLINK("#Структура!G519","")</f>
        <v/>
      </c>
      <c r="L4546" s="120">
        <f>HYPERLINK("#Покупные_изделия!D396",Покупные_изделия!D396)</f>
        <v>6.2519999999999998</v>
      </c>
      <c r="M4546" s="76">
        <f t="shared" si="173"/>
        <v>100.032</v>
      </c>
      <c r="N4546" s="77"/>
      <c r="O4546" s="77"/>
      <c r="P4546" s="76"/>
      <c r="Q4546" s="76"/>
    </row>
    <row r="4547" spans="4:17" hidden="1" outlineLevel="3" x14ac:dyDescent="0.25">
      <c r="E4547" s="74" t="s">
        <v>482</v>
      </c>
      <c r="F4547" s="74"/>
      <c r="G4547" s="74"/>
      <c r="H4547" s="75"/>
      <c r="I4547" s="76"/>
      <c r="J4547" s="78">
        <f>HYPERLINK("#Структура!E520",Структура!E520)</f>
        <v>8</v>
      </c>
      <c r="K4547" s="114" t="str">
        <f>HYPERLINK("#Структура!G520","")</f>
        <v/>
      </c>
      <c r="L4547" s="120">
        <f>HYPERLINK("#Покупные_изделия!D397",Покупные_изделия!D397)</f>
        <v>12.54</v>
      </c>
      <c r="M4547" s="76">
        <f t="shared" si="173"/>
        <v>100.32</v>
      </c>
      <c r="N4547" s="77"/>
      <c r="O4547" s="77"/>
      <c r="P4547" s="76"/>
      <c r="Q4547" s="76"/>
    </row>
    <row r="4548" spans="4:17" hidden="1" outlineLevel="3" x14ac:dyDescent="0.25">
      <c r="E4548" s="74" t="s">
        <v>490</v>
      </c>
      <c r="F4548" s="74"/>
      <c r="G4548" s="74"/>
      <c r="H4548" s="75"/>
      <c r="I4548" s="76"/>
      <c r="J4548" s="78">
        <f>HYPERLINK("#Структура!E521",Структура!E521)</f>
        <v>7</v>
      </c>
      <c r="K4548" s="114">
        <f>HYPERLINK("#Структура!G521",Структура!G521)</f>
        <v>2.5400000000000002E-3</v>
      </c>
      <c r="L4548" s="120">
        <f>HYPERLINK("#Покупные_изделия!D410",Покупные_изделия!D410)</f>
        <v>28.104000000000003</v>
      </c>
      <c r="M4548" s="76">
        <f t="shared" si="173"/>
        <v>196.72800000000001</v>
      </c>
      <c r="N4548" s="77"/>
      <c r="O4548" s="77"/>
      <c r="P4548" s="76"/>
      <c r="Q4548" s="76"/>
    </row>
    <row r="4549" spans="4:17" hidden="1" outlineLevel="3" x14ac:dyDescent="0.25">
      <c r="E4549" s="74" t="s">
        <v>543</v>
      </c>
      <c r="F4549" s="74"/>
      <c r="G4549" s="74"/>
      <c r="H4549" s="75"/>
      <c r="I4549" s="76"/>
      <c r="J4549" s="78">
        <f>HYPERLINK("#Структура!E522",Структура!E522)</f>
        <v>1</v>
      </c>
      <c r="K4549" s="114">
        <f>HYPERLINK("#Структура!G522",Структура!G522)</f>
        <v>8.2129999999999995E-2</v>
      </c>
      <c r="L4549" s="120">
        <f>HYPERLINK("#Покупные_изделия!D565",Покупные_изделия!D565)</f>
        <v>180.40440000000001</v>
      </c>
      <c r="M4549" s="76">
        <f t="shared" si="173"/>
        <v>180.40440000000001</v>
      </c>
      <c r="N4549" s="77"/>
      <c r="O4549" s="77"/>
      <c r="P4549" s="76"/>
      <c r="Q4549" s="76"/>
    </row>
    <row r="4550" spans="4:17" hidden="1" outlineLevel="2" collapsed="1" x14ac:dyDescent="0.25">
      <c r="D4550" s="96" t="s">
        <v>777</v>
      </c>
      <c r="E4550" s="91"/>
      <c r="F4550" s="91"/>
      <c r="G4550" s="91"/>
      <c r="H4550" s="92"/>
      <c r="I4550" s="93"/>
      <c r="J4550" s="95">
        <f>HYPERLINK("#Структура!E3285",Структура!E3285)</f>
        <v>1</v>
      </c>
      <c r="K4550" s="116">
        <f>HYPERLINK("#Структура!G3285",Структура!G3285)</f>
        <v>29.336739999999999</v>
      </c>
      <c r="L4550" s="93">
        <f>M4550/J4550</f>
        <v>24577.929600000007</v>
      </c>
      <c r="M4550" s="93">
        <f>SUMIF(E4551:E4560,"*",M4551:M4560)*J4550</f>
        <v>24577.929600000007</v>
      </c>
      <c r="N4550" s="125">
        <f>HYPERLINK("#Трудозатраты!B108",Трудозатраты!B108+SUMIF(E4551:E4560,"*",O4551:O4560))</f>
        <v>221.5</v>
      </c>
      <c r="O4550" s="94">
        <f>N4550*J4550</f>
        <v>221.5</v>
      </c>
      <c r="P4550" s="93">
        <f>O4550/60*(1+запас_труд)*стоимость_трудочаса</f>
        <v>8675.4166666666679</v>
      </c>
      <c r="Q4550" s="130">
        <f>M4550*(1+наценка_покупное)+P4550</f>
        <v>38168.932186666672</v>
      </c>
    </row>
    <row r="4551" spans="4:17" hidden="1" outlineLevel="3" collapsed="1" x14ac:dyDescent="0.25">
      <c r="E4551" s="85" t="s">
        <v>776</v>
      </c>
      <c r="F4551" s="86"/>
      <c r="G4551" s="86"/>
      <c r="H4551" s="87"/>
      <c r="I4551" s="88"/>
      <c r="J4551" s="90">
        <f>HYPERLINK("#Структура!E523",Структура!E523)</f>
        <v>7</v>
      </c>
      <c r="K4551" s="113">
        <f>HYPERLINK("#Структура!G523",Структура!G523)</f>
        <v>4.9739999999999999E-2</v>
      </c>
      <c r="L4551" s="88">
        <f>M4551/J4551</f>
        <v>72</v>
      </c>
      <c r="M4551" s="88">
        <f>SUMIF(F4552,"*",M4552)*J4551</f>
        <v>504</v>
      </c>
      <c r="N4551" s="123">
        <f>HYPERLINK("#Трудозатраты!B137",Трудозатраты!B137+SUMIF(F4552,"*",O4552))</f>
        <v>31.5</v>
      </c>
      <c r="O4551" s="89">
        <f>N4551*J4551</f>
        <v>220.5</v>
      </c>
      <c r="P4551" s="88">
        <f>O4551/60*(1+запас_труд)*стоимость_трудочаса</f>
        <v>8636.25</v>
      </c>
      <c r="Q4551" s="128">
        <f>M4551*(1+наценка_покупное)+P4551</f>
        <v>9241.0499999999993</v>
      </c>
    </row>
    <row r="4552" spans="4:17" hidden="1" outlineLevel="4" x14ac:dyDescent="0.25">
      <c r="F4552" s="74" t="s">
        <v>90</v>
      </c>
      <c r="G4552" s="74"/>
      <c r="H4552" s="75"/>
      <c r="I4552" s="76"/>
      <c r="J4552" s="78">
        <f>HYPERLINK("#Структура!E680",Структура!E680)</f>
        <v>0.24</v>
      </c>
      <c r="K4552" s="114" t="str">
        <f>HYPERLINK("#Структура!G680","")</f>
        <v/>
      </c>
      <c r="L4552" s="120">
        <f>HYPERLINK("#Покупные_изделия!D259",Покупные_изделия!D259)</f>
        <v>300</v>
      </c>
      <c r="M4552" s="76">
        <f t="shared" ref="M4552:M4560" si="174">J4552*L4552</f>
        <v>72</v>
      </c>
      <c r="N4552" s="77"/>
      <c r="O4552" s="77"/>
      <c r="P4552" s="76"/>
      <c r="Q4552" s="76"/>
    </row>
    <row r="4553" spans="4:17" hidden="1" outlineLevel="3" x14ac:dyDescent="0.25">
      <c r="E4553" s="74" t="s">
        <v>411</v>
      </c>
      <c r="F4553" s="74"/>
      <c r="G4553" s="74"/>
      <c r="H4553" s="75"/>
      <c r="I4553" s="76"/>
      <c r="J4553" s="78">
        <f>HYPERLINK("#Структура!E524",Структура!E524)</f>
        <v>7</v>
      </c>
      <c r="K4553" s="114">
        <f>HYPERLINK("#Структура!G524",Структура!G524)</f>
        <v>1.55158</v>
      </c>
      <c r="L4553" s="120">
        <f>HYPERLINK("#Покупные_изделия!D235",Покупные_изделия!D235)</f>
        <v>1085.5319999999999</v>
      </c>
      <c r="M4553" s="76">
        <f t="shared" si="174"/>
        <v>7598.7239999999993</v>
      </c>
      <c r="N4553" s="77"/>
      <c r="O4553" s="77"/>
      <c r="P4553" s="76"/>
      <c r="Q4553" s="76"/>
    </row>
    <row r="4554" spans="4:17" hidden="1" outlineLevel="3" x14ac:dyDescent="0.25">
      <c r="E4554" s="74" t="s">
        <v>420</v>
      </c>
      <c r="F4554" s="74"/>
      <c r="G4554" s="74"/>
      <c r="H4554" s="75"/>
      <c r="I4554" s="76"/>
      <c r="J4554" s="78">
        <f>HYPERLINK("#Структура!E525",Структура!E525)</f>
        <v>17</v>
      </c>
      <c r="K4554" s="114">
        <f>HYPERLINK("#Структура!G525",Структура!G525)</f>
        <v>0.64</v>
      </c>
      <c r="L4554" s="120">
        <f>HYPERLINK("#Покупные_изделия!D312",Покупные_изделия!D312)</f>
        <v>506.964</v>
      </c>
      <c r="M4554" s="76">
        <f t="shared" si="174"/>
        <v>8618.3880000000008</v>
      </c>
      <c r="N4554" s="77"/>
      <c r="O4554" s="77"/>
      <c r="P4554" s="76"/>
      <c r="Q4554" s="76"/>
    </row>
    <row r="4555" spans="4:17" hidden="1" outlineLevel="3" x14ac:dyDescent="0.25">
      <c r="E4555" s="74" t="s">
        <v>437</v>
      </c>
      <c r="F4555" s="74"/>
      <c r="G4555" s="74"/>
      <c r="H4555" s="75"/>
      <c r="I4555" s="76"/>
      <c r="J4555" s="78">
        <f>HYPERLINK("#Структура!E526",Структура!E526)</f>
        <v>2</v>
      </c>
      <c r="K4555" s="114">
        <f>HYPERLINK("#Структура!G526",Структура!G526)</f>
        <v>5.5140000000000002E-2</v>
      </c>
      <c r="L4555" s="120">
        <f>HYPERLINK("#Покупные_изделия!D334",Покупные_изделия!D334)</f>
        <v>715.22879999999998</v>
      </c>
      <c r="M4555" s="76">
        <f t="shared" si="174"/>
        <v>1430.4576</v>
      </c>
      <c r="N4555" s="77"/>
      <c r="O4555" s="77"/>
      <c r="P4555" s="76"/>
      <c r="Q4555" s="76"/>
    </row>
    <row r="4556" spans="4:17" hidden="1" outlineLevel="3" x14ac:dyDescent="0.25">
      <c r="E4556" s="74" t="s">
        <v>441</v>
      </c>
      <c r="F4556" s="74"/>
      <c r="G4556" s="74"/>
      <c r="H4556" s="75"/>
      <c r="I4556" s="76"/>
      <c r="J4556" s="78">
        <f>HYPERLINK("#Структура!E527",Структура!E527)</f>
        <v>13</v>
      </c>
      <c r="K4556" s="114">
        <f>HYPERLINK("#Структура!G527",Структура!G527)</f>
        <v>8.0509999999999998E-2</v>
      </c>
      <c r="L4556" s="120">
        <f>HYPERLINK("#Покупные_изделия!D340",Покупные_изделия!D340)</f>
        <v>401.29200000000003</v>
      </c>
      <c r="M4556" s="76">
        <f t="shared" si="174"/>
        <v>5216.7960000000003</v>
      </c>
      <c r="N4556" s="77"/>
      <c r="O4556" s="77"/>
      <c r="P4556" s="76"/>
      <c r="Q4556" s="76"/>
    </row>
    <row r="4557" spans="4:17" hidden="1" outlineLevel="3" x14ac:dyDescent="0.25">
      <c r="E4557" s="74" t="s">
        <v>481</v>
      </c>
      <c r="F4557" s="74"/>
      <c r="G4557" s="74"/>
      <c r="H4557" s="75"/>
      <c r="I4557" s="76"/>
      <c r="J4557" s="78">
        <f>HYPERLINK("#Структура!E528",Структура!E528)</f>
        <v>48</v>
      </c>
      <c r="K4557" s="114" t="str">
        <f>HYPERLINK("#Структура!G528","")</f>
        <v/>
      </c>
      <c r="L4557" s="120">
        <f>HYPERLINK("#Покупные_изделия!D396",Покупные_изделия!D396)</f>
        <v>6.2519999999999998</v>
      </c>
      <c r="M4557" s="76">
        <f t="shared" si="174"/>
        <v>300.096</v>
      </c>
      <c r="N4557" s="77"/>
      <c r="O4557" s="77"/>
      <c r="P4557" s="76"/>
      <c r="Q4557" s="76"/>
    </row>
    <row r="4558" spans="4:17" hidden="1" outlineLevel="3" x14ac:dyDescent="0.25">
      <c r="E4558" s="74" t="s">
        <v>482</v>
      </c>
      <c r="F4558" s="74"/>
      <c r="G4558" s="74"/>
      <c r="H4558" s="75"/>
      <c r="I4558" s="76"/>
      <c r="J4558" s="78">
        <f>HYPERLINK("#Структура!E529",Структура!E529)</f>
        <v>21</v>
      </c>
      <c r="K4558" s="114" t="str">
        <f>HYPERLINK("#Структура!G529","")</f>
        <v/>
      </c>
      <c r="L4558" s="120">
        <f>HYPERLINK("#Покупные_изделия!D397",Покупные_изделия!D397)</f>
        <v>12.54</v>
      </c>
      <c r="M4558" s="76">
        <f t="shared" si="174"/>
        <v>263.33999999999997</v>
      </c>
      <c r="N4558" s="77"/>
      <c r="O4558" s="77"/>
      <c r="P4558" s="76"/>
      <c r="Q4558" s="76"/>
    </row>
    <row r="4559" spans="4:17" hidden="1" outlineLevel="3" x14ac:dyDescent="0.25">
      <c r="E4559" s="74" t="s">
        <v>778</v>
      </c>
      <c r="F4559" s="74"/>
      <c r="G4559" s="74"/>
      <c r="H4559" s="75"/>
      <c r="I4559" s="76"/>
      <c r="J4559" s="78">
        <f>HYPERLINK("#Структура!E530",Структура!E530)</f>
        <v>4</v>
      </c>
      <c r="K4559" s="114" t="str">
        <f>HYPERLINK("#Структура!G530","")</f>
        <v/>
      </c>
      <c r="L4559" s="120">
        <f>HYPERLINK("#Покупные_изделия!D409",Покупные_изделия!D409)</f>
        <v>21.012</v>
      </c>
      <c r="M4559" s="76">
        <f t="shared" si="174"/>
        <v>84.048000000000002</v>
      </c>
      <c r="N4559" s="77"/>
      <c r="O4559" s="77"/>
      <c r="P4559" s="76"/>
      <c r="Q4559" s="76"/>
    </row>
    <row r="4560" spans="4:17" hidden="1" outlineLevel="3" x14ac:dyDescent="0.25">
      <c r="E4560" s="74" t="s">
        <v>490</v>
      </c>
      <c r="F4560" s="74"/>
      <c r="G4560" s="74"/>
      <c r="H4560" s="75"/>
      <c r="I4560" s="76"/>
      <c r="J4560" s="78">
        <f>HYPERLINK("#Структура!E531",Структура!E531)</f>
        <v>20</v>
      </c>
      <c r="K4560" s="114">
        <f>HYPERLINK("#Структура!G531",Структура!G531)</f>
        <v>2.5400000000000002E-3</v>
      </c>
      <c r="L4560" s="120">
        <f>HYPERLINK("#Покупные_изделия!D410",Покупные_изделия!D410)</f>
        <v>28.104000000000003</v>
      </c>
      <c r="M4560" s="76">
        <f t="shared" si="174"/>
        <v>562.08000000000004</v>
      </c>
      <c r="N4560" s="77"/>
      <c r="O4560" s="77"/>
      <c r="P4560" s="76"/>
      <c r="Q4560" s="76"/>
    </row>
    <row r="4561" spans="4:17" hidden="1" outlineLevel="2" collapsed="1" x14ac:dyDescent="0.25">
      <c r="D4561" s="96" t="s">
        <v>780</v>
      </c>
      <c r="E4561" s="91"/>
      <c r="F4561" s="91"/>
      <c r="G4561" s="91"/>
      <c r="H4561" s="92"/>
      <c r="I4561" s="93"/>
      <c r="J4561" s="95">
        <f>HYPERLINK("#Структура!E3286",Структура!E3286)</f>
        <v>1</v>
      </c>
      <c r="K4561" s="116">
        <f>HYPERLINK("#Структура!G3286",Структура!G3286)</f>
        <v>13.22936</v>
      </c>
      <c r="L4561" s="93">
        <f>M4561/J4561</f>
        <v>5774.172160000001</v>
      </c>
      <c r="M4561" s="93">
        <f>SUMIF(E4562:E4575,"*",M4562:M4575)*J4561</f>
        <v>5774.172160000001</v>
      </c>
      <c r="N4561" s="125">
        <f>HYPERLINK("#Трудозатраты!B109",Трудозатраты!B109+SUMIF(E4562:E4575,"*",O4562:O4575))</f>
        <v>415</v>
      </c>
      <c r="O4561" s="94">
        <f>N4561*J4561</f>
        <v>415</v>
      </c>
      <c r="P4561" s="93">
        <f>O4561/60*(1+запас_труд)*стоимость_трудочаса</f>
        <v>16254.166666666668</v>
      </c>
      <c r="Q4561" s="130">
        <f>M4561*(1+наценка_покупное)+P4561</f>
        <v>23183.173258666669</v>
      </c>
    </row>
    <row r="4562" spans="4:17" hidden="1" outlineLevel="3" collapsed="1" x14ac:dyDescent="0.25">
      <c r="E4562" s="85" t="s">
        <v>779</v>
      </c>
      <c r="F4562" s="86"/>
      <c r="G4562" s="86"/>
      <c r="H4562" s="87"/>
      <c r="I4562" s="88"/>
      <c r="J4562" s="90">
        <f>HYPERLINK("#Структура!E532",Структура!E532)</f>
        <v>1</v>
      </c>
      <c r="K4562" s="113">
        <f>HYPERLINK("#Структура!G532",Структура!G532)</f>
        <v>4.7471699999999997</v>
      </c>
      <c r="L4562" s="88">
        <f>M4562/J4562</f>
        <v>2970.0518000000006</v>
      </c>
      <c r="M4562" s="88">
        <f>SUMIF(F4563:F4568,"*",M4563:M4568)*J4562</f>
        <v>2970.0518000000006</v>
      </c>
      <c r="N4562" s="123">
        <f>HYPERLINK("#Трудозатраты!B110",Трудозатраты!B110+SUMIF(F4563:F4568,"*",O4563:O4568))</f>
        <v>240</v>
      </c>
      <c r="O4562" s="89">
        <f>N4562*J4562</f>
        <v>240</v>
      </c>
      <c r="P4562" s="88">
        <f>O4562/60*(1+запас_труд)*стоимость_трудочаса</f>
        <v>9400</v>
      </c>
      <c r="Q4562" s="128">
        <f>M4562*(1+наценка_покупное)+P4562</f>
        <v>12964.062160000001</v>
      </c>
    </row>
    <row r="4563" spans="4:17" hidden="1" outlineLevel="4" x14ac:dyDescent="0.25">
      <c r="F4563" s="74" t="s">
        <v>381</v>
      </c>
      <c r="G4563" s="74"/>
      <c r="H4563" s="75"/>
      <c r="I4563" s="76"/>
      <c r="J4563" s="78">
        <f>HYPERLINK("#Структура!E534",Структура!E534)</f>
        <v>1</v>
      </c>
      <c r="K4563" s="114">
        <f>HYPERLINK("#Структура!G534",Структура!G534)</f>
        <v>8.9999999999999993E-3</v>
      </c>
      <c r="L4563" s="120">
        <f>HYPERLINK("#Покупные_изделия!D183",Покупные_изделия!D183)</f>
        <v>66</v>
      </c>
      <c r="M4563" s="76">
        <f t="shared" ref="M4563:M4568" si="175">J4563*L4563</f>
        <v>66</v>
      </c>
      <c r="N4563" s="77"/>
      <c r="O4563" s="77"/>
      <c r="P4563" s="76"/>
      <c r="Q4563" s="76"/>
    </row>
    <row r="4564" spans="4:17" hidden="1" outlineLevel="4" x14ac:dyDescent="0.25">
      <c r="F4564" s="74" t="s">
        <v>421</v>
      </c>
      <c r="G4564" s="74"/>
      <c r="H4564" s="75"/>
      <c r="I4564" s="76"/>
      <c r="J4564" s="78">
        <f>HYPERLINK("#Структура!E535",Структура!E535)</f>
        <v>2.5</v>
      </c>
      <c r="K4564" s="114">
        <f>HYPERLINK("#Структура!G535",Структура!G535)</f>
        <v>0.23</v>
      </c>
      <c r="L4564" s="120">
        <f>HYPERLINK("#Покупные_изделия!D313",Покупные_изделия!D313)</f>
        <v>579.09720000000004</v>
      </c>
      <c r="M4564" s="76">
        <f t="shared" si="175"/>
        <v>1447.7430000000002</v>
      </c>
      <c r="N4564" s="77"/>
      <c r="O4564" s="77"/>
      <c r="P4564" s="76"/>
      <c r="Q4564" s="76"/>
    </row>
    <row r="4565" spans="4:17" hidden="1" outlineLevel="4" x14ac:dyDescent="0.25">
      <c r="F4565" s="74" t="s">
        <v>440</v>
      </c>
      <c r="G4565" s="74"/>
      <c r="H4565" s="75"/>
      <c r="I4565" s="76"/>
      <c r="J4565" s="78">
        <f>HYPERLINK("#Структура!E536",Структура!E536)</f>
        <v>1</v>
      </c>
      <c r="K4565" s="114">
        <f>HYPERLINK("#Структура!G536",Структура!G536)</f>
        <v>0.16281000000000001</v>
      </c>
      <c r="L4565" s="120">
        <f>HYPERLINK("#Покупные_изделия!D338",Покупные_изделия!D338)</f>
        <v>770.00000000000011</v>
      </c>
      <c r="M4565" s="76">
        <f t="shared" si="175"/>
        <v>770.00000000000011</v>
      </c>
      <c r="N4565" s="77"/>
      <c r="O4565" s="77"/>
      <c r="P4565" s="76"/>
      <c r="Q4565" s="76"/>
    </row>
    <row r="4566" spans="4:17" hidden="1" outlineLevel="4" x14ac:dyDescent="0.25">
      <c r="F4566" s="74" t="s">
        <v>487</v>
      </c>
      <c r="G4566" s="74"/>
      <c r="H4566" s="75"/>
      <c r="I4566" s="76"/>
      <c r="J4566" s="78">
        <f>HYPERLINK("#Структура!E537",Структура!E537)</f>
        <v>4</v>
      </c>
      <c r="K4566" s="114" t="str">
        <f>HYPERLINK("#Структура!G537","")</f>
        <v/>
      </c>
      <c r="L4566" s="120">
        <f>HYPERLINK("#Покупные_изделия!D404",Покупные_изделия!D404)</f>
        <v>37.619999999999997</v>
      </c>
      <c r="M4566" s="76">
        <f t="shared" si="175"/>
        <v>150.47999999999999</v>
      </c>
      <c r="N4566" s="77"/>
      <c r="O4566" s="77"/>
      <c r="P4566" s="76"/>
      <c r="Q4566" s="76"/>
    </row>
    <row r="4567" spans="4:17" hidden="1" outlineLevel="4" x14ac:dyDescent="0.25">
      <c r="F4567" s="74" t="s">
        <v>488</v>
      </c>
      <c r="G4567" s="74"/>
      <c r="H4567" s="75"/>
      <c r="I4567" s="76"/>
      <c r="J4567" s="78">
        <f>HYPERLINK("#Структура!E538",Структура!E538)</f>
        <v>12</v>
      </c>
      <c r="K4567" s="114" t="str">
        <f>HYPERLINK("#Структура!G538","")</f>
        <v/>
      </c>
      <c r="L4567" s="120">
        <f>HYPERLINK("#Покупные_изделия!D405",Покупные_изделия!D405)</f>
        <v>42.359999999999992</v>
      </c>
      <c r="M4567" s="76">
        <f t="shared" si="175"/>
        <v>508.31999999999994</v>
      </c>
      <c r="N4567" s="77"/>
      <c r="O4567" s="77"/>
      <c r="P4567" s="76"/>
      <c r="Q4567" s="76"/>
    </row>
    <row r="4568" spans="4:17" hidden="1" outlineLevel="4" x14ac:dyDescent="0.25">
      <c r="F4568" s="74" t="s">
        <v>491</v>
      </c>
      <c r="G4568" s="74"/>
      <c r="H4568" s="75"/>
      <c r="I4568" s="76"/>
      <c r="J4568" s="78">
        <f>HYPERLINK("#Структура!E539",Структура!E539)</f>
        <v>1</v>
      </c>
      <c r="K4568" s="114">
        <f>HYPERLINK("#Структура!G539",Структура!G539)</f>
        <v>3.6800000000000001E-3</v>
      </c>
      <c r="L4568" s="120">
        <f>HYPERLINK("#Покупные_изделия!D411",Покупные_изделия!D411)</f>
        <v>27.508800000000001</v>
      </c>
      <c r="M4568" s="76">
        <f t="shared" si="175"/>
        <v>27.508800000000001</v>
      </c>
      <c r="N4568" s="77"/>
      <c r="O4568" s="77"/>
      <c r="P4568" s="76"/>
      <c r="Q4568" s="76"/>
    </row>
    <row r="4569" spans="4:17" hidden="1" outlineLevel="3" collapsed="1" x14ac:dyDescent="0.25">
      <c r="E4569" s="84" t="s">
        <v>781</v>
      </c>
      <c r="F4569" s="79"/>
      <c r="G4569" s="79"/>
      <c r="H4569" s="80"/>
      <c r="I4569" s="81"/>
      <c r="J4569" s="83">
        <f>HYPERLINK("#Структура!E533",Структура!E533)</f>
        <v>1</v>
      </c>
      <c r="K4569" s="115">
        <f>HYPERLINK("#Структура!G533",Структура!G533)</f>
        <v>8.4821899999999992</v>
      </c>
      <c r="L4569" s="81">
        <f>M4569/J4569</f>
        <v>2804.1203600000003</v>
      </c>
      <c r="M4569" s="81">
        <f>SUMIF(F4570:F4575,"*",M4570:M4575)*J4569</f>
        <v>2804.1203600000003</v>
      </c>
      <c r="N4569" s="124">
        <f>HYPERLINK("#Трудозатраты!B111",Трудозатраты!B111+SUMIF(F4570:F4575,"*",O4570:O4575))</f>
        <v>45</v>
      </c>
      <c r="O4569" s="82">
        <f>N4569*J4569</f>
        <v>45</v>
      </c>
      <c r="P4569" s="81">
        <f>O4569/60*(1+запас_труд)*стоимость_трудочаса</f>
        <v>1762.5</v>
      </c>
      <c r="Q4569" s="129">
        <f>M4569*(1+наценка_покупное)+P4569</f>
        <v>5127.4444320000002</v>
      </c>
    </row>
    <row r="4570" spans="4:17" hidden="1" outlineLevel="4" x14ac:dyDescent="0.25">
      <c r="F4570" s="74" t="s">
        <v>381</v>
      </c>
      <c r="G4570" s="74"/>
      <c r="H4570" s="75"/>
      <c r="I4570" s="76"/>
      <c r="J4570" s="78">
        <f>HYPERLINK("#Структура!E540",Структура!E540)</f>
        <v>1</v>
      </c>
      <c r="K4570" s="114">
        <f>HYPERLINK("#Структура!G540",Структура!G540)</f>
        <v>8.9999999999999993E-3</v>
      </c>
      <c r="L4570" s="120">
        <f>HYPERLINK("#Покупные_изделия!D183",Покупные_изделия!D183)</f>
        <v>66</v>
      </c>
      <c r="M4570" s="76">
        <f t="shared" ref="M4570:M4575" si="176">J4570*L4570</f>
        <v>66</v>
      </c>
      <c r="N4570" s="77"/>
      <c r="O4570" s="77"/>
      <c r="P4570" s="76"/>
      <c r="Q4570" s="76"/>
    </row>
    <row r="4571" spans="4:17" hidden="1" outlineLevel="4" x14ac:dyDescent="0.25">
      <c r="F4571" s="74" t="s">
        <v>421</v>
      </c>
      <c r="G4571" s="74"/>
      <c r="H4571" s="75"/>
      <c r="I4571" s="76"/>
      <c r="J4571" s="78">
        <f>HYPERLINK("#Структура!E541",Структура!E541)</f>
        <v>2.2999999999999998</v>
      </c>
      <c r="K4571" s="114">
        <f>HYPERLINK("#Структура!G541",Структура!G541)</f>
        <v>0.23</v>
      </c>
      <c r="L4571" s="120">
        <f>HYPERLINK("#Покупные_изделия!D313",Покупные_изделия!D313)</f>
        <v>579.09720000000004</v>
      </c>
      <c r="M4571" s="76">
        <f t="shared" si="176"/>
        <v>1331.92356</v>
      </c>
      <c r="N4571" s="77"/>
      <c r="O4571" s="77"/>
      <c r="P4571" s="76"/>
      <c r="Q4571" s="76"/>
    </row>
    <row r="4572" spans="4:17" hidden="1" outlineLevel="4" x14ac:dyDescent="0.25">
      <c r="F4572" s="74" t="s">
        <v>440</v>
      </c>
      <c r="G4572" s="74"/>
      <c r="H4572" s="75"/>
      <c r="I4572" s="76"/>
      <c r="J4572" s="78">
        <f>HYPERLINK("#Структура!E542",Структура!E542)</f>
        <v>1</v>
      </c>
      <c r="K4572" s="114">
        <f>HYPERLINK("#Структура!G542",Структура!G542)</f>
        <v>0.16281000000000001</v>
      </c>
      <c r="L4572" s="120">
        <f>HYPERLINK("#Покупные_изделия!D338",Покупные_изделия!D338)</f>
        <v>770.00000000000011</v>
      </c>
      <c r="M4572" s="76">
        <f t="shared" si="176"/>
        <v>770.00000000000011</v>
      </c>
      <c r="N4572" s="77"/>
      <c r="O4572" s="77"/>
      <c r="P4572" s="76"/>
      <c r="Q4572" s="76"/>
    </row>
    <row r="4573" spans="4:17" hidden="1" outlineLevel="4" x14ac:dyDescent="0.25">
      <c r="F4573" s="74" t="s">
        <v>485</v>
      </c>
      <c r="G4573" s="74"/>
      <c r="H4573" s="75"/>
      <c r="I4573" s="76"/>
      <c r="J4573" s="78">
        <f>HYPERLINK("#Структура!E543",Структура!E543)</f>
        <v>6</v>
      </c>
      <c r="K4573" s="114" t="str">
        <f>HYPERLINK("#Структура!G543","")</f>
        <v/>
      </c>
      <c r="L4573" s="120">
        <f>HYPERLINK("#Покупные_изделия!D402",Покупные_изделия!D402)</f>
        <v>23.759999999999998</v>
      </c>
      <c r="M4573" s="76">
        <f t="shared" si="176"/>
        <v>142.56</v>
      </c>
      <c r="N4573" s="77"/>
      <c r="O4573" s="77"/>
      <c r="P4573" s="76"/>
      <c r="Q4573" s="76"/>
    </row>
    <row r="4574" spans="4:17" hidden="1" outlineLevel="4" x14ac:dyDescent="0.25">
      <c r="F4574" s="74" t="s">
        <v>486</v>
      </c>
      <c r="G4574" s="74"/>
      <c r="H4574" s="75"/>
      <c r="I4574" s="76"/>
      <c r="J4574" s="78">
        <f>HYPERLINK("#Структура!E544",Структура!E544)</f>
        <v>18</v>
      </c>
      <c r="K4574" s="114" t="str">
        <f>HYPERLINK("#Структура!G544","")</f>
        <v/>
      </c>
      <c r="L4574" s="120">
        <f>HYPERLINK("#Покупные_изделия!D403",Покупные_изделия!D403)</f>
        <v>25.895999999999997</v>
      </c>
      <c r="M4574" s="76">
        <f t="shared" si="176"/>
        <v>466.12799999999993</v>
      </c>
      <c r="N4574" s="77"/>
      <c r="O4574" s="77"/>
      <c r="P4574" s="76"/>
      <c r="Q4574" s="76"/>
    </row>
    <row r="4575" spans="4:17" hidden="1" outlineLevel="4" x14ac:dyDescent="0.25">
      <c r="F4575" s="74" t="s">
        <v>491</v>
      </c>
      <c r="G4575" s="74"/>
      <c r="H4575" s="75"/>
      <c r="I4575" s="76"/>
      <c r="J4575" s="78">
        <f>HYPERLINK("#Структура!E545",Структура!E545)</f>
        <v>1</v>
      </c>
      <c r="K4575" s="114">
        <f>HYPERLINK("#Структура!G545",Структура!G545)</f>
        <v>3.6800000000000001E-3</v>
      </c>
      <c r="L4575" s="120">
        <f>HYPERLINK("#Покупные_изделия!D411",Покупные_изделия!D411)</f>
        <v>27.508800000000001</v>
      </c>
      <c r="M4575" s="76">
        <f t="shared" si="176"/>
        <v>27.508800000000001</v>
      </c>
      <c r="N4575" s="77"/>
      <c r="O4575" s="77"/>
      <c r="P4575" s="76"/>
      <c r="Q4575" s="76"/>
    </row>
    <row r="4576" spans="4:17" hidden="1" outlineLevel="2" collapsed="1" x14ac:dyDescent="0.25">
      <c r="D4576" s="96" t="s">
        <v>783</v>
      </c>
      <c r="E4576" s="91"/>
      <c r="F4576" s="91"/>
      <c r="G4576" s="91"/>
      <c r="H4576" s="92"/>
      <c r="I4576" s="93"/>
      <c r="J4576" s="95">
        <f>HYPERLINK("#Структура!E3287",Структура!E3287)</f>
        <v>1</v>
      </c>
      <c r="K4576" s="116">
        <f>HYPERLINK("#Структура!G3287",Структура!G3287)</f>
        <v>43.540370000000003</v>
      </c>
      <c r="L4576" s="93">
        <f>M4576/J4576</f>
        <v>25088.580199999997</v>
      </c>
      <c r="M4576" s="93">
        <f>SUMIF(E4577:E4590,"*",M4577:M4590)*J4576</f>
        <v>25088.580199999997</v>
      </c>
      <c r="N4576" s="125">
        <f>HYPERLINK("#Трудозатраты!B112",Трудозатраты!B112+SUMIF(E4577:E4590,"*",O4577:O4590))</f>
        <v>3</v>
      </c>
      <c r="O4576" s="94">
        <f>N4576*J4576</f>
        <v>3</v>
      </c>
      <c r="P4576" s="93">
        <f>O4576/60*(1+запас_труд)*стоимость_трудочаса</f>
        <v>117.5</v>
      </c>
      <c r="Q4576" s="130">
        <f>M4576*(1+наценка_покупное)+P4576</f>
        <v>30223.796239999996</v>
      </c>
    </row>
    <row r="4577" spans="4:17" hidden="1" outlineLevel="3" collapsed="1" x14ac:dyDescent="0.25">
      <c r="E4577" s="85" t="s">
        <v>782</v>
      </c>
      <c r="F4577" s="86"/>
      <c r="G4577" s="86"/>
      <c r="H4577" s="87"/>
      <c r="I4577" s="88"/>
      <c r="J4577" s="90">
        <f>HYPERLINK("#Структура!E546",Структура!E546)</f>
        <v>1</v>
      </c>
      <c r="K4577" s="113">
        <f>HYPERLINK("#Структура!G546",Структура!G546)</f>
        <v>15.914339999999999</v>
      </c>
      <c r="L4577" s="88">
        <f>M4577/J4577</f>
        <v>8920.4293999999991</v>
      </c>
      <c r="M4577" s="88">
        <f>SUMIF(F4578:F4583,"*",M4578:M4583)*J4577</f>
        <v>8920.4293999999991</v>
      </c>
      <c r="N4577" s="123">
        <f>HYPERLINK("#Трудозатраты!B113",Трудозатраты!B113+SUMIF(F4578:F4583,"*",O4578:O4583))</f>
        <v>1</v>
      </c>
      <c r="O4577" s="89">
        <f>N4577*J4577</f>
        <v>1</v>
      </c>
      <c r="P4577" s="88">
        <f>O4577/60*(1+запас_труд)*стоимость_трудочаса</f>
        <v>39.166666666666664</v>
      </c>
      <c r="Q4577" s="128">
        <f>M4577*(1+наценка_покупное)+P4577</f>
        <v>10743.681946666664</v>
      </c>
    </row>
    <row r="4578" spans="4:17" hidden="1" outlineLevel="4" x14ac:dyDescent="0.25">
      <c r="F4578" s="74" t="s">
        <v>381</v>
      </c>
      <c r="G4578" s="74"/>
      <c r="H4578" s="75"/>
      <c r="I4578" s="76"/>
      <c r="J4578" s="78">
        <f>HYPERLINK("#Структура!E548",Структура!E548)</f>
        <v>1</v>
      </c>
      <c r="K4578" s="114">
        <f>HYPERLINK("#Структура!G548",Структура!G548)</f>
        <v>8.9999999999999993E-3</v>
      </c>
      <c r="L4578" s="120">
        <f>HYPERLINK("#Покупные_изделия!D183",Покупные_изделия!D183)</f>
        <v>66</v>
      </c>
      <c r="M4578" s="76">
        <f t="shared" ref="M4578:M4583" si="177">J4578*L4578</f>
        <v>66</v>
      </c>
      <c r="N4578" s="77"/>
      <c r="O4578" s="77"/>
      <c r="P4578" s="76"/>
      <c r="Q4578" s="76"/>
    </row>
    <row r="4579" spans="4:17" hidden="1" outlineLevel="4" x14ac:dyDescent="0.25">
      <c r="F4579" s="74" t="s">
        <v>421</v>
      </c>
      <c r="G4579" s="74"/>
      <c r="H4579" s="75"/>
      <c r="I4579" s="76"/>
      <c r="J4579" s="78">
        <f>HYPERLINK("#Структура!E549",Структура!E549)</f>
        <v>10.5</v>
      </c>
      <c r="K4579" s="114">
        <f>HYPERLINK("#Структура!G549",Структура!G549)</f>
        <v>0.23</v>
      </c>
      <c r="L4579" s="120">
        <f>HYPERLINK("#Покупные_изделия!D313",Покупные_изделия!D313)</f>
        <v>579.09720000000004</v>
      </c>
      <c r="M4579" s="76">
        <f t="shared" si="177"/>
        <v>6080.5206000000007</v>
      </c>
      <c r="N4579" s="77"/>
      <c r="O4579" s="77"/>
      <c r="P4579" s="76"/>
      <c r="Q4579" s="76"/>
    </row>
    <row r="4580" spans="4:17" hidden="1" outlineLevel="4" x14ac:dyDescent="0.25">
      <c r="F4580" s="74" t="s">
        <v>440</v>
      </c>
      <c r="G4580" s="74"/>
      <c r="H4580" s="75"/>
      <c r="I4580" s="76"/>
      <c r="J4580" s="78">
        <f>HYPERLINK("#Структура!E550",Структура!E550)</f>
        <v>1</v>
      </c>
      <c r="K4580" s="114">
        <f>HYPERLINK("#Структура!G550",Структура!G550)</f>
        <v>0.16281000000000001</v>
      </c>
      <c r="L4580" s="120">
        <f>HYPERLINK("#Покупные_изделия!D338",Покупные_изделия!D338)</f>
        <v>770.00000000000011</v>
      </c>
      <c r="M4580" s="76">
        <f t="shared" si="177"/>
        <v>770.00000000000011</v>
      </c>
      <c r="N4580" s="77"/>
      <c r="O4580" s="77"/>
      <c r="P4580" s="76"/>
      <c r="Q4580" s="76"/>
    </row>
    <row r="4581" spans="4:17" hidden="1" outlineLevel="4" x14ac:dyDescent="0.25">
      <c r="F4581" s="74" t="s">
        <v>487</v>
      </c>
      <c r="G4581" s="74"/>
      <c r="H4581" s="75"/>
      <c r="I4581" s="76"/>
      <c r="J4581" s="78">
        <f>HYPERLINK("#Структура!E551",Структура!E551)</f>
        <v>12</v>
      </c>
      <c r="K4581" s="114" t="str">
        <f>HYPERLINK("#Структура!G551","")</f>
        <v/>
      </c>
      <c r="L4581" s="120">
        <f>HYPERLINK("#Покупные_изделия!D404",Покупные_изделия!D404)</f>
        <v>37.619999999999997</v>
      </c>
      <c r="M4581" s="76">
        <f t="shared" si="177"/>
        <v>451.43999999999994</v>
      </c>
      <c r="N4581" s="77"/>
      <c r="O4581" s="77"/>
      <c r="P4581" s="76"/>
      <c r="Q4581" s="76"/>
    </row>
    <row r="4582" spans="4:17" hidden="1" outlineLevel="4" x14ac:dyDescent="0.25">
      <c r="F4582" s="74" t="s">
        <v>488</v>
      </c>
      <c r="G4582" s="74"/>
      <c r="H4582" s="75"/>
      <c r="I4582" s="76"/>
      <c r="J4582" s="78">
        <f>HYPERLINK("#Структура!E552",Структура!E552)</f>
        <v>36</v>
      </c>
      <c r="K4582" s="114" t="str">
        <f>HYPERLINK("#Структура!G552","")</f>
        <v/>
      </c>
      <c r="L4582" s="120">
        <f>HYPERLINK("#Покупные_изделия!D405",Покупные_изделия!D405)</f>
        <v>42.359999999999992</v>
      </c>
      <c r="M4582" s="76">
        <f t="shared" si="177"/>
        <v>1524.9599999999998</v>
      </c>
      <c r="N4582" s="77"/>
      <c r="O4582" s="77"/>
      <c r="P4582" s="76"/>
      <c r="Q4582" s="76"/>
    </row>
    <row r="4583" spans="4:17" hidden="1" outlineLevel="4" x14ac:dyDescent="0.25">
      <c r="F4583" s="74" t="s">
        <v>491</v>
      </c>
      <c r="G4583" s="74"/>
      <c r="H4583" s="75"/>
      <c r="I4583" s="76"/>
      <c r="J4583" s="78">
        <f>HYPERLINK("#Структура!E553",Структура!E553)</f>
        <v>1</v>
      </c>
      <c r="K4583" s="114">
        <f>HYPERLINK("#Структура!G553",Структура!G553)</f>
        <v>3.6800000000000001E-3</v>
      </c>
      <c r="L4583" s="120">
        <f>HYPERLINK("#Покупные_изделия!D411",Покупные_изделия!D411)</f>
        <v>27.508800000000001</v>
      </c>
      <c r="M4583" s="76">
        <f t="shared" si="177"/>
        <v>27.508800000000001</v>
      </c>
      <c r="N4583" s="77"/>
      <c r="O4583" s="77"/>
      <c r="P4583" s="76"/>
      <c r="Q4583" s="76"/>
    </row>
    <row r="4584" spans="4:17" hidden="1" outlineLevel="3" collapsed="1" x14ac:dyDescent="0.25">
      <c r="E4584" s="84" t="s">
        <v>784</v>
      </c>
      <c r="F4584" s="79"/>
      <c r="G4584" s="79"/>
      <c r="H4584" s="80"/>
      <c r="I4584" s="81"/>
      <c r="J4584" s="83">
        <f>HYPERLINK("#Структура!E547",Структура!E547)</f>
        <v>1</v>
      </c>
      <c r="K4584" s="115">
        <f>HYPERLINK("#Структура!G547",Структура!G547)</f>
        <v>27.62602</v>
      </c>
      <c r="L4584" s="81">
        <f>M4584/J4584</f>
        <v>16168.150799999998</v>
      </c>
      <c r="M4584" s="81">
        <f>SUMIF(F4585:F4590,"*",M4585:M4590)*J4584</f>
        <v>16168.150799999998</v>
      </c>
      <c r="N4584" s="124">
        <f>HYPERLINK("#Трудозатраты!B114",Трудозатраты!B114+SUMIF(F4585:F4590,"*",O4585:O4590))</f>
        <v>1</v>
      </c>
      <c r="O4584" s="82">
        <f>N4584*J4584</f>
        <v>1</v>
      </c>
      <c r="P4584" s="81">
        <f>O4584/60*(1+запас_труд)*стоимость_трудочаса</f>
        <v>39.166666666666664</v>
      </c>
      <c r="Q4584" s="129">
        <f>M4584*(1+наценка_покупное)+P4584</f>
        <v>19440.947626666664</v>
      </c>
    </row>
    <row r="4585" spans="4:17" hidden="1" outlineLevel="4" x14ac:dyDescent="0.25">
      <c r="F4585" s="74" t="s">
        <v>382</v>
      </c>
      <c r="G4585" s="74"/>
      <c r="H4585" s="75"/>
      <c r="I4585" s="76"/>
      <c r="J4585" s="78">
        <f>HYPERLINK("#Структура!E554",Структура!E554)</f>
        <v>1</v>
      </c>
      <c r="K4585" s="114" t="str">
        <f>HYPERLINK("#Структура!G554","")</f>
        <v/>
      </c>
      <c r="L4585" s="120">
        <f>HYPERLINK("#Покупные_изделия!D185",Покупные_изделия!D185)</f>
        <v>92.611199999999997</v>
      </c>
      <c r="M4585" s="76">
        <f t="shared" ref="M4585:M4590" si="178">J4585*L4585</f>
        <v>92.611199999999997</v>
      </c>
      <c r="N4585" s="77"/>
      <c r="O4585" s="77"/>
      <c r="P4585" s="76"/>
      <c r="Q4585" s="76"/>
    </row>
    <row r="4586" spans="4:17" hidden="1" outlineLevel="4" x14ac:dyDescent="0.25">
      <c r="F4586" s="74" t="s">
        <v>566</v>
      </c>
      <c r="G4586" s="74"/>
      <c r="H4586" s="75"/>
      <c r="I4586" s="76"/>
      <c r="J4586" s="78">
        <f>HYPERLINK("#Структура!E555",Структура!E555)</f>
        <v>12</v>
      </c>
      <c r="K4586" s="114">
        <f>HYPERLINK("#Структура!G555",Структура!G555)</f>
        <v>0.48899999999999999</v>
      </c>
      <c r="L4586" s="120">
        <f>HYPERLINK("#Покупные_изделия!D314",Покупные_изделия!D314)</f>
        <v>978</v>
      </c>
      <c r="M4586" s="76">
        <f t="shared" si="178"/>
        <v>11736</v>
      </c>
      <c r="N4586" s="77"/>
      <c r="O4586" s="77"/>
      <c r="P4586" s="76"/>
      <c r="Q4586" s="76"/>
    </row>
    <row r="4587" spans="4:17" hidden="1" outlineLevel="4" x14ac:dyDescent="0.25">
      <c r="F4587" s="74" t="s">
        <v>785</v>
      </c>
      <c r="G4587" s="74"/>
      <c r="H4587" s="75"/>
      <c r="I4587" s="76"/>
      <c r="J4587" s="78">
        <f>HYPERLINK("#Структура!E556",Структура!E556)</f>
        <v>1</v>
      </c>
      <c r="K4587" s="114">
        <f>HYPERLINK("#Структура!G556",Структура!G556)</f>
        <v>0.25344</v>
      </c>
      <c r="L4587" s="120">
        <f>HYPERLINK("#Покупные_изделия!D343",Покупные_изделия!D343)</f>
        <v>950.14919999999995</v>
      </c>
      <c r="M4587" s="76">
        <f t="shared" si="178"/>
        <v>950.14919999999995</v>
      </c>
      <c r="N4587" s="77"/>
      <c r="O4587" s="77"/>
      <c r="P4587" s="76"/>
      <c r="Q4587" s="76"/>
    </row>
    <row r="4588" spans="4:17" hidden="1" outlineLevel="4" x14ac:dyDescent="0.25">
      <c r="F4588" s="74" t="s">
        <v>568</v>
      </c>
      <c r="G4588" s="74"/>
      <c r="H4588" s="75"/>
      <c r="I4588" s="76"/>
      <c r="J4588" s="78">
        <f>HYPERLINK("#Структура!E557",Структура!E557)</f>
        <v>14</v>
      </c>
      <c r="K4588" s="114" t="str">
        <f>HYPERLINK("#Структура!G557","")</f>
        <v/>
      </c>
      <c r="L4588" s="120">
        <f>HYPERLINK("#Покупные_изделия!D399",Покупные_изделия!D399)</f>
        <v>59.967600000000004</v>
      </c>
      <c r="M4588" s="76">
        <f t="shared" si="178"/>
        <v>839.54640000000006</v>
      </c>
      <c r="N4588" s="77"/>
      <c r="O4588" s="77"/>
      <c r="P4588" s="76"/>
      <c r="Q4588" s="76"/>
    </row>
    <row r="4589" spans="4:17" hidden="1" outlineLevel="4" x14ac:dyDescent="0.25">
      <c r="F4589" s="74" t="s">
        <v>569</v>
      </c>
      <c r="G4589" s="74"/>
      <c r="H4589" s="75"/>
      <c r="I4589" s="76"/>
      <c r="J4589" s="78">
        <f>HYPERLINK("#Структура!E558",Структура!E558)</f>
        <v>42</v>
      </c>
      <c r="K4589" s="114" t="str">
        <f>HYPERLINK("#Структура!G558","")</f>
        <v/>
      </c>
      <c r="L4589" s="120">
        <f>HYPERLINK("#Покупные_изделия!D400",Покупные_изделия!D400)</f>
        <v>59.967600000000004</v>
      </c>
      <c r="M4589" s="76">
        <f t="shared" si="178"/>
        <v>2518.6392000000001</v>
      </c>
      <c r="N4589" s="77"/>
      <c r="O4589" s="77"/>
      <c r="P4589" s="76"/>
      <c r="Q4589" s="76"/>
    </row>
    <row r="4590" spans="4:17" hidden="1" outlineLevel="4" x14ac:dyDescent="0.25">
      <c r="F4590" s="74" t="s">
        <v>570</v>
      </c>
      <c r="G4590" s="74"/>
      <c r="H4590" s="75"/>
      <c r="I4590" s="76"/>
      <c r="J4590" s="78">
        <f>HYPERLINK("#Структура!E559",Структура!E559)</f>
        <v>1</v>
      </c>
      <c r="K4590" s="114">
        <f>HYPERLINK("#Структура!G559",Структура!G559)</f>
        <v>4.2199999999999998E-3</v>
      </c>
      <c r="L4590" s="120">
        <f>HYPERLINK("#Покупные_изделия!D412",Покупные_изделия!D412)</f>
        <v>31.204800000000002</v>
      </c>
      <c r="M4590" s="76">
        <f t="shared" si="178"/>
        <v>31.204800000000002</v>
      </c>
      <c r="N4590" s="77"/>
      <c r="O4590" s="77"/>
      <c r="P4590" s="76"/>
      <c r="Q4590" s="76"/>
    </row>
    <row r="4591" spans="4:17" hidden="1" outlineLevel="2" collapsed="1" x14ac:dyDescent="0.25">
      <c r="D4591" s="84" t="s">
        <v>786</v>
      </c>
      <c r="E4591" s="79"/>
      <c r="F4591" s="79"/>
      <c r="G4591" s="79"/>
      <c r="H4591" s="80"/>
      <c r="I4591" s="81"/>
      <c r="J4591" s="83">
        <f>HYPERLINK("#Структура!E3288",Структура!E3288)</f>
        <v>1</v>
      </c>
      <c r="K4591" s="115">
        <f>HYPERLINK("#Структура!G3288",Структура!G3288)</f>
        <v>17.5366</v>
      </c>
      <c r="L4591" s="81">
        <f>M4591/J4591</f>
        <v>8816.6579999999994</v>
      </c>
      <c r="M4591" s="81">
        <f>SUMIF(E4592:E4597,"*",M4592:M4597)*J4591</f>
        <v>8816.6579999999994</v>
      </c>
      <c r="N4591" s="124">
        <f>HYPERLINK("#Трудозатраты!B115",Трудозатраты!B115+SUMIF(E4592:E4597,"*",O4592:O4597))</f>
        <v>250</v>
      </c>
      <c r="O4591" s="82">
        <f>N4591*J4591</f>
        <v>250</v>
      </c>
      <c r="P4591" s="81">
        <f>O4591/60*(1+запас_труд)*стоимость_трудочаса</f>
        <v>9791.6666666666679</v>
      </c>
      <c r="Q4591" s="129">
        <f>M4591*(1+наценка_покупное)+P4591</f>
        <v>20371.656266666665</v>
      </c>
    </row>
    <row r="4592" spans="4:17" hidden="1" outlineLevel="3" x14ac:dyDescent="0.25">
      <c r="E4592" s="74" t="s">
        <v>382</v>
      </c>
      <c r="F4592" s="74"/>
      <c r="G4592" s="74"/>
      <c r="H4592" s="75"/>
      <c r="I4592" s="76"/>
      <c r="J4592" s="78">
        <f>HYPERLINK("#Структура!E560",Структура!E560)</f>
        <v>1</v>
      </c>
      <c r="K4592" s="114" t="str">
        <f>HYPERLINK("#Структура!G560","")</f>
        <v/>
      </c>
      <c r="L4592" s="120">
        <f>HYPERLINK("#Покупные_изделия!D185",Покупные_изделия!D185)</f>
        <v>92.611199999999997</v>
      </c>
      <c r="M4592" s="76">
        <f t="shared" ref="M4592:M4597" si="179">J4592*L4592</f>
        <v>92.611199999999997</v>
      </c>
      <c r="N4592" s="77"/>
      <c r="O4592" s="77"/>
      <c r="P4592" s="76"/>
      <c r="Q4592" s="76"/>
    </row>
    <row r="4593" spans="4:17" hidden="1" outlineLevel="3" x14ac:dyDescent="0.25">
      <c r="E4593" s="74" t="s">
        <v>566</v>
      </c>
      <c r="F4593" s="74"/>
      <c r="G4593" s="74"/>
      <c r="H4593" s="75"/>
      <c r="I4593" s="76"/>
      <c r="J4593" s="78">
        <f>HYPERLINK("#Структура!E561",Структура!E561)</f>
        <v>6.2</v>
      </c>
      <c r="K4593" s="114">
        <f>HYPERLINK("#Структура!G561",Структура!G561)</f>
        <v>0.48899999999999999</v>
      </c>
      <c r="L4593" s="120">
        <f>HYPERLINK("#Покупные_изделия!D314",Покупные_изделия!D314)</f>
        <v>978</v>
      </c>
      <c r="M4593" s="76">
        <f t="shared" si="179"/>
        <v>6063.6</v>
      </c>
      <c r="N4593" s="77"/>
      <c r="O4593" s="77"/>
      <c r="P4593" s="76"/>
      <c r="Q4593" s="76"/>
    </row>
    <row r="4594" spans="4:17" hidden="1" outlineLevel="3" x14ac:dyDescent="0.25">
      <c r="E4594" s="74" t="s">
        <v>785</v>
      </c>
      <c r="F4594" s="74"/>
      <c r="G4594" s="74"/>
      <c r="H4594" s="75"/>
      <c r="I4594" s="76"/>
      <c r="J4594" s="78">
        <f>HYPERLINK("#Структура!E562",Структура!E562)</f>
        <v>1</v>
      </c>
      <c r="K4594" s="114">
        <f>HYPERLINK("#Структура!G562",Структура!G562)</f>
        <v>0.25344</v>
      </c>
      <c r="L4594" s="120">
        <f>HYPERLINK("#Покупные_изделия!D343",Покупные_изделия!D343)</f>
        <v>950.14919999999995</v>
      </c>
      <c r="M4594" s="76">
        <f t="shared" si="179"/>
        <v>950.14919999999995</v>
      </c>
      <c r="N4594" s="77"/>
      <c r="O4594" s="77"/>
      <c r="P4594" s="76"/>
      <c r="Q4594" s="76"/>
    </row>
    <row r="4595" spans="4:17" hidden="1" outlineLevel="3" x14ac:dyDescent="0.25">
      <c r="E4595" s="74" t="s">
        <v>568</v>
      </c>
      <c r="F4595" s="74"/>
      <c r="G4595" s="74"/>
      <c r="H4595" s="75"/>
      <c r="I4595" s="76"/>
      <c r="J4595" s="78">
        <f>HYPERLINK("#Структура!E563",Структура!E563)</f>
        <v>7</v>
      </c>
      <c r="K4595" s="114" t="str">
        <f>HYPERLINK("#Структура!G563","")</f>
        <v/>
      </c>
      <c r="L4595" s="120">
        <f>HYPERLINK("#Покупные_изделия!D399",Покупные_изделия!D399)</f>
        <v>59.967600000000004</v>
      </c>
      <c r="M4595" s="76">
        <f t="shared" si="179"/>
        <v>419.77320000000003</v>
      </c>
      <c r="N4595" s="77"/>
      <c r="O4595" s="77"/>
      <c r="P4595" s="76"/>
      <c r="Q4595" s="76"/>
    </row>
    <row r="4596" spans="4:17" hidden="1" outlineLevel="3" x14ac:dyDescent="0.25">
      <c r="E4596" s="74" t="s">
        <v>569</v>
      </c>
      <c r="F4596" s="74"/>
      <c r="G4596" s="74"/>
      <c r="H4596" s="75"/>
      <c r="I4596" s="76"/>
      <c r="J4596" s="78">
        <f>HYPERLINK("#Структура!E564",Структура!E564)</f>
        <v>21</v>
      </c>
      <c r="K4596" s="114" t="str">
        <f>HYPERLINK("#Структура!G564","")</f>
        <v/>
      </c>
      <c r="L4596" s="120">
        <f>HYPERLINK("#Покупные_изделия!D400",Покупные_изделия!D400)</f>
        <v>59.967600000000004</v>
      </c>
      <c r="M4596" s="76">
        <f t="shared" si="179"/>
        <v>1259.3196</v>
      </c>
      <c r="N4596" s="77"/>
      <c r="O4596" s="77"/>
      <c r="P4596" s="76"/>
      <c r="Q4596" s="76"/>
    </row>
    <row r="4597" spans="4:17" hidden="1" outlineLevel="3" x14ac:dyDescent="0.25">
      <c r="E4597" s="74" t="s">
        <v>570</v>
      </c>
      <c r="F4597" s="74"/>
      <c r="G4597" s="74"/>
      <c r="H4597" s="75"/>
      <c r="I4597" s="76"/>
      <c r="J4597" s="78">
        <f>HYPERLINK("#Структура!E565",Структура!E565)</f>
        <v>1</v>
      </c>
      <c r="K4597" s="114">
        <f>HYPERLINK("#Структура!G565",Структура!G565)</f>
        <v>4.2199999999999998E-3</v>
      </c>
      <c r="L4597" s="120">
        <f>HYPERLINK("#Покупные_изделия!D412",Покупные_изделия!D412)</f>
        <v>31.204800000000002</v>
      </c>
      <c r="M4597" s="76">
        <f t="shared" si="179"/>
        <v>31.204800000000002</v>
      </c>
      <c r="N4597" s="77"/>
      <c r="O4597" s="77"/>
      <c r="P4597" s="76"/>
      <c r="Q4597" s="76"/>
    </row>
    <row r="4598" spans="4:17" hidden="1" outlineLevel="2" collapsed="1" x14ac:dyDescent="0.25">
      <c r="D4598" s="84" t="s">
        <v>787</v>
      </c>
      <c r="E4598" s="79"/>
      <c r="F4598" s="79"/>
      <c r="G4598" s="79"/>
      <c r="H4598" s="80"/>
      <c r="I4598" s="81"/>
      <c r="J4598" s="83">
        <f>HYPERLINK("#Структура!E3289",Структура!E3289)</f>
        <v>1</v>
      </c>
      <c r="K4598" s="115">
        <f>HYPERLINK("#Структура!G3289",Структура!G3289)</f>
        <v>21.865310000000001</v>
      </c>
      <c r="L4598" s="81">
        <f>M4598/J4598</f>
        <v>11296.6692</v>
      </c>
      <c r="M4598" s="81">
        <f>SUMIF(E4599:E4604,"*",M4599:M4604)*J4598</f>
        <v>11296.6692</v>
      </c>
      <c r="N4598" s="124">
        <f>HYPERLINK("#Трудозатраты!B116",Трудозатраты!B116+SUMIF(E4599:E4604,"*",O4599:O4604))</f>
        <v>1</v>
      </c>
      <c r="O4598" s="82">
        <f>N4598*J4598</f>
        <v>1</v>
      </c>
      <c r="P4598" s="81">
        <f>O4598/60*(1+запас_труд)*стоимость_трудочаса</f>
        <v>39.166666666666664</v>
      </c>
      <c r="Q4598" s="129">
        <f>M4598*(1+наценка_покупное)+P4598</f>
        <v>13595.169706666666</v>
      </c>
    </row>
    <row r="4599" spans="4:17" hidden="1" outlineLevel="3" x14ac:dyDescent="0.25">
      <c r="E4599" s="74" t="s">
        <v>382</v>
      </c>
      <c r="F4599" s="74"/>
      <c r="G4599" s="74"/>
      <c r="H4599" s="75"/>
      <c r="I4599" s="76"/>
      <c r="J4599" s="78">
        <f>HYPERLINK("#Структура!E566",Структура!E566)</f>
        <v>1</v>
      </c>
      <c r="K4599" s="114" t="str">
        <f>HYPERLINK("#Структура!G566","")</f>
        <v/>
      </c>
      <c r="L4599" s="120">
        <f>HYPERLINK("#Покупные_изделия!D185",Покупные_изделия!D185)</f>
        <v>92.611199999999997</v>
      </c>
      <c r="M4599" s="76">
        <f t="shared" ref="M4599:M4604" si="180">J4599*L4599</f>
        <v>92.611199999999997</v>
      </c>
      <c r="N4599" s="77"/>
      <c r="O4599" s="77"/>
      <c r="P4599" s="76"/>
      <c r="Q4599" s="76"/>
    </row>
    <row r="4600" spans="4:17" hidden="1" outlineLevel="3" x14ac:dyDescent="0.25">
      <c r="E4600" s="74" t="s">
        <v>566</v>
      </c>
      <c r="F4600" s="74"/>
      <c r="G4600" s="74"/>
      <c r="H4600" s="75"/>
      <c r="I4600" s="76"/>
      <c r="J4600" s="78">
        <f>HYPERLINK("#Структура!E567",Структура!E567)</f>
        <v>8</v>
      </c>
      <c r="K4600" s="114">
        <f>HYPERLINK("#Структура!G567",Структура!G567)</f>
        <v>0.48899999999999999</v>
      </c>
      <c r="L4600" s="120">
        <f>HYPERLINK("#Покупные_изделия!D314",Покупные_изделия!D314)</f>
        <v>978</v>
      </c>
      <c r="M4600" s="76">
        <f t="shared" si="180"/>
        <v>7824</v>
      </c>
      <c r="N4600" s="77"/>
      <c r="O4600" s="77"/>
      <c r="P4600" s="76"/>
      <c r="Q4600" s="76"/>
    </row>
    <row r="4601" spans="4:17" hidden="1" outlineLevel="3" x14ac:dyDescent="0.25">
      <c r="E4601" s="74" t="s">
        <v>785</v>
      </c>
      <c r="F4601" s="74"/>
      <c r="G4601" s="74"/>
      <c r="H4601" s="75"/>
      <c r="I4601" s="76"/>
      <c r="J4601" s="78">
        <f>HYPERLINK("#Структура!E568",Структура!E568)</f>
        <v>1</v>
      </c>
      <c r="K4601" s="114">
        <f>HYPERLINK("#Структура!G568",Структура!G568)</f>
        <v>0.25344</v>
      </c>
      <c r="L4601" s="120">
        <f>HYPERLINK("#Покупные_изделия!D343",Покупные_изделия!D343)</f>
        <v>950.14919999999995</v>
      </c>
      <c r="M4601" s="76">
        <f t="shared" si="180"/>
        <v>950.14919999999995</v>
      </c>
      <c r="N4601" s="77"/>
      <c r="O4601" s="77"/>
      <c r="P4601" s="76"/>
      <c r="Q4601" s="76"/>
    </row>
    <row r="4602" spans="4:17" hidden="1" outlineLevel="3" x14ac:dyDescent="0.25">
      <c r="E4602" s="74" t="s">
        <v>568</v>
      </c>
      <c r="F4602" s="74"/>
      <c r="G4602" s="74"/>
      <c r="H4602" s="75"/>
      <c r="I4602" s="76"/>
      <c r="J4602" s="78">
        <f>HYPERLINK("#Структура!E569",Структура!E569)</f>
        <v>10</v>
      </c>
      <c r="K4602" s="114" t="str">
        <f>HYPERLINK("#Структура!G569","")</f>
        <v/>
      </c>
      <c r="L4602" s="120">
        <f>HYPERLINK("#Покупные_изделия!D399",Покупные_изделия!D399)</f>
        <v>59.967600000000004</v>
      </c>
      <c r="M4602" s="76">
        <f t="shared" si="180"/>
        <v>599.67600000000004</v>
      </c>
      <c r="N4602" s="77"/>
      <c r="O4602" s="77"/>
      <c r="P4602" s="76"/>
      <c r="Q4602" s="76"/>
    </row>
    <row r="4603" spans="4:17" hidden="1" outlineLevel="3" x14ac:dyDescent="0.25">
      <c r="E4603" s="74" t="s">
        <v>569</v>
      </c>
      <c r="F4603" s="74"/>
      <c r="G4603" s="74"/>
      <c r="H4603" s="75"/>
      <c r="I4603" s="76"/>
      <c r="J4603" s="78">
        <f>HYPERLINK("#Структура!E570",Структура!E570)</f>
        <v>30</v>
      </c>
      <c r="K4603" s="114" t="str">
        <f>HYPERLINK("#Структура!G570","")</f>
        <v/>
      </c>
      <c r="L4603" s="120">
        <f>HYPERLINK("#Покупные_изделия!D400",Покупные_изделия!D400)</f>
        <v>59.967600000000004</v>
      </c>
      <c r="M4603" s="76">
        <f t="shared" si="180"/>
        <v>1799.0280000000002</v>
      </c>
      <c r="N4603" s="77"/>
      <c r="O4603" s="77"/>
      <c r="P4603" s="76"/>
      <c r="Q4603" s="76"/>
    </row>
    <row r="4604" spans="4:17" hidden="1" outlineLevel="3" x14ac:dyDescent="0.25">
      <c r="E4604" s="74" t="s">
        <v>570</v>
      </c>
      <c r="F4604" s="74"/>
      <c r="G4604" s="74"/>
      <c r="H4604" s="75"/>
      <c r="I4604" s="76"/>
      <c r="J4604" s="78">
        <f>HYPERLINK("#Структура!E571",Структура!E571)</f>
        <v>1</v>
      </c>
      <c r="K4604" s="114">
        <f>HYPERLINK("#Структура!G571",Структура!G571)</f>
        <v>4.2199999999999998E-3</v>
      </c>
      <c r="L4604" s="120">
        <f>HYPERLINK("#Покупные_изделия!D412",Покупные_изделия!D412)</f>
        <v>31.204800000000002</v>
      </c>
      <c r="M4604" s="76">
        <f t="shared" si="180"/>
        <v>31.204800000000002</v>
      </c>
      <c r="N4604" s="77"/>
      <c r="O4604" s="77"/>
      <c r="P4604" s="76"/>
      <c r="Q4604" s="76"/>
    </row>
    <row r="4605" spans="4:17" hidden="1" outlineLevel="2" collapsed="1" x14ac:dyDescent="0.25">
      <c r="D4605" s="84" t="s">
        <v>788</v>
      </c>
      <c r="E4605" s="79"/>
      <c r="F4605" s="79"/>
      <c r="G4605" s="79"/>
      <c r="H4605" s="80"/>
      <c r="I4605" s="81"/>
      <c r="J4605" s="83">
        <f>HYPERLINK("#Структура!E3290",Структура!E3290)</f>
        <v>1</v>
      </c>
      <c r="K4605" s="115">
        <f>HYPERLINK("#Структура!G3290",Структура!G3290)</f>
        <v>14.23513</v>
      </c>
      <c r="L4605" s="81">
        <f>M4605/J4605</f>
        <v>8132.058</v>
      </c>
      <c r="M4605" s="81">
        <f>SUMIF(E4606:E4611,"*",M4606:M4611)*J4605</f>
        <v>8132.058</v>
      </c>
      <c r="N4605" s="124">
        <f>HYPERLINK("#Трудозатраты!B117",Трудозатраты!B117+SUMIF(E4606:E4611,"*",O4606:O4611))</f>
        <v>1</v>
      </c>
      <c r="O4605" s="82">
        <f>N4605*J4605</f>
        <v>1</v>
      </c>
      <c r="P4605" s="81">
        <f>O4605/60*(1+запас_труд)*стоимость_трудочаса</f>
        <v>39.166666666666664</v>
      </c>
      <c r="Q4605" s="129">
        <f>M4605*(1+наценка_покупное)+P4605</f>
        <v>9797.6362666666664</v>
      </c>
    </row>
    <row r="4606" spans="4:17" hidden="1" outlineLevel="3" x14ac:dyDescent="0.25">
      <c r="E4606" s="74" t="s">
        <v>382</v>
      </c>
      <c r="F4606" s="74"/>
      <c r="G4606" s="74"/>
      <c r="H4606" s="75"/>
      <c r="I4606" s="76"/>
      <c r="J4606" s="78">
        <f>HYPERLINK("#Структура!E572",Структура!E572)</f>
        <v>1</v>
      </c>
      <c r="K4606" s="114" t="str">
        <f>HYPERLINK("#Структура!G572","")</f>
        <v/>
      </c>
      <c r="L4606" s="120">
        <f>HYPERLINK("#Покупные_изделия!D185",Покупные_изделия!D185)</f>
        <v>92.611199999999997</v>
      </c>
      <c r="M4606" s="76">
        <f t="shared" ref="M4606:M4611" si="181">J4606*L4606</f>
        <v>92.611199999999997</v>
      </c>
      <c r="N4606" s="77"/>
      <c r="O4606" s="77"/>
      <c r="P4606" s="76"/>
      <c r="Q4606" s="76"/>
    </row>
    <row r="4607" spans="4:17" hidden="1" outlineLevel="3" x14ac:dyDescent="0.25">
      <c r="E4607" s="74" t="s">
        <v>566</v>
      </c>
      <c r="F4607" s="74"/>
      <c r="G4607" s="74"/>
      <c r="H4607" s="75"/>
      <c r="I4607" s="76"/>
      <c r="J4607" s="78">
        <f>HYPERLINK("#Структура!E573",Структура!E573)</f>
        <v>5.5</v>
      </c>
      <c r="K4607" s="114">
        <f>HYPERLINK("#Структура!G573",Структура!G573)</f>
        <v>0.48899999999999999</v>
      </c>
      <c r="L4607" s="120">
        <f>HYPERLINK("#Покупные_изделия!D314",Покупные_изделия!D314)</f>
        <v>978</v>
      </c>
      <c r="M4607" s="76">
        <f t="shared" si="181"/>
        <v>5379</v>
      </c>
      <c r="N4607" s="77"/>
      <c r="O4607" s="77"/>
      <c r="P4607" s="76"/>
      <c r="Q4607" s="76"/>
    </row>
    <row r="4608" spans="4:17" hidden="1" outlineLevel="3" x14ac:dyDescent="0.25">
      <c r="E4608" s="74" t="s">
        <v>785</v>
      </c>
      <c r="F4608" s="74"/>
      <c r="G4608" s="74"/>
      <c r="H4608" s="75"/>
      <c r="I4608" s="76"/>
      <c r="J4608" s="78">
        <f>HYPERLINK("#Структура!E574",Структура!E574)</f>
        <v>1</v>
      </c>
      <c r="K4608" s="114">
        <f>HYPERLINK("#Структура!G574",Структура!G574)</f>
        <v>0.25344</v>
      </c>
      <c r="L4608" s="120">
        <f>HYPERLINK("#Покупные_изделия!D343",Покупные_изделия!D343)</f>
        <v>950.14919999999995</v>
      </c>
      <c r="M4608" s="76">
        <f t="shared" si="181"/>
        <v>950.14919999999995</v>
      </c>
      <c r="N4608" s="77"/>
      <c r="O4608" s="77"/>
      <c r="P4608" s="76"/>
      <c r="Q4608" s="76"/>
    </row>
    <row r="4609" spans="4:17" hidden="1" outlineLevel="3" x14ac:dyDescent="0.25">
      <c r="E4609" s="74" t="s">
        <v>568</v>
      </c>
      <c r="F4609" s="74"/>
      <c r="G4609" s="74"/>
      <c r="H4609" s="75"/>
      <c r="I4609" s="76"/>
      <c r="J4609" s="78">
        <f>HYPERLINK("#Структура!E575",Структура!E575)</f>
        <v>7</v>
      </c>
      <c r="K4609" s="114" t="str">
        <f>HYPERLINK("#Структура!G575","")</f>
        <v/>
      </c>
      <c r="L4609" s="120">
        <f>HYPERLINK("#Покупные_изделия!D399",Покупные_изделия!D399)</f>
        <v>59.967600000000004</v>
      </c>
      <c r="M4609" s="76">
        <f t="shared" si="181"/>
        <v>419.77320000000003</v>
      </c>
      <c r="N4609" s="77"/>
      <c r="O4609" s="77"/>
      <c r="P4609" s="76"/>
      <c r="Q4609" s="76"/>
    </row>
    <row r="4610" spans="4:17" hidden="1" outlineLevel="3" x14ac:dyDescent="0.25">
      <c r="E4610" s="74" t="s">
        <v>569</v>
      </c>
      <c r="F4610" s="74"/>
      <c r="G4610" s="74"/>
      <c r="H4610" s="75"/>
      <c r="I4610" s="76"/>
      <c r="J4610" s="78">
        <f>HYPERLINK("#Структура!E576",Структура!E576)</f>
        <v>21</v>
      </c>
      <c r="K4610" s="114" t="str">
        <f>HYPERLINK("#Структура!G576","")</f>
        <v/>
      </c>
      <c r="L4610" s="120">
        <f>HYPERLINK("#Покупные_изделия!D400",Покупные_изделия!D400)</f>
        <v>59.967600000000004</v>
      </c>
      <c r="M4610" s="76">
        <f t="shared" si="181"/>
        <v>1259.3196</v>
      </c>
      <c r="N4610" s="77"/>
      <c r="O4610" s="77"/>
      <c r="P4610" s="76"/>
      <c r="Q4610" s="76"/>
    </row>
    <row r="4611" spans="4:17" hidden="1" outlineLevel="3" x14ac:dyDescent="0.25">
      <c r="E4611" s="74" t="s">
        <v>570</v>
      </c>
      <c r="F4611" s="74"/>
      <c r="G4611" s="74"/>
      <c r="H4611" s="75"/>
      <c r="I4611" s="76"/>
      <c r="J4611" s="78">
        <f>HYPERLINK("#Структура!E577",Структура!E577)</f>
        <v>1</v>
      </c>
      <c r="K4611" s="114">
        <f>HYPERLINK("#Структура!G577",Структура!G577)</f>
        <v>4.2199999999999998E-3</v>
      </c>
      <c r="L4611" s="120">
        <f>HYPERLINK("#Покупные_изделия!D412",Покупные_изделия!D412)</f>
        <v>31.204800000000002</v>
      </c>
      <c r="M4611" s="76">
        <f t="shared" si="181"/>
        <v>31.204800000000002</v>
      </c>
      <c r="N4611" s="77"/>
      <c r="O4611" s="77"/>
      <c r="P4611" s="76"/>
      <c r="Q4611" s="76"/>
    </row>
    <row r="4612" spans="4:17" hidden="1" outlineLevel="2" collapsed="1" x14ac:dyDescent="0.25">
      <c r="D4612" s="84" t="s">
        <v>789</v>
      </c>
      <c r="E4612" s="79"/>
      <c r="F4612" s="79"/>
      <c r="G4612" s="79"/>
      <c r="H4612" s="80"/>
      <c r="I4612" s="81"/>
      <c r="J4612" s="83">
        <f>HYPERLINK("#Структура!E3291",Структура!E3291)</f>
        <v>1</v>
      </c>
      <c r="K4612" s="115">
        <f>HYPERLINK("#Структура!G3291",Структура!G3291)</f>
        <v>21.249479999999998</v>
      </c>
      <c r="L4612" s="81">
        <f>M4612/J4612</f>
        <v>11056.7988</v>
      </c>
      <c r="M4612" s="81">
        <f>SUMIF(E4613:E4618,"*",M4613:M4618)*J4612</f>
        <v>11056.7988</v>
      </c>
      <c r="N4612" s="124">
        <f>HYPERLINK("#Трудозатраты!B118",Трудозатраты!B118+SUMIF(E4613:E4618,"*",O4613:O4618))</f>
        <v>1</v>
      </c>
      <c r="O4612" s="82">
        <f>N4612*J4612</f>
        <v>1</v>
      </c>
      <c r="P4612" s="81">
        <f>O4612/60*(1+запас_труд)*стоимость_трудочаса</f>
        <v>39.166666666666664</v>
      </c>
      <c r="Q4612" s="129">
        <f>M4612*(1+наценка_покупное)+P4612</f>
        <v>13307.325226666666</v>
      </c>
    </row>
    <row r="4613" spans="4:17" hidden="1" outlineLevel="3" x14ac:dyDescent="0.25">
      <c r="E4613" s="74" t="s">
        <v>382</v>
      </c>
      <c r="F4613" s="74"/>
      <c r="G4613" s="74"/>
      <c r="H4613" s="75"/>
      <c r="I4613" s="76"/>
      <c r="J4613" s="78">
        <f>HYPERLINK("#Структура!E578",Структура!E578)</f>
        <v>1</v>
      </c>
      <c r="K4613" s="114" t="str">
        <f>HYPERLINK("#Структура!G578","")</f>
        <v/>
      </c>
      <c r="L4613" s="120">
        <f>HYPERLINK("#Покупные_изделия!D185",Покупные_изделия!D185)</f>
        <v>92.611199999999997</v>
      </c>
      <c r="M4613" s="76">
        <f t="shared" ref="M4613:M4618" si="182">J4613*L4613</f>
        <v>92.611199999999997</v>
      </c>
      <c r="N4613" s="77"/>
      <c r="O4613" s="77"/>
      <c r="P4613" s="76"/>
      <c r="Q4613" s="76"/>
    </row>
    <row r="4614" spans="4:17" hidden="1" outlineLevel="3" x14ac:dyDescent="0.25">
      <c r="E4614" s="74" t="s">
        <v>566</v>
      </c>
      <c r="F4614" s="74"/>
      <c r="G4614" s="74"/>
      <c r="H4614" s="75"/>
      <c r="I4614" s="76"/>
      <c r="J4614" s="78">
        <f>HYPERLINK("#Структура!E579",Структура!E579)</f>
        <v>8</v>
      </c>
      <c r="K4614" s="114">
        <f>HYPERLINK("#Структура!G579",Структура!G579)</f>
        <v>0.48899999999999999</v>
      </c>
      <c r="L4614" s="120">
        <f>HYPERLINK("#Покупные_изделия!D314",Покупные_изделия!D314)</f>
        <v>978</v>
      </c>
      <c r="M4614" s="76">
        <f t="shared" si="182"/>
        <v>7824</v>
      </c>
      <c r="N4614" s="77"/>
      <c r="O4614" s="77"/>
      <c r="P4614" s="76"/>
      <c r="Q4614" s="76"/>
    </row>
    <row r="4615" spans="4:17" hidden="1" outlineLevel="3" x14ac:dyDescent="0.25">
      <c r="E4615" s="74" t="s">
        <v>785</v>
      </c>
      <c r="F4615" s="74"/>
      <c r="G4615" s="74"/>
      <c r="H4615" s="75"/>
      <c r="I4615" s="76"/>
      <c r="J4615" s="78">
        <f>HYPERLINK("#Структура!E580",Структура!E580)</f>
        <v>1</v>
      </c>
      <c r="K4615" s="114">
        <f>HYPERLINK("#Структура!G580",Структура!G580)</f>
        <v>0.25344</v>
      </c>
      <c r="L4615" s="120">
        <f>HYPERLINK("#Покупные_изделия!D343",Покупные_изделия!D343)</f>
        <v>950.14919999999995</v>
      </c>
      <c r="M4615" s="76">
        <f t="shared" si="182"/>
        <v>950.14919999999995</v>
      </c>
      <c r="N4615" s="77"/>
      <c r="O4615" s="77"/>
      <c r="P4615" s="76"/>
      <c r="Q4615" s="76"/>
    </row>
    <row r="4616" spans="4:17" hidden="1" outlineLevel="3" x14ac:dyDescent="0.25">
      <c r="E4616" s="74" t="s">
        <v>568</v>
      </c>
      <c r="F4616" s="74"/>
      <c r="G4616" s="74"/>
      <c r="H4616" s="75"/>
      <c r="I4616" s="76"/>
      <c r="J4616" s="78">
        <f>HYPERLINK("#Структура!E581",Структура!E581)</f>
        <v>9</v>
      </c>
      <c r="K4616" s="114" t="str">
        <f>HYPERLINK("#Структура!G581","")</f>
        <v/>
      </c>
      <c r="L4616" s="120">
        <f>HYPERLINK("#Покупные_изделия!D399",Покупные_изделия!D399)</f>
        <v>59.967600000000004</v>
      </c>
      <c r="M4616" s="76">
        <f t="shared" si="182"/>
        <v>539.70839999999998</v>
      </c>
      <c r="N4616" s="77"/>
      <c r="O4616" s="77"/>
      <c r="P4616" s="76"/>
      <c r="Q4616" s="76"/>
    </row>
    <row r="4617" spans="4:17" hidden="1" outlineLevel="3" x14ac:dyDescent="0.25">
      <c r="E4617" s="74" t="s">
        <v>569</v>
      </c>
      <c r="F4617" s="74"/>
      <c r="G4617" s="74"/>
      <c r="H4617" s="75"/>
      <c r="I4617" s="76"/>
      <c r="J4617" s="78">
        <f>HYPERLINK("#Структура!E582",Структура!E582)</f>
        <v>27</v>
      </c>
      <c r="K4617" s="114" t="str">
        <f>HYPERLINK("#Структура!G582","")</f>
        <v/>
      </c>
      <c r="L4617" s="120">
        <f>HYPERLINK("#Покупные_изделия!D400",Покупные_изделия!D400)</f>
        <v>59.967600000000004</v>
      </c>
      <c r="M4617" s="76">
        <f t="shared" si="182"/>
        <v>1619.1252000000002</v>
      </c>
      <c r="N4617" s="77"/>
      <c r="O4617" s="77"/>
      <c r="P4617" s="76"/>
      <c r="Q4617" s="76"/>
    </row>
    <row r="4618" spans="4:17" hidden="1" outlineLevel="3" x14ac:dyDescent="0.25">
      <c r="E4618" s="74" t="s">
        <v>570</v>
      </c>
      <c r="F4618" s="74"/>
      <c r="G4618" s="74"/>
      <c r="H4618" s="75"/>
      <c r="I4618" s="76"/>
      <c r="J4618" s="78">
        <f>HYPERLINK("#Структура!E583",Структура!E583)</f>
        <v>1</v>
      </c>
      <c r="K4618" s="114">
        <f>HYPERLINK("#Структура!G583",Структура!G583)</f>
        <v>4.2199999999999998E-3</v>
      </c>
      <c r="L4618" s="120">
        <f>HYPERLINK("#Покупные_изделия!D412",Покупные_изделия!D412)</f>
        <v>31.204800000000002</v>
      </c>
      <c r="M4618" s="76">
        <f t="shared" si="182"/>
        <v>31.204800000000002</v>
      </c>
      <c r="N4618" s="77"/>
      <c r="O4618" s="77"/>
      <c r="P4618" s="76"/>
      <c r="Q4618" s="76"/>
    </row>
    <row r="4619" spans="4:17" hidden="1" outlineLevel="2" collapsed="1" x14ac:dyDescent="0.25">
      <c r="D4619" s="84" t="s">
        <v>790</v>
      </c>
      <c r="E4619" s="79"/>
      <c r="F4619" s="79"/>
      <c r="G4619" s="79"/>
      <c r="H4619" s="80"/>
      <c r="I4619" s="81"/>
      <c r="J4619" s="83">
        <f>HYPERLINK("#Структура!E3292",Структура!E3292)</f>
        <v>1</v>
      </c>
      <c r="K4619" s="115">
        <f>HYPERLINK("#Структура!G3292",Структура!G3292)</f>
        <v>12.07973</v>
      </c>
      <c r="L4619" s="81">
        <f>M4619/J4619</f>
        <v>4312.5551999999998</v>
      </c>
      <c r="M4619" s="81">
        <f>SUMIF(E4620:E4623,"*",M4620:M4623)*J4619</f>
        <v>4312.5551999999998</v>
      </c>
      <c r="N4619" s="124">
        <f>HYPERLINK("#Трудозатраты!B119",Трудозатраты!B119+SUMIF(E4620:E4623,"*",O4620:O4623))</f>
        <v>1</v>
      </c>
      <c r="O4619" s="82">
        <f>N4619*J4619</f>
        <v>1</v>
      </c>
      <c r="P4619" s="81">
        <f>O4619/60*(1+запас_труд)*стоимость_трудочаса</f>
        <v>39.166666666666664</v>
      </c>
      <c r="Q4619" s="129">
        <f>M4619*(1+наценка_покупное)+P4619</f>
        <v>5214.2329066666662</v>
      </c>
    </row>
    <row r="4620" spans="4:17" hidden="1" outlineLevel="3" x14ac:dyDescent="0.25">
      <c r="E4620" s="74" t="s">
        <v>421</v>
      </c>
      <c r="F4620" s="74"/>
      <c r="G4620" s="74"/>
      <c r="H4620" s="75"/>
      <c r="I4620" s="76"/>
      <c r="J4620" s="78">
        <f>HYPERLINK("#Структура!E584",Структура!E584)</f>
        <v>6</v>
      </c>
      <c r="K4620" s="114">
        <f>HYPERLINK("#Структура!G584",Структура!G584)</f>
        <v>0.23</v>
      </c>
      <c r="L4620" s="120">
        <f>HYPERLINK("#Покупные_изделия!D313",Покупные_изделия!D313)</f>
        <v>579.09720000000004</v>
      </c>
      <c r="M4620" s="76">
        <f>J4620*L4620</f>
        <v>3474.5832</v>
      </c>
      <c r="N4620" s="77"/>
      <c r="O4620" s="77"/>
      <c r="P4620" s="76"/>
      <c r="Q4620" s="76"/>
    </row>
    <row r="4621" spans="4:17" hidden="1" outlineLevel="3" x14ac:dyDescent="0.25">
      <c r="E4621" s="74" t="s">
        <v>477</v>
      </c>
      <c r="F4621" s="74"/>
      <c r="G4621" s="74"/>
      <c r="H4621" s="75"/>
      <c r="I4621" s="76"/>
      <c r="J4621" s="78">
        <f>HYPERLINK("#Структура!E585",Структура!E585)</f>
        <v>9</v>
      </c>
      <c r="K4621" s="114" t="str">
        <f>HYPERLINK("#Структура!G585","")</f>
        <v/>
      </c>
      <c r="L4621" s="120">
        <f>HYPERLINK("#Покупные_изделия!D392",Покупные_изделия!D392)</f>
        <v>5.5440000000000005</v>
      </c>
      <c r="M4621" s="76">
        <f>J4621*L4621</f>
        <v>49.896000000000001</v>
      </c>
      <c r="N4621" s="77"/>
      <c r="O4621" s="77"/>
      <c r="P4621" s="76"/>
      <c r="Q4621" s="76"/>
    </row>
    <row r="4622" spans="4:17" hidden="1" outlineLevel="3" x14ac:dyDescent="0.25">
      <c r="E4622" s="74" t="s">
        <v>481</v>
      </c>
      <c r="F4622" s="74"/>
      <c r="G4622" s="74"/>
      <c r="H4622" s="75"/>
      <c r="I4622" s="76"/>
      <c r="J4622" s="78">
        <f>HYPERLINK("#Структура!E586",Структура!E586)</f>
        <v>108</v>
      </c>
      <c r="K4622" s="114" t="str">
        <f>HYPERLINK("#Структура!G586","")</f>
        <v/>
      </c>
      <c r="L4622" s="120">
        <f>HYPERLINK("#Покупные_изделия!D396",Покупные_изделия!D396)</f>
        <v>6.2519999999999998</v>
      </c>
      <c r="M4622" s="76">
        <f>J4622*L4622</f>
        <v>675.21600000000001</v>
      </c>
      <c r="N4622" s="77"/>
      <c r="O4622" s="77"/>
      <c r="P4622" s="76"/>
      <c r="Q4622" s="76"/>
    </row>
    <row r="4623" spans="4:17" hidden="1" outlineLevel="3" x14ac:dyDescent="0.25">
      <c r="E4623" s="74" t="s">
        <v>482</v>
      </c>
      <c r="F4623" s="74"/>
      <c r="G4623" s="74"/>
      <c r="H4623" s="75"/>
      <c r="I4623" s="76"/>
      <c r="J4623" s="78">
        <f>HYPERLINK("#Структура!E587",Структура!E587)</f>
        <v>9</v>
      </c>
      <c r="K4623" s="114" t="str">
        <f>HYPERLINK("#Структура!G587","")</f>
        <v/>
      </c>
      <c r="L4623" s="120">
        <f>HYPERLINK("#Покупные_изделия!D397",Покупные_изделия!D397)</f>
        <v>12.54</v>
      </c>
      <c r="M4623" s="76">
        <f>J4623*L4623</f>
        <v>112.85999999999999</v>
      </c>
      <c r="N4623" s="77"/>
      <c r="O4623" s="77"/>
      <c r="P4623" s="76"/>
      <c r="Q4623" s="76"/>
    </row>
    <row r="4624" spans="4:17" hidden="1" outlineLevel="2" collapsed="1" x14ac:dyDescent="0.25">
      <c r="D4624" s="84" t="s">
        <v>791</v>
      </c>
      <c r="E4624" s="79"/>
      <c r="F4624" s="79"/>
      <c r="G4624" s="79"/>
      <c r="H4624" s="80"/>
      <c r="I4624" s="81"/>
      <c r="J4624" s="83">
        <f>HYPERLINK("#Структура!E3293",Структура!E3293)</f>
        <v>1</v>
      </c>
      <c r="K4624" s="115">
        <f>HYPERLINK("#Структура!G3293",Структура!G3293)</f>
        <v>5.1294000000000004</v>
      </c>
      <c r="L4624" s="81">
        <f>M4624/J4624</f>
        <v>4477.5791999999992</v>
      </c>
      <c r="M4624" s="81">
        <f>SUMIF(E4625:E4631,"*",M4625:M4631)*J4624</f>
        <v>4477.5791999999992</v>
      </c>
      <c r="N4624" s="124">
        <f>HYPERLINK("#Трудозатраты!B120",Трудозатраты!B120+SUMIF(E4625:E4631,"*",O4625:O4631))</f>
        <v>200</v>
      </c>
      <c r="O4624" s="82">
        <f>N4624*J4624</f>
        <v>200</v>
      </c>
      <c r="P4624" s="81">
        <f>O4624/60*(1+запас_труд)*стоимость_трудочаса</f>
        <v>7833.3333333333339</v>
      </c>
      <c r="Q4624" s="129">
        <f>M4624*(1+наценка_покупное)+P4624</f>
        <v>13206.428373333332</v>
      </c>
    </row>
    <row r="4625" spans="4:17" hidden="1" outlineLevel="3" x14ac:dyDescent="0.25">
      <c r="E4625" s="74" t="s">
        <v>382</v>
      </c>
      <c r="F4625" s="74"/>
      <c r="G4625" s="74"/>
      <c r="H4625" s="75"/>
      <c r="I4625" s="76"/>
      <c r="J4625" s="78">
        <f>HYPERLINK("#Структура!E588",Структура!E588)</f>
        <v>2</v>
      </c>
      <c r="K4625" s="114" t="str">
        <f>HYPERLINK("#Структура!G588","")</f>
        <v/>
      </c>
      <c r="L4625" s="120">
        <f>HYPERLINK("#Покупные_изделия!D185",Покупные_изделия!D185)</f>
        <v>92.611199999999997</v>
      </c>
      <c r="M4625" s="76">
        <f t="shared" ref="M4625:M4631" si="183">J4625*L4625</f>
        <v>185.22239999999999</v>
      </c>
      <c r="N4625" s="77"/>
      <c r="O4625" s="77"/>
      <c r="P4625" s="76"/>
      <c r="Q4625" s="76"/>
    </row>
    <row r="4626" spans="4:17" hidden="1" outlineLevel="3" x14ac:dyDescent="0.25">
      <c r="E4626" s="74" t="s">
        <v>420</v>
      </c>
      <c r="F4626" s="74"/>
      <c r="G4626" s="74"/>
      <c r="H4626" s="75"/>
      <c r="I4626" s="76"/>
      <c r="J4626" s="78">
        <f>HYPERLINK("#Структура!E589",Структура!E589)</f>
        <v>4</v>
      </c>
      <c r="K4626" s="114">
        <f>HYPERLINK("#Структура!G589",Структура!G589)</f>
        <v>0.64</v>
      </c>
      <c r="L4626" s="120">
        <f>HYPERLINK("#Покупные_изделия!D312",Покупные_изделия!D312)</f>
        <v>506.964</v>
      </c>
      <c r="M4626" s="76">
        <f t="shared" si="183"/>
        <v>2027.856</v>
      </c>
      <c r="N4626" s="77"/>
      <c r="O4626" s="77"/>
      <c r="P4626" s="76"/>
      <c r="Q4626" s="76"/>
    </row>
    <row r="4627" spans="4:17" hidden="1" outlineLevel="3" x14ac:dyDescent="0.25">
      <c r="E4627" s="74" t="s">
        <v>437</v>
      </c>
      <c r="F4627" s="74"/>
      <c r="G4627" s="74"/>
      <c r="H4627" s="75"/>
      <c r="I4627" s="76"/>
      <c r="J4627" s="78">
        <f>HYPERLINK("#Структура!E590",Структура!E590)</f>
        <v>2</v>
      </c>
      <c r="K4627" s="114">
        <f>HYPERLINK("#Структура!G590",Структура!G590)</f>
        <v>5.5140000000000002E-2</v>
      </c>
      <c r="L4627" s="120">
        <f>HYPERLINK("#Покупные_изделия!D334",Покупные_изделия!D334)</f>
        <v>715.22879999999998</v>
      </c>
      <c r="M4627" s="76">
        <f t="shared" si="183"/>
        <v>1430.4576</v>
      </c>
      <c r="N4627" s="77"/>
      <c r="O4627" s="77"/>
      <c r="P4627" s="76"/>
      <c r="Q4627" s="76"/>
    </row>
    <row r="4628" spans="4:17" hidden="1" outlineLevel="3" x14ac:dyDescent="0.25">
      <c r="E4628" s="74" t="s">
        <v>465</v>
      </c>
      <c r="F4628" s="74"/>
      <c r="G4628" s="74"/>
      <c r="H4628" s="75"/>
      <c r="I4628" s="76"/>
      <c r="J4628" s="78">
        <f>HYPERLINK("#Структура!E591",Структура!E591)</f>
        <v>2</v>
      </c>
      <c r="K4628" s="114">
        <f>HYPERLINK("#Структура!G591",Структура!G591)</f>
        <v>0.12008000000000001</v>
      </c>
      <c r="L4628" s="120">
        <f>HYPERLINK("#Покупные_изделия!D371",Покупные_изделия!D371)</f>
        <v>319.67759999999998</v>
      </c>
      <c r="M4628" s="76">
        <f t="shared" si="183"/>
        <v>639.35519999999997</v>
      </c>
      <c r="N4628" s="77"/>
      <c r="O4628" s="77"/>
      <c r="P4628" s="76"/>
      <c r="Q4628" s="76"/>
    </row>
    <row r="4629" spans="4:17" hidden="1" outlineLevel="3" x14ac:dyDescent="0.25">
      <c r="E4629" s="74" t="s">
        <v>477</v>
      </c>
      <c r="F4629" s="74"/>
      <c r="G4629" s="74"/>
      <c r="H4629" s="75"/>
      <c r="I4629" s="76"/>
      <c r="J4629" s="78">
        <f>HYPERLINK("#Структура!E592",Структура!E592)</f>
        <v>8</v>
      </c>
      <c r="K4629" s="114" t="str">
        <f>HYPERLINK("#Структура!G592","")</f>
        <v/>
      </c>
      <c r="L4629" s="120">
        <f>HYPERLINK("#Покупные_изделия!D392",Покупные_изделия!D392)</f>
        <v>5.5440000000000005</v>
      </c>
      <c r="M4629" s="76">
        <f t="shared" si="183"/>
        <v>44.352000000000004</v>
      </c>
      <c r="N4629" s="77"/>
      <c r="O4629" s="77"/>
      <c r="P4629" s="76"/>
      <c r="Q4629" s="76"/>
    </row>
    <row r="4630" spans="4:17" hidden="1" outlineLevel="3" x14ac:dyDescent="0.25">
      <c r="E4630" s="74" t="s">
        <v>481</v>
      </c>
      <c r="F4630" s="74"/>
      <c r="G4630" s="74"/>
      <c r="H4630" s="75"/>
      <c r="I4630" s="76"/>
      <c r="J4630" s="78">
        <f>HYPERLINK("#Структура!E593",Структура!E593)</f>
        <v>8</v>
      </c>
      <c r="K4630" s="114" t="str">
        <f>HYPERLINK("#Структура!G593","")</f>
        <v/>
      </c>
      <c r="L4630" s="120">
        <f>HYPERLINK("#Покупные_изделия!D396",Покупные_изделия!D396)</f>
        <v>6.2519999999999998</v>
      </c>
      <c r="M4630" s="76">
        <f t="shared" si="183"/>
        <v>50.015999999999998</v>
      </c>
      <c r="N4630" s="77"/>
      <c r="O4630" s="77"/>
      <c r="P4630" s="76"/>
      <c r="Q4630" s="76"/>
    </row>
    <row r="4631" spans="4:17" hidden="1" outlineLevel="3" x14ac:dyDescent="0.25">
      <c r="E4631" s="74" t="s">
        <v>482</v>
      </c>
      <c r="F4631" s="74"/>
      <c r="G4631" s="74"/>
      <c r="H4631" s="75"/>
      <c r="I4631" s="76"/>
      <c r="J4631" s="78">
        <f>HYPERLINK("#Структура!E594",Структура!E594)</f>
        <v>8</v>
      </c>
      <c r="K4631" s="114" t="str">
        <f>HYPERLINK("#Структура!G594","")</f>
        <v/>
      </c>
      <c r="L4631" s="120">
        <f>HYPERLINK("#Покупные_изделия!D397",Покупные_изделия!D397)</f>
        <v>12.54</v>
      </c>
      <c r="M4631" s="76">
        <f t="shared" si="183"/>
        <v>100.32</v>
      </c>
      <c r="N4631" s="77"/>
      <c r="O4631" s="77"/>
      <c r="P4631" s="76"/>
      <c r="Q4631" s="76"/>
    </row>
    <row r="4632" spans="4:17" hidden="1" outlineLevel="2" collapsed="1" x14ac:dyDescent="0.25">
      <c r="D4632" s="84" t="s">
        <v>792</v>
      </c>
      <c r="E4632" s="79"/>
      <c r="F4632" s="79"/>
      <c r="G4632" s="79"/>
      <c r="H4632" s="80"/>
      <c r="I4632" s="81"/>
      <c r="J4632" s="83">
        <f>HYPERLINK("#Структура!E3294",Структура!E3294)</f>
        <v>1</v>
      </c>
      <c r="K4632" s="115">
        <f>HYPERLINK("#Структура!G3294",Структура!G3294)</f>
        <v>1.87822</v>
      </c>
      <c r="L4632" s="81">
        <f>M4632/J4632</f>
        <v>2386.0931999999993</v>
      </c>
      <c r="M4632" s="81">
        <f>SUMIF(E4633:E4640,"*",M4633:M4640)*J4632</f>
        <v>2386.0931999999993</v>
      </c>
      <c r="N4632" s="124">
        <f>HYPERLINK("#Трудозатраты!B121",Трудозатраты!B121+SUMIF(E4633:E4640,"*",O4633:O4640))</f>
        <v>65</v>
      </c>
      <c r="O4632" s="82">
        <f>N4632*J4632</f>
        <v>65</v>
      </c>
      <c r="P4632" s="81">
        <f>O4632/60*(1+запас_труд)*стоимость_трудочаса</f>
        <v>2545.833333333333</v>
      </c>
      <c r="Q4632" s="129">
        <f>M4632*(1+наценка_покупное)+P4632</f>
        <v>5409.1451733333324</v>
      </c>
    </row>
    <row r="4633" spans="4:17" hidden="1" outlineLevel="3" x14ac:dyDescent="0.25">
      <c r="E4633" s="74" t="s">
        <v>382</v>
      </c>
      <c r="F4633" s="74"/>
      <c r="G4633" s="74"/>
      <c r="H4633" s="75"/>
      <c r="I4633" s="76"/>
      <c r="J4633" s="78">
        <f>HYPERLINK("#Структура!E595",Структура!E595)</f>
        <v>1</v>
      </c>
      <c r="K4633" s="114" t="str">
        <f>HYPERLINK("#Структура!G595","")</f>
        <v/>
      </c>
      <c r="L4633" s="120">
        <f>HYPERLINK("#Покупные_изделия!D185",Покупные_изделия!D185)</f>
        <v>92.611199999999997</v>
      </c>
      <c r="M4633" s="76">
        <f t="shared" ref="M4633:M4640" si="184">J4633*L4633</f>
        <v>92.611199999999997</v>
      </c>
      <c r="N4633" s="77"/>
      <c r="O4633" s="77"/>
      <c r="P4633" s="76"/>
      <c r="Q4633" s="76"/>
    </row>
    <row r="4634" spans="4:17" hidden="1" outlineLevel="3" x14ac:dyDescent="0.25">
      <c r="E4634" s="74" t="s">
        <v>396</v>
      </c>
      <c r="F4634" s="74"/>
      <c r="G4634" s="74"/>
      <c r="H4634" s="75"/>
      <c r="I4634" s="76"/>
      <c r="J4634" s="78">
        <f>HYPERLINK("#Структура!E596",Структура!E596)</f>
        <v>4</v>
      </c>
      <c r="K4634" s="114" t="str">
        <f>HYPERLINK("#Структура!G596","")</f>
        <v/>
      </c>
      <c r="L4634" s="120">
        <f>HYPERLINK("#Покупные_изделия!D218",Покупные_изделия!D218)</f>
        <v>49.500000000000007</v>
      </c>
      <c r="M4634" s="76">
        <f t="shared" si="184"/>
        <v>198.00000000000003</v>
      </c>
      <c r="N4634" s="77"/>
      <c r="O4634" s="77"/>
      <c r="P4634" s="76"/>
      <c r="Q4634" s="76"/>
    </row>
    <row r="4635" spans="4:17" hidden="1" outlineLevel="3" x14ac:dyDescent="0.25">
      <c r="E4635" s="74" t="s">
        <v>420</v>
      </c>
      <c r="F4635" s="74"/>
      <c r="G4635" s="74"/>
      <c r="H4635" s="75"/>
      <c r="I4635" s="76"/>
      <c r="J4635" s="78">
        <f>HYPERLINK("#Структура!E597",Структура!E597)</f>
        <v>1.9</v>
      </c>
      <c r="K4635" s="114">
        <f>HYPERLINK("#Структура!G597",Структура!G597)</f>
        <v>0.64</v>
      </c>
      <c r="L4635" s="120">
        <f>HYPERLINK("#Покупные_изделия!D312",Покупные_изделия!D312)</f>
        <v>506.964</v>
      </c>
      <c r="M4635" s="76">
        <f t="shared" si="184"/>
        <v>963.23159999999996</v>
      </c>
      <c r="N4635" s="77"/>
      <c r="O4635" s="77"/>
      <c r="P4635" s="76"/>
      <c r="Q4635" s="76"/>
    </row>
    <row r="4636" spans="4:17" hidden="1" outlineLevel="3" x14ac:dyDescent="0.25">
      <c r="E4636" s="74" t="s">
        <v>437</v>
      </c>
      <c r="F4636" s="74"/>
      <c r="G4636" s="74"/>
      <c r="H4636" s="75"/>
      <c r="I4636" s="76"/>
      <c r="J4636" s="78">
        <f>HYPERLINK("#Структура!E598",Структура!E598)</f>
        <v>1</v>
      </c>
      <c r="K4636" s="114">
        <f>HYPERLINK("#Структура!G598",Структура!G598)</f>
        <v>5.5140000000000002E-2</v>
      </c>
      <c r="L4636" s="120">
        <f>HYPERLINK("#Покупные_изделия!D334",Покупные_изделия!D334)</f>
        <v>715.22879999999998</v>
      </c>
      <c r="M4636" s="76">
        <f t="shared" si="184"/>
        <v>715.22879999999998</v>
      </c>
      <c r="N4636" s="77"/>
      <c r="O4636" s="77"/>
      <c r="P4636" s="76"/>
      <c r="Q4636" s="76"/>
    </row>
    <row r="4637" spans="4:17" hidden="1" outlineLevel="3" x14ac:dyDescent="0.25">
      <c r="E4637" s="74" t="s">
        <v>465</v>
      </c>
      <c r="F4637" s="74"/>
      <c r="G4637" s="74"/>
      <c r="H4637" s="75"/>
      <c r="I4637" s="76"/>
      <c r="J4637" s="78">
        <f>HYPERLINK("#Структура!E599",Структура!E599)</f>
        <v>1</v>
      </c>
      <c r="K4637" s="114">
        <f>HYPERLINK("#Структура!G599",Структура!G599)</f>
        <v>0.12008000000000001</v>
      </c>
      <c r="L4637" s="120">
        <f>HYPERLINK("#Покупные_изделия!D371",Покупные_изделия!D371)</f>
        <v>319.67759999999998</v>
      </c>
      <c r="M4637" s="76">
        <f t="shared" si="184"/>
        <v>319.67759999999998</v>
      </c>
      <c r="N4637" s="77"/>
      <c r="O4637" s="77"/>
      <c r="P4637" s="76"/>
      <c r="Q4637" s="76"/>
    </row>
    <row r="4638" spans="4:17" hidden="1" outlineLevel="3" x14ac:dyDescent="0.25">
      <c r="E4638" s="74" t="s">
        <v>477</v>
      </c>
      <c r="F4638" s="74"/>
      <c r="G4638" s="74"/>
      <c r="H4638" s="75"/>
      <c r="I4638" s="76"/>
      <c r="J4638" s="78">
        <f>HYPERLINK("#Структура!E600",Структура!E600)</f>
        <v>4</v>
      </c>
      <c r="K4638" s="114" t="str">
        <f>HYPERLINK("#Структура!G600","")</f>
        <v/>
      </c>
      <c r="L4638" s="120">
        <f>HYPERLINK("#Покупные_изделия!D392",Покупные_изделия!D392)</f>
        <v>5.5440000000000005</v>
      </c>
      <c r="M4638" s="76">
        <f t="shared" si="184"/>
        <v>22.176000000000002</v>
      </c>
      <c r="N4638" s="77"/>
      <c r="O4638" s="77"/>
      <c r="P4638" s="76"/>
      <c r="Q4638" s="76"/>
    </row>
    <row r="4639" spans="4:17" hidden="1" outlineLevel="3" x14ac:dyDescent="0.25">
      <c r="E4639" s="74" t="s">
        <v>481</v>
      </c>
      <c r="F4639" s="74"/>
      <c r="G4639" s="74"/>
      <c r="H4639" s="75"/>
      <c r="I4639" s="76"/>
      <c r="J4639" s="78">
        <f>HYPERLINK("#Структура!E601",Структура!E601)</f>
        <v>4</v>
      </c>
      <c r="K4639" s="114" t="str">
        <f>HYPERLINK("#Структура!G601","")</f>
        <v/>
      </c>
      <c r="L4639" s="120">
        <f>HYPERLINK("#Покупные_изделия!D396",Покупные_изделия!D396)</f>
        <v>6.2519999999999998</v>
      </c>
      <c r="M4639" s="76">
        <f t="shared" si="184"/>
        <v>25.007999999999999</v>
      </c>
      <c r="N4639" s="77"/>
      <c r="O4639" s="77"/>
      <c r="P4639" s="76"/>
      <c r="Q4639" s="76"/>
    </row>
    <row r="4640" spans="4:17" hidden="1" outlineLevel="3" x14ac:dyDescent="0.25">
      <c r="E4640" s="74" t="s">
        <v>482</v>
      </c>
      <c r="F4640" s="74"/>
      <c r="G4640" s="74"/>
      <c r="H4640" s="75"/>
      <c r="I4640" s="76"/>
      <c r="J4640" s="78">
        <f>HYPERLINK("#Структура!E602",Структура!E602)</f>
        <v>4</v>
      </c>
      <c r="K4640" s="114" t="str">
        <f>HYPERLINK("#Структура!G602","")</f>
        <v/>
      </c>
      <c r="L4640" s="120">
        <f>HYPERLINK("#Покупные_изделия!D397",Покупные_изделия!D397)</f>
        <v>12.54</v>
      </c>
      <c r="M4640" s="76">
        <f t="shared" si="184"/>
        <v>50.16</v>
      </c>
      <c r="N4640" s="77"/>
      <c r="O4640" s="77"/>
      <c r="P4640" s="76"/>
      <c r="Q4640" s="76"/>
    </row>
    <row r="4641" spans="4:17" hidden="1" outlineLevel="2" collapsed="1" x14ac:dyDescent="0.25">
      <c r="D4641" s="96" t="s">
        <v>794</v>
      </c>
      <c r="E4641" s="91"/>
      <c r="F4641" s="91"/>
      <c r="G4641" s="91"/>
      <c r="H4641" s="92"/>
      <c r="I4641" s="93"/>
      <c r="J4641" s="95">
        <f>HYPERLINK("#Структура!E3295",Структура!E3295)</f>
        <v>1</v>
      </c>
      <c r="K4641" s="116">
        <f>HYPERLINK("#Структура!G3295",Структура!G3295)</f>
        <v>43.324640000000002</v>
      </c>
      <c r="L4641" s="93">
        <f>M4641/J4641</f>
        <v>33738.262319999994</v>
      </c>
      <c r="M4641" s="93">
        <f>SUMIF(E4642:E4659,"*",M4642:M4659)*J4641</f>
        <v>33738.262319999994</v>
      </c>
      <c r="N4641" s="125">
        <f>HYPERLINK("#Трудозатраты!B122",Трудозатраты!B122+SUMIF(E4642:E4659,"*",O4642:O4659))</f>
        <v>34.75</v>
      </c>
      <c r="O4641" s="94">
        <f>N4641*J4641</f>
        <v>34.75</v>
      </c>
      <c r="P4641" s="93">
        <f>O4641/60*(1+запас_труд)*стоимость_трудочаса</f>
        <v>1361.0416666666667</v>
      </c>
      <c r="Q4641" s="130">
        <f>M4641*(1+наценка_покупное)+P4641</f>
        <v>41846.956450666657</v>
      </c>
    </row>
    <row r="4642" spans="4:17" hidden="1" outlineLevel="3" collapsed="1" x14ac:dyDescent="0.25">
      <c r="E4642" s="85" t="s">
        <v>793</v>
      </c>
      <c r="F4642" s="86"/>
      <c r="G4642" s="86"/>
      <c r="H4642" s="87"/>
      <c r="I4642" s="88"/>
      <c r="J4642" s="90">
        <f>HYPERLINK("#Структура!E603",Структура!E603)</f>
        <v>1</v>
      </c>
      <c r="K4642" s="113">
        <f>HYPERLINK("#Структура!G603",Структура!G603)</f>
        <v>6.9870000000000002E-2</v>
      </c>
      <c r="L4642" s="88">
        <f>M4642/J4642</f>
        <v>52.5</v>
      </c>
      <c r="M4642" s="88">
        <f>SUMIF(F4643,"*",M4643)*J4642</f>
        <v>52.5</v>
      </c>
      <c r="N4642" s="123">
        <f>HYPERLINK("#Трудозатраты!B135",Трудозатраты!B135+SUMIF(F4643,"*",O4643))</f>
        <v>33.75</v>
      </c>
      <c r="O4642" s="89">
        <f>N4642*J4642</f>
        <v>33.75</v>
      </c>
      <c r="P4642" s="88">
        <f>O4642/60*(1+запас_труд)*стоимость_трудочаса</f>
        <v>1321.875</v>
      </c>
      <c r="Q4642" s="128">
        <f>M4642*(1+наценка_покупное)+P4642</f>
        <v>1384.875</v>
      </c>
    </row>
    <row r="4643" spans="4:17" hidden="1" outlineLevel="4" x14ac:dyDescent="0.25">
      <c r="F4643" s="74" t="s">
        <v>92</v>
      </c>
      <c r="G4643" s="74"/>
      <c r="H4643" s="75"/>
      <c r="I4643" s="76"/>
      <c r="J4643" s="78">
        <f>HYPERLINK("#Структура!E678",Структура!E678)</f>
        <v>0.17499999999999999</v>
      </c>
      <c r="K4643" s="114" t="str">
        <f>HYPERLINK("#Структура!G678","")</f>
        <v/>
      </c>
      <c r="L4643" s="120">
        <f>HYPERLINK("#Покупные_изделия!D261",Покупные_изделия!D261)</f>
        <v>300</v>
      </c>
      <c r="M4643" s="76">
        <f t="shared" ref="M4643:M4659" si="185">J4643*L4643</f>
        <v>52.5</v>
      </c>
      <c r="N4643" s="77"/>
      <c r="O4643" s="77"/>
      <c r="P4643" s="76"/>
      <c r="Q4643" s="76"/>
    </row>
    <row r="4644" spans="4:17" hidden="1" outlineLevel="3" x14ac:dyDescent="0.25">
      <c r="E4644" s="74" t="s">
        <v>380</v>
      </c>
      <c r="F4644" s="74"/>
      <c r="G4644" s="74"/>
      <c r="H4644" s="75"/>
      <c r="I4644" s="76"/>
      <c r="J4644" s="78">
        <f>HYPERLINK("#Структура!E604",Структура!E604)</f>
        <v>1</v>
      </c>
      <c r="K4644" s="114">
        <f>HYPERLINK("#Структура!G604",Структура!G604)</f>
        <v>5.96E-3</v>
      </c>
      <c r="L4644" s="120">
        <f>HYPERLINK("#Покупные_изделия!D180",Покупные_изделия!D180)</f>
        <v>52.074000000000005</v>
      </c>
      <c r="M4644" s="76">
        <f t="shared" si="185"/>
        <v>52.074000000000005</v>
      </c>
      <c r="N4644" s="77"/>
      <c r="O4644" s="77"/>
      <c r="P4644" s="76"/>
      <c r="Q4644" s="76"/>
    </row>
    <row r="4645" spans="4:17" hidden="1" outlineLevel="3" x14ac:dyDescent="0.25">
      <c r="E4645" s="74" t="s">
        <v>411</v>
      </c>
      <c r="F4645" s="74"/>
      <c r="G4645" s="74"/>
      <c r="H4645" s="75"/>
      <c r="I4645" s="76"/>
      <c r="J4645" s="78">
        <f>HYPERLINK("#Структура!E605",Структура!E605)</f>
        <v>6</v>
      </c>
      <c r="K4645" s="114">
        <f>HYPERLINK("#Структура!G605",Структура!G605)</f>
        <v>1.55158</v>
      </c>
      <c r="L4645" s="120">
        <f>HYPERLINK("#Покупные_изделия!D235",Покупные_изделия!D235)</f>
        <v>1085.5319999999999</v>
      </c>
      <c r="M4645" s="76">
        <f t="shared" si="185"/>
        <v>6513.1919999999991</v>
      </c>
      <c r="N4645" s="77"/>
      <c r="O4645" s="77"/>
      <c r="P4645" s="76"/>
      <c r="Q4645" s="76"/>
    </row>
    <row r="4646" spans="4:17" hidden="1" outlineLevel="3" x14ac:dyDescent="0.25">
      <c r="E4646" s="74" t="s">
        <v>413</v>
      </c>
      <c r="F4646" s="74"/>
      <c r="G4646" s="74"/>
      <c r="H4646" s="75"/>
      <c r="I4646" s="76"/>
      <c r="J4646" s="78">
        <f>HYPERLINK("#Структура!E606",Структура!E606)</f>
        <v>2</v>
      </c>
      <c r="K4646" s="114" t="str">
        <f>HYPERLINK("#Структура!G606","")</f>
        <v/>
      </c>
      <c r="L4646" s="120">
        <f>HYPERLINK("#Покупные_изделия!D238",Покупные_изделия!D238)</f>
        <v>1435.9092000000001</v>
      </c>
      <c r="M4646" s="76">
        <f t="shared" si="185"/>
        <v>2871.8184000000001</v>
      </c>
      <c r="N4646" s="77"/>
      <c r="O4646" s="77"/>
      <c r="P4646" s="76"/>
      <c r="Q4646" s="76"/>
    </row>
    <row r="4647" spans="4:17" hidden="1" outlineLevel="3" x14ac:dyDescent="0.25">
      <c r="E4647" s="74" t="s">
        <v>420</v>
      </c>
      <c r="F4647" s="74"/>
      <c r="G4647" s="74"/>
      <c r="H4647" s="75"/>
      <c r="I4647" s="76"/>
      <c r="J4647" s="78">
        <f>HYPERLINK("#Структура!E607",Структура!E607)</f>
        <v>18.899999999999999</v>
      </c>
      <c r="K4647" s="114">
        <f>HYPERLINK("#Структура!G607",Структура!G607)</f>
        <v>0.64</v>
      </c>
      <c r="L4647" s="120">
        <f>HYPERLINK("#Покупные_изделия!D312",Покупные_изделия!D312)</f>
        <v>506.964</v>
      </c>
      <c r="M4647" s="76">
        <f t="shared" si="185"/>
        <v>9581.6196</v>
      </c>
      <c r="N4647" s="77"/>
      <c r="O4647" s="77"/>
      <c r="P4647" s="76"/>
      <c r="Q4647" s="76"/>
    </row>
    <row r="4648" spans="4:17" hidden="1" outlineLevel="3" x14ac:dyDescent="0.25">
      <c r="E4648" s="74" t="s">
        <v>437</v>
      </c>
      <c r="F4648" s="74"/>
      <c r="G4648" s="74"/>
      <c r="H4648" s="75"/>
      <c r="I4648" s="76"/>
      <c r="J4648" s="78">
        <f>HYPERLINK("#Структура!E608",Структура!E608)</f>
        <v>1</v>
      </c>
      <c r="K4648" s="114">
        <f>HYPERLINK("#Структура!G608",Структура!G608)</f>
        <v>5.5140000000000002E-2</v>
      </c>
      <c r="L4648" s="120">
        <f>HYPERLINK("#Покупные_изделия!D334",Покупные_изделия!D334)</f>
        <v>715.22879999999998</v>
      </c>
      <c r="M4648" s="76">
        <f t="shared" si="185"/>
        <v>715.22879999999998</v>
      </c>
      <c r="N4648" s="77"/>
      <c r="O4648" s="77"/>
      <c r="P4648" s="76"/>
      <c r="Q4648" s="76"/>
    </row>
    <row r="4649" spans="4:17" hidden="1" outlineLevel="3" x14ac:dyDescent="0.25">
      <c r="E4649" s="74" t="s">
        <v>439</v>
      </c>
      <c r="F4649" s="74"/>
      <c r="G4649" s="74"/>
      <c r="H4649" s="75"/>
      <c r="I4649" s="76"/>
      <c r="J4649" s="78">
        <f>HYPERLINK("#Структура!E609",Структура!E609)</f>
        <v>1</v>
      </c>
      <c r="K4649" s="114">
        <f>HYPERLINK("#Структура!G609",Структура!G609)</f>
        <v>0.12127</v>
      </c>
      <c r="L4649" s="120">
        <f>HYPERLINK("#Покупные_изделия!D337",Покупные_изделия!D337)</f>
        <v>708.52319999999997</v>
      </c>
      <c r="M4649" s="76">
        <f t="shared" si="185"/>
        <v>708.52319999999997</v>
      </c>
      <c r="N4649" s="77"/>
      <c r="O4649" s="77"/>
      <c r="P4649" s="76"/>
      <c r="Q4649" s="76"/>
    </row>
    <row r="4650" spans="4:17" hidden="1" outlineLevel="3" x14ac:dyDescent="0.25">
      <c r="E4650" s="74" t="s">
        <v>441</v>
      </c>
      <c r="F4650" s="74"/>
      <c r="G4650" s="74"/>
      <c r="H4650" s="75"/>
      <c r="I4650" s="76"/>
      <c r="J4650" s="78">
        <f>HYPERLINK("#Структура!E610",Структура!E610)</f>
        <v>16</v>
      </c>
      <c r="K4650" s="114">
        <f>HYPERLINK("#Структура!G610",Структура!G610)</f>
        <v>8.0509999999999998E-2</v>
      </c>
      <c r="L4650" s="120">
        <f>HYPERLINK("#Покупные_изделия!D340",Покупные_изделия!D340)</f>
        <v>401.29200000000003</v>
      </c>
      <c r="M4650" s="76">
        <f t="shared" si="185"/>
        <v>6420.6720000000005</v>
      </c>
      <c r="N4650" s="77"/>
      <c r="O4650" s="77"/>
      <c r="P4650" s="76"/>
      <c r="Q4650" s="76"/>
    </row>
    <row r="4651" spans="4:17" hidden="1" outlineLevel="3" x14ac:dyDescent="0.25">
      <c r="E4651" s="74" t="s">
        <v>444</v>
      </c>
      <c r="F4651" s="74"/>
      <c r="G4651" s="74"/>
      <c r="H4651" s="75"/>
      <c r="I4651" s="76"/>
      <c r="J4651" s="78">
        <f>HYPERLINK("#Структура!E611",Структура!E611)</f>
        <v>2</v>
      </c>
      <c r="K4651" s="114">
        <f>HYPERLINK("#Структура!G611",Структура!G611)</f>
        <v>0.11058999999999999</v>
      </c>
      <c r="L4651" s="120">
        <f>HYPERLINK("#Покупные_изделия!D347",Покупные_изделия!D347)</f>
        <v>563.41199999999992</v>
      </c>
      <c r="M4651" s="76">
        <f t="shared" si="185"/>
        <v>1126.8239999999998</v>
      </c>
      <c r="N4651" s="77"/>
      <c r="O4651" s="77"/>
      <c r="P4651" s="76"/>
      <c r="Q4651" s="76"/>
    </row>
    <row r="4652" spans="4:17" hidden="1" outlineLevel="3" x14ac:dyDescent="0.25">
      <c r="E4652" s="74" t="s">
        <v>445</v>
      </c>
      <c r="F4652" s="74"/>
      <c r="G4652" s="74"/>
      <c r="H4652" s="75"/>
      <c r="I4652" s="76"/>
      <c r="J4652" s="78">
        <f>HYPERLINK("#Структура!E612",Структура!E612)</f>
        <v>1</v>
      </c>
      <c r="K4652" s="114">
        <f>HYPERLINK("#Структура!G612",Структура!G612)</f>
        <v>6.6059999999999994E-2</v>
      </c>
      <c r="L4652" s="120">
        <f>HYPERLINK("#Покупные_изделия!D348",Покупные_изделия!D348)</f>
        <v>389.59200000000004</v>
      </c>
      <c r="M4652" s="76">
        <f t="shared" si="185"/>
        <v>389.59200000000004</v>
      </c>
      <c r="N4652" s="77"/>
      <c r="O4652" s="77"/>
      <c r="P4652" s="76"/>
      <c r="Q4652" s="76"/>
    </row>
    <row r="4653" spans="4:17" hidden="1" outlineLevel="3" x14ac:dyDescent="0.25">
      <c r="E4653" s="74" t="s">
        <v>446</v>
      </c>
      <c r="F4653" s="74"/>
      <c r="G4653" s="74"/>
      <c r="H4653" s="75"/>
      <c r="I4653" s="76"/>
      <c r="J4653" s="78">
        <f>HYPERLINK("#Структура!E613",Структура!E613)</f>
        <v>1</v>
      </c>
      <c r="K4653" s="114">
        <f>HYPERLINK("#Структура!G613",Структура!G613)</f>
        <v>7.467E-2</v>
      </c>
      <c r="L4653" s="120">
        <f>HYPERLINK("#Покупные_изделия!D349",Покупные_изделия!D349)</f>
        <v>459.53160000000003</v>
      </c>
      <c r="M4653" s="76">
        <f t="shared" si="185"/>
        <v>459.53160000000003</v>
      </c>
      <c r="N4653" s="77"/>
      <c r="O4653" s="77"/>
      <c r="P4653" s="76"/>
      <c r="Q4653" s="76"/>
    </row>
    <row r="4654" spans="4:17" hidden="1" outlineLevel="3" x14ac:dyDescent="0.25">
      <c r="E4654" s="74" t="s">
        <v>481</v>
      </c>
      <c r="F4654" s="74"/>
      <c r="G4654" s="74"/>
      <c r="H4654" s="75"/>
      <c r="I4654" s="76"/>
      <c r="J4654" s="78">
        <f>HYPERLINK("#Структура!E614",Структура!E614)</f>
        <v>105</v>
      </c>
      <c r="K4654" s="114" t="str">
        <f>HYPERLINK("#Структура!G614","")</f>
        <v/>
      </c>
      <c r="L4654" s="120">
        <f>HYPERLINK("#Покупные_изделия!D396",Покупные_изделия!D396)</f>
        <v>6.2519999999999998</v>
      </c>
      <c r="M4654" s="76">
        <f t="shared" si="185"/>
        <v>656.45999999999992</v>
      </c>
      <c r="N4654" s="77"/>
      <c r="O4654" s="77"/>
      <c r="P4654" s="76"/>
      <c r="Q4654" s="76"/>
    </row>
    <row r="4655" spans="4:17" hidden="1" outlineLevel="3" x14ac:dyDescent="0.25">
      <c r="E4655" s="74" t="s">
        <v>482</v>
      </c>
      <c r="F4655" s="74"/>
      <c r="G4655" s="74"/>
      <c r="H4655" s="75"/>
      <c r="I4655" s="76"/>
      <c r="J4655" s="78">
        <f>HYPERLINK("#Структура!E615",Структура!E615)</f>
        <v>35</v>
      </c>
      <c r="K4655" s="114" t="str">
        <f>HYPERLINK("#Структура!G615","")</f>
        <v/>
      </c>
      <c r="L4655" s="120">
        <f>HYPERLINK("#Покупные_изделия!D397",Покупные_изделия!D397)</f>
        <v>12.54</v>
      </c>
      <c r="M4655" s="76">
        <f t="shared" si="185"/>
        <v>438.9</v>
      </c>
      <c r="N4655" s="77"/>
      <c r="O4655" s="77"/>
      <c r="P4655" s="76"/>
      <c r="Q4655" s="76"/>
    </row>
    <row r="4656" spans="4:17" hidden="1" outlineLevel="3" x14ac:dyDescent="0.25">
      <c r="E4656" s="74" t="s">
        <v>483</v>
      </c>
      <c r="F4656" s="74"/>
      <c r="G4656" s="74"/>
      <c r="H4656" s="75"/>
      <c r="I4656" s="76"/>
      <c r="J4656" s="78">
        <f>HYPERLINK("#Структура!E616",Структура!E616)</f>
        <v>45</v>
      </c>
      <c r="K4656" s="114" t="str">
        <f>HYPERLINK("#Структура!G616","")</f>
        <v/>
      </c>
      <c r="L4656" s="120">
        <f>HYPERLINK("#Покупные_изделия!D398",Покупные_изделия!D398)</f>
        <v>11.076000000000001</v>
      </c>
      <c r="M4656" s="76">
        <f t="shared" si="185"/>
        <v>498.42</v>
      </c>
      <c r="N4656" s="77"/>
      <c r="O4656" s="77"/>
      <c r="P4656" s="76"/>
      <c r="Q4656" s="76"/>
    </row>
    <row r="4657" spans="4:17" hidden="1" outlineLevel="3" x14ac:dyDescent="0.25">
      <c r="E4657" s="74" t="s">
        <v>490</v>
      </c>
      <c r="F4657" s="74"/>
      <c r="G4657" s="74"/>
      <c r="H4657" s="75"/>
      <c r="I4657" s="76"/>
      <c r="J4657" s="78">
        <f>HYPERLINK("#Структура!E617",Структура!E617)</f>
        <v>20</v>
      </c>
      <c r="K4657" s="114">
        <f>HYPERLINK("#Структура!G617",Структура!G617)</f>
        <v>2.5400000000000002E-3</v>
      </c>
      <c r="L4657" s="120">
        <f>HYPERLINK("#Покупные_изделия!D410",Покупные_изделия!D410)</f>
        <v>28.104000000000003</v>
      </c>
      <c r="M4657" s="76">
        <f t="shared" si="185"/>
        <v>562.08000000000004</v>
      </c>
      <c r="N4657" s="77"/>
      <c r="O4657" s="77"/>
      <c r="P4657" s="76"/>
      <c r="Q4657" s="76"/>
    </row>
    <row r="4658" spans="4:17" hidden="1" outlineLevel="3" x14ac:dyDescent="0.25">
      <c r="E4658" s="74" t="s">
        <v>499</v>
      </c>
      <c r="F4658" s="74"/>
      <c r="G4658" s="74"/>
      <c r="H4658" s="75"/>
      <c r="I4658" s="76"/>
      <c r="J4658" s="78">
        <f>HYPERLINK("#Структура!E618",Структура!E618)</f>
        <v>10</v>
      </c>
      <c r="K4658" s="114">
        <f>HYPERLINK("#Структура!G618",Структура!G618)</f>
        <v>6.9849999999999995E-2</v>
      </c>
      <c r="L4658" s="120">
        <f>HYPERLINK("#Покупные_изделия!D434",Покупные_изделия!D434)</f>
        <v>13.956000000000001</v>
      </c>
      <c r="M4658" s="76">
        <f t="shared" si="185"/>
        <v>139.56</v>
      </c>
      <c r="N4658" s="77"/>
      <c r="O4658" s="77"/>
      <c r="P4658" s="76"/>
      <c r="Q4658" s="76"/>
    </row>
    <row r="4659" spans="4:17" hidden="1" outlineLevel="3" x14ac:dyDescent="0.25">
      <c r="E4659" s="74" t="s">
        <v>532</v>
      </c>
      <c r="F4659" s="74"/>
      <c r="G4659" s="74"/>
      <c r="H4659" s="75"/>
      <c r="I4659" s="76"/>
      <c r="J4659" s="78">
        <f>HYPERLINK("#Структура!E619",Структура!E619)</f>
        <v>7.29</v>
      </c>
      <c r="K4659" s="114" t="str">
        <f>HYPERLINK("#Структура!G619","")</f>
        <v/>
      </c>
      <c r="L4659" s="120">
        <f>HYPERLINK("#Покупные_изделия!D498",Покупные_изделия!D498)</f>
        <v>349.96799999999996</v>
      </c>
      <c r="M4659" s="76">
        <f t="shared" si="185"/>
        <v>2551.2667199999996</v>
      </c>
      <c r="N4659" s="77"/>
      <c r="O4659" s="77"/>
      <c r="P4659" s="76"/>
      <c r="Q4659" s="76"/>
    </row>
    <row r="4660" spans="4:17" hidden="1" outlineLevel="2" collapsed="1" x14ac:dyDescent="0.25">
      <c r="D4660" s="96" t="s">
        <v>795</v>
      </c>
      <c r="E4660" s="91"/>
      <c r="F4660" s="91"/>
      <c r="G4660" s="91"/>
      <c r="H4660" s="92"/>
      <c r="I4660" s="93"/>
      <c r="J4660" s="95">
        <f>HYPERLINK("#Структура!E3296",Структура!E3296)</f>
        <v>1</v>
      </c>
      <c r="K4660" s="116">
        <f>HYPERLINK("#Структура!G3296",Структура!G3296)</f>
        <v>10.49344</v>
      </c>
      <c r="L4660" s="93">
        <f>M4660/J4660</f>
        <v>9894.0563999999977</v>
      </c>
      <c r="M4660" s="93">
        <f>SUMIF(E4661:E4673,"*",M4661:M4673)*J4660</f>
        <v>9894.0563999999977</v>
      </c>
      <c r="N4660" s="125">
        <f>HYPERLINK("#Трудозатраты!B123",Трудозатраты!B123+SUMIF(E4661:E4673,"*",O4661:O4673))</f>
        <v>273.75</v>
      </c>
      <c r="O4660" s="94">
        <f>N4660*J4660</f>
        <v>273.75</v>
      </c>
      <c r="P4660" s="93">
        <f>O4660/60*(1+запас_труд)*стоимость_трудочаса</f>
        <v>10721.875</v>
      </c>
      <c r="Q4660" s="130">
        <f>M4660*(1+наценка_покупное)+P4660</f>
        <v>22594.742679999996</v>
      </c>
    </row>
    <row r="4661" spans="4:17" hidden="1" outlineLevel="3" collapsed="1" x14ac:dyDescent="0.25">
      <c r="E4661" s="85" t="s">
        <v>793</v>
      </c>
      <c r="F4661" s="86"/>
      <c r="G4661" s="86"/>
      <c r="H4661" s="87"/>
      <c r="I4661" s="88"/>
      <c r="J4661" s="90">
        <f>HYPERLINK("#Структура!E620",Структура!E620)</f>
        <v>1</v>
      </c>
      <c r="K4661" s="113">
        <f>HYPERLINK("#Структура!G620",Структура!G620)</f>
        <v>6.9870000000000002E-2</v>
      </c>
      <c r="L4661" s="88">
        <f>M4661/J4661</f>
        <v>52.5</v>
      </c>
      <c r="M4661" s="88">
        <f>SUMIF(F4662,"*",M4662)*J4661</f>
        <v>52.5</v>
      </c>
      <c r="N4661" s="123">
        <f>HYPERLINK("#Трудозатраты!B135",Трудозатраты!B135+SUMIF(F4662,"*",O4662))</f>
        <v>33.75</v>
      </c>
      <c r="O4661" s="89">
        <f>N4661*J4661</f>
        <v>33.75</v>
      </c>
      <c r="P4661" s="88">
        <f>O4661/60*(1+запас_труд)*стоимость_трудочаса</f>
        <v>1321.875</v>
      </c>
      <c r="Q4661" s="128">
        <f>M4661*(1+наценка_покупное)+P4661</f>
        <v>1384.875</v>
      </c>
    </row>
    <row r="4662" spans="4:17" hidden="1" outlineLevel="4" x14ac:dyDescent="0.25">
      <c r="F4662" s="74" t="s">
        <v>92</v>
      </c>
      <c r="G4662" s="74"/>
      <c r="H4662" s="75"/>
      <c r="I4662" s="76"/>
      <c r="J4662" s="78">
        <f>HYPERLINK("#Структура!E678",Структура!E678)</f>
        <v>0.17499999999999999</v>
      </c>
      <c r="K4662" s="114" t="str">
        <f>HYPERLINK("#Структура!G678","")</f>
        <v/>
      </c>
      <c r="L4662" s="120">
        <f>HYPERLINK("#Покупные_изделия!D261",Покупные_изделия!D261)</f>
        <v>300</v>
      </c>
      <c r="M4662" s="76">
        <f t="shared" ref="M4662:M4673" si="186">J4662*L4662</f>
        <v>52.5</v>
      </c>
      <c r="N4662" s="77"/>
      <c r="O4662" s="77"/>
      <c r="P4662" s="76"/>
      <c r="Q4662" s="76"/>
    </row>
    <row r="4663" spans="4:17" hidden="1" outlineLevel="3" x14ac:dyDescent="0.25">
      <c r="E4663" s="74" t="s">
        <v>380</v>
      </c>
      <c r="F4663" s="74"/>
      <c r="G4663" s="74"/>
      <c r="H4663" s="75"/>
      <c r="I4663" s="76"/>
      <c r="J4663" s="78">
        <f>HYPERLINK("#Структура!E621",Структура!E621)</f>
        <v>1</v>
      </c>
      <c r="K4663" s="114">
        <f>HYPERLINK("#Структура!G621",Структура!G621)</f>
        <v>5.96E-3</v>
      </c>
      <c r="L4663" s="120">
        <f>HYPERLINK("#Покупные_изделия!D180",Покупные_изделия!D180)</f>
        <v>52.074000000000005</v>
      </c>
      <c r="M4663" s="76">
        <f t="shared" si="186"/>
        <v>52.074000000000005</v>
      </c>
      <c r="N4663" s="77"/>
      <c r="O4663" s="77"/>
      <c r="P4663" s="76"/>
      <c r="Q4663" s="76"/>
    </row>
    <row r="4664" spans="4:17" hidden="1" outlineLevel="3" x14ac:dyDescent="0.25">
      <c r="E4664" s="74" t="s">
        <v>396</v>
      </c>
      <c r="F4664" s="74"/>
      <c r="G4664" s="74"/>
      <c r="H4664" s="75"/>
      <c r="I4664" s="76"/>
      <c r="J4664" s="78">
        <f>HYPERLINK("#Структура!E622",Структура!E622)</f>
        <v>16</v>
      </c>
      <c r="K4664" s="114" t="str">
        <f>HYPERLINK("#Структура!G622","")</f>
        <v/>
      </c>
      <c r="L4664" s="120">
        <f>HYPERLINK("#Покупные_изделия!D218",Покупные_изделия!D218)</f>
        <v>49.500000000000007</v>
      </c>
      <c r="M4664" s="76">
        <f t="shared" si="186"/>
        <v>792.00000000000011</v>
      </c>
      <c r="N4664" s="77"/>
      <c r="O4664" s="77"/>
      <c r="P4664" s="76"/>
      <c r="Q4664" s="76"/>
    </row>
    <row r="4665" spans="4:17" hidden="1" outlineLevel="3" x14ac:dyDescent="0.25">
      <c r="E4665" s="74" t="s">
        <v>420</v>
      </c>
      <c r="F4665" s="74"/>
      <c r="G4665" s="74"/>
      <c r="H4665" s="75"/>
      <c r="I4665" s="76"/>
      <c r="J4665" s="78">
        <f>HYPERLINK("#Структура!E623",Структура!E623)</f>
        <v>5.0999999999999996</v>
      </c>
      <c r="K4665" s="114">
        <f>HYPERLINK("#Структура!G623",Структура!G623)</f>
        <v>0.64</v>
      </c>
      <c r="L4665" s="120">
        <f>HYPERLINK("#Покупные_изделия!D312",Покупные_изделия!D312)</f>
        <v>506.964</v>
      </c>
      <c r="M4665" s="76">
        <f t="shared" si="186"/>
        <v>2585.5164</v>
      </c>
      <c r="N4665" s="77"/>
      <c r="O4665" s="77"/>
      <c r="P4665" s="76"/>
      <c r="Q4665" s="76"/>
    </row>
    <row r="4666" spans="4:17" hidden="1" outlineLevel="3" x14ac:dyDescent="0.25">
      <c r="E4666" s="74" t="s">
        <v>437</v>
      </c>
      <c r="F4666" s="74"/>
      <c r="G4666" s="74"/>
      <c r="H4666" s="75"/>
      <c r="I4666" s="76"/>
      <c r="J4666" s="78">
        <f>HYPERLINK("#Структура!E624",Структура!E624)</f>
        <v>1</v>
      </c>
      <c r="K4666" s="114">
        <f>HYPERLINK("#Структура!G624",Структура!G624)</f>
        <v>5.5140000000000002E-2</v>
      </c>
      <c r="L4666" s="120">
        <f>HYPERLINK("#Покупные_изделия!D334",Покупные_изделия!D334)</f>
        <v>715.22879999999998</v>
      </c>
      <c r="M4666" s="76">
        <f t="shared" si="186"/>
        <v>715.22879999999998</v>
      </c>
      <c r="N4666" s="77"/>
      <c r="O4666" s="77"/>
      <c r="P4666" s="76"/>
      <c r="Q4666" s="76"/>
    </row>
    <row r="4667" spans="4:17" hidden="1" outlineLevel="3" x14ac:dyDescent="0.25">
      <c r="E4667" s="74" t="s">
        <v>439</v>
      </c>
      <c r="F4667" s="74"/>
      <c r="G4667" s="74"/>
      <c r="H4667" s="75"/>
      <c r="I4667" s="76"/>
      <c r="J4667" s="78">
        <f>HYPERLINK("#Структура!E625",Структура!E625)</f>
        <v>1</v>
      </c>
      <c r="K4667" s="114">
        <f>HYPERLINK("#Структура!G625",Структура!G625)</f>
        <v>0.12127</v>
      </c>
      <c r="L4667" s="120">
        <f>HYPERLINK("#Покупные_изделия!D337",Покупные_изделия!D337)</f>
        <v>708.52319999999997</v>
      </c>
      <c r="M4667" s="76">
        <f t="shared" si="186"/>
        <v>708.52319999999997</v>
      </c>
      <c r="N4667" s="77"/>
      <c r="O4667" s="77"/>
      <c r="P4667" s="76"/>
      <c r="Q4667" s="76"/>
    </row>
    <row r="4668" spans="4:17" hidden="1" outlineLevel="3" x14ac:dyDescent="0.25">
      <c r="E4668" s="74" t="s">
        <v>441</v>
      </c>
      <c r="F4668" s="74"/>
      <c r="G4668" s="74"/>
      <c r="H4668" s="75"/>
      <c r="I4668" s="76"/>
      <c r="J4668" s="78">
        <f>HYPERLINK("#Структура!E626",Структура!E626)</f>
        <v>1</v>
      </c>
      <c r="K4668" s="114">
        <f>HYPERLINK("#Структура!G626",Структура!G626)</f>
        <v>8.0509999999999998E-2</v>
      </c>
      <c r="L4668" s="120">
        <f>HYPERLINK("#Покупные_изделия!D340",Покупные_изделия!D340)</f>
        <v>401.29200000000003</v>
      </c>
      <c r="M4668" s="76">
        <f t="shared" si="186"/>
        <v>401.29200000000003</v>
      </c>
      <c r="N4668" s="77"/>
      <c r="O4668" s="77"/>
      <c r="P4668" s="76"/>
      <c r="Q4668" s="76"/>
    </row>
    <row r="4669" spans="4:17" hidden="1" outlineLevel="3" x14ac:dyDescent="0.25">
      <c r="E4669" s="74" t="s">
        <v>444</v>
      </c>
      <c r="F4669" s="74"/>
      <c r="G4669" s="74"/>
      <c r="H4669" s="75"/>
      <c r="I4669" s="76"/>
      <c r="J4669" s="78">
        <f>HYPERLINK("#Структура!E627",Структура!E627)</f>
        <v>2</v>
      </c>
      <c r="K4669" s="114">
        <f>HYPERLINK("#Структура!G627",Структура!G627)</f>
        <v>0.11058999999999999</v>
      </c>
      <c r="L4669" s="120">
        <f>HYPERLINK("#Покупные_изделия!D347",Покупные_изделия!D347)</f>
        <v>563.41199999999992</v>
      </c>
      <c r="M4669" s="76">
        <f t="shared" si="186"/>
        <v>1126.8239999999998</v>
      </c>
      <c r="N4669" s="77"/>
      <c r="O4669" s="77"/>
      <c r="P4669" s="76"/>
      <c r="Q4669" s="76"/>
    </row>
    <row r="4670" spans="4:17" hidden="1" outlineLevel="3" x14ac:dyDescent="0.25">
      <c r="E4670" s="74" t="s">
        <v>445</v>
      </c>
      <c r="F4670" s="74"/>
      <c r="G4670" s="74"/>
      <c r="H4670" s="75"/>
      <c r="I4670" s="76"/>
      <c r="J4670" s="78">
        <f>HYPERLINK("#Структура!E628",Структура!E628)</f>
        <v>1</v>
      </c>
      <c r="K4670" s="114">
        <f>HYPERLINK("#Структура!G628",Структура!G628)</f>
        <v>6.6059999999999994E-2</v>
      </c>
      <c r="L4670" s="120">
        <f>HYPERLINK("#Покупные_изделия!D348",Покупные_изделия!D348)</f>
        <v>389.59200000000004</v>
      </c>
      <c r="M4670" s="76">
        <f t="shared" si="186"/>
        <v>389.59200000000004</v>
      </c>
      <c r="N4670" s="77"/>
      <c r="O4670" s="77"/>
      <c r="P4670" s="76"/>
      <c r="Q4670" s="76"/>
    </row>
    <row r="4671" spans="4:17" hidden="1" outlineLevel="3" x14ac:dyDescent="0.25">
      <c r="E4671" s="74" t="s">
        <v>446</v>
      </c>
      <c r="F4671" s="74"/>
      <c r="G4671" s="74"/>
      <c r="H4671" s="75"/>
      <c r="I4671" s="76"/>
      <c r="J4671" s="78">
        <f>HYPERLINK("#Структура!E629",Структура!E629)</f>
        <v>1</v>
      </c>
      <c r="K4671" s="114">
        <f>HYPERLINK("#Структура!G629",Структура!G629)</f>
        <v>7.467E-2</v>
      </c>
      <c r="L4671" s="120">
        <f>HYPERLINK("#Покупные_изделия!D349",Покупные_изделия!D349)</f>
        <v>459.53160000000003</v>
      </c>
      <c r="M4671" s="76">
        <f t="shared" si="186"/>
        <v>459.53160000000003</v>
      </c>
      <c r="N4671" s="77"/>
      <c r="O4671" s="77"/>
      <c r="P4671" s="76"/>
      <c r="Q4671" s="76"/>
    </row>
    <row r="4672" spans="4:17" hidden="1" outlineLevel="3" x14ac:dyDescent="0.25">
      <c r="E4672" s="74" t="s">
        <v>490</v>
      </c>
      <c r="F4672" s="74"/>
      <c r="G4672" s="74"/>
      <c r="H4672" s="75"/>
      <c r="I4672" s="76"/>
      <c r="J4672" s="78">
        <f>HYPERLINK("#Структура!E630",Структура!E630)</f>
        <v>2</v>
      </c>
      <c r="K4672" s="114">
        <f>HYPERLINK("#Структура!G630",Структура!G630)</f>
        <v>2.5400000000000002E-3</v>
      </c>
      <c r="L4672" s="120">
        <f>HYPERLINK("#Покупные_изделия!D410",Покупные_изделия!D410)</f>
        <v>28.104000000000003</v>
      </c>
      <c r="M4672" s="76">
        <f t="shared" si="186"/>
        <v>56.208000000000006</v>
      </c>
      <c r="N4672" s="77"/>
      <c r="O4672" s="77"/>
      <c r="P4672" s="76"/>
      <c r="Q4672" s="76"/>
    </row>
    <row r="4673" spans="4:17" hidden="1" outlineLevel="3" x14ac:dyDescent="0.25">
      <c r="E4673" s="74" t="s">
        <v>532</v>
      </c>
      <c r="F4673" s="74"/>
      <c r="G4673" s="74"/>
      <c r="H4673" s="75"/>
      <c r="I4673" s="76"/>
      <c r="J4673" s="78">
        <f>HYPERLINK("#Структура!E631",Структура!E631)</f>
        <v>7.3</v>
      </c>
      <c r="K4673" s="114" t="str">
        <f>HYPERLINK("#Структура!G631","")</f>
        <v/>
      </c>
      <c r="L4673" s="120">
        <f>HYPERLINK("#Покупные_изделия!D498",Покупные_изделия!D498)</f>
        <v>349.96799999999996</v>
      </c>
      <c r="M4673" s="76">
        <f t="shared" si="186"/>
        <v>2554.7663999999995</v>
      </c>
      <c r="N4673" s="77"/>
      <c r="O4673" s="77"/>
      <c r="P4673" s="76"/>
      <c r="Q4673" s="76"/>
    </row>
    <row r="4674" spans="4:17" hidden="1" outlineLevel="2" collapsed="1" x14ac:dyDescent="0.25">
      <c r="D4674" s="84" t="s">
        <v>796</v>
      </c>
      <c r="E4674" s="79"/>
      <c r="F4674" s="79"/>
      <c r="G4674" s="79"/>
      <c r="H4674" s="80"/>
      <c r="I4674" s="81"/>
      <c r="J4674" s="83">
        <f>HYPERLINK("#Структура!E3297",Структура!E3297)</f>
        <v>1</v>
      </c>
      <c r="K4674" s="115">
        <f>HYPERLINK("#Структура!G3297",Структура!G3297)</f>
        <v>22.974329999999998</v>
      </c>
      <c r="L4674" s="81">
        <f>M4674/J4674</f>
        <v>25438.474679999999</v>
      </c>
      <c r="M4674" s="81">
        <f>SUMIF(E4675:E4686,"*",M4675:M4686)*J4674</f>
        <v>25438.474679999999</v>
      </c>
      <c r="N4674" s="124">
        <f>HYPERLINK("#Трудозатраты!B124",Трудозатраты!B124+SUMIF(E4675:E4686,"*",O4675:O4686))</f>
        <v>1</v>
      </c>
      <c r="O4674" s="82">
        <f>N4674*J4674</f>
        <v>1</v>
      </c>
      <c r="P4674" s="81">
        <f>O4674/60*(1+запас_труд)*стоимость_трудочаса</f>
        <v>39.166666666666664</v>
      </c>
      <c r="Q4674" s="129">
        <f>M4674*(1+наценка_покупное)+P4674</f>
        <v>30565.336282666667</v>
      </c>
    </row>
    <row r="4675" spans="4:17" hidden="1" outlineLevel="3" x14ac:dyDescent="0.25">
      <c r="E4675" s="74" t="s">
        <v>775</v>
      </c>
      <c r="F4675" s="74"/>
      <c r="G4675" s="74"/>
      <c r="H4675" s="75"/>
      <c r="I4675" s="76"/>
      <c r="J4675" s="78">
        <f>HYPERLINK("#Структура!E632",Структура!E632)</f>
        <v>42</v>
      </c>
      <c r="K4675" s="114" t="str">
        <f>HYPERLINK("#Структура!G632","")</f>
        <v/>
      </c>
      <c r="L4675" s="120">
        <f>HYPERLINK("#Покупные_изделия!D216",Покупные_изделия!D216)</f>
        <v>31.536000000000001</v>
      </c>
      <c r="M4675" s="76">
        <f t="shared" ref="M4675:M4686" si="187">J4675*L4675</f>
        <v>1324.5120000000002</v>
      </c>
      <c r="N4675" s="77"/>
      <c r="O4675" s="77"/>
      <c r="P4675" s="76"/>
      <c r="Q4675" s="76"/>
    </row>
    <row r="4676" spans="4:17" hidden="1" outlineLevel="3" x14ac:dyDescent="0.25">
      <c r="E4676" s="74" t="s">
        <v>411</v>
      </c>
      <c r="F4676" s="74"/>
      <c r="G4676" s="74"/>
      <c r="H4676" s="75"/>
      <c r="I4676" s="76"/>
      <c r="J4676" s="78">
        <f>HYPERLINK("#Структура!E633",Структура!E633)</f>
        <v>2</v>
      </c>
      <c r="K4676" s="114">
        <f>HYPERLINK("#Структура!G633",Структура!G633)</f>
        <v>1.55158</v>
      </c>
      <c r="L4676" s="120">
        <f>HYPERLINK("#Покупные_изделия!D235",Покупные_изделия!D235)</f>
        <v>1085.5319999999999</v>
      </c>
      <c r="M4676" s="76">
        <f t="shared" si="187"/>
        <v>2171.0639999999999</v>
      </c>
      <c r="N4676" s="77"/>
      <c r="O4676" s="77"/>
      <c r="P4676" s="76"/>
      <c r="Q4676" s="76"/>
    </row>
    <row r="4677" spans="4:17" hidden="1" outlineLevel="3" x14ac:dyDescent="0.25">
      <c r="E4677" s="74" t="s">
        <v>412</v>
      </c>
      <c r="F4677" s="74"/>
      <c r="G4677" s="74"/>
      <c r="H4677" s="75"/>
      <c r="I4677" s="76"/>
      <c r="J4677" s="78">
        <f>HYPERLINK("#Структура!E634",Структура!E634)</f>
        <v>1</v>
      </c>
      <c r="K4677" s="114" t="str">
        <f>HYPERLINK("#Структура!G634","")</f>
        <v/>
      </c>
      <c r="L4677" s="120">
        <f>HYPERLINK("#Покупные_изделия!D236",Покупные_изделия!D236)</f>
        <v>1320</v>
      </c>
      <c r="M4677" s="76">
        <f t="shared" si="187"/>
        <v>1320</v>
      </c>
      <c r="N4677" s="77"/>
      <c r="O4677" s="77"/>
      <c r="P4677" s="76"/>
      <c r="Q4677" s="76"/>
    </row>
    <row r="4678" spans="4:17" hidden="1" outlineLevel="3" x14ac:dyDescent="0.25">
      <c r="E4678" s="74" t="s">
        <v>421</v>
      </c>
      <c r="F4678" s="74"/>
      <c r="G4678" s="74"/>
      <c r="H4678" s="75"/>
      <c r="I4678" s="76"/>
      <c r="J4678" s="78">
        <f>HYPERLINK("#Структура!E635",Структура!E635)</f>
        <v>2.2999999999999998</v>
      </c>
      <c r="K4678" s="114">
        <f>HYPERLINK("#Структура!G635",Структура!G635)</f>
        <v>0.23</v>
      </c>
      <c r="L4678" s="120">
        <f>HYPERLINK("#Покупные_изделия!D313",Покупные_изделия!D313)</f>
        <v>579.09720000000004</v>
      </c>
      <c r="M4678" s="76">
        <f t="shared" si="187"/>
        <v>1331.92356</v>
      </c>
      <c r="N4678" s="77"/>
      <c r="O4678" s="77"/>
      <c r="P4678" s="76"/>
      <c r="Q4678" s="76"/>
    </row>
    <row r="4679" spans="4:17" hidden="1" outlineLevel="3" x14ac:dyDescent="0.25">
      <c r="E4679" s="74" t="s">
        <v>442</v>
      </c>
      <c r="F4679" s="74"/>
      <c r="G4679" s="74"/>
      <c r="H4679" s="75"/>
      <c r="I4679" s="76"/>
      <c r="J4679" s="78">
        <f>HYPERLINK("#Структура!E636",Структура!E636)</f>
        <v>1</v>
      </c>
      <c r="K4679" s="114">
        <f>HYPERLINK("#Структура!G636",Структура!G636)</f>
        <v>0.1109</v>
      </c>
      <c r="L4679" s="120">
        <f>HYPERLINK("#Покупные_изделия!D341",Покупные_изделия!D341)</f>
        <v>424.4196</v>
      </c>
      <c r="M4679" s="76">
        <f t="shared" si="187"/>
        <v>424.4196</v>
      </c>
      <c r="N4679" s="77"/>
      <c r="O4679" s="77"/>
      <c r="P4679" s="76"/>
      <c r="Q4679" s="76"/>
    </row>
    <row r="4680" spans="4:17" hidden="1" outlineLevel="3" x14ac:dyDescent="0.25">
      <c r="E4680" s="74" t="s">
        <v>444</v>
      </c>
      <c r="F4680" s="74"/>
      <c r="G4680" s="74"/>
      <c r="H4680" s="75"/>
      <c r="I4680" s="76"/>
      <c r="J4680" s="78">
        <f>HYPERLINK("#Структура!E637",Структура!E637)</f>
        <v>6</v>
      </c>
      <c r="K4680" s="114">
        <f>HYPERLINK("#Структура!G637",Структура!G637)</f>
        <v>0.11058999999999999</v>
      </c>
      <c r="L4680" s="120">
        <f>HYPERLINK("#Покупные_изделия!D347",Покупные_изделия!D347)</f>
        <v>563.41199999999992</v>
      </c>
      <c r="M4680" s="76">
        <f t="shared" si="187"/>
        <v>3380.4719999999998</v>
      </c>
      <c r="N4680" s="77"/>
      <c r="O4680" s="77"/>
      <c r="P4680" s="76"/>
      <c r="Q4680" s="76"/>
    </row>
    <row r="4681" spans="4:17" hidden="1" outlineLevel="3" x14ac:dyDescent="0.25">
      <c r="E4681" s="74" t="s">
        <v>445</v>
      </c>
      <c r="F4681" s="74"/>
      <c r="G4681" s="74"/>
      <c r="H4681" s="75"/>
      <c r="I4681" s="76"/>
      <c r="J4681" s="78">
        <f>HYPERLINK("#Структура!E638",Структура!E638)</f>
        <v>12</v>
      </c>
      <c r="K4681" s="114">
        <f>HYPERLINK("#Структура!G638",Структура!G638)</f>
        <v>6.6059999999999994E-2</v>
      </c>
      <c r="L4681" s="120">
        <f>HYPERLINK("#Покупные_изделия!D348",Покупные_изделия!D348)</f>
        <v>389.59200000000004</v>
      </c>
      <c r="M4681" s="76">
        <f t="shared" si="187"/>
        <v>4675.1040000000003</v>
      </c>
      <c r="N4681" s="77"/>
      <c r="O4681" s="77"/>
      <c r="P4681" s="76"/>
      <c r="Q4681" s="76"/>
    </row>
    <row r="4682" spans="4:17" hidden="1" outlineLevel="3" x14ac:dyDescent="0.25">
      <c r="E4682" s="74" t="s">
        <v>464</v>
      </c>
      <c r="F4682" s="74"/>
      <c r="G4682" s="74"/>
      <c r="H4682" s="75"/>
      <c r="I4682" s="76"/>
      <c r="J4682" s="78">
        <f>HYPERLINK("#Структура!E639",Структура!E639)</f>
        <v>2</v>
      </c>
      <c r="K4682" s="114">
        <f>HYPERLINK("#Структура!G639",Структура!G639)</f>
        <v>3.0020000000000002E-2</v>
      </c>
      <c r="L4682" s="120">
        <f>HYPERLINK("#Покупные_изделия!D370",Покупные_изделия!D370)</f>
        <v>184.36439999999999</v>
      </c>
      <c r="M4682" s="76">
        <f t="shared" si="187"/>
        <v>368.72879999999998</v>
      </c>
      <c r="N4682" s="77"/>
      <c r="O4682" s="77"/>
      <c r="P4682" s="76"/>
      <c r="Q4682" s="76"/>
    </row>
    <row r="4683" spans="4:17" hidden="1" outlineLevel="3" x14ac:dyDescent="0.25">
      <c r="E4683" s="74" t="s">
        <v>482</v>
      </c>
      <c r="F4683" s="74"/>
      <c r="G4683" s="74"/>
      <c r="H4683" s="75"/>
      <c r="I4683" s="76"/>
      <c r="J4683" s="78">
        <f>HYPERLINK("#Структура!E640",Структура!E640)</f>
        <v>46</v>
      </c>
      <c r="K4683" s="114" t="str">
        <f>HYPERLINK("#Структура!G640","")</f>
        <v/>
      </c>
      <c r="L4683" s="120">
        <f>HYPERLINK("#Покупные_изделия!D397",Покупные_изделия!D397)</f>
        <v>12.54</v>
      </c>
      <c r="M4683" s="76">
        <f t="shared" si="187"/>
        <v>576.83999999999992</v>
      </c>
      <c r="N4683" s="77"/>
      <c r="O4683" s="77"/>
      <c r="P4683" s="76"/>
      <c r="Q4683" s="76"/>
    </row>
    <row r="4684" spans="4:17" hidden="1" outlineLevel="3" x14ac:dyDescent="0.25">
      <c r="E4684" s="74" t="s">
        <v>490</v>
      </c>
      <c r="F4684" s="74"/>
      <c r="G4684" s="74"/>
      <c r="H4684" s="75"/>
      <c r="I4684" s="76"/>
      <c r="J4684" s="78">
        <f>HYPERLINK("#Структура!E641",Структура!E641)</f>
        <v>12</v>
      </c>
      <c r="K4684" s="114">
        <f>HYPERLINK("#Структура!G641",Структура!G641)</f>
        <v>2.5400000000000002E-3</v>
      </c>
      <c r="L4684" s="120">
        <f>HYPERLINK("#Покупные_изделия!D410",Покупные_изделия!D410)</f>
        <v>28.104000000000003</v>
      </c>
      <c r="M4684" s="76">
        <f t="shared" si="187"/>
        <v>337.24800000000005</v>
      </c>
      <c r="N4684" s="77"/>
      <c r="O4684" s="77"/>
      <c r="P4684" s="76"/>
      <c r="Q4684" s="76"/>
    </row>
    <row r="4685" spans="4:17" hidden="1" outlineLevel="3" x14ac:dyDescent="0.25">
      <c r="E4685" s="74" t="s">
        <v>491</v>
      </c>
      <c r="F4685" s="74"/>
      <c r="G4685" s="74"/>
      <c r="H4685" s="75"/>
      <c r="I4685" s="76"/>
      <c r="J4685" s="78">
        <f>HYPERLINK("#Структура!E642",Структура!E642)</f>
        <v>3</v>
      </c>
      <c r="K4685" s="114">
        <f>HYPERLINK("#Структура!G642",Структура!G642)</f>
        <v>3.6800000000000001E-3</v>
      </c>
      <c r="L4685" s="120">
        <f>HYPERLINK("#Покупные_изделия!D411",Покупные_изделия!D411)</f>
        <v>27.508800000000001</v>
      </c>
      <c r="M4685" s="76">
        <f t="shared" si="187"/>
        <v>82.526399999999995</v>
      </c>
      <c r="N4685" s="77"/>
      <c r="O4685" s="77"/>
      <c r="P4685" s="76"/>
      <c r="Q4685" s="76"/>
    </row>
    <row r="4686" spans="4:17" hidden="1" outlineLevel="3" x14ac:dyDescent="0.25">
      <c r="E4686" s="74" t="s">
        <v>532</v>
      </c>
      <c r="F4686" s="74"/>
      <c r="G4686" s="74"/>
      <c r="H4686" s="75"/>
      <c r="I4686" s="76"/>
      <c r="J4686" s="78">
        <f>HYPERLINK("#Структура!E643",Структура!E643)</f>
        <v>26.99</v>
      </c>
      <c r="K4686" s="114" t="str">
        <f>HYPERLINK("#Структура!G643","")</f>
        <v/>
      </c>
      <c r="L4686" s="120">
        <f>HYPERLINK("#Покупные_изделия!D498",Покупные_изделия!D498)</f>
        <v>349.96799999999996</v>
      </c>
      <c r="M4686" s="76">
        <f t="shared" si="187"/>
        <v>9445.6363199999978</v>
      </c>
      <c r="N4686" s="77"/>
      <c r="O4686" s="77"/>
      <c r="P4686" s="76"/>
      <c r="Q4686" s="76"/>
    </row>
    <row r="4687" spans="4:17" hidden="1" outlineLevel="2" collapsed="1" x14ac:dyDescent="0.25">
      <c r="D4687" s="84" t="s">
        <v>797</v>
      </c>
      <c r="E4687" s="79"/>
      <c r="F4687" s="79"/>
      <c r="G4687" s="79"/>
      <c r="H4687" s="80"/>
      <c r="I4687" s="81"/>
      <c r="J4687" s="83">
        <f>HYPERLINK("#Структура!E3298",Структура!E3298)</f>
        <v>1</v>
      </c>
      <c r="K4687" s="115">
        <f>HYPERLINK("#Структура!G3298",Структура!G3298)</f>
        <v>23.063289999999999</v>
      </c>
      <c r="L4687" s="81">
        <f>M4687/J4687</f>
        <v>16952.213400000004</v>
      </c>
      <c r="M4687" s="81">
        <f>SUMIF(E4688:E4699,"*",M4688:M4699)*J4687</f>
        <v>16952.213400000004</v>
      </c>
      <c r="N4687" s="124">
        <f>HYPERLINK("#Трудозатраты!B125",Трудозатраты!B125+SUMIF(E4688:E4699,"*",O4688:O4699))</f>
        <v>1</v>
      </c>
      <c r="O4687" s="82">
        <f>N4687*J4687</f>
        <v>1</v>
      </c>
      <c r="P4687" s="81">
        <f>O4687/60*(1+запас_труд)*стоимость_трудочаса</f>
        <v>39.166666666666664</v>
      </c>
      <c r="Q4687" s="129">
        <f>M4687*(1+наценка_покупное)+P4687</f>
        <v>20381.822746666672</v>
      </c>
    </row>
    <row r="4688" spans="4:17" hidden="1" outlineLevel="3" x14ac:dyDescent="0.25">
      <c r="E4688" s="74" t="s">
        <v>380</v>
      </c>
      <c r="F4688" s="74"/>
      <c r="G4688" s="74"/>
      <c r="H4688" s="75"/>
      <c r="I4688" s="76"/>
      <c r="J4688" s="78">
        <f>HYPERLINK("#Структура!E644",Структура!E644)</f>
        <v>1</v>
      </c>
      <c r="K4688" s="114">
        <f>HYPERLINK("#Структура!G644",Структура!G644)</f>
        <v>5.96E-3</v>
      </c>
      <c r="L4688" s="120">
        <f>HYPERLINK("#Покупные_изделия!D180",Покупные_изделия!D180)</f>
        <v>52.074000000000005</v>
      </c>
      <c r="M4688" s="76">
        <f t="shared" ref="M4688:M4699" si="188">J4688*L4688</f>
        <v>52.074000000000005</v>
      </c>
      <c r="N4688" s="77"/>
      <c r="O4688" s="77"/>
      <c r="P4688" s="76"/>
      <c r="Q4688" s="76"/>
    </row>
    <row r="4689" spans="4:17" hidden="1" outlineLevel="3" x14ac:dyDescent="0.25">
      <c r="E4689" s="74" t="s">
        <v>411</v>
      </c>
      <c r="F4689" s="74"/>
      <c r="G4689" s="74"/>
      <c r="H4689" s="75"/>
      <c r="I4689" s="76"/>
      <c r="J4689" s="78">
        <f>HYPERLINK("#Структура!E645",Структура!E645)</f>
        <v>1</v>
      </c>
      <c r="K4689" s="114">
        <f>HYPERLINK("#Структура!G645",Структура!G645)</f>
        <v>1.55158</v>
      </c>
      <c r="L4689" s="120">
        <f>HYPERLINK("#Покупные_изделия!D235",Покупные_изделия!D235)</f>
        <v>1085.5319999999999</v>
      </c>
      <c r="M4689" s="76">
        <f t="shared" si="188"/>
        <v>1085.5319999999999</v>
      </c>
      <c r="N4689" s="77"/>
      <c r="O4689" s="77"/>
      <c r="P4689" s="76"/>
      <c r="Q4689" s="76"/>
    </row>
    <row r="4690" spans="4:17" hidden="1" outlineLevel="3" x14ac:dyDescent="0.25">
      <c r="E4690" s="74" t="s">
        <v>420</v>
      </c>
      <c r="F4690" s="74"/>
      <c r="G4690" s="74"/>
      <c r="H4690" s="75"/>
      <c r="I4690" s="76"/>
      <c r="J4690" s="78">
        <f>HYPERLINK("#Структура!E646",Структура!E646)</f>
        <v>20.55</v>
      </c>
      <c r="K4690" s="114">
        <f>HYPERLINK("#Структура!G646",Структура!G646)</f>
        <v>0.64</v>
      </c>
      <c r="L4690" s="120">
        <f>HYPERLINK("#Покупные_изделия!D312",Покупные_изделия!D312)</f>
        <v>506.964</v>
      </c>
      <c r="M4690" s="76">
        <f t="shared" si="188"/>
        <v>10418.110200000001</v>
      </c>
      <c r="N4690" s="77"/>
      <c r="O4690" s="77"/>
      <c r="P4690" s="76"/>
      <c r="Q4690" s="76"/>
    </row>
    <row r="4691" spans="4:17" hidden="1" outlineLevel="3" x14ac:dyDescent="0.25">
      <c r="E4691" s="74" t="s">
        <v>437</v>
      </c>
      <c r="F4691" s="74"/>
      <c r="G4691" s="74"/>
      <c r="H4691" s="75"/>
      <c r="I4691" s="76"/>
      <c r="J4691" s="78">
        <f>HYPERLINK("#Структура!E647",Структура!E647)</f>
        <v>1</v>
      </c>
      <c r="K4691" s="114">
        <f>HYPERLINK("#Структура!G647",Структура!G647)</f>
        <v>5.5140000000000002E-2</v>
      </c>
      <c r="L4691" s="120">
        <f>HYPERLINK("#Покупные_изделия!D334",Покупные_изделия!D334)</f>
        <v>715.22879999999998</v>
      </c>
      <c r="M4691" s="76">
        <f t="shared" si="188"/>
        <v>715.22879999999998</v>
      </c>
      <c r="N4691" s="77"/>
      <c r="O4691" s="77"/>
      <c r="P4691" s="76"/>
      <c r="Q4691" s="76"/>
    </row>
    <row r="4692" spans="4:17" hidden="1" outlineLevel="3" x14ac:dyDescent="0.25">
      <c r="E4692" s="74" t="s">
        <v>439</v>
      </c>
      <c r="F4692" s="74"/>
      <c r="G4692" s="74"/>
      <c r="H4692" s="75"/>
      <c r="I4692" s="76"/>
      <c r="J4692" s="78">
        <f>HYPERLINK("#Структура!E648",Структура!E648)</f>
        <v>2</v>
      </c>
      <c r="K4692" s="114">
        <f>HYPERLINK("#Структура!G648",Структура!G648)</f>
        <v>0.12127</v>
      </c>
      <c r="L4692" s="120">
        <f>HYPERLINK("#Покупные_изделия!D337",Покупные_изделия!D337)</f>
        <v>708.52319999999997</v>
      </c>
      <c r="M4692" s="76">
        <f t="shared" si="188"/>
        <v>1417.0463999999999</v>
      </c>
      <c r="N4692" s="77"/>
      <c r="O4692" s="77"/>
      <c r="P4692" s="76"/>
      <c r="Q4692" s="76"/>
    </row>
    <row r="4693" spans="4:17" hidden="1" outlineLevel="3" x14ac:dyDescent="0.25">
      <c r="E4693" s="74" t="s">
        <v>441</v>
      </c>
      <c r="F4693" s="74"/>
      <c r="G4693" s="74"/>
      <c r="H4693" s="75"/>
      <c r="I4693" s="76"/>
      <c r="J4693" s="78">
        <f>HYPERLINK("#Структура!E649",Структура!E649)</f>
        <v>2</v>
      </c>
      <c r="K4693" s="114">
        <f>HYPERLINK("#Структура!G649",Структура!G649)</f>
        <v>8.0509999999999998E-2</v>
      </c>
      <c r="L4693" s="120">
        <f>HYPERLINK("#Покупные_изделия!D340",Покупные_изделия!D340)</f>
        <v>401.29200000000003</v>
      </c>
      <c r="M4693" s="76">
        <f t="shared" si="188"/>
        <v>802.58400000000006</v>
      </c>
      <c r="N4693" s="77"/>
      <c r="O4693" s="77"/>
      <c r="P4693" s="76"/>
      <c r="Q4693" s="76"/>
    </row>
    <row r="4694" spans="4:17" hidden="1" outlineLevel="3" x14ac:dyDescent="0.25">
      <c r="E4694" s="74" t="s">
        <v>464</v>
      </c>
      <c r="F4694" s="74"/>
      <c r="G4694" s="74"/>
      <c r="H4694" s="75"/>
      <c r="I4694" s="76"/>
      <c r="J4694" s="78">
        <f>HYPERLINK("#Структура!E650",Структура!E650)</f>
        <v>1</v>
      </c>
      <c r="K4694" s="114">
        <f>HYPERLINK("#Структура!G650",Структура!G650)</f>
        <v>3.0020000000000002E-2</v>
      </c>
      <c r="L4694" s="120">
        <f>HYPERLINK("#Покупные_изделия!D370",Покупные_изделия!D370)</f>
        <v>184.36439999999999</v>
      </c>
      <c r="M4694" s="76">
        <f t="shared" si="188"/>
        <v>184.36439999999999</v>
      </c>
      <c r="N4694" s="77"/>
      <c r="O4694" s="77"/>
      <c r="P4694" s="76"/>
      <c r="Q4694" s="76"/>
    </row>
    <row r="4695" spans="4:17" hidden="1" outlineLevel="3" x14ac:dyDescent="0.25">
      <c r="E4695" s="74" t="s">
        <v>477</v>
      </c>
      <c r="F4695" s="74"/>
      <c r="G4695" s="74"/>
      <c r="H4695" s="75"/>
      <c r="I4695" s="76"/>
      <c r="J4695" s="78">
        <f>HYPERLINK("#Структура!E651",Структура!E651)</f>
        <v>25</v>
      </c>
      <c r="K4695" s="114" t="str">
        <f>HYPERLINK("#Структура!G651","")</f>
        <v/>
      </c>
      <c r="L4695" s="120">
        <f>HYPERLINK("#Покупные_изделия!D392",Покупные_изделия!D392)</f>
        <v>5.5440000000000005</v>
      </c>
      <c r="M4695" s="76">
        <f t="shared" si="188"/>
        <v>138.60000000000002</v>
      </c>
      <c r="N4695" s="77"/>
      <c r="O4695" s="77"/>
      <c r="P4695" s="76"/>
      <c r="Q4695" s="76"/>
    </row>
    <row r="4696" spans="4:17" hidden="1" outlineLevel="3" x14ac:dyDescent="0.25">
      <c r="E4696" s="74" t="s">
        <v>482</v>
      </c>
      <c r="F4696" s="74"/>
      <c r="G4696" s="74"/>
      <c r="H4696" s="75"/>
      <c r="I4696" s="76"/>
      <c r="J4696" s="78">
        <f>HYPERLINK("#Структура!E652",Структура!E652)</f>
        <v>26</v>
      </c>
      <c r="K4696" s="114" t="str">
        <f>HYPERLINK("#Структура!G652","")</f>
        <v/>
      </c>
      <c r="L4696" s="120">
        <f>HYPERLINK("#Покупные_изделия!D397",Покупные_изделия!D397)</f>
        <v>12.54</v>
      </c>
      <c r="M4696" s="76">
        <f t="shared" si="188"/>
        <v>326.03999999999996</v>
      </c>
      <c r="N4696" s="77"/>
      <c r="O4696" s="77"/>
      <c r="P4696" s="76"/>
      <c r="Q4696" s="76"/>
    </row>
    <row r="4697" spans="4:17" hidden="1" outlineLevel="3" x14ac:dyDescent="0.25">
      <c r="E4697" s="74" t="s">
        <v>483</v>
      </c>
      <c r="F4697" s="74"/>
      <c r="G4697" s="74"/>
      <c r="H4697" s="75"/>
      <c r="I4697" s="76"/>
      <c r="J4697" s="78">
        <f>HYPERLINK("#Структура!E653",Структура!E653)</f>
        <v>146</v>
      </c>
      <c r="K4697" s="114" t="str">
        <f>HYPERLINK("#Структура!G653","")</f>
        <v/>
      </c>
      <c r="L4697" s="120">
        <f>HYPERLINK("#Покупные_изделия!D398",Покупные_изделия!D398)</f>
        <v>11.076000000000001</v>
      </c>
      <c r="M4697" s="76">
        <f t="shared" si="188"/>
        <v>1617.096</v>
      </c>
      <c r="N4697" s="77"/>
      <c r="O4697" s="77"/>
      <c r="P4697" s="76"/>
      <c r="Q4697" s="76"/>
    </row>
    <row r="4698" spans="4:17" hidden="1" outlineLevel="3" x14ac:dyDescent="0.25">
      <c r="E4698" s="74" t="s">
        <v>490</v>
      </c>
      <c r="F4698" s="74"/>
      <c r="G4698" s="74"/>
      <c r="H4698" s="75"/>
      <c r="I4698" s="76"/>
      <c r="J4698" s="78">
        <f>HYPERLINK("#Структура!E654",Структура!E654)</f>
        <v>5</v>
      </c>
      <c r="K4698" s="114">
        <f>HYPERLINK("#Структура!G654",Структура!G654)</f>
        <v>2.5400000000000002E-3</v>
      </c>
      <c r="L4698" s="120">
        <f>HYPERLINK("#Покупные_изделия!D410",Покупные_изделия!D410)</f>
        <v>28.104000000000003</v>
      </c>
      <c r="M4698" s="76">
        <f t="shared" si="188"/>
        <v>140.52000000000001</v>
      </c>
      <c r="N4698" s="77"/>
      <c r="O4698" s="77"/>
      <c r="P4698" s="76"/>
      <c r="Q4698" s="76"/>
    </row>
    <row r="4699" spans="4:17" hidden="1" outlineLevel="3" x14ac:dyDescent="0.25">
      <c r="E4699" s="74" t="s">
        <v>491</v>
      </c>
      <c r="F4699" s="74"/>
      <c r="G4699" s="74"/>
      <c r="H4699" s="75"/>
      <c r="I4699" s="76"/>
      <c r="J4699" s="78">
        <f>HYPERLINK("#Структура!E655",Структура!E655)</f>
        <v>2</v>
      </c>
      <c r="K4699" s="114">
        <f>HYPERLINK("#Структура!G655",Структура!G655)</f>
        <v>3.6800000000000001E-3</v>
      </c>
      <c r="L4699" s="120">
        <f>HYPERLINK("#Покупные_изделия!D411",Покупные_изделия!D411)</f>
        <v>27.508800000000001</v>
      </c>
      <c r="M4699" s="76">
        <f t="shared" si="188"/>
        <v>55.017600000000002</v>
      </c>
      <c r="N4699" s="77"/>
      <c r="O4699" s="77"/>
      <c r="P4699" s="76"/>
      <c r="Q4699" s="76"/>
    </row>
    <row r="4700" spans="4:17" hidden="1" outlineLevel="2" collapsed="1" x14ac:dyDescent="0.25">
      <c r="D4700" s="84" t="s">
        <v>798</v>
      </c>
      <c r="E4700" s="79"/>
      <c r="F4700" s="79"/>
      <c r="G4700" s="79"/>
      <c r="H4700" s="80"/>
      <c r="I4700" s="81"/>
      <c r="J4700" s="83">
        <f>HYPERLINK("#Структура!E3299",Структура!E3299)</f>
        <v>1</v>
      </c>
      <c r="K4700" s="115">
        <f>HYPERLINK("#Структура!G3299",Структура!G3299)</f>
        <v>2.2696499999999999</v>
      </c>
      <c r="L4700" s="81">
        <f>M4700/J4700</f>
        <v>1684.0320000000002</v>
      </c>
      <c r="M4700" s="81">
        <f>SUMIF(E4701:E4703,"*",M4701:M4703)*J4700</f>
        <v>1684.0320000000002</v>
      </c>
      <c r="N4700" s="124">
        <f>HYPERLINK("#Трудозатраты!B126",Трудозатраты!B126+SUMIF(E4701:E4703,"*",O4701:O4703))</f>
        <v>65</v>
      </c>
      <c r="O4700" s="82">
        <f>N4700*J4700</f>
        <v>65</v>
      </c>
      <c r="P4700" s="81">
        <f>O4700/60*(1+запас_труд)*стоимость_трудочаса</f>
        <v>2545.833333333333</v>
      </c>
      <c r="Q4700" s="129">
        <f>M4700*(1+наценка_покупное)+P4700</f>
        <v>4566.6717333333327</v>
      </c>
    </row>
    <row r="4701" spans="4:17" hidden="1" outlineLevel="3" x14ac:dyDescent="0.25">
      <c r="E4701" s="74" t="s">
        <v>420</v>
      </c>
      <c r="F4701" s="74"/>
      <c r="G4701" s="74"/>
      <c r="H4701" s="75"/>
      <c r="I4701" s="76"/>
      <c r="J4701" s="78">
        <f>HYPERLINK("#Структура!E656",Структура!E656)</f>
        <v>1.8</v>
      </c>
      <c r="K4701" s="114">
        <f>HYPERLINK("#Структура!G656",Структура!G656)</f>
        <v>0.64</v>
      </c>
      <c r="L4701" s="120">
        <f>HYPERLINK("#Покупные_изделия!D312",Покупные_изделия!D312)</f>
        <v>506.964</v>
      </c>
      <c r="M4701" s="76">
        <f>J4701*L4701</f>
        <v>912.53520000000003</v>
      </c>
      <c r="N4701" s="77"/>
      <c r="O4701" s="77"/>
      <c r="P4701" s="76"/>
      <c r="Q4701" s="76"/>
    </row>
    <row r="4702" spans="4:17" hidden="1" outlineLevel="3" x14ac:dyDescent="0.25">
      <c r="E4702" s="74" t="s">
        <v>437</v>
      </c>
      <c r="F4702" s="74"/>
      <c r="G4702" s="74"/>
      <c r="H4702" s="75"/>
      <c r="I4702" s="76"/>
      <c r="J4702" s="78">
        <f>HYPERLINK("#Структура!E657",Структура!E657)</f>
        <v>1</v>
      </c>
      <c r="K4702" s="114">
        <f>HYPERLINK("#Структура!G657",Структура!G657)</f>
        <v>5.5140000000000002E-2</v>
      </c>
      <c r="L4702" s="120">
        <f>HYPERLINK("#Покупные_изделия!D334",Покупные_изделия!D334)</f>
        <v>715.22879999999998</v>
      </c>
      <c r="M4702" s="76">
        <f>J4702*L4702</f>
        <v>715.22879999999998</v>
      </c>
      <c r="N4702" s="77"/>
      <c r="O4702" s="77"/>
      <c r="P4702" s="76"/>
      <c r="Q4702" s="76"/>
    </row>
    <row r="4703" spans="4:17" hidden="1" outlineLevel="3" x14ac:dyDescent="0.25">
      <c r="E4703" s="74" t="s">
        <v>481</v>
      </c>
      <c r="F4703" s="74"/>
      <c r="G4703" s="74"/>
      <c r="H4703" s="75"/>
      <c r="I4703" s="76"/>
      <c r="J4703" s="78">
        <f>HYPERLINK("#Структура!E658",Структура!E658)</f>
        <v>9</v>
      </c>
      <c r="K4703" s="114" t="str">
        <f>HYPERLINK("#Структура!G658","")</f>
        <v/>
      </c>
      <c r="L4703" s="120">
        <f>HYPERLINK("#Покупные_изделия!D396",Покупные_изделия!D396)</f>
        <v>6.2519999999999998</v>
      </c>
      <c r="M4703" s="76">
        <f>J4703*L4703</f>
        <v>56.268000000000001</v>
      </c>
      <c r="N4703" s="77"/>
      <c r="O4703" s="77"/>
      <c r="P4703" s="76"/>
      <c r="Q4703" s="76"/>
    </row>
    <row r="4704" spans="4:17" hidden="1" outlineLevel="2" collapsed="1" x14ac:dyDescent="0.25">
      <c r="D4704" s="84" t="s">
        <v>799</v>
      </c>
      <c r="E4704" s="79"/>
      <c r="F4704" s="79"/>
      <c r="G4704" s="79"/>
      <c r="H4704" s="80"/>
      <c r="I4704" s="81"/>
      <c r="J4704" s="83">
        <f>HYPERLINK("#Структура!E3300",Структура!E3300)</f>
        <v>1</v>
      </c>
      <c r="K4704" s="115">
        <f>HYPERLINK("#Структура!G3300",Структура!G3300)</f>
        <v>117.80087</v>
      </c>
      <c r="L4704" s="81">
        <f>M4704/J4704</f>
        <v>95717.261600000013</v>
      </c>
      <c r="M4704" s="81">
        <f>SUMIF(E4705:E4716,"*",M4705:M4716)*J4704</f>
        <v>95717.261600000013</v>
      </c>
      <c r="N4704" s="124">
        <f>HYPERLINK("#Трудозатраты!B127",Трудозатраты!B127+SUMIF(E4705:E4716,"*",O4705:O4716))</f>
        <v>1</v>
      </c>
      <c r="O4704" s="82">
        <f>N4704*J4704</f>
        <v>1</v>
      </c>
      <c r="P4704" s="81">
        <f>O4704/60*(1+запас_труд)*стоимость_трудочаса</f>
        <v>39.166666666666664</v>
      </c>
      <c r="Q4704" s="129">
        <f>M4704*(1+наценка_покупное)+P4704</f>
        <v>114899.88058666668</v>
      </c>
    </row>
    <row r="4705" spans="4:17" hidden="1" outlineLevel="3" x14ac:dyDescent="0.25">
      <c r="E4705" s="74" t="s">
        <v>571</v>
      </c>
      <c r="F4705" s="74"/>
      <c r="G4705" s="74"/>
      <c r="H4705" s="75"/>
      <c r="I4705" s="76"/>
      <c r="J4705" s="78">
        <f>HYPERLINK("#Структура!E659",Структура!E659)</f>
        <v>4</v>
      </c>
      <c r="K4705" s="114" t="str">
        <f>HYPERLINK("#Структура!G659","")</f>
        <v/>
      </c>
      <c r="L4705" s="120">
        <f>HYPERLINK("#Покупные_изделия!D188",Покупные_изделия!D188)</f>
        <v>440.00000000000006</v>
      </c>
      <c r="M4705" s="76">
        <f t="shared" ref="M4705:M4716" si="189">J4705*L4705</f>
        <v>1760.0000000000002</v>
      </c>
      <c r="N4705" s="77"/>
      <c r="O4705" s="77"/>
      <c r="P4705" s="76"/>
      <c r="Q4705" s="76"/>
    </row>
    <row r="4706" spans="4:17" hidden="1" outlineLevel="3" x14ac:dyDescent="0.25">
      <c r="E4706" s="74" t="s">
        <v>395</v>
      </c>
      <c r="F4706" s="74"/>
      <c r="G4706" s="74"/>
      <c r="H4706" s="75"/>
      <c r="I4706" s="76"/>
      <c r="J4706" s="78">
        <f>HYPERLINK("#Структура!E660",Структура!E660)</f>
        <v>87</v>
      </c>
      <c r="K4706" s="114" t="str">
        <f>HYPERLINK("#Структура!G660","")</f>
        <v/>
      </c>
      <c r="L4706" s="120">
        <f>HYPERLINK("#Покупные_изделия!D217",Покупные_изделия!D217)</f>
        <v>38.5</v>
      </c>
      <c r="M4706" s="76">
        <f t="shared" si="189"/>
        <v>3349.5</v>
      </c>
      <c r="N4706" s="77"/>
      <c r="O4706" s="77"/>
      <c r="P4706" s="76"/>
      <c r="Q4706" s="76"/>
    </row>
    <row r="4707" spans="4:17" hidden="1" outlineLevel="3" x14ac:dyDescent="0.25">
      <c r="E4707" s="74" t="s">
        <v>572</v>
      </c>
      <c r="F4707" s="74"/>
      <c r="G4707" s="74"/>
      <c r="H4707" s="75"/>
      <c r="I4707" s="76"/>
      <c r="J4707" s="78">
        <f>HYPERLINK("#Структура!E661",Структура!E661)</f>
        <v>4</v>
      </c>
      <c r="K4707" s="114" t="str">
        <f>HYPERLINK("#Структура!G661","")</f>
        <v/>
      </c>
      <c r="L4707" s="120">
        <f>HYPERLINK("#Покупные_изделия!D237",Покупные_изделия!D237)</f>
        <v>2804.3267999999998</v>
      </c>
      <c r="M4707" s="76">
        <f t="shared" si="189"/>
        <v>11217.307199999999</v>
      </c>
      <c r="N4707" s="77"/>
      <c r="O4707" s="77"/>
      <c r="P4707" s="76"/>
      <c r="Q4707" s="76"/>
    </row>
    <row r="4708" spans="4:17" hidden="1" outlineLevel="3" x14ac:dyDescent="0.25">
      <c r="E4708" s="74" t="s">
        <v>422</v>
      </c>
      <c r="F4708" s="74"/>
      <c r="G4708" s="74"/>
      <c r="H4708" s="75"/>
      <c r="I4708" s="76"/>
      <c r="J4708" s="78">
        <f>HYPERLINK("#Структура!E662",Структура!E662)</f>
        <v>27.4</v>
      </c>
      <c r="K4708" s="114" t="str">
        <f>HYPERLINK("#Структура!G662","")</f>
        <v/>
      </c>
      <c r="L4708" s="120">
        <f>HYPERLINK("#Покупные_изделия!D315",Покупные_изделия!D315)</f>
        <v>1455.0360000000001</v>
      </c>
      <c r="M4708" s="76">
        <f t="shared" si="189"/>
        <v>39867.986400000002</v>
      </c>
      <c r="N4708" s="77"/>
      <c r="O4708" s="77"/>
      <c r="P4708" s="76"/>
      <c r="Q4708" s="76"/>
    </row>
    <row r="4709" spans="4:17" hidden="1" outlineLevel="3" x14ac:dyDescent="0.25">
      <c r="E4709" s="74" t="s">
        <v>438</v>
      </c>
      <c r="F4709" s="74"/>
      <c r="G4709" s="74"/>
      <c r="H4709" s="75"/>
      <c r="I4709" s="76"/>
      <c r="J4709" s="78">
        <f>HYPERLINK("#Структура!E663",Структура!E663)</f>
        <v>2</v>
      </c>
      <c r="K4709" s="114">
        <f>HYPERLINK("#Структура!G663",Структура!G663)</f>
        <v>0.36936999999999998</v>
      </c>
      <c r="L4709" s="120">
        <f>HYPERLINK("#Покупные_изделия!D335",Покупные_изделия!D335)</f>
        <v>686.07600000000002</v>
      </c>
      <c r="M4709" s="76">
        <f t="shared" si="189"/>
        <v>1372.152</v>
      </c>
      <c r="N4709" s="77"/>
      <c r="O4709" s="77"/>
      <c r="P4709" s="76"/>
      <c r="Q4709" s="76"/>
    </row>
    <row r="4710" spans="4:17" hidden="1" outlineLevel="3" x14ac:dyDescent="0.25">
      <c r="E4710" s="74" t="s">
        <v>573</v>
      </c>
      <c r="F4710" s="74"/>
      <c r="G4710" s="74"/>
      <c r="H4710" s="75"/>
      <c r="I4710" s="76"/>
      <c r="J4710" s="78">
        <f>HYPERLINK("#Структура!E664",Структура!E664)</f>
        <v>4</v>
      </c>
      <c r="K4710" s="114" t="str">
        <f>HYPERLINK("#Структура!G664","")</f>
        <v/>
      </c>
      <c r="L4710" s="120">
        <f>HYPERLINK("#Покупные_изделия!D339",Покупные_изделия!D339)</f>
        <v>2244</v>
      </c>
      <c r="M4710" s="76">
        <f t="shared" si="189"/>
        <v>8976</v>
      </c>
      <c r="N4710" s="77"/>
      <c r="O4710" s="77"/>
      <c r="P4710" s="76"/>
      <c r="Q4710" s="76"/>
    </row>
    <row r="4711" spans="4:17" hidden="1" outlineLevel="3" x14ac:dyDescent="0.25">
      <c r="E4711" s="74" t="s">
        <v>574</v>
      </c>
      <c r="F4711" s="74"/>
      <c r="G4711" s="74"/>
      <c r="H4711" s="75"/>
      <c r="I4711" s="76"/>
      <c r="J4711" s="78">
        <f>HYPERLINK("#Структура!E665",Структура!E665)</f>
        <v>12</v>
      </c>
      <c r="K4711" s="114" t="str">
        <f>HYPERLINK("#Структура!G665","")</f>
        <v/>
      </c>
      <c r="L4711" s="120">
        <f>HYPERLINK("#Покупные_изделия!D345",Покупные_изделия!D345)</f>
        <v>1588.6310000000001</v>
      </c>
      <c r="M4711" s="76">
        <f t="shared" si="189"/>
        <v>19063.572</v>
      </c>
      <c r="N4711" s="77"/>
      <c r="O4711" s="77"/>
      <c r="P4711" s="76"/>
      <c r="Q4711" s="76"/>
    </row>
    <row r="4712" spans="4:17" hidden="1" outlineLevel="3" x14ac:dyDescent="0.25">
      <c r="E4712" s="74" t="s">
        <v>477</v>
      </c>
      <c r="F4712" s="74"/>
      <c r="G4712" s="74"/>
      <c r="H4712" s="75"/>
      <c r="I4712" s="76"/>
      <c r="J4712" s="78">
        <f>HYPERLINK("#Структура!E666",Структура!E666)</f>
        <v>87</v>
      </c>
      <c r="K4712" s="114" t="str">
        <f>HYPERLINK("#Структура!G666","")</f>
        <v/>
      </c>
      <c r="L4712" s="120">
        <f>HYPERLINK("#Покупные_изделия!D392",Покупные_изделия!D392)</f>
        <v>5.5440000000000005</v>
      </c>
      <c r="M4712" s="76">
        <f t="shared" si="189"/>
        <v>482.32800000000003</v>
      </c>
      <c r="N4712" s="77"/>
      <c r="O4712" s="77"/>
      <c r="P4712" s="76"/>
      <c r="Q4712" s="76"/>
    </row>
    <row r="4713" spans="4:17" hidden="1" outlineLevel="3" x14ac:dyDescent="0.25">
      <c r="E4713" s="74" t="s">
        <v>481</v>
      </c>
      <c r="F4713" s="74"/>
      <c r="G4713" s="74"/>
      <c r="H4713" s="75"/>
      <c r="I4713" s="76"/>
      <c r="J4713" s="78">
        <f>HYPERLINK("#Структура!E667",Структура!E667)</f>
        <v>1305</v>
      </c>
      <c r="K4713" s="114" t="str">
        <f>HYPERLINK("#Структура!G667","")</f>
        <v/>
      </c>
      <c r="L4713" s="120">
        <f>HYPERLINK("#Покупные_изделия!D396",Покупные_изделия!D396)</f>
        <v>6.2519999999999998</v>
      </c>
      <c r="M4713" s="76">
        <f t="shared" si="189"/>
        <v>8158.86</v>
      </c>
      <c r="N4713" s="77"/>
      <c r="O4713" s="77"/>
      <c r="P4713" s="76"/>
      <c r="Q4713" s="76"/>
    </row>
    <row r="4714" spans="4:17" hidden="1" outlineLevel="3" x14ac:dyDescent="0.25">
      <c r="E4714" s="74" t="s">
        <v>482</v>
      </c>
      <c r="F4714" s="74"/>
      <c r="G4714" s="74"/>
      <c r="H4714" s="75"/>
      <c r="I4714" s="76"/>
      <c r="J4714" s="78">
        <f>HYPERLINK("#Структура!E668",Структура!E668)</f>
        <v>27</v>
      </c>
      <c r="K4714" s="114" t="str">
        <f>HYPERLINK("#Структура!G668","")</f>
        <v/>
      </c>
      <c r="L4714" s="120">
        <f>HYPERLINK("#Покупные_изделия!D397",Покупные_изделия!D397)</f>
        <v>12.54</v>
      </c>
      <c r="M4714" s="76">
        <f t="shared" si="189"/>
        <v>338.58</v>
      </c>
      <c r="N4714" s="77"/>
      <c r="O4714" s="77"/>
      <c r="P4714" s="76"/>
      <c r="Q4714" s="76"/>
    </row>
    <row r="4715" spans="4:17" hidden="1" outlineLevel="3" x14ac:dyDescent="0.25">
      <c r="E4715" s="74" t="s">
        <v>492</v>
      </c>
      <c r="F4715" s="74"/>
      <c r="G4715" s="74"/>
      <c r="H4715" s="75"/>
      <c r="I4715" s="76"/>
      <c r="J4715" s="78">
        <f>HYPERLINK("#Структура!E669",Структура!E669)</f>
        <v>16</v>
      </c>
      <c r="K4715" s="114" t="str">
        <f>HYPERLINK("#Структура!G669","")</f>
        <v/>
      </c>
      <c r="L4715" s="120">
        <f>HYPERLINK("#Покупные_изделия!D413",Покупные_изделия!D413)</f>
        <v>52.800000000000004</v>
      </c>
      <c r="M4715" s="76">
        <f t="shared" si="189"/>
        <v>844.80000000000007</v>
      </c>
      <c r="N4715" s="77"/>
      <c r="O4715" s="77"/>
      <c r="P4715" s="76"/>
      <c r="Q4715" s="76"/>
    </row>
    <row r="4716" spans="4:17" hidden="1" outlineLevel="3" x14ac:dyDescent="0.25">
      <c r="E4716" s="74" t="s">
        <v>575</v>
      </c>
      <c r="F4716" s="74"/>
      <c r="G4716" s="74"/>
      <c r="H4716" s="75"/>
      <c r="I4716" s="76"/>
      <c r="J4716" s="78">
        <f>HYPERLINK("#Структура!E670",Структура!E670)</f>
        <v>4</v>
      </c>
      <c r="K4716" s="114" t="str">
        <f>HYPERLINK("#Структура!G670","")</f>
        <v/>
      </c>
      <c r="L4716" s="120">
        <f>HYPERLINK("#Покупные_изделия!D414",Покупные_изделия!D414)</f>
        <v>71.544000000000011</v>
      </c>
      <c r="M4716" s="76">
        <f t="shared" si="189"/>
        <v>286.17600000000004</v>
      </c>
      <c r="N4716" s="77"/>
      <c r="O4716" s="77"/>
      <c r="P4716" s="76"/>
      <c r="Q4716" s="76"/>
    </row>
    <row r="4717" spans="4:17" hidden="1" outlineLevel="2" collapsed="1" x14ac:dyDescent="0.25">
      <c r="D4717" s="96" t="s">
        <v>1564</v>
      </c>
      <c r="E4717" s="91"/>
      <c r="F4717" s="91"/>
      <c r="G4717" s="91"/>
      <c r="H4717" s="92"/>
      <c r="I4717" s="93"/>
      <c r="J4717" s="95">
        <f>HYPERLINK("#Структура!E3301",Структура!E3301)</f>
        <v>1</v>
      </c>
      <c r="K4717" s="116">
        <f>HYPERLINK("#Структура!G3301",Структура!G3301)</f>
        <v>89.198999999999998</v>
      </c>
      <c r="L4717" s="93">
        <f>M4717/J4717</f>
        <v>176549.36695999996</v>
      </c>
      <c r="M4717" s="93">
        <f>SUMIF(E4718:E4780,"*",M4718:M4780)*J4717</f>
        <v>176549.36695999996</v>
      </c>
      <c r="N4717" s="125">
        <f>HYPERLINK("#Трудозатраты!B848",Трудозатраты!B848+SUMIF(E4718:E4780,"*",O4718:O4780))</f>
        <v>101</v>
      </c>
      <c r="O4717" s="94">
        <f>N4717*J4717</f>
        <v>101</v>
      </c>
      <c r="P4717" s="93">
        <f>O4717/60*(1+запас_труд)*стоимость_трудочаса</f>
        <v>3955.8333333333335</v>
      </c>
      <c r="Q4717" s="130">
        <f>M4717*(1+наценка_покупное)+P4717</f>
        <v>215815.07368533328</v>
      </c>
    </row>
    <row r="4718" spans="4:17" hidden="1" outlineLevel="3" collapsed="1" x14ac:dyDescent="0.25">
      <c r="E4718" s="85" t="s">
        <v>1577</v>
      </c>
      <c r="F4718" s="86"/>
      <c r="G4718" s="86"/>
      <c r="H4718" s="87"/>
      <c r="I4718" s="88"/>
      <c r="J4718" s="90">
        <f>HYPERLINK("#Структура!E3359",Структура!E3359)</f>
        <v>1</v>
      </c>
      <c r="K4718" s="113">
        <f>HYPERLINK("#Структура!G3359",Структура!G3359)</f>
        <v>7.4022199999999998</v>
      </c>
      <c r="L4718" s="88">
        <f>M4718/J4718</f>
        <v>12666.350400000001</v>
      </c>
      <c r="M4718" s="88">
        <f>SUMIF(F4719,"*",M4719)*J4718</f>
        <v>12666.350400000001</v>
      </c>
      <c r="N4718" s="123">
        <f>HYPERLINK("#Трудозатраты!B849",Трудозатраты!B849+SUMIF(F4719,"*",O4719))</f>
        <v>50</v>
      </c>
      <c r="O4718" s="89">
        <f>N4718*J4718</f>
        <v>50</v>
      </c>
      <c r="P4718" s="88">
        <f>O4718/60*(1+запас_труд)*стоимость_трудочаса</f>
        <v>1958.3333333333335</v>
      </c>
      <c r="Q4718" s="128">
        <f>M4718*(1+наценка_покупное)+P4718</f>
        <v>17157.953813333334</v>
      </c>
    </row>
    <row r="4719" spans="4:17" hidden="1" outlineLevel="4" x14ac:dyDescent="0.25">
      <c r="F4719" s="74" t="s">
        <v>387</v>
      </c>
      <c r="G4719" s="74"/>
      <c r="H4719" s="75"/>
      <c r="I4719" s="76"/>
      <c r="J4719" s="78">
        <f>HYPERLINK("#Структура!E3420",Структура!E3420)</f>
        <v>1</v>
      </c>
      <c r="K4719" s="114" t="str">
        <f>HYPERLINK("#Структура!G3420","")</f>
        <v/>
      </c>
      <c r="L4719" s="120">
        <f>HYPERLINK("#Покупные_изделия!D202",Покупные_изделия!D202)</f>
        <v>12666.350400000001</v>
      </c>
      <c r="M4719" s="76">
        <f>J4719*L4719</f>
        <v>12666.350400000001</v>
      </c>
      <c r="N4719" s="77"/>
      <c r="O4719" s="77"/>
      <c r="P4719" s="76"/>
      <c r="Q4719" s="76"/>
    </row>
    <row r="4720" spans="4:17" hidden="1" outlineLevel="3" collapsed="1" x14ac:dyDescent="0.25">
      <c r="E4720" s="84" t="s">
        <v>1578</v>
      </c>
      <c r="F4720" s="79"/>
      <c r="G4720" s="79"/>
      <c r="H4720" s="80"/>
      <c r="I4720" s="81"/>
      <c r="J4720" s="83">
        <f>HYPERLINK("#Структура!E3360",Структура!E3360)</f>
        <v>1</v>
      </c>
      <c r="K4720" s="115">
        <f>HYPERLINK("#Структура!G3360",Структура!G3360)</f>
        <v>18.012270000000001</v>
      </c>
      <c r="L4720" s="81">
        <f>M4720/J4720</f>
        <v>13770.834000000003</v>
      </c>
      <c r="M4720" s="81">
        <f>SUMIF(F4721,"*",M4721)*J4720</f>
        <v>13770.834000000003</v>
      </c>
      <c r="N4720" s="124">
        <f>HYPERLINK("#Трудозатраты!B850",Трудозатраты!B850+SUMIF(F4721,"*",O4721))</f>
        <v>50</v>
      </c>
      <c r="O4720" s="82">
        <f>N4720*J4720</f>
        <v>50</v>
      </c>
      <c r="P4720" s="81">
        <f>O4720/60*(1+запас_труд)*стоимость_трудочаса</f>
        <v>1958.3333333333335</v>
      </c>
      <c r="Q4720" s="129">
        <f>M4720*(1+наценка_покупное)+P4720</f>
        <v>18483.334133333334</v>
      </c>
    </row>
    <row r="4721" spans="5:17" hidden="1" outlineLevel="4" x14ac:dyDescent="0.25">
      <c r="F4721" s="74" t="s">
        <v>541</v>
      </c>
      <c r="G4721" s="74"/>
      <c r="H4721" s="75"/>
      <c r="I4721" s="76"/>
      <c r="J4721" s="78">
        <f>HYPERLINK("#Структура!E3421",Структура!E3421)</f>
        <v>1</v>
      </c>
      <c r="K4721" s="114" t="str">
        <f>HYPERLINK("#Структура!G3421","")</f>
        <v/>
      </c>
      <c r="L4721" s="120">
        <f>HYPERLINK("#Покупные_изделия!D558",Покупные_изделия!D558)</f>
        <v>13770.834000000003</v>
      </c>
      <c r="M4721" s="76">
        <f t="shared" ref="M4721:M4752" si="190">J4721*L4721</f>
        <v>13770.834000000003</v>
      </c>
      <c r="N4721" s="77"/>
      <c r="O4721" s="77"/>
      <c r="P4721" s="76"/>
      <c r="Q4721" s="76"/>
    </row>
    <row r="4722" spans="5:17" hidden="1" outlineLevel="3" x14ac:dyDescent="0.25">
      <c r="E4722" s="74" t="s">
        <v>501</v>
      </c>
      <c r="F4722" s="74"/>
      <c r="G4722" s="74"/>
      <c r="H4722" s="75"/>
      <c r="I4722" s="76"/>
      <c r="J4722" s="78">
        <f>HYPERLINK("#Структура!E3361",Структура!E3361)</f>
        <v>20</v>
      </c>
      <c r="K4722" s="114">
        <f>HYPERLINK("#Структура!G3361",Структура!G3361)</f>
        <v>1.5E-3</v>
      </c>
      <c r="L4722" s="120">
        <f>HYPERLINK("#Покупные_изделия!D436",Покупные_изделия!D436)</f>
        <v>1.1352000000000002</v>
      </c>
      <c r="M4722" s="76">
        <f t="shared" si="190"/>
        <v>22.704000000000004</v>
      </c>
      <c r="N4722" s="77"/>
      <c r="O4722" s="77"/>
      <c r="P4722" s="76"/>
      <c r="Q4722" s="76"/>
    </row>
    <row r="4723" spans="5:17" hidden="1" outlineLevel="3" x14ac:dyDescent="0.25">
      <c r="E4723" s="74" t="s">
        <v>358</v>
      </c>
      <c r="F4723" s="74"/>
      <c r="G4723" s="74"/>
      <c r="H4723" s="75"/>
      <c r="I4723" s="76"/>
      <c r="J4723" s="78">
        <f>HYPERLINK("#Структура!E3362",Структура!E3362)</f>
        <v>1.5</v>
      </c>
      <c r="K4723" s="114">
        <f>HYPERLINK("#Структура!G3362",Структура!G3362)</f>
        <v>0.32</v>
      </c>
      <c r="L4723" s="120">
        <f>HYPERLINK("#Покупные_изделия!D19",Покупные_изделия!D19)</f>
        <v>115.36800000000002</v>
      </c>
      <c r="M4723" s="76">
        <f t="shared" si="190"/>
        <v>173.05200000000002</v>
      </c>
      <c r="N4723" s="77"/>
      <c r="O4723" s="77"/>
      <c r="P4723" s="76"/>
      <c r="Q4723" s="76"/>
    </row>
    <row r="4724" spans="5:17" hidden="1" outlineLevel="3" x14ac:dyDescent="0.25">
      <c r="E4724" s="74" t="s">
        <v>376</v>
      </c>
      <c r="F4724" s="74"/>
      <c r="G4724" s="74"/>
      <c r="H4724" s="75"/>
      <c r="I4724" s="76"/>
      <c r="J4724" s="78">
        <f>HYPERLINK("#Структура!E3363",Структура!E3363)</f>
        <v>2</v>
      </c>
      <c r="K4724" s="114">
        <f>HYPERLINK("#Структура!G3363",Структура!G3363)</f>
        <v>7.1730000000000002E-2</v>
      </c>
      <c r="L4724" s="120">
        <f>HYPERLINK("#Покупные_изделия!D156",Покупные_изделия!D156)</f>
        <v>257.25479999999999</v>
      </c>
      <c r="M4724" s="76">
        <f t="shared" si="190"/>
        <v>514.50959999999998</v>
      </c>
      <c r="N4724" s="77"/>
      <c r="O4724" s="77"/>
      <c r="P4724" s="76"/>
      <c r="Q4724" s="76"/>
    </row>
    <row r="4725" spans="5:17" hidden="1" outlineLevel="3" x14ac:dyDescent="0.25">
      <c r="E4725" s="74" t="s">
        <v>377</v>
      </c>
      <c r="F4725" s="74"/>
      <c r="G4725" s="74"/>
      <c r="H4725" s="75"/>
      <c r="I4725" s="76"/>
      <c r="J4725" s="78">
        <f>HYPERLINK("#Структура!E3364",Структура!E3364)</f>
        <v>110</v>
      </c>
      <c r="K4725" s="114">
        <f>HYPERLINK("#Структура!G3364",Структура!G3364)</f>
        <v>6.2950000000000006E-2</v>
      </c>
      <c r="L4725" s="120">
        <f>HYPERLINK("#Покупные_изделия!D157",Покупные_изделия!D157)</f>
        <v>19.390800000000002</v>
      </c>
      <c r="M4725" s="76">
        <f t="shared" si="190"/>
        <v>2132.9880000000003</v>
      </c>
      <c r="N4725" s="77"/>
      <c r="O4725" s="77"/>
      <c r="P4725" s="76"/>
      <c r="Q4725" s="76"/>
    </row>
    <row r="4726" spans="5:17" hidden="1" outlineLevel="3" x14ac:dyDescent="0.25">
      <c r="E4726" s="74" t="s">
        <v>383</v>
      </c>
      <c r="F4726" s="74"/>
      <c r="G4726" s="74"/>
      <c r="H4726" s="75"/>
      <c r="I4726" s="76"/>
      <c r="J4726" s="78">
        <f>HYPERLINK("#Структура!E3365",Структура!E3365)</f>
        <v>1</v>
      </c>
      <c r="K4726" s="114">
        <f>HYPERLINK("#Структура!G3365",Структура!G3365)</f>
        <v>5.1999999999999998E-2</v>
      </c>
      <c r="L4726" s="120">
        <f>HYPERLINK("#Покупные_изделия!D190",Покупные_изделия!D190)</f>
        <v>557.04</v>
      </c>
      <c r="M4726" s="76">
        <f t="shared" si="190"/>
        <v>557.04</v>
      </c>
      <c r="N4726" s="77"/>
      <c r="O4726" s="77"/>
      <c r="P4726" s="76"/>
      <c r="Q4726" s="76"/>
    </row>
    <row r="4727" spans="5:17" hidden="1" outlineLevel="3" x14ac:dyDescent="0.25">
      <c r="E4727" s="74" t="s">
        <v>389</v>
      </c>
      <c r="F4727" s="74"/>
      <c r="G4727" s="74"/>
      <c r="H4727" s="75"/>
      <c r="I4727" s="76"/>
      <c r="J4727" s="78">
        <f>HYPERLINK("#Структура!E3366",Структура!E3366)</f>
        <v>2</v>
      </c>
      <c r="K4727" s="114">
        <f>HYPERLINK("#Структура!G3366",Структура!G3366)</f>
        <v>1E-3</v>
      </c>
      <c r="L4727" s="120">
        <f>HYPERLINK("#Покупные_изделия!D210",Покупные_изделия!D210)</f>
        <v>3.5640000000000005</v>
      </c>
      <c r="M4727" s="76">
        <f t="shared" si="190"/>
        <v>7.128000000000001</v>
      </c>
      <c r="N4727" s="77"/>
      <c r="O4727" s="77"/>
      <c r="P4727" s="76"/>
      <c r="Q4727" s="76"/>
    </row>
    <row r="4728" spans="5:17" hidden="1" outlineLevel="3" x14ac:dyDescent="0.25">
      <c r="E4728" s="74" t="s">
        <v>393</v>
      </c>
      <c r="F4728" s="74"/>
      <c r="G4728" s="74"/>
      <c r="H4728" s="75"/>
      <c r="I4728" s="76"/>
      <c r="J4728" s="78">
        <f>HYPERLINK("#Структура!E3367",Структура!E3367)</f>
        <v>2</v>
      </c>
      <c r="K4728" s="114">
        <f>HYPERLINK("#Структура!G3367",Структура!G3367)</f>
        <v>4.6059999999999997E-2</v>
      </c>
      <c r="L4728" s="120">
        <f>HYPERLINK("#Покупные_изделия!D214",Покупные_изделия!D214)</f>
        <v>37.382400000000004</v>
      </c>
      <c r="M4728" s="76">
        <f t="shared" si="190"/>
        <v>74.764800000000008</v>
      </c>
      <c r="N4728" s="77"/>
      <c r="O4728" s="77"/>
      <c r="P4728" s="76"/>
      <c r="Q4728" s="76"/>
    </row>
    <row r="4729" spans="5:17" hidden="1" outlineLevel="3" x14ac:dyDescent="0.25">
      <c r="E4729" s="74" t="s">
        <v>399</v>
      </c>
      <c r="F4729" s="74"/>
      <c r="G4729" s="74"/>
      <c r="H4729" s="75"/>
      <c r="I4729" s="76"/>
      <c r="J4729" s="78">
        <f>HYPERLINK("#Структура!E3368",Структура!E3368)</f>
        <v>1</v>
      </c>
      <c r="K4729" s="114">
        <f>HYPERLINK("#Структура!G3368",Структура!G3368)</f>
        <v>1E-3</v>
      </c>
      <c r="L4729" s="120">
        <f>HYPERLINK("#Покупные_изделия!D221",Покупные_изделия!D221)</f>
        <v>13096.6</v>
      </c>
      <c r="M4729" s="76">
        <f t="shared" si="190"/>
        <v>13096.6</v>
      </c>
      <c r="N4729" s="77"/>
      <c r="O4729" s="77"/>
      <c r="P4729" s="76"/>
      <c r="Q4729" s="76"/>
    </row>
    <row r="4730" spans="5:17" hidden="1" outlineLevel="3" x14ac:dyDescent="0.25">
      <c r="E4730" s="74" t="s">
        <v>400</v>
      </c>
      <c r="F4730" s="74"/>
      <c r="G4730" s="74"/>
      <c r="H4730" s="75"/>
      <c r="I4730" s="76"/>
      <c r="J4730" s="78">
        <f>HYPERLINK("#Структура!E3369",Структура!E3369)</f>
        <v>9</v>
      </c>
      <c r="K4730" s="114">
        <f>HYPERLINK("#Структура!G3369",Структура!G3369)</f>
        <v>1.4E-2</v>
      </c>
      <c r="L4730" s="120">
        <f>HYPERLINK("#Покупные_изделия!D224",Покупные_изделия!D224)</f>
        <v>482.06399999999996</v>
      </c>
      <c r="M4730" s="76">
        <f t="shared" si="190"/>
        <v>4338.576</v>
      </c>
      <c r="N4730" s="77"/>
      <c r="O4730" s="77"/>
      <c r="P4730" s="76"/>
      <c r="Q4730" s="76"/>
    </row>
    <row r="4731" spans="5:17" hidden="1" outlineLevel="3" x14ac:dyDescent="0.25">
      <c r="E4731" s="74" t="s">
        <v>401</v>
      </c>
      <c r="F4731" s="74"/>
      <c r="G4731" s="74"/>
      <c r="H4731" s="75"/>
      <c r="I4731" s="76"/>
      <c r="J4731" s="78">
        <f>HYPERLINK("#Структура!E3370",Структура!E3370)</f>
        <v>1</v>
      </c>
      <c r="K4731" s="114">
        <f>HYPERLINK("#Структура!G3370",Структура!G3370)</f>
        <v>0.26053999999999999</v>
      </c>
      <c r="L4731" s="120">
        <f>HYPERLINK("#Покупные_изделия!D225",Покупные_изделия!D225)</f>
        <v>567.66</v>
      </c>
      <c r="M4731" s="76">
        <f t="shared" si="190"/>
        <v>567.66</v>
      </c>
      <c r="N4731" s="77"/>
      <c r="O4731" s="77"/>
      <c r="P4731" s="76"/>
      <c r="Q4731" s="76"/>
    </row>
    <row r="4732" spans="5:17" hidden="1" outlineLevel="3" x14ac:dyDescent="0.25">
      <c r="E4732" s="74" t="s">
        <v>402</v>
      </c>
      <c r="F4732" s="74"/>
      <c r="G4732" s="74"/>
      <c r="H4732" s="75"/>
      <c r="I4732" s="76"/>
      <c r="J4732" s="78">
        <f>HYPERLINK("#Структура!E3371",Структура!E3371)</f>
        <v>16</v>
      </c>
      <c r="K4732" s="114">
        <f>HYPERLINK("#Структура!G3371",Структура!G3371)</f>
        <v>1.2E-2</v>
      </c>
      <c r="L4732" s="120">
        <f>HYPERLINK("#Покупные_изделия!D226",Покупные_изделия!D226)</f>
        <v>309.23640000000006</v>
      </c>
      <c r="M4732" s="76">
        <f t="shared" si="190"/>
        <v>4947.782400000001</v>
      </c>
      <c r="N4732" s="77"/>
      <c r="O4732" s="77"/>
      <c r="P4732" s="76"/>
      <c r="Q4732" s="76"/>
    </row>
    <row r="4733" spans="5:17" hidden="1" outlineLevel="3" x14ac:dyDescent="0.25">
      <c r="E4733" s="74" t="s">
        <v>406</v>
      </c>
      <c r="F4733" s="74"/>
      <c r="G4733" s="74"/>
      <c r="H4733" s="75"/>
      <c r="I4733" s="76"/>
      <c r="J4733" s="78">
        <f>HYPERLINK("#Структура!E3372",Структура!E3372)</f>
        <v>1</v>
      </c>
      <c r="K4733" s="114">
        <f>HYPERLINK("#Структура!G3372",Структура!G3372)</f>
        <v>0.24562999999999999</v>
      </c>
      <c r="L4733" s="120">
        <f>HYPERLINK("#Покупные_изделия!D230",Покупные_изделия!D230)</f>
        <v>3086.1600000000003</v>
      </c>
      <c r="M4733" s="76">
        <f t="shared" si="190"/>
        <v>3086.1600000000003</v>
      </c>
      <c r="N4733" s="77"/>
      <c r="O4733" s="77"/>
      <c r="P4733" s="76"/>
      <c r="Q4733" s="76"/>
    </row>
    <row r="4734" spans="5:17" hidden="1" outlineLevel="3" x14ac:dyDescent="0.25">
      <c r="E4734" s="74" t="s">
        <v>407</v>
      </c>
      <c r="F4734" s="74"/>
      <c r="G4734" s="74"/>
      <c r="H4734" s="75"/>
      <c r="I4734" s="76"/>
      <c r="J4734" s="78">
        <f>HYPERLINK("#Структура!E3373",Структура!E3373)</f>
        <v>42</v>
      </c>
      <c r="K4734" s="114">
        <f>HYPERLINK("#Структура!G3373",Структура!G3373)</f>
        <v>0.04</v>
      </c>
      <c r="L4734" s="120">
        <f>HYPERLINK("#Покупные_изделия!D231",Покупные_изделия!D231)</f>
        <v>177.99600000000001</v>
      </c>
      <c r="M4734" s="76">
        <f t="shared" si="190"/>
        <v>7475.8320000000003</v>
      </c>
      <c r="N4734" s="77"/>
      <c r="O4734" s="77"/>
      <c r="P4734" s="76"/>
      <c r="Q4734" s="76"/>
    </row>
    <row r="4735" spans="5:17" hidden="1" outlineLevel="3" x14ac:dyDescent="0.25">
      <c r="E4735" s="74" t="s">
        <v>408</v>
      </c>
      <c r="F4735" s="74"/>
      <c r="G4735" s="74"/>
      <c r="H4735" s="75"/>
      <c r="I4735" s="76"/>
      <c r="J4735" s="78">
        <f>HYPERLINK("#Структура!E3374",Структура!E3374)</f>
        <v>30</v>
      </c>
      <c r="K4735" s="114">
        <f>HYPERLINK("#Структура!G3374",Структура!G3374)</f>
        <v>4.7980000000000002E-2</v>
      </c>
      <c r="L4735" s="120">
        <f>HYPERLINK("#Покупные_изделия!D232",Покупные_изделия!D232)</f>
        <v>163.68</v>
      </c>
      <c r="M4735" s="76">
        <f t="shared" si="190"/>
        <v>4910.4000000000005</v>
      </c>
      <c r="N4735" s="77"/>
      <c r="O4735" s="77"/>
      <c r="P4735" s="76"/>
      <c r="Q4735" s="76"/>
    </row>
    <row r="4736" spans="5:17" hidden="1" outlineLevel="3" x14ac:dyDescent="0.25">
      <c r="E4736" s="74" t="s">
        <v>410</v>
      </c>
      <c r="F4736" s="74"/>
      <c r="G4736" s="74"/>
      <c r="H4736" s="75"/>
      <c r="I4736" s="76"/>
      <c r="J4736" s="78">
        <f>HYPERLINK("#Структура!E3375",Структура!E3375)</f>
        <v>1</v>
      </c>
      <c r="K4736" s="114">
        <f>HYPERLINK("#Структура!G3375",Структура!G3375)</f>
        <v>4.8000000000000001E-2</v>
      </c>
      <c r="L4736" s="120">
        <f>HYPERLINK("#Покупные_изделия!D234",Покупные_изделия!D234)</f>
        <v>586.08000000000004</v>
      </c>
      <c r="M4736" s="76">
        <f t="shared" si="190"/>
        <v>586.08000000000004</v>
      </c>
      <c r="N4736" s="77"/>
      <c r="O4736" s="77"/>
      <c r="P4736" s="76"/>
      <c r="Q4736" s="76"/>
    </row>
    <row r="4737" spans="5:17" hidden="1" outlineLevel="3" x14ac:dyDescent="0.25">
      <c r="E4737" s="74" t="s">
        <v>425</v>
      </c>
      <c r="F4737" s="74"/>
      <c r="G4737" s="74"/>
      <c r="H4737" s="75"/>
      <c r="I4737" s="76"/>
      <c r="J4737" s="78">
        <f>HYPERLINK("#Структура!E3376",Структура!E3376)</f>
        <v>8</v>
      </c>
      <c r="K4737" s="114">
        <f>HYPERLINK("#Структура!G3376",Структура!G3376)</f>
        <v>1.4E-2</v>
      </c>
      <c r="L4737" s="120">
        <f>HYPERLINK("#Покупные_изделия!D318",Покупные_изделия!D318)</f>
        <v>98.495999999999995</v>
      </c>
      <c r="M4737" s="76">
        <f t="shared" si="190"/>
        <v>787.96799999999996</v>
      </c>
      <c r="N4737" s="77"/>
      <c r="O4737" s="77"/>
      <c r="P4737" s="76"/>
      <c r="Q4737" s="76"/>
    </row>
    <row r="4738" spans="5:17" hidden="1" outlineLevel="3" x14ac:dyDescent="0.25">
      <c r="E4738" s="74" t="s">
        <v>426</v>
      </c>
      <c r="F4738" s="74"/>
      <c r="G4738" s="74"/>
      <c r="H4738" s="75"/>
      <c r="I4738" s="76"/>
      <c r="J4738" s="78">
        <f>HYPERLINK("#Структура!E3377",Структура!E3377)</f>
        <v>1</v>
      </c>
      <c r="K4738" s="114">
        <f>HYPERLINK("#Структура!G3377",Структура!G3377)</f>
        <v>1.4E-2</v>
      </c>
      <c r="L4738" s="120">
        <f>HYPERLINK("#Покупные_изделия!D319",Покупные_изделия!D319)</f>
        <v>79.16040000000001</v>
      </c>
      <c r="M4738" s="76">
        <f t="shared" si="190"/>
        <v>79.16040000000001</v>
      </c>
      <c r="N4738" s="77"/>
      <c r="O4738" s="77"/>
      <c r="P4738" s="76"/>
      <c r="Q4738" s="76"/>
    </row>
    <row r="4739" spans="5:17" hidden="1" outlineLevel="3" x14ac:dyDescent="0.25">
      <c r="E4739" s="74" t="s">
        <v>431</v>
      </c>
      <c r="F4739" s="74"/>
      <c r="G4739" s="74"/>
      <c r="H4739" s="75"/>
      <c r="I4739" s="76"/>
      <c r="J4739" s="78">
        <f>HYPERLINK("#Структура!E3378",Структура!E3378)</f>
        <v>1</v>
      </c>
      <c r="K4739" s="114" t="str">
        <f>HYPERLINK("#Структура!G3378","")</f>
        <v/>
      </c>
      <c r="L4739" s="120">
        <f>HYPERLINK("#Покупные_изделия!D324",Покупные_изделия!D324)</f>
        <v>548.02440000000001</v>
      </c>
      <c r="M4739" s="76">
        <f t="shared" si="190"/>
        <v>548.02440000000001</v>
      </c>
      <c r="N4739" s="77"/>
      <c r="O4739" s="77"/>
      <c r="P4739" s="76"/>
      <c r="Q4739" s="76"/>
    </row>
    <row r="4740" spans="5:17" hidden="1" outlineLevel="3" x14ac:dyDescent="0.25">
      <c r="E4740" s="74" t="s">
        <v>432</v>
      </c>
      <c r="F4740" s="74"/>
      <c r="G4740" s="74"/>
      <c r="H4740" s="75"/>
      <c r="I4740" s="76"/>
      <c r="J4740" s="78">
        <f>HYPERLINK("#Структура!E3379",Структура!E3379)</f>
        <v>1</v>
      </c>
      <c r="K4740" s="114">
        <f>HYPERLINK("#Структура!G3379",Структура!G3379)</f>
        <v>0.56821999999999995</v>
      </c>
      <c r="L4740" s="120">
        <f>HYPERLINK("#Покупные_изделия!D325",Покупные_изделия!D325)</f>
        <v>405.45120000000009</v>
      </c>
      <c r="M4740" s="76">
        <f t="shared" si="190"/>
        <v>405.45120000000009</v>
      </c>
      <c r="N4740" s="77"/>
      <c r="O4740" s="77"/>
      <c r="P4740" s="76"/>
      <c r="Q4740" s="76"/>
    </row>
    <row r="4741" spans="5:17" hidden="1" outlineLevel="3" x14ac:dyDescent="0.25">
      <c r="E4741" s="74" t="s">
        <v>435</v>
      </c>
      <c r="F4741" s="74"/>
      <c r="G4741" s="74"/>
      <c r="H4741" s="75"/>
      <c r="I4741" s="76"/>
      <c r="J4741" s="78">
        <f>HYPERLINK("#Структура!E3380",Структура!E3380)</f>
        <v>36</v>
      </c>
      <c r="K4741" s="114">
        <f>HYPERLINK("#Структура!G3380",Структура!G3380)</f>
        <v>4.6339999999999999E-2</v>
      </c>
      <c r="L4741" s="120">
        <f>HYPERLINK("#Покупные_изделия!D328",Покупные_изделия!D328)</f>
        <v>75.345600000000005</v>
      </c>
      <c r="M4741" s="76">
        <f t="shared" si="190"/>
        <v>2712.4416000000001</v>
      </c>
      <c r="N4741" s="77"/>
      <c r="O4741" s="77"/>
      <c r="P4741" s="76"/>
      <c r="Q4741" s="76"/>
    </row>
    <row r="4742" spans="5:17" hidden="1" outlineLevel="3" x14ac:dyDescent="0.25">
      <c r="E4742" s="74" t="s">
        <v>436</v>
      </c>
      <c r="F4742" s="74"/>
      <c r="G4742" s="74"/>
      <c r="H4742" s="75"/>
      <c r="I4742" s="76"/>
      <c r="J4742" s="78">
        <f>HYPERLINK("#Структура!E3381",Структура!E3381)</f>
        <v>1</v>
      </c>
      <c r="K4742" s="114">
        <f>HYPERLINK("#Структура!G3381",Структура!G3381)</f>
        <v>0.72323000000000004</v>
      </c>
      <c r="L4742" s="120">
        <f>HYPERLINK("#Покупные_изделия!D329",Покупные_изделия!D329)</f>
        <v>118.80000000000001</v>
      </c>
      <c r="M4742" s="76">
        <f t="shared" si="190"/>
        <v>118.80000000000001</v>
      </c>
      <c r="N4742" s="77"/>
      <c r="O4742" s="77"/>
      <c r="P4742" s="76"/>
      <c r="Q4742" s="76"/>
    </row>
    <row r="4743" spans="5:17" hidden="1" outlineLevel="3" x14ac:dyDescent="0.25">
      <c r="E4743" s="74" t="s">
        <v>443</v>
      </c>
      <c r="F4743" s="74"/>
      <c r="G4743" s="74"/>
      <c r="H4743" s="75"/>
      <c r="I4743" s="76"/>
      <c r="J4743" s="78">
        <f>HYPERLINK("#Структура!E3382",Структура!E3382)</f>
        <v>1</v>
      </c>
      <c r="K4743" s="114">
        <f>HYPERLINK("#Структура!G3382",Структура!G3382)</f>
        <v>0.57999999999999996</v>
      </c>
      <c r="L4743" s="120">
        <f>HYPERLINK("#Покупные_изделия!D346",Покупные_изделия!D346)</f>
        <v>3133.8516000000004</v>
      </c>
      <c r="M4743" s="76">
        <f t="shared" si="190"/>
        <v>3133.8516000000004</v>
      </c>
      <c r="N4743" s="77"/>
      <c r="O4743" s="77"/>
      <c r="P4743" s="76"/>
      <c r="Q4743" s="76"/>
    </row>
    <row r="4744" spans="5:17" hidden="1" outlineLevel="3" x14ac:dyDescent="0.25">
      <c r="E4744" s="74" t="s">
        <v>448</v>
      </c>
      <c r="F4744" s="74"/>
      <c r="G4744" s="74"/>
      <c r="H4744" s="75"/>
      <c r="I4744" s="76"/>
      <c r="J4744" s="78">
        <f>HYPERLINK("#Структура!E3383",Структура!E3383)</f>
        <v>1</v>
      </c>
      <c r="K4744" s="114">
        <f>HYPERLINK("#Структура!G3383",Структура!G3383)</f>
        <v>18.50883</v>
      </c>
      <c r="L4744" s="120">
        <f>HYPERLINK("#Покупные_изделия!D351",Покупные_изделия!D351)</f>
        <v>4062.96</v>
      </c>
      <c r="M4744" s="76">
        <f t="shared" si="190"/>
        <v>4062.96</v>
      </c>
      <c r="N4744" s="77"/>
      <c r="O4744" s="77"/>
      <c r="P4744" s="76"/>
      <c r="Q4744" s="76"/>
    </row>
    <row r="4745" spans="5:17" hidden="1" outlineLevel="3" x14ac:dyDescent="0.25">
      <c r="E4745" s="74" t="s">
        <v>450</v>
      </c>
      <c r="F4745" s="74"/>
      <c r="G4745" s="74"/>
      <c r="H4745" s="75"/>
      <c r="I4745" s="76"/>
      <c r="J4745" s="78">
        <f>HYPERLINK("#Структура!E3384",Структура!E3384)</f>
        <v>400</v>
      </c>
      <c r="K4745" s="114">
        <f>HYPERLINK("#Структура!G3384",Структура!G3384)</f>
        <v>1.4999999999999999E-4</v>
      </c>
      <c r="L4745" s="120">
        <f>HYPERLINK("#Покупные_изделия!D353",Покупные_изделия!D353)</f>
        <v>2.0460000000000003</v>
      </c>
      <c r="M4745" s="76">
        <f t="shared" si="190"/>
        <v>818.40000000000009</v>
      </c>
      <c r="N4745" s="77"/>
      <c r="O4745" s="77"/>
      <c r="P4745" s="76"/>
      <c r="Q4745" s="76"/>
    </row>
    <row r="4746" spans="5:17" hidden="1" outlineLevel="3" x14ac:dyDescent="0.25">
      <c r="E4746" s="74" t="s">
        <v>454</v>
      </c>
      <c r="F4746" s="74"/>
      <c r="G4746" s="74"/>
      <c r="H4746" s="75"/>
      <c r="I4746" s="76"/>
      <c r="J4746" s="78">
        <f>HYPERLINK("#Структура!E3385",Структура!E3385)</f>
        <v>6</v>
      </c>
      <c r="K4746" s="114" t="str">
        <f>HYPERLINK("#Структура!G3385","")</f>
        <v/>
      </c>
      <c r="L4746" s="120">
        <f>HYPERLINK("#Покупные_изделия!D357",Покупные_изделия!D357)</f>
        <v>2.2000000000000002</v>
      </c>
      <c r="M4746" s="76">
        <f t="shared" si="190"/>
        <v>13.200000000000001</v>
      </c>
      <c r="N4746" s="77"/>
      <c r="O4746" s="77"/>
      <c r="P4746" s="76"/>
      <c r="Q4746" s="76"/>
    </row>
    <row r="4747" spans="5:17" hidden="1" outlineLevel="3" x14ac:dyDescent="0.25">
      <c r="E4747" s="74" t="s">
        <v>455</v>
      </c>
      <c r="F4747" s="74"/>
      <c r="G4747" s="74"/>
      <c r="H4747" s="75"/>
      <c r="I4747" s="76"/>
      <c r="J4747" s="78">
        <f>HYPERLINK("#Структура!E3386",Структура!E3386)</f>
        <v>3</v>
      </c>
      <c r="K4747" s="114" t="str">
        <f>HYPERLINK("#Структура!G3386","")</f>
        <v/>
      </c>
      <c r="L4747" s="120">
        <f>HYPERLINK("#Покупные_изделия!D358",Покупные_изделия!D358)</f>
        <v>3.2039999999999997</v>
      </c>
      <c r="M4747" s="76">
        <f t="shared" si="190"/>
        <v>9.6119999999999983</v>
      </c>
      <c r="N4747" s="77"/>
      <c r="O4747" s="77"/>
      <c r="P4747" s="76"/>
      <c r="Q4747" s="76"/>
    </row>
    <row r="4748" spans="5:17" hidden="1" outlineLevel="3" x14ac:dyDescent="0.25">
      <c r="E4748" s="74" t="s">
        <v>456</v>
      </c>
      <c r="F4748" s="74"/>
      <c r="G4748" s="74"/>
      <c r="H4748" s="75"/>
      <c r="I4748" s="76"/>
      <c r="J4748" s="78">
        <f>HYPERLINK("#Структура!E3387",Структура!E3387)</f>
        <v>1</v>
      </c>
      <c r="K4748" s="114">
        <f>HYPERLINK("#Структура!G3387",Структура!G3387)</f>
        <v>0.81499999999999995</v>
      </c>
      <c r="L4748" s="120">
        <f>HYPERLINK("#Покупные_изделия!D359",Покупные_изделия!D359)</f>
        <v>10175</v>
      </c>
      <c r="M4748" s="76">
        <f t="shared" si="190"/>
        <v>10175</v>
      </c>
      <c r="N4748" s="77"/>
      <c r="O4748" s="77"/>
      <c r="P4748" s="76"/>
      <c r="Q4748" s="76"/>
    </row>
    <row r="4749" spans="5:17" hidden="1" outlineLevel="3" x14ac:dyDescent="0.25">
      <c r="E4749" s="74" t="s">
        <v>1582</v>
      </c>
      <c r="F4749" s="74"/>
      <c r="G4749" s="74"/>
      <c r="H4749" s="75"/>
      <c r="I4749" s="76"/>
      <c r="J4749" s="78">
        <f>HYPERLINK("#Структура!E3388",Структура!E3388)</f>
        <v>1</v>
      </c>
      <c r="K4749" s="114">
        <f>HYPERLINK("#Структура!G3388",Структура!G3388)</f>
        <v>1.9E-2</v>
      </c>
      <c r="L4749" s="120">
        <f>HYPERLINK("#Покупные_изделия!D366",Покупные_изделия!D366)</f>
        <v>972.2328</v>
      </c>
      <c r="M4749" s="76">
        <f t="shared" si="190"/>
        <v>972.2328</v>
      </c>
      <c r="N4749" s="77"/>
      <c r="O4749" s="77"/>
      <c r="P4749" s="76"/>
      <c r="Q4749" s="76"/>
    </row>
    <row r="4750" spans="5:17" hidden="1" outlineLevel="3" x14ac:dyDescent="0.25">
      <c r="E4750" s="74" t="s">
        <v>461</v>
      </c>
      <c r="F4750" s="74"/>
      <c r="G4750" s="74"/>
      <c r="H4750" s="75"/>
      <c r="I4750" s="76"/>
      <c r="J4750" s="78">
        <f>HYPERLINK("#Структура!E3389",Структура!E3389)</f>
        <v>10</v>
      </c>
      <c r="K4750" s="114">
        <f>HYPERLINK("#Структура!G3389",Структура!G3389)</f>
        <v>1.9E-2</v>
      </c>
      <c r="L4750" s="120">
        <f>HYPERLINK("#Покупные_изделия!D367",Покупные_изделия!D367)</f>
        <v>785.76959999999997</v>
      </c>
      <c r="M4750" s="76">
        <f t="shared" si="190"/>
        <v>7857.6959999999999</v>
      </c>
      <c r="N4750" s="77"/>
      <c r="O4750" s="77"/>
      <c r="P4750" s="76"/>
      <c r="Q4750" s="76"/>
    </row>
    <row r="4751" spans="5:17" hidden="1" outlineLevel="3" x14ac:dyDescent="0.25">
      <c r="E4751" s="74" t="s">
        <v>462</v>
      </c>
      <c r="F4751" s="74"/>
      <c r="G4751" s="74"/>
      <c r="H4751" s="75"/>
      <c r="I4751" s="76"/>
      <c r="J4751" s="78">
        <f>HYPERLINK("#Структура!E3390",Структура!E3390)</f>
        <v>9</v>
      </c>
      <c r="K4751" s="114">
        <f>HYPERLINK("#Структура!G3390",Структура!G3390)</f>
        <v>1.9E-2</v>
      </c>
      <c r="L4751" s="120">
        <f>HYPERLINK("#Покупные_изделия!D368",Покупные_изделия!D368)</f>
        <v>785.76959999999997</v>
      </c>
      <c r="M4751" s="76">
        <f t="shared" si="190"/>
        <v>7071.9263999999994</v>
      </c>
      <c r="N4751" s="77"/>
      <c r="O4751" s="77"/>
      <c r="P4751" s="76"/>
      <c r="Q4751" s="76"/>
    </row>
    <row r="4752" spans="5:17" hidden="1" outlineLevel="3" x14ac:dyDescent="0.25">
      <c r="E4752" s="74" t="s">
        <v>463</v>
      </c>
      <c r="F4752" s="74"/>
      <c r="G4752" s="74"/>
      <c r="H4752" s="75"/>
      <c r="I4752" s="76"/>
      <c r="J4752" s="78">
        <f>HYPERLINK("#Структура!E3391",Структура!E3391)</f>
        <v>6</v>
      </c>
      <c r="K4752" s="114">
        <f>HYPERLINK("#Структура!G3391",Структура!G3391)</f>
        <v>2.0899999999999998E-3</v>
      </c>
      <c r="L4752" s="120">
        <f>HYPERLINK("#Покупные_изделия!D369",Покупные_изделия!D369)</f>
        <v>41.3292</v>
      </c>
      <c r="M4752" s="76">
        <f t="shared" si="190"/>
        <v>247.9752</v>
      </c>
      <c r="N4752" s="77"/>
      <c r="O4752" s="77"/>
      <c r="P4752" s="76"/>
      <c r="Q4752" s="76"/>
    </row>
    <row r="4753" spans="5:17" hidden="1" outlineLevel="3" x14ac:dyDescent="0.25">
      <c r="E4753" s="74" t="s">
        <v>466</v>
      </c>
      <c r="F4753" s="74"/>
      <c r="G4753" s="74"/>
      <c r="H4753" s="75"/>
      <c r="I4753" s="76"/>
      <c r="J4753" s="78">
        <f>HYPERLINK("#Структура!E3392",Структура!E3392)</f>
        <v>2</v>
      </c>
      <c r="K4753" s="114">
        <f>HYPERLINK("#Структура!G3392",Структура!G3392)</f>
        <v>0.28299999999999997</v>
      </c>
      <c r="L4753" s="120">
        <f>HYPERLINK("#Покупные_изделия!D372",Покупные_изделия!D372)</f>
        <v>149.1996</v>
      </c>
      <c r="M4753" s="76">
        <f t="shared" ref="M4753:M4780" si="191">J4753*L4753</f>
        <v>298.39920000000001</v>
      </c>
      <c r="N4753" s="77"/>
      <c r="O4753" s="77"/>
      <c r="P4753" s="76"/>
      <c r="Q4753" s="76"/>
    </row>
    <row r="4754" spans="5:17" hidden="1" outlineLevel="3" x14ac:dyDescent="0.25">
      <c r="E4754" s="74" t="s">
        <v>467</v>
      </c>
      <c r="F4754" s="74"/>
      <c r="G4754" s="74"/>
      <c r="H4754" s="75"/>
      <c r="I4754" s="76"/>
      <c r="J4754" s="78">
        <f>HYPERLINK("#Структура!E3393",Структура!E3393)</f>
        <v>2</v>
      </c>
      <c r="K4754" s="114">
        <f>HYPERLINK("#Структура!G3393",Структура!G3393)</f>
        <v>0.25</v>
      </c>
      <c r="L4754" s="120">
        <f>HYPERLINK("#Покупные_изделия!D373",Покупные_изделия!D373)</f>
        <v>180.57599999999999</v>
      </c>
      <c r="M4754" s="76">
        <f t="shared" si="191"/>
        <v>361.15199999999999</v>
      </c>
      <c r="N4754" s="77"/>
      <c r="O4754" s="77"/>
      <c r="P4754" s="76"/>
      <c r="Q4754" s="76"/>
    </row>
    <row r="4755" spans="5:17" hidden="1" outlineLevel="3" x14ac:dyDescent="0.25">
      <c r="E4755" s="74" t="s">
        <v>469</v>
      </c>
      <c r="F4755" s="74"/>
      <c r="G4755" s="74"/>
      <c r="H4755" s="75"/>
      <c r="I4755" s="76"/>
      <c r="J4755" s="78">
        <f>HYPERLINK("#Структура!E3394",Структура!E3394)</f>
        <v>1</v>
      </c>
      <c r="K4755" s="114">
        <f>HYPERLINK("#Структура!G3394",Структура!G3394)</f>
        <v>6.9359999999999999</v>
      </c>
      <c r="L4755" s="120">
        <f>HYPERLINK("#Покупные_изделия!D375",Покупные_изделия!D375)</f>
        <v>3365.3399999999997</v>
      </c>
      <c r="M4755" s="76">
        <f t="shared" si="191"/>
        <v>3365.3399999999997</v>
      </c>
      <c r="N4755" s="77"/>
      <c r="O4755" s="77"/>
      <c r="P4755" s="76"/>
      <c r="Q4755" s="76"/>
    </row>
    <row r="4756" spans="5:17" hidden="1" outlineLevel="3" x14ac:dyDescent="0.25">
      <c r="E4756" s="74" t="s">
        <v>470</v>
      </c>
      <c r="F4756" s="74"/>
      <c r="G4756" s="74"/>
      <c r="H4756" s="75"/>
      <c r="I4756" s="76"/>
      <c r="J4756" s="78">
        <f>HYPERLINK("#Структура!E3395",Структура!E3395)</f>
        <v>10</v>
      </c>
      <c r="K4756" s="114" t="str">
        <f>HYPERLINK("#Структура!G3395","")</f>
        <v/>
      </c>
      <c r="L4756" s="120">
        <f>HYPERLINK("#Покупные_изделия!D376",Покупные_изделия!D376)</f>
        <v>2.013528</v>
      </c>
      <c r="M4756" s="76">
        <f t="shared" si="191"/>
        <v>20.135280000000002</v>
      </c>
      <c r="N4756" s="77"/>
      <c r="O4756" s="77"/>
      <c r="P4756" s="76"/>
      <c r="Q4756" s="76"/>
    </row>
    <row r="4757" spans="5:17" hidden="1" outlineLevel="3" x14ac:dyDescent="0.25">
      <c r="E4757" s="74" t="s">
        <v>476</v>
      </c>
      <c r="F4757" s="74"/>
      <c r="G4757" s="74"/>
      <c r="H4757" s="75"/>
      <c r="I4757" s="76"/>
      <c r="J4757" s="78">
        <f>HYPERLINK("#Структура!E3396",Структура!E3396)</f>
        <v>45</v>
      </c>
      <c r="K4757" s="114" t="str">
        <f>HYPERLINK("#Структура!G3396","")</f>
        <v/>
      </c>
      <c r="L4757" s="120">
        <f>HYPERLINK("#Покупные_изделия!D391",Покупные_изделия!D391)</f>
        <v>5.9840000000000009</v>
      </c>
      <c r="M4757" s="76">
        <f t="shared" si="191"/>
        <v>269.28000000000003</v>
      </c>
      <c r="N4757" s="77"/>
      <c r="O4757" s="77"/>
      <c r="P4757" s="76"/>
      <c r="Q4757" s="76"/>
    </row>
    <row r="4758" spans="5:17" hidden="1" outlineLevel="3" x14ac:dyDescent="0.25">
      <c r="E4758" s="74" t="s">
        <v>477</v>
      </c>
      <c r="F4758" s="74"/>
      <c r="G4758" s="74"/>
      <c r="H4758" s="75"/>
      <c r="I4758" s="76"/>
      <c r="J4758" s="78">
        <f>HYPERLINK("#Структура!E3397",Структура!E3397)</f>
        <v>45</v>
      </c>
      <c r="K4758" s="114" t="str">
        <f>HYPERLINK("#Структура!G3397","")</f>
        <v/>
      </c>
      <c r="L4758" s="120">
        <f>HYPERLINK("#Покупные_изделия!D392",Покупные_изделия!D392)</f>
        <v>5.5440000000000005</v>
      </c>
      <c r="M4758" s="76">
        <f t="shared" si="191"/>
        <v>249.48000000000002</v>
      </c>
      <c r="N4758" s="77"/>
      <c r="O4758" s="77"/>
      <c r="P4758" s="76"/>
      <c r="Q4758" s="76"/>
    </row>
    <row r="4759" spans="5:17" hidden="1" outlineLevel="3" x14ac:dyDescent="0.25">
      <c r="E4759" s="74" t="s">
        <v>478</v>
      </c>
      <c r="F4759" s="74"/>
      <c r="G4759" s="74"/>
      <c r="H4759" s="75"/>
      <c r="I4759" s="76"/>
      <c r="J4759" s="78">
        <f>HYPERLINK("#Структура!E3398",Структура!E3398)</f>
        <v>45</v>
      </c>
      <c r="K4759" s="114" t="str">
        <f>HYPERLINK("#Структура!G3398","")</f>
        <v/>
      </c>
      <c r="L4759" s="120">
        <f>HYPERLINK("#Покупные_изделия!D393",Покупные_изделия!D393)</f>
        <v>6.6360000000000001</v>
      </c>
      <c r="M4759" s="76">
        <f t="shared" si="191"/>
        <v>298.62</v>
      </c>
      <c r="N4759" s="77"/>
      <c r="O4759" s="77"/>
      <c r="P4759" s="76"/>
      <c r="Q4759" s="76"/>
    </row>
    <row r="4760" spans="5:17" hidden="1" outlineLevel="3" x14ac:dyDescent="0.25">
      <c r="E4760" s="74" t="s">
        <v>479</v>
      </c>
      <c r="F4760" s="74"/>
      <c r="G4760" s="74"/>
      <c r="H4760" s="75"/>
      <c r="I4760" s="76"/>
      <c r="J4760" s="78">
        <f>HYPERLINK("#Структура!E3399",Структура!E3399)</f>
        <v>45</v>
      </c>
      <c r="K4760" s="114" t="str">
        <f>HYPERLINK("#Структура!G3399","")</f>
        <v/>
      </c>
      <c r="L4760" s="120">
        <f>HYPERLINK("#Покупные_изделия!D394",Покупные_изделия!D394)</f>
        <v>6.8280000000000003</v>
      </c>
      <c r="M4760" s="76">
        <f t="shared" si="191"/>
        <v>307.26</v>
      </c>
      <c r="N4760" s="77"/>
      <c r="O4760" s="77"/>
      <c r="P4760" s="76"/>
      <c r="Q4760" s="76"/>
    </row>
    <row r="4761" spans="5:17" hidden="1" outlineLevel="3" x14ac:dyDescent="0.25">
      <c r="E4761" s="74" t="s">
        <v>481</v>
      </c>
      <c r="F4761" s="74"/>
      <c r="G4761" s="74"/>
      <c r="H4761" s="75"/>
      <c r="I4761" s="76"/>
      <c r="J4761" s="78">
        <f>HYPERLINK("#Структура!E3400",Структура!E3400)</f>
        <v>110</v>
      </c>
      <c r="K4761" s="114" t="str">
        <f>HYPERLINK("#Структура!G3400","")</f>
        <v/>
      </c>
      <c r="L4761" s="120">
        <f>HYPERLINK("#Покупные_изделия!D396",Покупные_изделия!D396)</f>
        <v>6.2519999999999998</v>
      </c>
      <c r="M4761" s="76">
        <f t="shared" si="191"/>
        <v>687.72</v>
      </c>
      <c r="N4761" s="77"/>
      <c r="O4761" s="77"/>
      <c r="P4761" s="76"/>
      <c r="Q4761" s="76"/>
    </row>
    <row r="4762" spans="5:17" hidden="1" outlineLevel="3" x14ac:dyDescent="0.25">
      <c r="E4762" s="74" t="s">
        <v>493</v>
      </c>
      <c r="F4762" s="74"/>
      <c r="G4762" s="74"/>
      <c r="H4762" s="75"/>
      <c r="I4762" s="76"/>
      <c r="J4762" s="78">
        <f>HYPERLINK("#Структура!E3401",Структура!E3401)</f>
        <v>1</v>
      </c>
      <c r="K4762" s="114">
        <f>HYPERLINK("#Структура!G3401",Структура!G3401)</f>
        <v>1E-3</v>
      </c>
      <c r="L4762" s="120">
        <f>HYPERLINK("#Покупные_изделия!D415",Покупные_изделия!D415)</f>
        <v>121.11</v>
      </c>
      <c r="M4762" s="76">
        <f t="shared" si="191"/>
        <v>121.11</v>
      </c>
      <c r="N4762" s="77"/>
      <c r="O4762" s="77"/>
      <c r="P4762" s="76"/>
      <c r="Q4762" s="76"/>
    </row>
    <row r="4763" spans="5:17" hidden="1" outlineLevel="3" x14ac:dyDescent="0.25">
      <c r="E4763" s="74" t="s">
        <v>496</v>
      </c>
      <c r="F4763" s="74"/>
      <c r="G4763" s="74"/>
      <c r="H4763" s="75"/>
      <c r="I4763" s="76"/>
      <c r="J4763" s="78">
        <f>HYPERLINK("#Структура!E3402",Структура!E3402)</f>
        <v>2</v>
      </c>
      <c r="K4763" s="114">
        <f>HYPERLINK("#Структура!G3402",Структура!G3402)</f>
        <v>2E-3</v>
      </c>
      <c r="L4763" s="120">
        <f>HYPERLINK("#Покупные_изделия!D426",Покупные_изделия!D426)</f>
        <v>7.3919999999999995</v>
      </c>
      <c r="M4763" s="76">
        <f t="shared" si="191"/>
        <v>14.783999999999999</v>
      </c>
      <c r="N4763" s="77"/>
      <c r="O4763" s="77"/>
      <c r="P4763" s="76"/>
      <c r="Q4763" s="76"/>
    </row>
    <row r="4764" spans="5:17" hidden="1" outlineLevel="3" x14ac:dyDescent="0.25">
      <c r="E4764" s="74" t="s">
        <v>497</v>
      </c>
      <c r="F4764" s="74"/>
      <c r="G4764" s="74"/>
      <c r="H4764" s="75"/>
      <c r="I4764" s="76"/>
      <c r="J4764" s="78">
        <f>HYPERLINK("#Структура!E3403",Структура!E3403)</f>
        <v>2</v>
      </c>
      <c r="K4764" s="114">
        <f>HYPERLINK("#Структура!G3403",Структура!G3403)</f>
        <v>0.106</v>
      </c>
      <c r="L4764" s="120">
        <f>HYPERLINK("#Покупные_изделия!D431",Покупные_изделия!D431)</f>
        <v>1100</v>
      </c>
      <c r="M4764" s="76">
        <f t="shared" si="191"/>
        <v>2200</v>
      </c>
      <c r="N4764" s="77"/>
      <c r="O4764" s="77"/>
      <c r="P4764" s="76"/>
      <c r="Q4764" s="76"/>
    </row>
    <row r="4765" spans="5:17" hidden="1" outlineLevel="3" x14ac:dyDescent="0.25">
      <c r="E4765" s="74" t="s">
        <v>499</v>
      </c>
      <c r="F4765" s="74"/>
      <c r="G4765" s="74"/>
      <c r="H4765" s="75"/>
      <c r="I4765" s="76"/>
      <c r="J4765" s="78">
        <f>HYPERLINK("#Структура!E3404",Структура!E3404)</f>
        <v>1</v>
      </c>
      <c r="K4765" s="114">
        <f>HYPERLINK("#Структура!G3404",Структура!G3404)</f>
        <v>6.9849999999999995E-2</v>
      </c>
      <c r="L4765" s="120">
        <f>HYPERLINK("#Покупные_изделия!D434",Покупные_изделия!D434)</f>
        <v>13.956000000000001</v>
      </c>
      <c r="M4765" s="76">
        <f t="shared" si="191"/>
        <v>13.956000000000001</v>
      </c>
      <c r="N4765" s="77"/>
      <c r="O4765" s="77"/>
      <c r="P4765" s="76"/>
      <c r="Q4765" s="76"/>
    </row>
    <row r="4766" spans="5:17" hidden="1" outlineLevel="3" x14ac:dyDescent="0.25">
      <c r="E4766" s="74" t="s">
        <v>506</v>
      </c>
      <c r="F4766" s="74"/>
      <c r="G4766" s="74"/>
      <c r="H4766" s="75"/>
      <c r="I4766" s="76"/>
      <c r="J4766" s="78">
        <f>HYPERLINK("#Структура!E3405",Структура!E3405)</f>
        <v>20</v>
      </c>
      <c r="K4766" s="114">
        <f>HYPERLINK("#Структура!G3405",Структура!G3405)</f>
        <v>6.812E-2</v>
      </c>
      <c r="L4766" s="120">
        <f>HYPERLINK("#Покупные_изделия!D441",Покупные_изделия!D441)</f>
        <v>485.25599999999997</v>
      </c>
      <c r="M4766" s="76">
        <f t="shared" si="191"/>
        <v>9705.119999999999</v>
      </c>
      <c r="N4766" s="77"/>
      <c r="O4766" s="77"/>
      <c r="P4766" s="76"/>
      <c r="Q4766" s="76"/>
    </row>
    <row r="4767" spans="5:17" hidden="1" outlineLevel="3" x14ac:dyDescent="0.25">
      <c r="E4767" s="74" t="s">
        <v>507</v>
      </c>
      <c r="F4767" s="74"/>
      <c r="G4767" s="74"/>
      <c r="H4767" s="75"/>
      <c r="I4767" s="76"/>
      <c r="J4767" s="78">
        <f>HYPERLINK("#Структура!E3406",Структура!E3406)</f>
        <v>16</v>
      </c>
      <c r="K4767" s="114">
        <f>HYPERLINK("#Структура!G3406",Структура!G3406)</f>
        <v>0.01</v>
      </c>
      <c r="L4767" s="120">
        <f>HYPERLINK("#Покупные_изделия!D442",Покупные_изделия!D442)</f>
        <v>485.25599999999997</v>
      </c>
      <c r="M4767" s="76">
        <f t="shared" si="191"/>
        <v>7764.0959999999995</v>
      </c>
      <c r="N4767" s="77"/>
      <c r="O4767" s="77"/>
      <c r="P4767" s="76"/>
      <c r="Q4767" s="76"/>
    </row>
    <row r="4768" spans="5:17" hidden="1" outlineLevel="3" x14ac:dyDescent="0.25">
      <c r="E4768" s="74" t="s">
        <v>508</v>
      </c>
      <c r="F4768" s="74"/>
      <c r="G4768" s="74"/>
      <c r="H4768" s="75"/>
      <c r="I4768" s="76"/>
      <c r="J4768" s="78">
        <f>HYPERLINK("#Структура!E3407",Структура!E3407)</f>
        <v>1</v>
      </c>
      <c r="K4768" s="114">
        <f>HYPERLINK("#Структура!G3407",Структура!G3407)</f>
        <v>8.1553599999999999</v>
      </c>
      <c r="L4768" s="120">
        <f>HYPERLINK("#Покупные_изделия!D443",Покупные_изделия!D443)</f>
        <v>34588.923600000002</v>
      </c>
      <c r="M4768" s="76">
        <f t="shared" si="191"/>
        <v>34588.923600000002</v>
      </c>
      <c r="N4768" s="77"/>
      <c r="O4768" s="77"/>
      <c r="P4768" s="76"/>
      <c r="Q4768" s="76"/>
    </row>
    <row r="4769" spans="4:17" hidden="1" outlineLevel="3" x14ac:dyDescent="0.25">
      <c r="E4769" s="74" t="s">
        <v>509</v>
      </c>
      <c r="F4769" s="74"/>
      <c r="G4769" s="74"/>
      <c r="H4769" s="75"/>
      <c r="I4769" s="76"/>
      <c r="J4769" s="78">
        <f>HYPERLINK("#Структура!E3408",Структура!E3408)</f>
        <v>2</v>
      </c>
      <c r="K4769" s="114">
        <f>HYPERLINK("#Структура!G3408",Структура!G3408)</f>
        <v>8.6999999999999994E-2</v>
      </c>
      <c r="L4769" s="120">
        <f>HYPERLINK("#Покупные_изделия!D444",Покупные_изделия!D444)</f>
        <v>728.64</v>
      </c>
      <c r="M4769" s="76">
        <f t="shared" si="191"/>
        <v>1457.28</v>
      </c>
      <c r="N4769" s="77"/>
      <c r="O4769" s="77"/>
      <c r="P4769" s="76"/>
      <c r="Q4769" s="76"/>
    </row>
    <row r="4770" spans="4:17" hidden="1" outlineLevel="3" x14ac:dyDescent="0.25">
      <c r="E4770" s="74" t="s">
        <v>511</v>
      </c>
      <c r="F4770" s="74"/>
      <c r="G4770" s="74"/>
      <c r="H4770" s="75"/>
      <c r="I4770" s="76"/>
      <c r="J4770" s="78">
        <f>HYPERLINK("#Структура!E3409",Структура!E3409)</f>
        <v>300</v>
      </c>
      <c r="K4770" s="114" t="str">
        <f>HYPERLINK("#Структура!G3409","")</f>
        <v/>
      </c>
      <c r="L4770" s="120">
        <f>HYPERLINK("#Покупные_изделия!D455",Покупные_изделия!D455)</f>
        <v>1.183908</v>
      </c>
      <c r="M4770" s="76">
        <f t="shared" si="191"/>
        <v>355.17239999999998</v>
      </c>
      <c r="N4770" s="77"/>
      <c r="O4770" s="77"/>
      <c r="P4770" s="76"/>
      <c r="Q4770" s="76"/>
    </row>
    <row r="4771" spans="4:17" hidden="1" outlineLevel="3" x14ac:dyDescent="0.25">
      <c r="E4771" s="74" t="s">
        <v>1583</v>
      </c>
      <c r="F4771" s="74"/>
      <c r="G4771" s="74"/>
      <c r="H4771" s="75"/>
      <c r="I4771" s="76"/>
      <c r="J4771" s="78">
        <f>HYPERLINK("#Структура!E3410",Структура!E3410)</f>
        <v>1</v>
      </c>
      <c r="K4771" s="114">
        <f>HYPERLINK("#Структура!G3410",Структура!G3410)</f>
        <v>1.018E-2</v>
      </c>
      <c r="L4771" s="120">
        <f>HYPERLINK("#Покупные_изделия!D456",Покупные_изделия!D456)</f>
        <v>220.00000000000003</v>
      </c>
      <c r="M4771" s="76">
        <f t="shared" si="191"/>
        <v>220.00000000000003</v>
      </c>
      <c r="N4771" s="77"/>
      <c r="O4771" s="77"/>
      <c r="P4771" s="76"/>
      <c r="Q4771" s="76"/>
    </row>
    <row r="4772" spans="4:17" hidden="1" outlineLevel="3" x14ac:dyDescent="0.25">
      <c r="E4772" s="74" t="s">
        <v>512</v>
      </c>
      <c r="F4772" s="74"/>
      <c r="G4772" s="74"/>
      <c r="H4772" s="75"/>
      <c r="I4772" s="76"/>
      <c r="J4772" s="78">
        <f>HYPERLINK("#Структура!E3411",Структура!E3411)</f>
        <v>1</v>
      </c>
      <c r="K4772" s="114">
        <f>HYPERLINK("#Структура!G3411",Структура!G3411)</f>
        <v>5.9409999999999998E-2</v>
      </c>
      <c r="L4772" s="120">
        <f>HYPERLINK("#Покупные_изделия!D457",Покупные_изделия!D457)</f>
        <v>212.78399999999999</v>
      </c>
      <c r="M4772" s="76">
        <f t="shared" si="191"/>
        <v>212.78399999999999</v>
      </c>
      <c r="N4772" s="77"/>
      <c r="O4772" s="77"/>
      <c r="P4772" s="76"/>
      <c r="Q4772" s="76"/>
    </row>
    <row r="4773" spans="4:17" hidden="1" outlineLevel="3" x14ac:dyDescent="0.25">
      <c r="E4773" s="74" t="s">
        <v>513</v>
      </c>
      <c r="F4773" s="74"/>
      <c r="G4773" s="74"/>
      <c r="H4773" s="75"/>
      <c r="I4773" s="76"/>
      <c r="J4773" s="78">
        <f>HYPERLINK("#Структура!E3412",Структура!E3412)</f>
        <v>8</v>
      </c>
      <c r="K4773" s="114">
        <f>HYPERLINK("#Структура!G3412",Структура!G3412)</f>
        <v>1.9539999999999998E-2</v>
      </c>
      <c r="L4773" s="120">
        <f>HYPERLINK("#Покупные_изделия!D458",Покупные_изделия!D458)</f>
        <v>76.401600000000016</v>
      </c>
      <c r="M4773" s="76">
        <f t="shared" si="191"/>
        <v>611.21280000000013</v>
      </c>
      <c r="N4773" s="77"/>
      <c r="O4773" s="77"/>
      <c r="P4773" s="76"/>
      <c r="Q4773" s="76"/>
    </row>
    <row r="4774" spans="4:17" hidden="1" outlineLevel="3" x14ac:dyDescent="0.25">
      <c r="E4774" s="74" t="s">
        <v>515</v>
      </c>
      <c r="F4774" s="74"/>
      <c r="G4774" s="74"/>
      <c r="H4774" s="75"/>
      <c r="I4774" s="76"/>
      <c r="J4774" s="78">
        <f>HYPERLINK("#Структура!E3413",Структура!E3413)</f>
        <v>1</v>
      </c>
      <c r="K4774" s="114">
        <f>HYPERLINK("#Структура!G3413",Структура!G3413)</f>
        <v>6.8000000000000005E-2</v>
      </c>
      <c r="L4774" s="120">
        <f>HYPERLINK("#Покупные_изделия!D461",Покупные_изделия!D461)</f>
        <v>3828.0000000000005</v>
      </c>
      <c r="M4774" s="76">
        <f t="shared" si="191"/>
        <v>3828.0000000000005</v>
      </c>
      <c r="N4774" s="77"/>
      <c r="O4774" s="77"/>
      <c r="P4774" s="76"/>
      <c r="Q4774" s="76"/>
    </row>
    <row r="4775" spans="4:17" hidden="1" outlineLevel="3" x14ac:dyDescent="0.25">
      <c r="E4775" s="74" t="s">
        <v>518</v>
      </c>
      <c r="F4775" s="74"/>
      <c r="G4775" s="74"/>
      <c r="H4775" s="75"/>
      <c r="I4775" s="76"/>
      <c r="J4775" s="78">
        <f>HYPERLINK("#Структура!E3414",Структура!E3414)</f>
        <v>1.2</v>
      </c>
      <c r="K4775" s="114" t="str">
        <f>HYPERLINK("#Структура!G3414","")</f>
        <v/>
      </c>
      <c r="L4775" s="120">
        <f>HYPERLINK("#Покупные_изделия!D464",Покупные_изделия!D464)</f>
        <v>10.1904</v>
      </c>
      <c r="M4775" s="76">
        <f t="shared" si="191"/>
        <v>12.228479999999999</v>
      </c>
      <c r="N4775" s="77"/>
      <c r="O4775" s="77"/>
      <c r="P4775" s="76"/>
      <c r="Q4775" s="76"/>
    </row>
    <row r="4776" spans="4:17" hidden="1" outlineLevel="3" x14ac:dyDescent="0.25">
      <c r="E4776" s="74" t="s">
        <v>523</v>
      </c>
      <c r="F4776" s="74"/>
      <c r="G4776" s="74"/>
      <c r="H4776" s="75"/>
      <c r="I4776" s="76"/>
      <c r="J4776" s="78">
        <f>HYPERLINK("#Структура!E3415",Структура!E3415)</f>
        <v>13</v>
      </c>
      <c r="K4776" s="114">
        <f>HYPERLINK("#Структура!G3415",Структура!G3415)</f>
        <v>1.5689999999999999E-2</v>
      </c>
      <c r="L4776" s="120">
        <f>HYPERLINK("#Покупные_изделия!D470",Покупные_изделия!D470)</f>
        <v>30.804000000000002</v>
      </c>
      <c r="M4776" s="76">
        <f t="shared" si="191"/>
        <v>400.452</v>
      </c>
      <c r="N4776" s="77"/>
      <c r="O4776" s="77"/>
      <c r="P4776" s="76"/>
      <c r="Q4776" s="76"/>
    </row>
    <row r="4777" spans="4:17" hidden="1" outlineLevel="3" x14ac:dyDescent="0.25">
      <c r="E4777" s="74" t="s">
        <v>524</v>
      </c>
      <c r="F4777" s="74"/>
      <c r="G4777" s="74"/>
      <c r="H4777" s="75"/>
      <c r="I4777" s="76"/>
      <c r="J4777" s="78">
        <f>HYPERLINK("#Структура!E3416",Структура!E3416)</f>
        <v>2</v>
      </c>
      <c r="K4777" s="114">
        <f>HYPERLINK("#Структура!G3416",Структура!G3416)</f>
        <v>2.5999999999999999E-3</v>
      </c>
      <c r="L4777" s="120">
        <f>HYPERLINK("#Покупные_изделия!D471",Покупные_изделия!D471)</f>
        <v>16.896000000000001</v>
      </c>
      <c r="M4777" s="76">
        <f t="shared" si="191"/>
        <v>33.792000000000002</v>
      </c>
      <c r="N4777" s="77"/>
      <c r="O4777" s="77"/>
      <c r="P4777" s="76"/>
      <c r="Q4777" s="76"/>
    </row>
    <row r="4778" spans="4:17" hidden="1" outlineLevel="3" x14ac:dyDescent="0.25">
      <c r="E4778" s="74" t="s">
        <v>525</v>
      </c>
      <c r="F4778" s="74"/>
      <c r="G4778" s="74"/>
      <c r="H4778" s="75"/>
      <c r="I4778" s="76"/>
      <c r="J4778" s="78">
        <f>HYPERLINK("#Структура!E3417",Структура!E3417)</f>
        <v>24</v>
      </c>
      <c r="K4778" s="114">
        <f>HYPERLINK("#Структура!G3417",Структура!G3417)</f>
        <v>2.743E-2</v>
      </c>
      <c r="L4778" s="120">
        <f>HYPERLINK("#Покупные_изделия!D472",Покупные_изделия!D472)</f>
        <v>44.304000000000002</v>
      </c>
      <c r="M4778" s="76">
        <f t="shared" si="191"/>
        <v>1063.296</v>
      </c>
      <c r="N4778" s="77"/>
      <c r="O4778" s="77"/>
      <c r="P4778" s="76"/>
      <c r="Q4778" s="76"/>
    </row>
    <row r="4779" spans="4:17" hidden="1" outlineLevel="3" x14ac:dyDescent="0.25">
      <c r="E4779" s="74" t="s">
        <v>533</v>
      </c>
      <c r="F4779" s="74"/>
      <c r="G4779" s="74"/>
      <c r="H4779" s="75"/>
      <c r="I4779" s="76"/>
      <c r="J4779" s="78">
        <f>HYPERLINK("#Структура!E3418",Структура!E3418)</f>
        <v>2</v>
      </c>
      <c r="K4779" s="114" t="str">
        <f>HYPERLINK("#Структура!G3418","")</f>
        <v/>
      </c>
      <c r="L4779" s="120">
        <f>HYPERLINK("#Покупные_изделия!D510",Покупные_изделия!D510)</f>
        <v>25.502400000000002</v>
      </c>
      <c r="M4779" s="76">
        <f t="shared" si="191"/>
        <v>51.004800000000003</v>
      </c>
      <c r="N4779" s="77"/>
      <c r="O4779" s="77"/>
      <c r="P4779" s="76"/>
      <c r="Q4779" s="76"/>
    </row>
    <row r="4780" spans="4:17" hidden="1" outlineLevel="3" x14ac:dyDescent="0.25">
      <c r="E4780" s="74" t="s">
        <v>539</v>
      </c>
      <c r="F4780" s="74"/>
      <c r="G4780" s="74"/>
      <c r="H4780" s="75"/>
      <c r="I4780" s="76"/>
      <c r="J4780" s="78">
        <f>HYPERLINK("#Структура!E3419",Структура!E3419)</f>
        <v>1</v>
      </c>
      <c r="K4780" s="114">
        <f>HYPERLINK("#Структура!G3419",Структура!G3419)</f>
        <v>1.8880000000000001E-2</v>
      </c>
      <c r="L4780" s="120">
        <f>HYPERLINK("#Покупные_изделия!D555",Покупные_изделия!D555)</f>
        <v>95.607600000000019</v>
      </c>
      <c r="M4780" s="76">
        <f t="shared" si="191"/>
        <v>95.607600000000019</v>
      </c>
      <c r="N4780" s="77"/>
      <c r="O4780" s="77"/>
      <c r="P4780" s="76"/>
      <c r="Q4780" s="76"/>
    </row>
    <row r="4781" spans="4:17" hidden="1" outlineLevel="2" collapsed="1" x14ac:dyDescent="0.25">
      <c r="D4781" s="96" t="s">
        <v>1565</v>
      </c>
      <c r="E4781" s="91"/>
      <c r="F4781" s="91"/>
      <c r="G4781" s="91"/>
      <c r="H4781" s="92"/>
      <c r="I4781" s="93"/>
      <c r="J4781" s="95">
        <f>HYPERLINK("#Структура!E3302",Структура!E3302)</f>
        <v>1</v>
      </c>
      <c r="K4781" s="116">
        <f>HYPERLINK("#Структура!G3302",Структура!G3302)</f>
        <v>195.57399000000001</v>
      </c>
      <c r="L4781" s="93">
        <f>M4781/J4781</f>
        <v>303859.28331999987</v>
      </c>
      <c r="M4781" s="93">
        <f>SUMIF(E4782:E4879,"*",M4782:M4879)*J4781</f>
        <v>303859.28331999987</v>
      </c>
      <c r="N4781" s="125">
        <f>HYPERLINK("#Трудозатраты!B874",Трудозатраты!B874+SUMIF(E4782:E4879,"*",O4782:O4879))</f>
        <v>2</v>
      </c>
      <c r="O4781" s="94">
        <f>N4781*J4781</f>
        <v>2</v>
      </c>
      <c r="P4781" s="93">
        <f>O4781/60*(1+запас_труд)*стоимость_трудочаса</f>
        <v>78.333333333333329</v>
      </c>
      <c r="Q4781" s="130">
        <f>M4781*(1+наценка_покупное)+P4781</f>
        <v>364709.47331733315</v>
      </c>
    </row>
    <row r="4782" spans="4:17" hidden="1" outlineLevel="3" collapsed="1" x14ac:dyDescent="0.25">
      <c r="E4782" s="85" t="s">
        <v>1607</v>
      </c>
      <c r="F4782" s="86"/>
      <c r="G4782" s="86"/>
      <c r="H4782" s="87"/>
      <c r="I4782" s="88"/>
      <c r="J4782" s="90">
        <f>HYPERLINK("#Структура!E3509",Структура!E3509)</f>
        <v>1</v>
      </c>
      <c r="K4782" s="113">
        <f>HYPERLINK("#Структура!G3509",Структура!G3509)</f>
        <v>88.980320000000006</v>
      </c>
      <c r="L4782" s="88">
        <f>M4782/J4782</f>
        <v>30829.180800000002</v>
      </c>
      <c r="M4782" s="88">
        <f>SUMIF(F4783,"*",M4783)*J4782</f>
        <v>30829.180800000002</v>
      </c>
      <c r="N4782" s="123">
        <f>HYPERLINK("#Трудозатраты!B873",Трудозатраты!B873+SUMIF(F4783,"*",O4783))</f>
        <v>1</v>
      </c>
      <c r="O4782" s="89">
        <f>N4782*J4782</f>
        <v>1</v>
      </c>
      <c r="P4782" s="88">
        <f>O4782/60*(1+запас_труд)*стоимость_трудочаса</f>
        <v>39.166666666666664</v>
      </c>
      <c r="Q4782" s="128">
        <f>M4782*(1+наценка_покупное)+P4782</f>
        <v>37034.183626666665</v>
      </c>
    </row>
    <row r="4783" spans="4:17" hidden="1" outlineLevel="4" x14ac:dyDescent="0.25">
      <c r="F4783" s="74" t="s">
        <v>357</v>
      </c>
      <c r="G4783" s="74"/>
      <c r="H4783" s="75"/>
      <c r="I4783" s="76"/>
      <c r="J4783" s="78">
        <f>HYPERLINK("#Структура!E3508",Структура!E3508)</f>
        <v>1</v>
      </c>
      <c r="K4783" s="114" t="str">
        <f>HYPERLINK("#Структура!G3508","")</f>
        <v/>
      </c>
      <c r="L4783" s="120">
        <f>HYPERLINK("#Покупные_изделия!D16",Покупные_изделия!D16)</f>
        <v>30829.180800000002</v>
      </c>
      <c r="M4783" s="76">
        <f t="shared" ref="M4783:M4814" si="192">J4783*L4783</f>
        <v>30829.180800000002</v>
      </c>
      <c r="N4783" s="77"/>
      <c r="O4783" s="77"/>
      <c r="P4783" s="76"/>
      <c r="Q4783" s="76"/>
    </row>
    <row r="4784" spans="4:17" hidden="1" outlineLevel="3" x14ac:dyDescent="0.25">
      <c r="E4784" s="74" t="s">
        <v>501</v>
      </c>
      <c r="F4784" s="74"/>
      <c r="G4784" s="74"/>
      <c r="H4784" s="75"/>
      <c r="I4784" s="76"/>
      <c r="J4784" s="78">
        <f>HYPERLINK("#Структура!E3510",Структура!E3510)</f>
        <v>100</v>
      </c>
      <c r="K4784" s="114">
        <f>HYPERLINK("#Структура!G3510",Структура!G3510)</f>
        <v>1.5E-3</v>
      </c>
      <c r="L4784" s="120">
        <f>HYPERLINK("#Покупные_изделия!D436",Покупные_изделия!D436)</f>
        <v>1.1352000000000002</v>
      </c>
      <c r="M4784" s="76">
        <f t="shared" si="192"/>
        <v>113.52000000000002</v>
      </c>
      <c r="N4784" s="77"/>
      <c r="O4784" s="77"/>
      <c r="P4784" s="76"/>
      <c r="Q4784" s="76"/>
    </row>
    <row r="4785" spans="5:17" hidden="1" outlineLevel="3" x14ac:dyDescent="0.25">
      <c r="E4785" s="74" t="s">
        <v>358</v>
      </c>
      <c r="F4785" s="74"/>
      <c r="G4785" s="74"/>
      <c r="H4785" s="75"/>
      <c r="I4785" s="76"/>
      <c r="J4785" s="78">
        <f>HYPERLINK("#Структура!E3511",Структура!E3511)</f>
        <v>4</v>
      </c>
      <c r="K4785" s="114">
        <f>HYPERLINK("#Структура!G3511",Структура!G3511)</f>
        <v>0.32</v>
      </c>
      <c r="L4785" s="120">
        <f>HYPERLINK("#Покупные_изделия!D19",Покупные_изделия!D19)</f>
        <v>115.36800000000002</v>
      </c>
      <c r="M4785" s="76">
        <f t="shared" si="192"/>
        <v>461.47200000000009</v>
      </c>
      <c r="N4785" s="77"/>
      <c r="O4785" s="77"/>
      <c r="P4785" s="76"/>
      <c r="Q4785" s="76"/>
    </row>
    <row r="4786" spans="5:17" hidden="1" outlineLevel="3" x14ac:dyDescent="0.25">
      <c r="E4786" s="74" t="s">
        <v>360</v>
      </c>
      <c r="F4786" s="74"/>
      <c r="G4786" s="74"/>
      <c r="H4786" s="75"/>
      <c r="I4786" s="76"/>
      <c r="J4786" s="78">
        <f>HYPERLINK("#Структура!E3512",Структура!E3512)</f>
        <v>1</v>
      </c>
      <c r="K4786" s="114">
        <f>HYPERLINK("#Структура!G3512",Структура!G3512)</f>
        <v>0.22500000000000001</v>
      </c>
      <c r="L4786" s="120">
        <f>HYPERLINK("#Покупные_изделия!D54",Покупные_изделия!D54)</f>
        <v>1320</v>
      </c>
      <c r="M4786" s="76">
        <f t="shared" si="192"/>
        <v>1320</v>
      </c>
      <c r="N4786" s="77"/>
      <c r="O4786" s="77"/>
      <c r="P4786" s="76"/>
      <c r="Q4786" s="76"/>
    </row>
    <row r="4787" spans="5:17" hidden="1" outlineLevel="3" x14ac:dyDescent="0.25">
      <c r="E4787" s="74" t="s">
        <v>361</v>
      </c>
      <c r="F4787" s="74"/>
      <c r="G4787" s="74"/>
      <c r="H4787" s="75"/>
      <c r="I4787" s="76"/>
      <c r="J4787" s="78">
        <f>HYPERLINK("#Структура!E3513",Структура!E3513)</f>
        <v>1</v>
      </c>
      <c r="K4787" s="114">
        <f>HYPERLINK("#Структура!G3513",Структура!G3513)</f>
        <v>0.24</v>
      </c>
      <c r="L4787" s="120">
        <f>HYPERLINK("#Покупные_изделия!D55",Покупные_изделия!D55)</f>
        <v>1946.5512000000003</v>
      </c>
      <c r="M4787" s="76">
        <f t="shared" si="192"/>
        <v>1946.5512000000003</v>
      </c>
      <c r="N4787" s="77"/>
      <c r="O4787" s="77"/>
      <c r="P4787" s="76"/>
      <c r="Q4787" s="76"/>
    </row>
    <row r="4788" spans="5:17" hidden="1" outlineLevel="3" x14ac:dyDescent="0.25">
      <c r="E4788" s="74" t="s">
        <v>362</v>
      </c>
      <c r="F4788" s="74"/>
      <c r="G4788" s="74"/>
      <c r="H4788" s="75"/>
      <c r="I4788" s="76"/>
      <c r="J4788" s="78">
        <f>HYPERLINK("#Структура!E3514",Структура!E3514)</f>
        <v>1</v>
      </c>
      <c r="K4788" s="114">
        <f>HYPERLINK("#Структура!G3514",Структура!G3514)</f>
        <v>0.31</v>
      </c>
      <c r="L4788" s="120">
        <f>HYPERLINK("#Покупные_изделия!D56",Покупные_изделия!D56)</f>
        <v>2520.1704</v>
      </c>
      <c r="M4788" s="76">
        <f t="shared" si="192"/>
        <v>2520.1704</v>
      </c>
      <c r="N4788" s="77"/>
      <c r="O4788" s="77"/>
      <c r="P4788" s="76"/>
      <c r="Q4788" s="76"/>
    </row>
    <row r="4789" spans="5:17" hidden="1" outlineLevel="3" x14ac:dyDescent="0.25">
      <c r="E4789" s="74" t="s">
        <v>363</v>
      </c>
      <c r="F4789" s="74"/>
      <c r="G4789" s="74"/>
      <c r="H4789" s="75"/>
      <c r="I4789" s="76"/>
      <c r="J4789" s="78">
        <f>HYPERLINK("#Структура!E3515",Структура!E3515)</f>
        <v>1</v>
      </c>
      <c r="K4789" s="114">
        <f>HYPERLINK("#Структура!G3515",Структура!G3515)</f>
        <v>0.26500000000000001</v>
      </c>
      <c r="L4789" s="120">
        <f>HYPERLINK("#Покупные_изделия!D57",Покупные_изделия!D57)</f>
        <v>1409.7996000000001</v>
      </c>
      <c r="M4789" s="76">
        <f t="shared" si="192"/>
        <v>1409.7996000000001</v>
      </c>
      <c r="N4789" s="77"/>
      <c r="O4789" s="77"/>
      <c r="P4789" s="76"/>
      <c r="Q4789" s="76"/>
    </row>
    <row r="4790" spans="5:17" hidden="1" outlineLevel="3" x14ac:dyDescent="0.25">
      <c r="E4790" s="74" t="s">
        <v>364</v>
      </c>
      <c r="F4790" s="74"/>
      <c r="G4790" s="74"/>
      <c r="H4790" s="75"/>
      <c r="I4790" s="76"/>
      <c r="J4790" s="78">
        <f>HYPERLINK("#Структура!E3516",Структура!E3516)</f>
        <v>1</v>
      </c>
      <c r="K4790" s="114">
        <f>HYPERLINK("#Структура!G3516",Структура!G3516)</f>
        <v>0.97</v>
      </c>
      <c r="L4790" s="120">
        <f>HYPERLINK("#Покупные_изделия!D58",Покупные_изделия!D58)</f>
        <v>6595.0236000000004</v>
      </c>
      <c r="M4790" s="76">
        <f t="shared" si="192"/>
        <v>6595.0236000000004</v>
      </c>
      <c r="N4790" s="77"/>
      <c r="O4790" s="77"/>
      <c r="P4790" s="76"/>
      <c r="Q4790" s="76"/>
    </row>
    <row r="4791" spans="5:17" hidden="1" outlineLevel="3" x14ac:dyDescent="0.25">
      <c r="E4791" s="74" t="s">
        <v>576</v>
      </c>
      <c r="F4791" s="74"/>
      <c r="G4791" s="74"/>
      <c r="H4791" s="75"/>
      <c r="I4791" s="76"/>
      <c r="J4791" s="78">
        <f>HYPERLINK("#Структура!E3517",Структура!E3517)</f>
        <v>2</v>
      </c>
      <c r="K4791" s="114">
        <f>HYPERLINK("#Структура!G3517",Структура!G3517)</f>
        <v>2.5368499999999998</v>
      </c>
      <c r="L4791" s="120">
        <f>HYPERLINK("#Покупные_изделия!D59",Покупные_изделия!D59)</f>
        <v>8644.4159999999993</v>
      </c>
      <c r="M4791" s="76">
        <f t="shared" si="192"/>
        <v>17288.831999999999</v>
      </c>
      <c r="N4791" s="77"/>
      <c r="O4791" s="77"/>
      <c r="P4791" s="76"/>
      <c r="Q4791" s="76"/>
    </row>
    <row r="4792" spans="5:17" hidden="1" outlineLevel="3" x14ac:dyDescent="0.25">
      <c r="E4792" s="74" t="s">
        <v>365</v>
      </c>
      <c r="F4792" s="74"/>
      <c r="G4792" s="74"/>
      <c r="H4792" s="75"/>
      <c r="I4792" s="76"/>
      <c r="J4792" s="78">
        <f>HYPERLINK("#Структура!E3518",Структура!E3518)</f>
        <v>1</v>
      </c>
      <c r="K4792" s="114">
        <f>HYPERLINK("#Структура!G3518",Структура!G3518)</f>
        <v>1.64</v>
      </c>
      <c r="L4792" s="120">
        <f>HYPERLINK("#Покупные_изделия!D61",Покупные_изделия!D61)</f>
        <v>22497.618000000002</v>
      </c>
      <c r="M4792" s="76">
        <f t="shared" si="192"/>
        <v>22497.618000000002</v>
      </c>
      <c r="N4792" s="77"/>
      <c r="O4792" s="77"/>
      <c r="P4792" s="76"/>
      <c r="Q4792" s="76"/>
    </row>
    <row r="4793" spans="5:17" hidden="1" outlineLevel="3" x14ac:dyDescent="0.25">
      <c r="E4793" s="74" t="s">
        <v>368</v>
      </c>
      <c r="F4793" s="74"/>
      <c r="G4793" s="74"/>
      <c r="H4793" s="75"/>
      <c r="I4793" s="76"/>
      <c r="J4793" s="78">
        <f>HYPERLINK("#Структура!E3519",Структура!E3519)</f>
        <v>1</v>
      </c>
      <c r="K4793" s="114">
        <f>HYPERLINK("#Структура!G3519",Структура!G3519)</f>
        <v>0.34</v>
      </c>
      <c r="L4793" s="120">
        <f>HYPERLINK("#Покупные_изделия!D69",Покупные_изделия!D69)</f>
        <v>6153.4308000000001</v>
      </c>
      <c r="M4793" s="76">
        <f t="shared" si="192"/>
        <v>6153.4308000000001</v>
      </c>
      <c r="N4793" s="77"/>
      <c r="O4793" s="77"/>
      <c r="P4793" s="76"/>
      <c r="Q4793" s="76"/>
    </row>
    <row r="4794" spans="5:17" hidden="1" outlineLevel="3" x14ac:dyDescent="0.25">
      <c r="E4794" s="74" t="s">
        <v>371</v>
      </c>
      <c r="F4794" s="74"/>
      <c r="G4794" s="74"/>
      <c r="H4794" s="75"/>
      <c r="I4794" s="76"/>
      <c r="J4794" s="78">
        <f>HYPERLINK("#Структура!E3520",Структура!E3520)</f>
        <v>6</v>
      </c>
      <c r="K4794" s="114">
        <f>HYPERLINK("#Структура!G3520",Структура!G3520)</f>
        <v>1.72E-2</v>
      </c>
      <c r="L4794" s="120">
        <f>HYPERLINK("#Покупные_изделия!D151",Покупные_изделия!D151)</f>
        <v>79.397999999999996</v>
      </c>
      <c r="M4794" s="76">
        <f t="shared" si="192"/>
        <v>476.38799999999998</v>
      </c>
      <c r="N4794" s="77"/>
      <c r="O4794" s="77"/>
      <c r="P4794" s="76"/>
      <c r="Q4794" s="76"/>
    </row>
    <row r="4795" spans="5:17" hidden="1" outlineLevel="3" x14ac:dyDescent="0.25">
      <c r="E4795" s="74" t="s">
        <v>373</v>
      </c>
      <c r="F4795" s="74"/>
      <c r="G4795" s="74"/>
      <c r="H4795" s="75"/>
      <c r="I4795" s="76"/>
      <c r="J4795" s="78">
        <f>HYPERLINK("#Структура!E3521",Структура!E3521)</f>
        <v>1</v>
      </c>
      <c r="K4795" s="114">
        <f>HYPERLINK("#Структура!G3521",Структура!G3521)</f>
        <v>4.8000000000000001E-2</v>
      </c>
      <c r="L4795" s="120">
        <f>HYPERLINK("#Покупные_изделия!D153",Покупные_изделия!D153)</f>
        <v>1264.6920000000002</v>
      </c>
      <c r="M4795" s="76">
        <f t="shared" si="192"/>
        <v>1264.6920000000002</v>
      </c>
      <c r="N4795" s="77"/>
      <c r="O4795" s="77"/>
      <c r="P4795" s="76"/>
      <c r="Q4795" s="76"/>
    </row>
    <row r="4796" spans="5:17" hidden="1" outlineLevel="3" x14ac:dyDescent="0.25">
      <c r="E4796" s="74" t="s">
        <v>374</v>
      </c>
      <c r="F4796" s="74"/>
      <c r="G4796" s="74"/>
      <c r="H4796" s="75"/>
      <c r="I4796" s="76"/>
      <c r="J4796" s="78">
        <f>HYPERLINK("#Структура!E3522",Структура!E3522)</f>
        <v>7</v>
      </c>
      <c r="K4796" s="114">
        <f>HYPERLINK("#Структура!G3522",Структура!G3522)</f>
        <v>3.5000000000000003E-2</v>
      </c>
      <c r="L4796" s="120">
        <f>HYPERLINK("#Покупные_изделия!D154",Покупные_изделия!D154)</f>
        <v>352.44</v>
      </c>
      <c r="M4796" s="76">
        <f t="shared" si="192"/>
        <v>2467.08</v>
      </c>
      <c r="N4796" s="77"/>
      <c r="O4796" s="77"/>
      <c r="P4796" s="76"/>
      <c r="Q4796" s="76"/>
    </row>
    <row r="4797" spans="5:17" hidden="1" outlineLevel="3" x14ac:dyDescent="0.25">
      <c r="E4797" s="74" t="s">
        <v>375</v>
      </c>
      <c r="F4797" s="74"/>
      <c r="G4797" s="74"/>
      <c r="H4797" s="75"/>
      <c r="I4797" s="76"/>
      <c r="J4797" s="78">
        <f>HYPERLINK("#Структура!E3523",Структура!E3523)</f>
        <v>9</v>
      </c>
      <c r="K4797" s="114">
        <f>HYPERLINK("#Структура!G3523",Структура!G3523)</f>
        <v>1.4E-2</v>
      </c>
      <c r="L4797" s="120">
        <f>HYPERLINK("#Покупные_изделия!D155",Покупные_изделия!D155)</f>
        <v>261.25439999999998</v>
      </c>
      <c r="M4797" s="76">
        <f t="shared" si="192"/>
        <v>2351.2895999999996</v>
      </c>
      <c r="N4797" s="77"/>
      <c r="O4797" s="77"/>
      <c r="P4797" s="76"/>
      <c r="Q4797" s="76"/>
    </row>
    <row r="4798" spans="5:17" hidden="1" outlineLevel="3" x14ac:dyDescent="0.25">
      <c r="E4798" s="74" t="s">
        <v>376</v>
      </c>
      <c r="F4798" s="74"/>
      <c r="G4798" s="74"/>
      <c r="H4798" s="75"/>
      <c r="I4798" s="76"/>
      <c r="J4798" s="78">
        <f>HYPERLINK("#Структура!E3524",Структура!E3524)</f>
        <v>15</v>
      </c>
      <c r="K4798" s="114">
        <f>HYPERLINK("#Структура!G3524",Структура!G3524)</f>
        <v>7.1730000000000002E-2</v>
      </c>
      <c r="L4798" s="120">
        <f>HYPERLINK("#Покупные_изделия!D156",Покупные_изделия!D156)</f>
        <v>257.25479999999999</v>
      </c>
      <c r="M4798" s="76">
        <f t="shared" si="192"/>
        <v>3858.8219999999997</v>
      </c>
      <c r="N4798" s="77"/>
      <c r="O4798" s="77"/>
      <c r="P4798" s="76"/>
      <c r="Q4798" s="76"/>
    </row>
    <row r="4799" spans="5:17" hidden="1" outlineLevel="3" x14ac:dyDescent="0.25">
      <c r="E4799" s="74" t="s">
        <v>377</v>
      </c>
      <c r="F4799" s="74"/>
      <c r="G4799" s="74"/>
      <c r="H4799" s="75"/>
      <c r="I4799" s="76"/>
      <c r="J4799" s="78">
        <f>HYPERLINK("#Структура!E3525",Структура!E3525)</f>
        <v>150</v>
      </c>
      <c r="K4799" s="114">
        <f>HYPERLINK("#Структура!G3525",Структура!G3525)</f>
        <v>6.2950000000000006E-2</v>
      </c>
      <c r="L4799" s="120">
        <f>HYPERLINK("#Покупные_изделия!D157",Покупные_изделия!D157)</f>
        <v>19.390800000000002</v>
      </c>
      <c r="M4799" s="76">
        <f t="shared" si="192"/>
        <v>2908.6200000000003</v>
      </c>
      <c r="N4799" s="77"/>
      <c r="O4799" s="77"/>
      <c r="P4799" s="76"/>
      <c r="Q4799" s="76"/>
    </row>
    <row r="4800" spans="5:17" hidden="1" outlineLevel="3" x14ac:dyDescent="0.25">
      <c r="E4800" s="74" t="s">
        <v>378</v>
      </c>
      <c r="F4800" s="74"/>
      <c r="G4800" s="74"/>
      <c r="H4800" s="75"/>
      <c r="I4800" s="76"/>
      <c r="J4800" s="78">
        <f>HYPERLINK("#Структура!E3526",Структура!E3526)</f>
        <v>1</v>
      </c>
      <c r="K4800" s="114">
        <f>HYPERLINK("#Структура!G3526",Структура!G3526)</f>
        <v>0.64</v>
      </c>
      <c r="L4800" s="120">
        <f>HYPERLINK("#Покупные_изделия!D159",Покупные_изделия!D159)</f>
        <v>5421.0420000000004</v>
      </c>
      <c r="M4800" s="76">
        <f t="shared" si="192"/>
        <v>5421.0420000000004</v>
      </c>
      <c r="N4800" s="77"/>
      <c r="O4800" s="77"/>
      <c r="P4800" s="76"/>
      <c r="Q4800" s="76"/>
    </row>
    <row r="4801" spans="5:17" hidden="1" outlineLevel="3" x14ac:dyDescent="0.25">
      <c r="E4801" s="74" t="s">
        <v>380</v>
      </c>
      <c r="F4801" s="74"/>
      <c r="G4801" s="74"/>
      <c r="H4801" s="75"/>
      <c r="I4801" s="76"/>
      <c r="J4801" s="78">
        <f>HYPERLINK("#Структура!E3527",Структура!E3527)</f>
        <v>5</v>
      </c>
      <c r="K4801" s="114">
        <f>HYPERLINK("#Структура!G3527",Структура!G3527)</f>
        <v>5.96E-3</v>
      </c>
      <c r="L4801" s="120">
        <f>HYPERLINK("#Покупные_изделия!D180",Покупные_изделия!D180)</f>
        <v>52.074000000000005</v>
      </c>
      <c r="M4801" s="76">
        <f t="shared" si="192"/>
        <v>260.37</v>
      </c>
      <c r="N4801" s="77"/>
      <c r="O4801" s="77"/>
      <c r="P4801" s="76"/>
      <c r="Q4801" s="76"/>
    </row>
    <row r="4802" spans="5:17" hidden="1" outlineLevel="3" x14ac:dyDescent="0.25">
      <c r="E4802" s="74" t="s">
        <v>381</v>
      </c>
      <c r="F4802" s="74"/>
      <c r="G4802" s="74"/>
      <c r="H4802" s="75"/>
      <c r="I4802" s="76"/>
      <c r="J4802" s="78">
        <f>HYPERLINK("#Структура!E3528",Структура!E3528)</f>
        <v>7</v>
      </c>
      <c r="K4802" s="114">
        <f>HYPERLINK("#Структура!G3528",Структура!G3528)</f>
        <v>8.9999999999999993E-3</v>
      </c>
      <c r="L4802" s="120">
        <f>HYPERLINK("#Покупные_изделия!D183",Покупные_изделия!D183)</f>
        <v>66</v>
      </c>
      <c r="M4802" s="76">
        <f t="shared" si="192"/>
        <v>462</v>
      </c>
      <c r="N4802" s="77"/>
      <c r="O4802" s="77"/>
      <c r="P4802" s="76"/>
      <c r="Q4802" s="76"/>
    </row>
    <row r="4803" spans="5:17" hidden="1" outlineLevel="3" x14ac:dyDescent="0.25">
      <c r="E4803" s="74" t="s">
        <v>388</v>
      </c>
      <c r="F4803" s="74"/>
      <c r="G4803" s="74"/>
      <c r="H4803" s="75"/>
      <c r="I4803" s="76"/>
      <c r="J4803" s="78">
        <f>HYPERLINK("#Структура!E3529",Структура!E3529)</f>
        <v>1</v>
      </c>
      <c r="K4803" s="114">
        <f>HYPERLINK("#Структура!G3529",Структура!G3529)</f>
        <v>0.57352000000000003</v>
      </c>
      <c r="L4803" s="120">
        <f>HYPERLINK("#Покупные_изделия!D209",Покупные_изделия!D209)</f>
        <v>1.1000000000000001E-2</v>
      </c>
      <c r="M4803" s="76">
        <f t="shared" si="192"/>
        <v>1.1000000000000001E-2</v>
      </c>
      <c r="N4803" s="77"/>
      <c r="O4803" s="77"/>
      <c r="P4803" s="76"/>
      <c r="Q4803" s="76"/>
    </row>
    <row r="4804" spans="5:17" hidden="1" outlineLevel="3" x14ac:dyDescent="0.25">
      <c r="E4804" s="74" t="s">
        <v>390</v>
      </c>
      <c r="F4804" s="74"/>
      <c r="G4804" s="74"/>
      <c r="H4804" s="75"/>
      <c r="I4804" s="76"/>
      <c r="J4804" s="78">
        <f>HYPERLINK("#Структура!E3530",Структура!E3530)</f>
        <v>2</v>
      </c>
      <c r="K4804" s="114">
        <f>HYPERLINK("#Структура!G3530",Структура!G3530)</f>
        <v>0.19148000000000001</v>
      </c>
      <c r="L4804" s="120">
        <f>HYPERLINK("#Покупные_изделия!D211",Покупные_изделия!D211)</f>
        <v>43.56</v>
      </c>
      <c r="M4804" s="76">
        <f t="shared" si="192"/>
        <v>87.12</v>
      </c>
      <c r="N4804" s="77"/>
      <c r="O4804" s="77"/>
      <c r="P4804" s="76"/>
      <c r="Q4804" s="76"/>
    </row>
    <row r="4805" spans="5:17" hidden="1" outlineLevel="3" x14ac:dyDescent="0.25">
      <c r="E4805" s="74" t="s">
        <v>391</v>
      </c>
      <c r="F4805" s="74"/>
      <c r="G4805" s="74"/>
      <c r="H4805" s="75"/>
      <c r="I4805" s="76"/>
      <c r="J4805" s="78">
        <f>HYPERLINK("#Структура!E3531",Структура!E3531)</f>
        <v>7</v>
      </c>
      <c r="K4805" s="114">
        <f>HYPERLINK("#Структура!G3531",Структура!G3531)</f>
        <v>6.4999999999999997E-4</v>
      </c>
      <c r="L4805" s="120">
        <f>HYPERLINK("#Покупные_изделия!D212",Покупные_изделия!D212)</f>
        <v>582.12</v>
      </c>
      <c r="M4805" s="76">
        <f t="shared" si="192"/>
        <v>4074.84</v>
      </c>
      <c r="N4805" s="77"/>
      <c r="O4805" s="77"/>
      <c r="P4805" s="76"/>
      <c r="Q4805" s="76"/>
    </row>
    <row r="4806" spans="5:17" hidden="1" outlineLevel="3" x14ac:dyDescent="0.25">
      <c r="E4806" s="74" t="s">
        <v>392</v>
      </c>
      <c r="F4806" s="74"/>
      <c r="G4806" s="74"/>
      <c r="H4806" s="75"/>
      <c r="I4806" s="76"/>
      <c r="J4806" s="78">
        <f>HYPERLINK("#Структура!E3532",Структура!E3532)</f>
        <v>3</v>
      </c>
      <c r="K4806" s="114">
        <f>HYPERLINK("#Структура!G3532",Структура!G3532)</f>
        <v>6.4999999999999997E-4</v>
      </c>
      <c r="L4806" s="120">
        <f>HYPERLINK("#Покупные_изделия!D213",Покупные_изделия!D213)</f>
        <v>528</v>
      </c>
      <c r="M4806" s="76">
        <f t="shared" si="192"/>
        <v>1584</v>
      </c>
      <c r="N4806" s="77"/>
      <c r="O4806" s="77"/>
      <c r="P4806" s="76"/>
      <c r="Q4806" s="76"/>
    </row>
    <row r="4807" spans="5:17" hidden="1" outlineLevel="3" x14ac:dyDescent="0.25">
      <c r="E4807" s="74" t="s">
        <v>775</v>
      </c>
      <c r="F4807" s="74"/>
      <c r="G4807" s="74"/>
      <c r="H4807" s="75"/>
      <c r="I4807" s="76"/>
      <c r="J4807" s="78">
        <f>HYPERLINK("#Структура!E3533",Структура!E3533)</f>
        <v>2</v>
      </c>
      <c r="K4807" s="114" t="str">
        <f>HYPERLINK("#Структура!G3533","")</f>
        <v/>
      </c>
      <c r="L4807" s="120">
        <f>HYPERLINK("#Покупные_изделия!D216",Покупные_изделия!D216)</f>
        <v>31.536000000000001</v>
      </c>
      <c r="M4807" s="76">
        <f t="shared" si="192"/>
        <v>63.072000000000003</v>
      </c>
      <c r="N4807" s="77"/>
      <c r="O4807" s="77"/>
      <c r="P4807" s="76"/>
      <c r="Q4807" s="76"/>
    </row>
    <row r="4808" spans="5:17" hidden="1" outlineLevel="3" x14ac:dyDescent="0.25">
      <c r="E4808" s="74" t="s">
        <v>401</v>
      </c>
      <c r="F4808" s="74"/>
      <c r="G4808" s="74"/>
      <c r="H4808" s="75"/>
      <c r="I4808" s="76"/>
      <c r="J4808" s="78">
        <f>HYPERLINK("#Структура!E3534",Структура!E3534)</f>
        <v>1</v>
      </c>
      <c r="K4808" s="114">
        <f>HYPERLINK("#Структура!G3534",Структура!G3534)</f>
        <v>0.26053999999999999</v>
      </c>
      <c r="L4808" s="120">
        <f>HYPERLINK("#Покупные_изделия!D225",Покупные_изделия!D225)</f>
        <v>567.66</v>
      </c>
      <c r="M4808" s="76">
        <f t="shared" si="192"/>
        <v>567.66</v>
      </c>
      <c r="N4808" s="77"/>
      <c r="O4808" s="77"/>
      <c r="P4808" s="76"/>
      <c r="Q4808" s="76"/>
    </row>
    <row r="4809" spans="5:17" hidden="1" outlineLevel="3" x14ac:dyDescent="0.25">
      <c r="E4809" s="74" t="s">
        <v>415</v>
      </c>
      <c r="F4809" s="74"/>
      <c r="G4809" s="74"/>
      <c r="H4809" s="75"/>
      <c r="I4809" s="76"/>
      <c r="J4809" s="78">
        <f>HYPERLINK("#Структура!E3535",Структура!E3535)</f>
        <v>1</v>
      </c>
      <c r="K4809" s="114">
        <f>HYPERLINK("#Структура!G3535",Структура!G3535)</f>
        <v>0.42882999999999999</v>
      </c>
      <c r="L4809" s="120">
        <f>HYPERLINK("#Покупные_изделия!D242",Покупные_изделия!D242)</f>
        <v>1020.2940000000001</v>
      </c>
      <c r="M4809" s="76">
        <f t="shared" si="192"/>
        <v>1020.2940000000001</v>
      </c>
      <c r="N4809" s="77"/>
      <c r="O4809" s="77"/>
      <c r="P4809" s="76"/>
      <c r="Q4809" s="76"/>
    </row>
    <row r="4810" spans="5:17" hidden="1" outlineLevel="3" x14ac:dyDescent="0.25">
      <c r="E4810" s="74" t="s">
        <v>417</v>
      </c>
      <c r="F4810" s="74"/>
      <c r="G4810" s="74"/>
      <c r="H4810" s="75"/>
      <c r="I4810" s="76"/>
      <c r="J4810" s="78">
        <f>HYPERLINK("#Структура!E3536",Структура!E3536)</f>
        <v>2</v>
      </c>
      <c r="K4810" s="114">
        <f>HYPERLINK("#Структура!G3536",Структура!G3536)</f>
        <v>8.9999999999999993E-3</v>
      </c>
      <c r="L4810" s="120">
        <f>HYPERLINK("#Покупные_изделия!D277",Покупные_изделия!D277)</f>
        <v>269.50439999999998</v>
      </c>
      <c r="M4810" s="76">
        <f t="shared" si="192"/>
        <v>539.00879999999995</v>
      </c>
      <c r="N4810" s="77"/>
      <c r="O4810" s="77"/>
      <c r="P4810" s="76"/>
      <c r="Q4810" s="76"/>
    </row>
    <row r="4811" spans="5:17" hidden="1" outlineLevel="3" x14ac:dyDescent="0.25">
      <c r="E4811" s="74" t="s">
        <v>418</v>
      </c>
      <c r="F4811" s="74"/>
      <c r="G4811" s="74"/>
      <c r="H4811" s="75"/>
      <c r="I4811" s="76"/>
      <c r="J4811" s="78">
        <f>HYPERLINK("#Структура!E3537",Структура!E3537)</f>
        <v>19</v>
      </c>
      <c r="K4811" s="114">
        <f>HYPERLINK("#Структура!G3537",Структура!G3537)</f>
        <v>8.9999999999999998E-4</v>
      </c>
      <c r="L4811" s="120">
        <f>HYPERLINK("#Покупные_изделия!D310",Покупные_изделия!D310)</f>
        <v>292.80239999999998</v>
      </c>
      <c r="M4811" s="76">
        <f t="shared" si="192"/>
        <v>5563.2455999999993</v>
      </c>
      <c r="N4811" s="77"/>
      <c r="O4811" s="77"/>
      <c r="P4811" s="76"/>
      <c r="Q4811" s="76"/>
    </row>
    <row r="4812" spans="5:17" hidden="1" outlineLevel="3" x14ac:dyDescent="0.25">
      <c r="E4812" s="74" t="s">
        <v>419</v>
      </c>
      <c r="F4812" s="74"/>
      <c r="G4812" s="74"/>
      <c r="H4812" s="75"/>
      <c r="I4812" s="76"/>
      <c r="J4812" s="78">
        <f>HYPERLINK("#Структура!E3538",Структура!E3538)</f>
        <v>1</v>
      </c>
      <c r="K4812" s="114" t="str">
        <f>HYPERLINK("#Структура!G3538","")</f>
        <v/>
      </c>
      <c r="L4812" s="120">
        <f>HYPERLINK("#Покупные_изделия!D311",Покупные_изделия!D311)</f>
        <v>292.9212</v>
      </c>
      <c r="M4812" s="76">
        <f t="shared" si="192"/>
        <v>292.9212</v>
      </c>
      <c r="N4812" s="77"/>
      <c r="O4812" s="77"/>
      <c r="P4812" s="76"/>
      <c r="Q4812" s="76"/>
    </row>
    <row r="4813" spans="5:17" hidden="1" outlineLevel="3" x14ac:dyDescent="0.25">
      <c r="E4813" s="74" t="s">
        <v>424</v>
      </c>
      <c r="F4813" s="74"/>
      <c r="G4813" s="74"/>
      <c r="H4813" s="75"/>
      <c r="I4813" s="76"/>
      <c r="J4813" s="78">
        <f>HYPERLINK("#Структура!E3539",Структура!E3539)</f>
        <v>3</v>
      </c>
      <c r="K4813" s="114" t="str">
        <f>HYPERLINK("#Структура!G3539","")</f>
        <v/>
      </c>
      <c r="L4813" s="120">
        <f>HYPERLINK("#Покупные_изделия!D317",Покупные_изделия!D317)</f>
        <v>489.53520000000003</v>
      </c>
      <c r="M4813" s="76">
        <f t="shared" si="192"/>
        <v>1468.6056000000001</v>
      </c>
      <c r="N4813" s="77"/>
      <c r="O4813" s="77"/>
      <c r="P4813" s="76"/>
      <c r="Q4813" s="76"/>
    </row>
    <row r="4814" spans="5:17" hidden="1" outlineLevel="3" x14ac:dyDescent="0.25">
      <c r="E4814" s="74" t="s">
        <v>427</v>
      </c>
      <c r="F4814" s="74"/>
      <c r="G4814" s="74"/>
      <c r="H4814" s="75"/>
      <c r="I4814" s="76"/>
      <c r="J4814" s="78">
        <f>HYPERLINK("#Структура!E3540",Структура!E3540)</f>
        <v>1</v>
      </c>
      <c r="K4814" s="114">
        <f>HYPERLINK("#Структура!G3540",Структура!G3540)</f>
        <v>1.3360399999999999</v>
      </c>
      <c r="L4814" s="120">
        <f>HYPERLINK("#Покупные_изделия!D320",Покупные_изделия!D320)</f>
        <v>18869.914799999999</v>
      </c>
      <c r="M4814" s="76">
        <f t="shared" si="192"/>
        <v>18869.914799999999</v>
      </c>
      <c r="N4814" s="77"/>
      <c r="O4814" s="77"/>
      <c r="P4814" s="76"/>
      <c r="Q4814" s="76"/>
    </row>
    <row r="4815" spans="5:17" hidden="1" outlineLevel="3" x14ac:dyDescent="0.25">
      <c r="E4815" s="74" t="s">
        <v>428</v>
      </c>
      <c r="F4815" s="74"/>
      <c r="G4815" s="74"/>
      <c r="H4815" s="75"/>
      <c r="I4815" s="76"/>
      <c r="J4815" s="78">
        <f>HYPERLINK("#Структура!E3541",Структура!E3541)</f>
        <v>1</v>
      </c>
      <c r="K4815" s="114">
        <f>HYPERLINK("#Структура!G3541",Структура!G3541)</f>
        <v>1.3360399999999999</v>
      </c>
      <c r="L4815" s="120">
        <f>HYPERLINK("#Покупные_изделия!D321",Покупные_изделия!D321)</f>
        <v>26138.143680000001</v>
      </c>
      <c r="M4815" s="76">
        <f t="shared" ref="M4815:M4846" si="193">J4815*L4815</f>
        <v>26138.143680000001</v>
      </c>
      <c r="N4815" s="77"/>
      <c r="O4815" s="77"/>
      <c r="P4815" s="76"/>
      <c r="Q4815" s="76"/>
    </row>
    <row r="4816" spans="5:17" hidden="1" outlineLevel="3" x14ac:dyDescent="0.25">
      <c r="E4816" s="74" t="s">
        <v>429</v>
      </c>
      <c r="F4816" s="74"/>
      <c r="G4816" s="74"/>
      <c r="H4816" s="75"/>
      <c r="I4816" s="76"/>
      <c r="J4816" s="78">
        <f>HYPERLINK("#Структура!E3542",Структура!E3542)</f>
        <v>3</v>
      </c>
      <c r="K4816" s="114">
        <f>HYPERLINK("#Структура!G3542",Структура!G3542)</f>
        <v>3.8109999999999998E-2</v>
      </c>
      <c r="L4816" s="120">
        <f>HYPERLINK("#Покупные_изделия!D322",Покупные_изделия!D322)</f>
        <v>330</v>
      </c>
      <c r="M4816" s="76">
        <f t="shared" si="193"/>
        <v>990</v>
      </c>
      <c r="N4816" s="77"/>
      <c r="O4816" s="77"/>
      <c r="P4816" s="76"/>
      <c r="Q4816" s="76"/>
    </row>
    <row r="4817" spans="5:17" hidden="1" outlineLevel="3" x14ac:dyDescent="0.25">
      <c r="E4817" s="74" t="s">
        <v>430</v>
      </c>
      <c r="F4817" s="74"/>
      <c r="G4817" s="74"/>
      <c r="H4817" s="75"/>
      <c r="I4817" s="76"/>
      <c r="J4817" s="78">
        <f>HYPERLINK("#Структура!E3543",Структура!E3543)</f>
        <v>3</v>
      </c>
      <c r="K4817" s="114">
        <f>HYPERLINK("#Структура!G3543",Структура!G3543)</f>
        <v>0.56821999999999995</v>
      </c>
      <c r="L4817" s="120">
        <f>HYPERLINK("#Покупные_изделия!D323",Покупные_изделия!D323)</f>
        <v>547.80000000000007</v>
      </c>
      <c r="M4817" s="76">
        <f t="shared" si="193"/>
        <v>1643.4</v>
      </c>
      <c r="N4817" s="77"/>
      <c r="O4817" s="77"/>
      <c r="P4817" s="76"/>
      <c r="Q4817" s="76"/>
    </row>
    <row r="4818" spans="5:17" hidden="1" outlineLevel="3" x14ac:dyDescent="0.25">
      <c r="E4818" s="74" t="s">
        <v>432</v>
      </c>
      <c r="F4818" s="74"/>
      <c r="G4818" s="74"/>
      <c r="H4818" s="75"/>
      <c r="I4818" s="76"/>
      <c r="J4818" s="78">
        <f>HYPERLINK("#Структура!E3544",Структура!E3544)</f>
        <v>3</v>
      </c>
      <c r="K4818" s="114">
        <f>HYPERLINK("#Структура!G3544",Структура!G3544)</f>
        <v>0.56821999999999995</v>
      </c>
      <c r="L4818" s="120">
        <f>HYPERLINK("#Покупные_изделия!D325",Покупные_изделия!D325)</f>
        <v>405.45120000000009</v>
      </c>
      <c r="M4818" s="76">
        <f t="shared" si="193"/>
        <v>1216.3536000000004</v>
      </c>
      <c r="N4818" s="77"/>
      <c r="O4818" s="77"/>
      <c r="P4818" s="76"/>
      <c r="Q4818" s="76"/>
    </row>
    <row r="4819" spans="5:17" hidden="1" outlineLevel="3" x14ac:dyDescent="0.25">
      <c r="E4819" s="74" t="s">
        <v>433</v>
      </c>
      <c r="F4819" s="74"/>
      <c r="G4819" s="74"/>
      <c r="H4819" s="75"/>
      <c r="I4819" s="76"/>
      <c r="J4819" s="78">
        <f>HYPERLINK("#Структура!E3545",Структура!E3545)</f>
        <v>1</v>
      </c>
      <c r="K4819" s="114" t="str">
        <f>HYPERLINK("#Структура!G3545","")</f>
        <v/>
      </c>
      <c r="L4819" s="120">
        <f>HYPERLINK("#Покупные_изделия!D326",Покупные_изделия!D326)</f>
        <v>1095.6000000000001</v>
      </c>
      <c r="M4819" s="76">
        <f t="shared" si="193"/>
        <v>1095.6000000000001</v>
      </c>
      <c r="N4819" s="77"/>
      <c r="O4819" s="77"/>
      <c r="P4819" s="76"/>
      <c r="Q4819" s="76"/>
    </row>
    <row r="4820" spans="5:17" hidden="1" outlineLevel="3" x14ac:dyDescent="0.25">
      <c r="E4820" s="74" t="s">
        <v>434</v>
      </c>
      <c r="F4820" s="74"/>
      <c r="G4820" s="74"/>
      <c r="H4820" s="75"/>
      <c r="I4820" s="76"/>
      <c r="J4820" s="78">
        <f>HYPERLINK("#Структура!E3546",Структура!E3546)</f>
        <v>1</v>
      </c>
      <c r="K4820" s="114" t="str">
        <f>HYPERLINK("#Структура!G3546","")</f>
        <v/>
      </c>
      <c r="L4820" s="120">
        <f>HYPERLINK("#Покупные_изделия!D327",Покупные_изделия!D327)</f>
        <v>2609.3892000000001</v>
      </c>
      <c r="M4820" s="76">
        <f t="shared" si="193"/>
        <v>2609.3892000000001</v>
      </c>
      <c r="N4820" s="77"/>
      <c r="O4820" s="77"/>
      <c r="P4820" s="76"/>
      <c r="Q4820" s="76"/>
    </row>
    <row r="4821" spans="5:17" hidden="1" outlineLevel="3" x14ac:dyDescent="0.25">
      <c r="E4821" s="74" t="s">
        <v>437</v>
      </c>
      <c r="F4821" s="74"/>
      <c r="G4821" s="74"/>
      <c r="H4821" s="75"/>
      <c r="I4821" s="76"/>
      <c r="J4821" s="78">
        <f>HYPERLINK("#Структура!E3547",Структура!E3547)</f>
        <v>4</v>
      </c>
      <c r="K4821" s="114">
        <f>HYPERLINK("#Структура!G3547",Структура!G3547)</f>
        <v>5.5140000000000002E-2</v>
      </c>
      <c r="L4821" s="120">
        <f>HYPERLINK("#Покупные_изделия!D334",Покупные_изделия!D334)</f>
        <v>715.22879999999998</v>
      </c>
      <c r="M4821" s="76">
        <f t="shared" si="193"/>
        <v>2860.9151999999999</v>
      </c>
      <c r="N4821" s="77"/>
      <c r="O4821" s="77"/>
      <c r="P4821" s="76"/>
      <c r="Q4821" s="76"/>
    </row>
    <row r="4822" spans="5:17" hidden="1" outlineLevel="3" x14ac:dyDescent="0.25">
      <c r="E4822" s="74" t="s">
        <v>438</v>
      </c>
      <c r="F4822" s="74"/>
      <c r="G4822" s="74"/>
      <c r="H4822" s="75"/>
      <c r="I4822" s="76"/>
      <c r="J4822" s="78">
        <f>HYPERLINK("#Структура!E3548",Структура!E3548)</f>
        <v>2</v>
      </c>
      <c r="K4822" s="114">
        <f>HYPERLINK("#Структура!G3548",Структура!G3548)</f>
        <v>0.36936999999999998</v>
      </c>
      <c r="L4822" s="120">
        <f>HYPERLINK("#Покупные_изделия!D335",Покупные_изделия!D335)</f>
        <v>686.07600000000002</v>
      </c>
      <c r="M4822" s="76">
        <f t="shared" si="193"/>
        <v>1372.152</v>
      </c>
      <c r="N4822" s="77"/>
      <c r="O4822" s="77"/>
      <c r="P4822" s="76"/>
      <c r="Q4822" s="76"/>
    </row>
    <row r="4823" spans="5:17" hidden="1" outlineLevel="3" x14ac:dyDescent="0.25">
      <c r="E4823" s="74" t="s">
        <v>545</v>
      </c>
      <c r="F4823" s="74"/>
      <c r="G4823" s="74"/>
      <c r="H4823" s="75"/>
      <c r="I4823" s="76"/>
      <c r="J4823" s="78">
        <f>HYPERLINK("#Структура!E3549",Структура!E3549)</f>
        <v>1</v>
      </c>
      <c r="K4823" s="114">
        <f>HYPERLINK("#Структура!G3549",Структура!G3549)</f>
        <v>0.70199999999999996</v>
      </c>
      <c r="L4823" s="120">
        <f>HYPERLINK("#Покупные_изделия!D336",Покупные_изделия!D336)</f>
        <v>770.00000000000011</v>
      </c>
      <c r="M4823" s="76">
        <f t="shared" si="193"/>
        <v>770.00000000000011</v>
      </c>
      <c r="N4823" s="77"/>
      <c r="O4823" s="77"/>
      <c r="P4823" s="76"/>
      <c r="Q4823" s="76"/>
    </row>
    <row r="4824" spans="5:17" hidden="1" outlineLevel="3" x14ac:dyDescent="0.25">
      <c r="E4824" s="74" t="s">
        <v>439</v>
      </c>
      <c r="F4824" s="74"/>
      <c r="G4824" s="74"/>
      <c r="H4824" s="75"/>
      <c r="I4824" s="76"/>
      <c r="J4824" s="78">
        <f>HYPERLINK("#Структура!E3550",Структура!E3550)</f>
        <v>5</v>
      </c>
      <c r="K4824" s="114">
        <f>HYPERLINK("#Структура!G3550",Структура!G3550)</f>
        <v>0.12127</v>
      </c>
      <c r="L4824" s="120">
        <f>HYPERLINK("#Покупные_изделия!D337",Покупные_изделия!D337)</f>
        <v>708.52319999999997</v>
      </c>
      <c r="M4824" s="76">
        <f t="shared" si="193"/>
        <v>3542.616</v>
      </c>
      <c r="N4824" s="77"/>
      <c r="O4824" s="77"/>
      <c r="P4824" s="76"/>
      <c r="Q4824" s="76"/>
    </row>
    <row r="4825" spans="5:17" hidden="1" outlineLevel="3" x14ac:dyDescent="0.25">
      <c r="E4825" s="74" t="s">
        <v>442</v>
      </c>
      <c r="F4825" s="74"/>
      <c r="G4825" s="74"/>
      <c r="H4825" s="75"/>
      <c r="I4825" s="76"/>
      <c r="J4825" s="78">
        <f>HYPERLINK("#Структура!E3551",Структура!E3551)</f>
        <v>4</v>
      </c>
      <c r="K4825" s="114">
        <f>HYPERLINK("#Структура!G3551",Структура!G3551)</f>
        <v>0.1109</v>
      </c>
      <c r="L4825" s="120">
        <f>HYPERLINK("#Покупные_изделия!D341",Покупные_изделия!D341)</f>
        <v>424.4196</v>
      </c>
      <c r="M4825" s="76">
        <f t="shared" si="193"/>
        <v>1697.6784</v>
      </c>
      <c r="N4825" s="77"/>
      <c r="O4825" s="77"/>
      <c r="P4825" s="76"/>
      <c r="Q4825" s="76"/>
    </row>
    <row r="4826" spans="5:17" hidden="1" outlineLevel="3" x14ac:dyDescent="0.25">
      <c r="E4826" s="74" t="s">
        <v>578</v>
      </c>
      <c r="F4826" s="74"/>
      <c r="G4826" s="74"/>
      <c r="H4826" s="75"/>
      <c r="I4826" s="76"/>
      <c r="J4826" s="78">
        <f>HYPERLINK("#Структура!E3552",Структура!E3552)</f>
        <v>3</v>
      </c>
      <c r="K4826" s="114" t="str">
        <f>HYPERLINK("#Структура!G3552","")</f>
        <v/>
      </c>
      <c r="L4826" s="120">
        <f>HYPERLINK("#Покупные_изделия!D342",Покупные_изделия!D342)</f>
        <v>550</v>
      </c>
      <c r="M4826" s="76">
        <f t="shared" si="193"/>
        <v>1650</v>
      </c>
      <c r="N4826" s="77"/>
      <c r="O4826" s="77"/>
      <c r="P4826" s="76"/>
      <c r="Q4826" s="76"/>
    </row>
    <row r="4827" spans="5:17" hidden="1" outlineLevel="3" x14ac:dyDescent="0.25">
      <c r="E4827" s="74" t="s">
        <v>449</v>
      </c>
      <c r="F4827" s="74"/>
      <c r="G4827" s="74"/>
      <c r="H4827" s="75"/>
      <c r="I4827" s="76"/>
      <c r="J4827" s="78">
        <f>HYPERLINK("#Структура!E3553",Структура!E3553)</f>
        <v>24</v>
      </c>
      <c r="K4827" s="114">
        <f>HYPERLINK("#Структура!G3553",Структура!G3553)</f>
        <v>4.4999999999999999E-4</v>
      </c>
      <c r="L4827" s="120">
        <f>HYPERLINK("#Покупные_изделия!D352",Покупные_изделия!D352)</f>
        <v>2.1480000000000001</v>
      </c>
      <c r="M4827" s="76">
        <f t="shared" si="193"/>
        <v>51.552000000000007</v>
      </c>
      <c r="N4827" s="77"/>
      <c r="O4827" s="77"/>
      <c r="P4827" s="76"/>
      <c r="Q4827" s="76"/>
    </row>
    <row r="4828" spans="5:17" hidden="1" outlineLevel="3" x14ac:dyDescent="0.25">
      <c r="E4828" s="74" t="s">
        <v>450</v>
      </c>
      <c r="F4828" s="74"/>
      <c r="G4828" s="74"/>
      <c r="H4828" s="75"/>
      <c r="I4828" s="76"/>
      <c r="J4828" s="78">
        <f>HYPERLINK("#Структура!E3554",Структура!E3554)</f>
        <v>650</v>
      </c>
      <c r="K4828" s="114">
        <f>HYPERLINK("#Структура!G3554",Структура!G3554)</f>
        <v>1.4999999999999999E-4</v>
      </c>
      <c r="L4828" s="120">
        <f>HYPERLINK("#Покупные_изделия!D353",Покупные_изделия!D353)</f>
        <v>2.0460000000000003</v>
      </c>
      <c r="M4828" s="76">
        <f t="shared" si="193"/>
        <v>1329.9</v>
      </c>
      <c r="N4828" s="77"/>
      <c r="O4828" s="77"/>
      <c r="P4828" s="76"/>
      <c r="Q4828" s="76"/>
    </row>
    <row r="4829" spans="5:17" hidden="1" outlineLevel="3" x14ac:dyDescent="0.25">
      <c r="E4829" s="74" t="s">
        <v>451</v>
      </c>
      <c r="F4829" s="74"/>
      <c r="G4829" s="74"/>
      <c r="H4829" s="75"/>
      <c r="I4829" s="76"/>
      <c r="J4829" s="78">
        <f>HYPERLINK("#Структура!E3555",Структура!E3555)</f>
        <v>10</v>
      </c>
      <c r="K4829" s="114">
        <f>HYPERLINK("#Структура!G3555",Структура!G3555)</f>
        <v>2.2000000000000001E-4</v>
      </c>
      <c r="L4829" s="120">
        <f>HYPERLINK("#Покупные_изделия!D354",Покупные_изделия!D354)</f>
        <v>1.0296000000000001</v>
      </c>
      <c r="M4829" s="76">
        <f t="shared" si="193"/>
        <v>10.296000000000001</v>
      </c>
      <c r="N4829" s="77"/>
      <c r="O4829" s="77"/>
      <c r="P4829" s="76"/>
      <c r="Q4829" s="76"/>
    </row>
    <row r="4830" spans="5:17" hidden="1" outlineLevel="3" x14ac:dyDescent="0.25">
      <c r="E4830" s="74" t="s">
        <v>452</v>
      </c>
      <c r="F4830" s="74"/>
      <c r="G4830" s="74"/>
      <c r="H4830" s="75"/>
      <c r="I4830" s="76"/>
      <c r="J4830" s="78">
        <f>HYPERLINK("#Структура!E3556",Структура!E3556)</f>
        <v>48</v>
      </c>
      <c r="K4830" s="114">
        <f>HYPERLINK("#Структура!G3556",Структура!G3556)</f>
        <v>2.7999999999999998E-4</v>
      </c>
      <c r="L4830" s="120">
        <f>HYPERLINK("#Покупные_изделия!D355",Покупные_изделия!D355)</f>
        <v>1.1000000000000001</v>
      </c>
      <c r="M4830" s="76">
        <f t="shared" si="193"/>
        <v>52.800000000000004</v>
      </c>
      <c r="N4830" s="77"/>
      <c r="O4830" s="77"/>
      <c r="P4830" s="76"/>
      <c r="Q4830" s="76"/>
    </row>
    <row r="4831" spans="5:17" hidden="1" outlineLevel="3" x14ac:dyDescent="0.25">
      <c r="E4831" s="74" t="s">
        <v>453</v>
      </c>
      <c r="F4831" s="74"/>
      <c r="G4831" s="74"/>
      <c r="H4831" s="75"/>
      <c r="I4831" s="76"/>
      <c r="J4831" s="78">
        <f>HYPERLINK("#Структура!E3557",Структура!E3557)</f>
        <v>12</v>
      </c>
      <c r="K4831" s="114">
        <f>HYPERLINK("#Структура!G3557",Структура!G3557)</f>
        <v>4.0999999999999999E-4</v>
      </c>
      <c r="L4831" s="120">
        <f>HYPERLINK("#Покупные_изделия!D356",Покупные_изделия!D356)</f>
        <v>1.51464</v>
      </c>
      <c r="M4831" s="76">
        <f t="shared" si="193"/>
        <v>18.17568</v>
      </c>
      <c r="N4831" s="77"/>
      <c r="O4831" s="77"/>
      <c r="P4831" s="76"/>
      <c r="Q4831" s="76"/>
    </row>
    <row r="4832" spans="5:17" hidden="1" outlineLevel="3" x14ac:dyDescent="0.25">
      <c r="E4832" s="74" t="s">
        <v>454</v>
      </c>
      <c r="F4832" s="74"/>
      <c r="G4832" s="74"/>
      <c r="H4832" s="75"/>
      <c r="I4832" s="76"/>
      <c r="J4832" s="78">
        <f>HYPERLINK("#Структура!E3558",Структура!E3558)</f>
        <v>8</v>
      </c>
      <c r="K4832" s="114" t="str">
        <f>HYPERLINK("#Структура!G3558","")</f>
        <v/>
      </c>
      <c r="L4832" s="120">
        <f>HYPERLINK("#Покупные_изделия!D357",Покупные_изделия!D357)</f>
        <v>2.2000000000000002</v>
      </c>
      <c r="M4832" s="76">
        <f t="shared" si="193"/>
        <v>17.600000000000001</v>
      </c>
      <c r="N4832" s="77"/>
      <c r="O4832" s="77"/>
      <c r="P4832" s="76"/>
      <c r="Q4832" s="76"/>
    </row>
    <row r="4833" spans="5:17" hidden="1" outlineLevel="3" x14ac:dyDescent="0.25">
      <c r="E4833" s="74" t="s">
        <v>455</v>
      </c>
      <c r="F4833" s="74"/>
      <c r="G4833" s="74"/>
      <c r="H4833" s="75"/>
      <c r="I4833" s="76"/>
      <c r="J4833" s="78">
        <f>HYPERLINK("#Структура!E3559",Структура!E3559)</f>
        <v>10</v>
      </c>
      <c r="K4833" s="114" t="str">
        <f>HYPERLINK("#Структура!G3559","")</f>
        <v/>
      </c>
      <c r="L4833" s="120">
        <f>HYPERLINK("#Покупные_изделия!D358",Покупные_изделия!D358)</f>
        <v>3.2039999999999997</v>
      </c>
      <c r="M4833" s="76">
        <f t="shared" si="193"/>
        <v>32.04</v>
      </c>
      <c r="N4833" s="77"/>
      <c r="O4833" s="77"/>
      <c r="P4833" s="76"/>
      <c r="Q4833" s="76"/>
    </row>
    <row r="4834" spans="5:17" hidden="1" outlineLevel="3" x14ac:dyDescent="0.25">
      <c r="E4834" s="74" t="s">
        <v>457</v>
      </c>
      <c r="F4834" s="74"/>
      <c r="G4834" s="74"/>
      <c r="H4834" s="75"/>
      <c r="I4834" s="76"/>
      <c r="J4834" s="78">
        <f>HYPERLINK("#Структура!E3560",Структура!E3560)</f>
        <v>1</v>
      </c>
      <c r="K4834" s="114">
        <f>HYPERLINK("#Структура!G3560",Структура!G3560)</f>
        <v>0.15</v>
      </c>
      <c r="L4834" s="120">
        <f>HYPERLINK("#Покупные_изделия!D361",Покупные_изделия!D361)</f>
        <v>2954.82</v>
      </c>
      <c r="M4834" s="76">
        <f t="shared" si="193"/>
        <v>2954.82</v>
      </c>
      <c r="N4834" s="77"/>
      <c r="O4834" s="77"/>
      <c r="P4834" s="76"/>
      <c r="Q4834" s="76"/>
    </row>
    <row r="4835" spans="5:17" hidden="1" outlineLevel="3" x14ac:dyDescent="0.25">
      <c r="E4835" s="74" t="s">
        <v>458</v>
      </c>
      <c r="F4835" s="74"/>
      <c r="G4835" s="74"/>
      <c r="H4835" s="75"/>
      <c r="I4835" s="76"/>
      <c r="J4835" s="78">
        <f>HYPERLINK("#Структура!E3561",Структура!E3561)</f>
        <v>1</v>
      </c>
      <c r="K4835" s="114">
        <f>HYPERLINK("#Структура!G3561",Структура!G3561)</f>
        <v>1.92</v>
      </c>
      <c r="L4835" s="120">
        <f>HYPERLINK("#Покупные_изделия!D363",Покупные_изделия!D363)</f>
        <v>465.53760000000005</v>
      </c>
      <c r="M4835" s="76">
        <f t="shared" si="193"/>
        <v>465.53760000000005</v>
      </c>
      <c r="N4835" s="77"/>
      <c r="O4835" s="77"/>
      <c r="P4835" s="76"/>
      <c r="Q4835" s="76"/>
    </row>
    <row r="4836" spans="5:17" hidden="1" outlineLevel="3" x14ac:dyDescent="0.25">
      <c r="E4836" s="74" t="s">
        <v>459</v>
      </c>
      <c r="F4836" s="74"/>
      <c r="G4836" s="74"/>
      <c r="H4836" s="75"/>
      <c r="I4836" s="76"/>
      <c r="J4836" s="78">
        <f>HYPERLINK("#Структура!E3562",Структура!E3562)</f>
        <v>1</v>
      </c>
      <c r="K4836" s="114">
        <f>HYPERLINK("#Структура!G3562",Структура!G3562)</f>
        <v>0.40899999999999997</v>
      </c>
      <c r="L4836" s="120">
        <f>HYPERLINK("#Покупные_изделия!D364",Покупные_изделия!D364)</f>
        <v>990.76560000000006</v>
      </c>
      <c r="M4836" s="76">
        <f t="shared" si="193"/>
        <v>990.76560000000006</v>
      </c>
      <c r="N4836" s="77"/>
      <c r="O4836" s="77"/>
      <c r="P4836" s="76"/>
      <c r="Q4836" s="76"/>
    </row>
    <row r="4837" spans="5:17" hidden="1" outlineLevel="3" x14ac:dyDescent="0.25">
      <c r="E4837" s="74" t="s">
        <v>463</v>
      </c>
      <c r="F4837" s="74"/>
      <c r="G4837" s="74"/>
      <c r="H4837" s="75"/>
      <c r="I4837" s="76"/>
      <c r="J4837" s="78">
        <f>HYPERLINK("#Структура!E3563",Структура!E3563)</f>
        <v>11</v>
      </c>
      <c r="K4837" s="114">
        <f>HYPERLINK("#Структура!G3563",Структура!G3563)</f>
        <v>2.0899999999999998E-3</v>
      </c>
      <c r="L4837" s="120">
        <f>HYPERLINK("#Покупные_изделия!D369",Покупные_изделия!D369)</f>
        <v>41.3292</v>
      </c>
      <c r="M4837" s="76">
        <f t="shared" si="193"/>
        <v>454.62119999999999</v>
      </c>
      <c r="N4837" s="77"/>
      <c r="O4837" s="77"/>
      <c r="P4837" s="76"/>
      <c r="Q4837" s="76"/>
    </row>
    <row r="4838" spans="5:17" hidden="1" outlineLevel="3" x14ac:dyDescent="0.25">
      <c r="E4838" s="74" t="s">
        <v>466</v>
      </c>
      <c r="F4838" s="74"/>
      <c r="G4838" s="74"/>
      <c r="H4838" s="75"/>
      <c r="I4838" s="76"/>
      <c r="J4838" s="78">
        <f>HYPERLINK("#Структура!E3564",Структура!E3564)</f>
        <v>7</v>
      </c>
      <c r="K4838" s="114">
        <f>HYPERLINK("#Структура!G3564",Структура!G3564)</f>
        <v>0.28299999999999997</v>
      </c>
      <c r="L4838" s="120">
        <f>HYPERLINK("#Покупные_изделия!D372",Покупные_изделия!D372)</f>
        <v>149.1996</v>
      </c>
      <c r="M4838" s="76">
        <f t="shared" si="193"/>
        <v>1044.3972000000001</v>
      </c>
      <c r="N4838" s="77"/>
      <c r="O4838" s="77"/>
      <c r="P4838" s="76"/>
      <c r="Q4838" s="76"/>
    </row>
    <row r="4839" spans="5:17" hidden="1" outlineLevel="3" x14ac:dyDescent="0.25">
      <c r="E4839" s="74" t="s">
        <v>467</v>
      </c>
      <c r="F4839" s="74"/>
      <c r="G4839" s="74"/>
      <c r="H4839" s="75"/>
      <c r="I4839" s="76"/>
      <c r="J4839" s="78">
        <f>HYPERLINK("#Структура!E3565",Структура!E3565)</f>
        <v>2</v>
      </c>
      <c r="K4839" s="114">
        <f>HYPERLINK("#Структура!G3565",Структура!G3565)</f>
        <v>0.25</v>
      </c>
      <c r="L4839" s="120">
        <f>HYPERLINK("#Покупные_изделия!D373",Покупные_изделия!D373)</f>
        <v>180.57599999999999</v>
      </c>
      <c r="M4839" s="76">
        <f t="shared" si="193"/>
        <v>361.15199999999999</v>
      </c>
      <c r="N4839" s="77"/>
      <c r="O4839" s="77"/>
      <c r="P4839" s="76"/>
      <c r="Q4839" s="76"/>
    </row>
    <row r="4840" spans="5:17" hidden="1" outlineLevel="3" x14ac:dyDescent="0.25">
      <c r="E4840" s="74" t="s">
        <v>470</v>
      </c>
      <c r="F4840" s="74"/>
      <c r="G4840" s="74"/>
      <c r="H4840" s="75"/>
      <c r="I4840" s="76"/>
      <c r="J4840" s="78">
        <f>HYPERLINK("#Структура!E3566",Структура!E3566)</f>
        <v>10</v>
      </c>
      <c r="K4840" s="114" t="str">
        <f>HYPERLINK("#Структура!G3566","")</f>
        <v/>
      </c>
      <c r="L4840" s="120">
        <f>HYPERLINK("#Покупные_изделия!D376",Покупные_изделия!D376)</f>
        <v>2.013528</v>
      </c>
      <c r="M4840" s="76">
        <f t="shared" si="193"/>
        <v>20.135280000000002</v>
      </c>
      <c r="N4840" s="77"/>
      <c r="O4840" s="77"/>
      <c r="P4840" s="76"/>
      <c r="Q4840" s="76"/>
    </row>
    <row r="4841" spans="5:17" hidden="1" outlineLevel="3" x14ac:dyDescent="0.25">
      <c r="E4841" s="74" t="s">
        <v>472</v>
      </c>
      <c r="F4841" s="74"/>
      <c r="G4841" s="74"/>
      <c r="H4841" s="75"/>
      <c r="I4841" s="76"/>
      <c r="J4841" s="78">
        <f>HYPERLINK("#Структура!E3567",Структура!E3567)</f>
        <v>7</v>
      </c>
      <c r="K4841" s="114">
        <f>HYPERLINK("#Структура!G3567",Структура!G3567)</f>
        <v>0.16206000000000001</v>
      </c>
      <c r="L4841" s="120">
        <f>HYPERLINK("#Покупные_изделия!D379",Покупные_изделия!D379)</f>
        <v>1451.8152</v>
      </c>
      <c r="M4841" s="76">
        <f t="shared" si="193"/>
        <v>10162.706399999999</v>
      </c>
      <c r="N4841" s="77"/>
      <c r="O4841" s="77"/>
      <c r="P4841" s="76"/>
      <c r="Q4841" s="76"/>
    </row>
    <row r="4842" spans="5:17" hidden="1" outlineLevel="3" x14ac:dyDescent="0.25">
      <c r="E4842" s="74" t="s">
        <v>1610</v>
      </c>
      <c r="F4842" s="74"/>
      <c r="G4842" s="74"/>
      <c r="H4842" s="75"/>
      <c r="I4842" s="76"/>
      <c r="J4842" s="78">
        <f>HYPERLINK("#Структура!E3568",Структура!E3568)</f>
        <v>1</v>
      </c>
      <c r="K4842" s="114">
        <f>HYPERLINK("#Структура!G3568",Структура!G3568)</f>
        <v>0.29450999999999999</v>
      </c>
      <c r="L4842" s="120">
        <f>HYPERLINK("#Покупные_изделия!D386",Покупные_изделия!D386)</f>
        <v>4125</v>
      </c>
      <c r="M4842" s="76">
        <f t="shared" si="193"/>
        <v>4125</v>
      </c>
      <c r="N4842" s="77"/>
      <c r="O4842" s="77"/>
      <c r="P4842" s="76"/>
      <c r="Q4842" s="76"/>
    </row>
    <row r="4843" spans="5:17" hidden="1" outlineLevel="3" x14ac:dyDescent="0.25">
      <c r="E4843" s="74" t="s">
        <v>474</v>
      </c>
      <c r="F4843" s="74"/>
      <c r="G4843" s="74"/>
      <c r="H4843" s="75"/>
      <c r="I4843" s="76"/>
      <c r="J4843" s="78">
        <f>HYPERLINK("#Структура!E3569",Структура!E3569)</f>
        <v>1</v>
      </c>
      <c r="K4843" s="114">
        <f>HYPERLINK("#Структура!G3569",Структура!G3569)</f>
        <v>1.5</v>
      </c>
      <c r="L4843" s="120">
        <f>HYPERLINK("#Покупные_изделия!D387",Покупные_изделия!D387)</f>
        <v>16315.2</v>
      </c>
      <c r="M4843" s="76">
        <f t="shared" si="193"/>
        <v>16315.2</v>
      </c>
      <c r="N4843" s="77"/>
      <c r="O4843" s="77"/>
      <c r="P4843" s="76"/>
      <c r="Q4843" s="76"/>
    </row>
    <row r="4844" spans="5:17" hidden="1" outlineLevel="3" x14ac:dyDescent="0.25">
      <c r="E4844" s="74" t="s">
        <v>476</v>
      </c>
      <c r="F4844" s="74"/>
      <c r="G4844" s="74"/>
      <c r="H4844" s="75"/>
      <c r="I4844" s="76"/>
      <c r="J4844" s="78">
        <f>HYPERLINK("#Структура!E3570",Структура!E3570)</f>
        <v>20</v>
      </c>
      <c r="K4844" s="114" t="str">
        <f>HYPERLINK("#Структура!G3570","")</f>
        <v/>
      </c>
      <c r="L4844" s="120">
        <f>HYPERLINK("#Покупные_изделия!D391",Покупные_изделия!D391)</f>
        <v>5.9840000000000009</v>
      </c>
      <c r="M4844" s="76">
        <f t="shared" si="193"/>
        <v>119.68000000000002</v>
      </c>
      <c r="N4844" s="77"/>
      <c r="O4844" s="77"/>
      <c r="P4844" s="76"/>
      <c r="Q4844" s="76"/>
    </row>
    <row r="4845" spans="5:17" hidden="1" outlineLevel="3" x14ac:dyDescent="0.25">
      <c r="E4845" s="74" t="s">
        <v>477</v>
      </c>
      <c r="F4845" s="74"/>
      <c r="G4845" s="74"/>
      <c r="H4845" s="75"/>
      <c r="I4845" s="76"/>
      <c r="J4845" s="78">
        <f>HYPERLINK("#Структура!E3571",Структура!E3571)</f>
        <v>20</v>
      </c>
      <c r="K4845" s="114" t="str">
        <f>HYPERLINK("#Структура!G3571","")</f>
        <v/>
      </c>
      <c r="L4845" s="120">
        <f>HYPERLINK("#Покупные_изделия!D392",Покупные_изделия!D392)</f>
        <v>5.5440000000000005</v>
      </c>
      <c r="M4845" s="76">
        <f t="shared" si="193"/>
        <v>110.88000000000001</v>
      </c>
      <c r="N4845" s="77"/>
      <c r="O4845" s="77"/>
      <c r="P4845" s="76"/>
      <c r="Q4845" s="76"/>
    </row>
    <row r="4846" spans="5:17" hidden="1" outlineLevel="3" x14ac:dyDescent="0.25">
      <c r="E4846" s="74" t="s">
        <v>479</v>
      </c>
      <c r="F4846" s="74"/>
      <c r="G4846" s="74"/>
      <c r="H4846" s="75"/>
      <c r="I4846" s="76"/>
      <c r="J4846" s="78">
        <f>HYPERLINK("#Структура!E3572",Структура!E3572)</f>
        <v>40</v>
      </c>
      <c r="K4846" s="114" t="str">
        <f>HYPERLINK("#Структура!G3572","")</f>
        <v/>
      </c>
      <c r="L4846" s="120">
        <f>HYPERLINK("#Покупные_изделия!D394",Покупные_изделия!D394)</f>
        <v>6.8280000000000003</v>
      </c>
      <c r="M4846" s="76">
        <f t="shared" si="193"/>
        <v>273.12</v>
      </c>
      <c r="N4846" s="77"/>
      <c r="O4846" s="77"/>
      <c r="P4846" s="76"/>
      <c r="Q4846" s="76"/>
    </row>
    <row r="4847" spans="5:17" hidden="1" outlineLevel="3" x14ac:dyDescent="0.25">
      <c r="E4847" s="74" t="s">
        <v>480</v>
      </c>
      <c r="F4847" s="74"/>
      <c r="G4847" s="74"/>
      <c r="H4847" s="75"/>
      <c r="I4847" s="76"/>
      <c r="J4847" s="78">
        <f>HYPERLINK("#Структура!E3573",Структура!E3573)</f>
        <v>40</v>
      </c>
      <c r="K4847" s="114" t="str">
        <f>HYPERLINK("#Структура!G3573","")</f>
        <v/>
      </c>
      <c r="L4847" s="120">
        <f>HYPERLINK("#Покупные_изделия!D395",Покупные_изделия!D395)</f>
        <v>6.8280000000000003</v>
      </c>
      <c r="M4847" s="76">
        <f t="shared" ref="M4847:M4878" si="194">J4847*L4847</f>
        <v>273.12</v>
      </c>
      <c r="N4847" s="77"/>
      <c r="O4847" s="77"/>
      <c r="P4847" s="76"/>
      <c r="Q4847" s="76"/>
    </row>
    <row r="4848" spans="5:17" hidden="1" outlineLevel="3" x14ac:dyDescent="0.25">
      <c r="E4848" s="74" t="s">
        <v>481</v>
      </c>
      <c r="F4848" s="74"/>
      <c r="G4848" s="74"/>
      <c r="H4848" s="75"/>
      <c r="I4848" s="76"/>
      <c r="J4848" s="78">
        <f>HYPERLINK("#Структура!E3574",Структура!E3574)</f>
        <v>100</v>
      </c>
      <c r="K4848" s="114" t="str">
        <f>HYPERLINK("#Структура!G3574","")</f>
        <v/>
      </c>
      <c r="L4848" s="120">
        <f>HYPERLINK("#Покупные_изделия!D396",Покупные_изделия!D396)</f>
        <v>6.2519999999999998</v>
      </c>
      <c r="M4848" s="76">
        <f t="shared" si="194"/>
        <v>625.19999999999993</v>
      </c>
      <c r="N4848" s="77"/>
      <c r="O4848" s="77"/>
      <c r="P4848" s="76"/>
      <c r="Q4848" s="76"/>
    </row>
    <row r="4849" spans="5:17" hidden="1" outlineLevel="3" x14ac:dyDescent="0.25">
      <c r="E4849" s="74" t="s">
        <v>482</v>
      </c>
      <c r="F4849" s="74"/>
      <c r="G4849" s="74"/>
      <c r="H4849" s="75"/>
      <c r="I4849" s="76"/>
      <c r="J4849" s="78">
        <f>HYPERLINK("#Структура!E3575",Структура!E3575)</f>
        <v>25</v>
      </c>
      <c r="K4849" s="114" t="str">
        <f>HYPERLINK("#Структура!G3575","")</f>
        <v/>
      </c>
      <c r="L4849" s="120">
        <f>HYPERLINK("#Покупные_изделия!D397",Покупные_изделия!D397)</f>
        <v>12.54</v>
      </c>
      <c r="M4849" s="76">
        <f t="shared" si="194"/>
        <v>313.5</v>
      </c>
      <c r="N4849" s="77"/>
      <c r="O4849" s="77"/>
      <c r="P4849" s="76"/>
      <c r="Q4849" s="76"/>
    </row>
    <row r="4850" spans="5:17" hidden="1" outlineLevel="3" x14ac:dyDescent="0.25">
      <c r="E4850" s="74" t="s">
        <v>569</v>
      </c>
      <c r="F4850" s="74"/>
      <c r="G4850" s="74"/>
      <c r="H4850" s="75"/>
      <c r="I4850" s="76"/>
      <c r="J4850" s="78">
        <f>HYPERLINK("#Структура!E3576",Структура!E3576)</f>
        <v>3</v>
      </c>
      <c r="K4850" s="114" t="str">
        <f>HYPERLINK("#Структура!G3576","")</f>
        <v/>
      </c>
      <c r="L4850" s="120">
        <f>HYPERLINK("#Покупные_изделия!D400",Покупные_изделия!D400)</f>
        <v>59.967600000000004</v>
      </c>
      <c r="M4850" s="76">
        <f t="shared" si="194"/>
        <v>179.90280000000001</v>
      </c>
      <c r="N4850" s="77"/>
      <c r="O4850" s="77"/>
      <c r="P4850" s="76"/>
      <c r="Q4850" s="76"/>
    </row>
    <row r="4851" spans="5:17" hidden="1" outlineLevel="3" x14ac:dyDescent="0.25">
      <c r="E4851" s="74" t="s">
        <v>484</v>
      </c>
      <c r="F4851" s="74"/>
      <c r="G4851" s="74"/>
      <c r="H4851" s="75"/>
      <c r="I4851" s="76"/>
      <c r="J4851" s="78">
        <f>HYPERLINK("#Структура!E3577",Структура!E3577)</f>
        <v>6</v>
      </c>
      <c r="K4851" s="114" t="str">
        <f>HYPERLINK("#Структура!G3577","")</f>
        <v/>
      </c>
      <c r="L4851" s="120">
        <f>HYPERLINK("#Покупные_изделия!D401",Покупные_изделия!D401)</f>
        <v>24.204000000000001</v>
      </c>
      <c r="M4851" s="76">
        <f t="shared" si="194"/>
        <v>145.22399999999999</v>
      </c>
      <c r="N4851" s="77"/>
      <c r="O4851" s="77"/>
      <c r="P4851" s="76"/>
      <c r="Q4851" s="76"/>
    </row>
    <row r="4852" spans="5:17" hidden="1" outlineLevel="3" x14ac:dyDescent="0.25">
      <c r="E4852" s="74" t="s">
        <v>486</v>
      </c>
      <c r="F4852" s="74"/>
      <c r="G4852" s="74"/>
      <c r="H4852" s="75"/>
      <c r="I4852" s="76"/>
      <c r="J4852" s="78">
        <f>HYPERLINK("#Структура!E3578",Структура!E3578)</f>
        <v>6</v>
      </c>
      <c r="K4852" s="114" t="str">
        <f>HYPERLINK("#Структура!G3578","")</f>
        <v/>
      </c>
      <c r="L4852" s="120">
        <f>HYPERLINK("#Покупные_изделия!D403",Покупные_изделия!D403)</f>
        <v>25.895999999999997</v>
      </c>
      <c r="M4852" s="76">
        <f t="shared" si="194"/>
        <v>155.37599999999998</v>
      </c>
      <c r="N4852" s="77"/>
      <c r="O4852" s="77"/>
      <c r="P4852" s="76"/>
      <c r="Q4852" s="76"/>
    </row>
    <row r="4853" spans="5:17" hidden="1" outlineLevel="3" x14ac:dyDescent="0.25">
      <c r="E4853" s="74" t="s">
        <v>488</v>
      </c>
      <c r="F4853" s="74"/>
      <c r="G4853" s="74"/>
      <c r="H4853" s="75"/>
      <c r="I4853" s="76"/>
      <c r="J4853" s="78">
        <f>HYPERLINK("#Структура!E3579",Структура!E3579)</f>
        <v>3</v>
      </c>
      <c r="K4853" s="114" t="str">
        <f>HYPERLINK("#Структура!G3579","")</f>
        <v/>
      </c>
      <c r="L4853" s="120">
        <f>HYPERLINK("#Покупные_изделия!D405",Покупные_изделия!D405)</f>
        <v>42.359999999999992</v>
      </c>
      <c r="M4853" s="76">
        <f t="shared" si="194"/>
        <v>127.07999999999998</v>
      </c>
      <c r="N4853" s="77"/>
      <c r="O4853" s="77"/>
      <c r="P4853" s="76"/>
      <c r="Q4853" s="76"/>
    </row>
    <row r="4854" spans="5:17" hidden="1" outlineLevel="3" x14ac:dyDescent="0.25">
      <c r="E4854" s="74" t="s">
        <v>489</v>
      </c>
      <c r="F4854" s="74"/>
      <c r="G4854" s="74"/>
      <c r="H4854" s="75"/>
      <c r="I4854" s="76"/>
      <c r="J4854" s="78">
        <f>HYPERLINK("#Структура!E3580",Структура!E3580)</f>
        <v>1</v>
      </c>
      <c r="K4854" s="114">
        <f>HYPERLINK("#Структура!G3580",Структура!G3580)</f>
        <v>3.3826200000000002</v>
      </c>
      <c r="L4854" s="120">
        <f>HYPERLINK("#Покупные_изделия!D408",Покупные_изделия!D408)</f>
        <v>21864.6384</v>
      </c>
      <c r="M4854" s="76">
        <f t="shared" si="194"/>
        <v>21864.6384</v>
      </c>
      <c r="N4854" s="77"/>
      <c r="O4854" s="77"/>
      <c r="P4854" s="76"/>
      <c r="Q4854" s="76"/>
    </row>
    <row r="4855" spans="5:17" hidden="1" outlineLevel="3" x14ac:dyDescent="0.25">
      <c r="E4855" s="74" t="s">
        <v>490</v>
      </c>
      <c r="F4855" s="74"/>
      <c r="G4855" s="74"/>
      <c r="H4855" s="75"/>
      <c r="I4855" s="76"/>
      <c r="J4855" s="78">
        <f>HYPERLINK("#Структура!E3581",Структура!E3581)</f>
        <v>5</v>
      </c>
      <c r="K4855" s="114">
        <f>HYPERLINK("#Структура!G3581",Структура!G3581)</f>
        <v>2.5400000000000002E-3</v>
      </c>
      <c r="L4855" s="120">
        <f>HYPERLINK("#Покупные_изделия!D410",Покупные_изделия!D410)</f>
        <v>28.104000000000003</v>
      </c>
      <c r="M4855" s="76">
        <f t="shared" si="194"/>
        <v>140.52000000000001</v>
      </c>
      <c r="N4855" s="77"/>
      <c r="O4855" s="77"/>
      <c r="P4855" s="76"/>
      <c r="Q4855" s="76"/>
    </row>
    <row r="4856" spans="5:17" hidden="1" outlineLevel="3" x14ac:dyDescent="0.25">
      <c r="E4856" s="74" t="s">
        <v>491</v>
      </c>
      <c r="F4856" s="74"/>
      <c r="G4856" s="74"/>
      <c r="H4856" s="75"/>
      <c r="I4856" s="76"/>
      <c r="J4856" s="78">
        <f>HYPERLINK("#Структура!E3582",Структура!E3582)</f>
        <v>14</v>
      </c>
      <c r="K4856" s="114">
        <f>HYPERLINK("#Структура!G3582",Структура!G3582)</f>
        <v>3.6800000000000001E-3</v>
      </c>
      <c r="L4856" s="120">
        <f>HYPERLINK("#Покупные_изделия!D411",Покупные_изделия!D411)</f>
        <v>27.508800000000001</v>
      </c>
      <c r="M4856" s="76">
        <f t="shared" si="194"/>
        <v>385.1232</v>
      </c>
      <c r="N4856" s="77"/>
      <c r="O4856" s="77"/>
      <c r="P4856" s="76"/>
      <c r="Q4856" s="76"/>
    </row>
    <row r="4857" spans="5:17" hidden="1" outlineLevel="3" x14ac:dyDescent="0.25">
      <c r="E4857" s="74" t="s">
        <v>498</v>
      </c>
      <c r="F4857" s="74"/>
      <c r="G4857" s="74"/>
      <c r="H4857" s="75"/>
      <c r="I4857" s="76"/>
      <c r="J4857" s="78">
        <f>HYPERLINK("#Структура!E3583",Структура!E3583)</f>
        <v>3</v>
      </c>
      <c r="K4857" s="114" t="str">
        <f>HYPERLINK("#Структура!G3583","")</f>
        <v/>
      </c>
      <c r="L4857" s="120">
        <f>HYPERLINK("#Покупные_изделия!D432",Покупные_изделия!D432)</f>
        <v>330</v>
      </c>
      <c r="M4857" s="76">
        <f t="shared" si="194"/>
        <v>990</v>
      </c>
      <c r="N4857" s="77"/>
      <c r="O4857" s="77"/>
      <c r="P4857" s="76"/>
      <c r="Q4857" s="76"/>
    </row>
    <row r="4858" spans="5:17" hidden="1" outlineLevel="3" x14ac:dyDescent="0.25">
      <c r="E4858" s="74" t="s">
        <v>499</v>
      </c>
      <c r="F4858" s="74"/>
      <c r="G4858" s="74"/>
      <c r="H4858" s="75"/>
      <c r="I4858" s="76"/>
      <c r="J4858" s="78">
        <f>HYPERLINK("#Структура!E3584",Структура!E3584)</f>
        <v>1</v>
      </c>
      <c r="K4858" s="114">
        <f>HYPERLINK("#Структура!G3584",Структура!G3584)</f>
        <v>6.9849999999999995E-2</v>
      </c>
      <c r="L4858" s="120">
        <f>HYPERLINK("#Покупные_изделия!D434",Покупные_изделия!D434)</f>
        <v>13.956000000000001</v>
      </c>
      <c r="M4858" s="76">
        <f t="shared" si="194"/>
        <v>13.956000000000001</v>
      </c>
      <c r="N4858" s="77"/>
      <c r="O4858" s="77"/>
      <c r="P4858" s="76"/>
      <c r="Q4858" s="76"/>
    </row>
    <row r="4859" spans="5:17" hidden="1" outlineLevel="3" x14ac:dyDescent="0.25">
      <c r="E4859" s="74" t="s">
        <v>500</v>
      </c>
      <c r="F4859" s="74"/>
      <c r="G4859" s="74"/>
      <c r="H4859" s="75"/>
      <c r="I4859" s="76"/>
      <c r="J4859" s="78">
        <f>HYPERLINK("#Структура!E3585",Структура!E3585)</f>
        <v>2</v>
      </c>
      <c r="K4859" s="114">
        <f>HYPERLINK("#Структура!G3585",Структура!G3585)</f>
        <v>0.113</v>
      </c>
      <c r="L4859" s="120">
        <f>HYPERLINK("#Покупные_изделия!D435",Покупные_изделия!D435)</f>
        <v>104.48399999999999</v>
      </c>
      <c r="M4859" s="76">
        <f t="shared" si="194"/>
        <v>208.96799999999999</v>
      </c>
      <c r="N4859" s="77"/>
      <c r="O4859" s="77"/>
      <c r="P4859" s="76"/>
      <c r="Q4859" s="76"/>
    </row>
    <row r="4860" spans="5:17" hidden="1" outlineLevel="3" x14ac:dyDescent="0.25">
      <c r="E4860" s="74" t="s">
        <v>503</v>
      </c>
      <c r="F4860" s="74"/>
      <c r="G4860" s="74"/>
      <c r="H4860" s="75"/>
      <c r="I4860" s="76"/>
      <c r="J4860" s="78">
        <f>HYPERLINK("#Структура!E3586",Структура!E3586)</f>
        <v>1</v>
      </c>
      <c r="K4860" s="114">
        <f>HYPERLINK("#Структура!G3586",Структура!G3586)</f>
        <v>0.49363000000000001</v>
      </c>
      <c r="L4860" s="120">
        <f>HYPERLINK("#Покупные_изделия!D438",Покупные_изделия!D438)</f>
        <v>2058.5136000000002</v>
      </c>
      <c r="M4860" s="76">
        <f t="shared" si="194"/>
        <v>2058.5136000000002</v>
      </c>
      <c r="N4860" s="77"/>
      <c r="O4860" s="77"/>
      <c r="P4860" s="76"/>
      <c r="Q4860" s="76"/>
    </row>
    <row r="4861" spans="5:17" hidden="1" outlineLevel="3" x14ac:dyDescent="0.25">
      <c r="E4861" s="74" t="s">
        <v>504</v>
      </c>
      <c r="F4861" s="74"/>
      <c r="G4861" s="74"/>
      <c r="H4861" s="75"/>
      <c r="I4861" s="76"/>
      <c r="J4861" s="78">
        <f>HYPERLINK("#Структура!E3587",Структура!E3587)</f>
        <v>1</v>
      </c>
      <c r="K4861" s="114">
        <f>HYPERLINK("#Структура!G3587",Структура!G3587)</f>
        <v>0.49363000000000001</v>
      </c>
      <c r="L4861" s="120">
        <f>HYPERLINK("#Покупные_изделия!D439",Покупные_изделия!D439)</f>
        <v>2058.5136000000002</v>
      </c>
      <c r="M4861" s="76">
        <f t="shared" si="194"/>
        <v>2058.5136000000002</v>
      </c>
      <c r="N4861" s="77"/>
      <c r="O4861" s="77"/>
      <c r="P4861" s="76"/>
      <c r="Q4861" s="76"/>
    </row>
    <row r="4862" spans="5:17" hidden="1" outlineLevel="3" x14ac:dyDescent="0.25">
      <c r="E4862" s="74" t="s">
        <v>510</v>
      </c>
      <c r="F4862" s="74"/>
      <c r="G4862" s="74"/>
      <c r="H4862" s="75"/>
      <c r="I4862" s="76"/>
      <c r="J4862" s="78">
        <f>HYPERLINK("#Структура!E3588",Структура!E3588)</f>
        <v>1</v>
      </c>
      <c r="K4862" s="114">
        <f>HYPERLINK("#Структура!G3588",Структура!G3588)</f>
        <v>0.87595999999999996</v>
      </c>
      <c r="L4862" s="120">
        <f>HYPERLINK("#Покупные_изделия!D445",Покупные_изделия!D445)</f>
        <v>308.39160000000004</v>
      </c>
      <c r="M4862" s="76">
        <f t="shared" si="194"/>
        <v>308.39160000000004</v>
      </c>
      <c r="N4862" s="77"/>
      <c r="O4862" s="77"/>
      <c r="P4862" s="76"/>
      <c r="Q4862" s="76"/>
    </row>
    <row r="4863" spans="5:17" hidden="1" outlineLevel="3" x14ac:dyDescent="0.25">
      <c r="E4863" s="74" t="s">
        <v>511</v>
      </c>
      <c r="F4863" s="74"/>
      <c r="G4863" s="74"/>
      <c r="H4863" s="75"/>
      <c r="I4863" s="76"/>
      <c r="J4863" s="78">
        <f>HYPERLINK("#Структура!E3589",Структура!E3589)</f>
        <v>200</v>
      </c>
      <c r="K4863" s="114" t="str">
        <f>HYPERLINK("#Структура!G3589","")</f>
        <v/>
      </c>
      <c r="L4863" s="120">
        <f>HYPERLINK("#Покупные_изделия!D455",Покупные_изделия!D455)</f>
        <v>1.183908</v>
      </c>
      <c r="M4863" s="76">
        <f t="shared" si="194"/>
        <v>236.7816</v>
      </c>
      <c r="N4863" s="77"/>
      <c r="O4863" s="77"/>
      <c r="P4863" s="76"/>
      <c r="Q4863" s="76"/>
    </row>
    <row r="4864" spans="5:17" hidden="1" outlineLevel="3" x14ac:dyDescent="0.25">
      <c r="E4864" s="74" t="s">
        <v>514</v>
      </c>
      <c r="F4864" s="74"/>
      <c r="G4864" s="74"/>
      <c r="H4864" s="75"/>
      <c r="I4864" s="76"/>
      <c r="J4864" s="78">
        <f>HYPERLINK("#Структура!E3590",Структура!E3590)</f>
        <v>1</v>
      </c>
      <c r="K4864" s="114">
        <f>HYPERLINK("#Структура!G3590",Структура!G3590)</f>
        <v>4.5399999999999998E-3</v>
      </c>
      <c r="L4864" s="120">
        <f>HYPERLINK("#Покупные_изделия!D460",Покупные_изделия!D460)</f>
        <v>8084.9999999999991</v>
      </c>
      <c r="M4864" s="76">
        <f t="shared" si="194"/>
        <v>8084.9999999999991</v>
      </c>
      <c r="N4864" s="77"/>
      <c r="O4864" s="77"/>
      <c r="P4864" s="76"/>
      <c r="Q4864" s="76"/>
    </row>
    <row r="4865" spans="4:17" hidden="1" outlineLevel="3" x14ac:dyDescent="0.25">
      <c r="E4865" s="74" t="s">
        <v>518</v>
      </c>
      <c r="F4865" s="74"/>
      <c r="G4865" s="74"/>
      <c r="H4865" s="75"/>
      <c r="I4865" s="76"/>
      <c r="J4865" s="78">
        <f>HYPERLINK("#Структура!E3591",Структура!E3591)</f>
        <v>1.2</v>
      </c>
      <c r="K4865" s="114" t="str">
        <f>HYPERLINK("#Структура!G3591","")</f>
        <v/>
      </c>
      <c r="L4865" s="120">
        <f>HYPERLINK("#Покупные_изделия!D464",Покупные_изделия!D464)</f>
        <v>10.1904</v>
      </c>
      <c r="M4865" s="76">
        <f t="shared" si="194"/>
        <v>12.228479999999999</v>
      </c>
      <c r="N4865" s="77"/>
      <c r="O4865" s="77"/>
      <c r="P4865" s="76"/>
      <c r="Q4865" s="76"/>
    </row>
    <row r="4866" spans="4:17" hidden="1" outlineLevel="3" x14ac:dyDescent="0.25">
      <c r="E4866" s="74" t="s">
        <v>519</v>
      </c>
      <c r="F4866" s="74"/>
      <c r="G4866" s="74"/>
      <c r="H4866" s="75"/>
      <c r="I4866" s="76"/>
      <c r="J4866" s="78">
        <f>HYPERLINK("#Структура!E3592",Структура!E3592)</f>
        <v>1</v>
      </c>
      <c r="K4866" s="114" t="str">
        <f>HYPERLINK("#Структура!G3592","")</f>
        <v/>
      </c>
      <c r="L4866" s="120">
        <f>HYPERLINK("#Покупные_изделия!D465",Покупные_изделия!D465)</f>
        <v>9.0156000000000009</v>
      </c>
      <c r="M4866" s="76">
        <f t="shared" si="194"/>
        <v>9.0156000000000009</v>
      </c>
      <c r="N4866" s="77"/>
      <c r="O4866" s="77"/>
      <c r="P4866" s="76"/>
      <c r="Q4866" s="76"/>
    </row>
    <row r="4867" spans="4:17" hidden="1" outlineLevel="3" x14ac:dyDescent="0.25">
      <c r="E4867" s="74" t="s">
        <v>520</v>
      </c>
      <c r="F4867" s="74"/>
      <c r="G4867" s="74"/>
      <c r="H4867" s="75"/>
      <c r="I4867" s="76"/>
      <c r="J4867" s="78">
        <f>HYPERLINK("#Структура!E3593",Структура!E3593)</f>
        <v>1</v>
      </c>
      <c r="K4867" s="114" t="str">
        <f>HYPERLINK("#Структура!G3593","")</f>
        <v/>
      </c>
      <c r="L4867" s="120">
        <f>HYPERLINK("#Покупные_изделия!D466",Покупные_изделия!D466)</f>
        <v>10.1904</v>
      </c>
      <c r="M4867" s="76">
        <f t="shared" si="194"/>
        <v>10.1904</v>
      </c>
      <c r="N4867" s="77"/>
      <c r="O4867" s="77"/>
      <c r="P4867" s="76"/>
      <c r="Q4867" s="76"/>
    </row>
    <row r="4868" spans="4:17" hidden="1" outlineLevel="3" x14ac:dyDescent="0.25">
      <c r="E4868" s="74" t="s">
        <v>521</v>
      </c>
      <c r="F4868" s="74"/>
      <c r="G4868" s="74"/>
      <c r="H4868" s="75"/>
      <c r="I4868" s="76"/>
      <c r="J4868" s="78">
        <f>HYPERLINK("#Структура!E3594",Структура!E3594)</f>
        <v>1</v>
      </c>
      <c r="K4868" s="114" t="str">
        <f>HYPERLINK("#Структура!G3594","")</f>
        <v/>
      </c>
      <c r="L4868" s="120">
        <f>HYPERLINK("#Покупные_изделия!D467",Покупные_изделия!D467)</f>
        <v>10.1904</v>
      </c>
      <c r="M4868" s="76">
        <f t="shared" si="194"/>
        <v>10.1904</v>
      </c>
      <c r="N4868" s="77"/>
      <c r="O4868" s="77"/>
      <c r="P4868" s="76"/>
      <c r="Q4868" s="76"/>
    </row>
    <row r="4869" spans="4:17" hidden="1" outlineLevel="3" x14ac:dyDescent="0.25">
      <c r="E4869" s="74" t="s">
        <v>522</v>
      </c>
      <c r="F4869" s="74"/>
      <c r="G4869" s="74"/>
      <c r="H4869" s="75"/>
      <c r="I4869" s="76"/>
      <c r="J4869" s="78">
        <f>HYPERLINK("#Структура!E3595",Структура!E3595)</f>
        <v>1</v>
      </c>
      <c r="K4869" s="114">
        <f>HYPERLINK("#Структура!G3595",Структура!G3595)</f>
        <v>2.3999999999999998E-3</v>
      </c>
      <c r="L4869" s="120">
        <f>HYPERLINK("#Покупные_изделия!D469",Покупные_изделия!D469)</f>
        <v>22.334400000000006</v>
      </c>
      <c r="M4869" s="76">
        <f t="shared" si="194"/>
        <v>22.334400000000006</v>
      </c>
      <c r="N4869" s="77"/>
      <c r="O4869" s="77"/>
      <c r="P4869" s="76"/>
      <c r="Q4869" s="76"/>
    </row>
    <row r="4870" spans="4:17" hidden="1" outlineLevel="3" x14ac:dyDescent="0.25">
      <c r="E4870" s="74" t="s">
        <v>523</v>
      </c>
      <c r="F4870" s="74"/>
      <c r="G4870" s="74"/>
      <c r="H4870" s="75"/>
      <c r="I4870" s="76"/>
      <c r="J4870" s="78">
        <f>HYPERLINK("#Структура!E3596",Структура!E3596)</f>
        <v>21</v>
      </c>
      <c r="K4870" s="114">
        <f>HYPERLINK("#Структура!G3596",Структура!G3596)</f>
        <v>1.5689999999999999E-2</v>
      </c>
      <c r="L4870" s="120">
        <f>HYPERLINK("#Покупные_изделия!D470",Покупные_изделия!D470)</f>
        <v>30.804000000000002</v>
      </c>
      <c r="M4870" s="76">
        <f t="shared" si="194"/>
        <v>646.88400000000001</v>
      </c>
      <c r="N4870" s="77"/>
      <c r="O4870" s="77"/>
      <c r="P4870" s="76"/>
      <c r="Q4870" s="76"/>
    </row>
    <row r="4871" spans="4:17" hidden="1" outlineLevel="3" x14ac:dyDescent="0.25">
      <c r="E4871" s="74" t="s">
        <v>525</v>
      </c>
      <c r="F4871" s="74"/>
      <c r="G4871" s="74"/>
      <c r="H4871" s="75"/>
      <c r="I4871" s="76"/>
      <c r="J4871" s="78">
        <f>HYPERLINK("#Структура!E3597",Структура!E3597)</f>
        <v>41</v>
      </c>
      <c r="K4871" s="114">
        <f>HYPERLINK("#Структура!G3597",Структура!G3597)</f>
        <v>2.743E-2</v>
      </c>
      <c r="L4871" s="120">
        <f>HYPERLINK("#Покупные_изделия!D472",Покупные_изделия!D472)</f>
        <v>44.304000000000002</v>
      </c>
      <c r="M4871" s="76">
        <f t="shared" si="194"/>
        <v>1816.4640000000002</v>
      </c>
      <c r="N4871" s="77"/>
      <c r="O4871" s="77"/>
      <c r="P4871" s="76"/>
      <c r="Q4871" s="76"/>
    </row>
    <row r="4872" spans="4:17" hidden="1" outlineLevel="3" x14ac:dyDescent="0.25">
      <c r="E4872" s="74" t="s">
        <v>527</v>
      </c>
      <c r="F4872" s="74"/>
      <c r="G4872" s="74"/>
      <c r="H4872" s="75"/>
      <c r="I4872" s="76"/>
      <c r="J4872" s="78">
        <f>HYPERLINK("#Структура!E3598",Структура!E3598)</f>
        <v>1</v>
      </c>
      <c r="K4872" s="114">
        <f>HYPERLINK("#Структура!G3598",Структура!G3598)</f>
        <v>0.27</v>
      </c>
      <c r="L4872" s="120">
        <f>HYPERLINK("#Покупные_изделия!D474",Покупные_изделия!D474)</f>
        <v>2083.5804000000003</v>
      </c>
      <c r="M4872" s="76">
        <f t="shared" si="194"/>
        <v>2083.5804000000003</v>
      </c>
      <c r="N4872" s="77"/>
      <c r="O4872" s="77"/>
      <c r="P4872" s="76"/>
      <c r="Q4872" s="76"/>
    </row>
    <row r="4873" spans="4:17" hidden="1" outlineLevel="3" x14ac:dyDescent="0.25">
      <c r="E4873" s="74" t="s">
        <v>528</v>
      </c>
      <c r="F4873" s="74"/>
      <c r="G4873" s="74"/>
      <c r="H4873" s="75"/>
      <c r="I4873" s="76"/>
      <c r="J4873" s="78">
        <f>HYPERLINK("#Структура!E3599",Структура!E3599)</f>
        <v>1</v>
      </c>
      <c r="K4873" s="114">
        <f>HYPERLINK("#Структура!G3599",Структура!G3599)</f>
        <v>0.31</v>
      </c>
      <c r="L4873" s="120">
        <f>HYPERLINK("#Покупные_изделия!D475",Покупные_изделия!D475)</f>
        <v>3678.8040000000001</v>
      </c>
      <c r="M4873" s="76">
        <f t="shared" si="194"/>
        <v>3678.8040000000001</v>
      </c>
      <c r="N4873" s="77"/>
      <c r="O4873" s="77"/>
      <c r="P4873" s="76"/>
      <c r="Q4873" s="76"/>
    </row>
    <row r="4874" spans="4:17" hidden="1" outlineLevel="3" x14ac:dyDescent="0.25">
      <c r="E4874" s="74" t="s">
        <v>529</v>
      </c>
      <c r="F4874" s="74"/>
      <c r="G4874" s="74"/>
      <c r="H4874" s="75"/>
      <c r="I4874" s="76"/>
      <c r="J4874" s="78">
        <f>HYPERLINK("#Структура!E3600",Структура!E3600)</f>
        <v>1</v>
      </c>
      <c r="K4874" s="114">
        <f>HYPERLINK("#Структура!G3600",Структура!G3600)</f>
        <v>1.5</v>
      </c>
      <c r="L4874" s="120">
        <f>HYPERLINK("#Покупные_изделия!D476",Покупные_изделия!D476)</f>
        <v>5674.9835999999996</v>
      </c>
      <c r="M4874" s="76">
        <f t="shared" si="194"/>
        <v>5674.9835999999996</v>
      </c>
      <c r="N4874" s="77"/>
      <c r="O4874" s="77"/>
      <c r="P4874" s="76"/>
      <c r="Q4874" s="76"/>
    </row>
    <row r="4875" spans="4:17" hidden="1" outlineLevel="3" x14ac:dyDescent="0.25">
      <c r="E4875" s="74" t="s">
        <v>579</v>
      </c>
      <c r="F4875" s="74"/>
      <c r="G4875" s="74"/>
      <c r="H4875" s="75"/>
      <c r="I4875" s="76"/>
      <c r="J4875" s="78">
        <f>HYPERLINK("#Структура!E3601",Структура!E3601)</f>
        <v>2</v>
      </c>
      <c r="K4875" s="114">
        <f>HYPERLINK("#Структура!G3601",Структура!G3601)</f>
        <v>4.3047700000000004</v>
      </c>
      <c r="L4875" s="120">
        <f>HYPERLINK("#Покупные_изделия!D477",Покупные_изделия!D477)</f>
        <v>7739.927999999999</v>
      </c>
      <c r="M4875" s="76">
        <f t="shared" si="194"/>
        <v>15479.855999999998</v>
      </c>
      <c r="N4875" s="77"/>
      <c r="O4875" s="77"/>
      <c r="P4875" s="76"/>
      <c r="Q4875" s="76"/>
    </row>
    <row r="4876" spans="4:17" hidden="1" outlineLevel="3" x14ac:dyDescent="0.25">
      <c r="E4876" s="74" t="s">
        <v>530</v>
      </c>
      <c r="F4876" s="74"/>
      <c r="G4876" s="74"/>
      <c r="H4876" s="75"/>
      <c r="I4876" s="76"/>
      <c r="J4876" s="78">
        <f>HYPERLINK("#Структура!E3602",Структура!E3602)</f>
        <v>4</v>
      </c>
      <c r="K4876" s="114">
        <f>HYPERLINK("#Структура!G3602",Структура!G3602)</f>
        <v>0.27</v>
      </c>
      <c r="L4876" s="120">
        <f>HYPERLINK("#Покупные_изделия!D478",Покупные_изделия!D478)</f>
        <v>1656.8772000000001</v>
      </c>
      <c r="M4876" s="76">
        <f t="shared" si="194"/>
        <v>6627.5088000000005</v>
      </c>
      <c r="N4876" s="77"/>
      <c r="O4876" s="77"/>
      <c r="P4876" s="76"/>
      <c r="Q4876" s="76"/>
    </row>
    <row r="4877" spans="4:17" hidden="1" outlineLevel="3" x14ac:dyDescent="0.25">
      <c r="E4877" s="74" t="s">
        <v>533</v>
      </c>
      <c r="F4877" s="74"/>
      <c r="G4877" s="74"/>
      <c r="H4877" s="75"/>
      <c r="I4877" s="76"/>
      <c r="J4877" s="78">
        <f>HYPERLINK("#Структура!E3603",Структура!E3603)</f>
        <v>2</v>
      </c>
      <c r="K4877" s="114" t="str">
        <f>HYPERLINK("#Структура!G3603","")</f>
        <v/>
      </c>
      <c r="L4877" s="120">
        <f>HYPERLINK("#Покупные_изделия!D510",Покупные_изделия!D510)</f>
        <v>25.502400000000002</v>
      </c>
      <c r="M4877" s="76">
        <f t="shared" si="194"/>
        <v>51.004800000000003</v>
      </c>
      <c r="N4877" s="77"/>
      <c r="O4877" s="77"/>
      <c r="P4877" s="76"/>
      <c r="Q4877" s="76"/>
    </row>
    <row r="4878" spans="4:17" hidden="1" outlineLevel="3" x14ac:dyDescent="0.25">
      <c r="E4878" s="74" t="s">
        <v>539</v>
      </c>
      <c r="F4878" s="74"/>
      <c r="G4878" s="74"/>
      <c r="H4878" s="75"/>
      <c r="I4878" s="76"/>
      <c r="J4878" s="78">
        <f>HYPERLINK("#Структура!E3604",Структура!E3604)</f>
        <v>1</v>
      </c>
      <c r="K4878" s="114">
        <f>HYPERLINK("#Структура!G3604",Структура!G3604)</f>
        <v>1.8880000000000001E-2</v>
      </c>
      <c r="L4878" s="120">
        <f>HYPERLINK("#Покупные_изделия!D555",Покупные_изделия!D555)</f>
        <v>95.607600000000019</v>
      </c>
      <c r="M4878" s="76">
        <f t="shared" si="194"/>
        <v>95.607600000000019</v>
      </c>
      <c r="N4878" s="77"/>
      <c r="O4878" s="77"/>
      <c r="P4878" s="76"/>
      <c r="Q4878" s="76"/>
    </row>
    <row r="4879" spans="4:17" hidden="1" outlineLevel="3" x14ac:dyDescent="0.25">
      <c r="E4879" s="74" t="s">
        <v>540</v>
      </c>
      <c r="F4879" s="74"/>
      <c r="G4879" s="74"/>
      <c r="H4879" s="75"/>
      <c r="I4879" s="76"/>
      <c r="J4879" s="78">
        <f>HYPERLINK("#Структура!E3605",Структура!E3605)</f>
        <v>0.3</v>
      </c>
      <c r="K4879" s="114">
        <f>HYPERLINK("#Структура!G3605",Структура!G3605)</f>
        <v>0.11327</v>
      </c>
      <c r="L4879" s="120">
        <f>HYPERLINK("#Покупные_изделия!D557",Покупные_изделия!D557)</f>
        <v>792.00000000000011</v>
      </c>
      <c r="M4879" s="76">
        <f t="shared" ref="M4879" si="195">J4879*L4879</f>
        <v>237.60000000000002</v>
      </c>
      <c r="N4879" s="77"/>
      <c r="O4879" s="77"/>
      <c r="P4879" s="76"/>
      <c r="Q4879" s="76"/>
    </row>
    <row r="4880" spans="4:17" hidden="1" outlineLevel="2" collapsed="1" x14ac:dyDescent="0.25">
      <c r="D4880" s="96" t="s">
        <v>1566</v>
      </c>
      <c r="E4880" s="91"/>
      <c r="F4880" s="91"/>
      <c r="G4880" s="91"/>
      <c r="H4880" s="92"/>
      <c r="I4880" s="93"/>
      <c r="J4880" s="95">
        <f>HYPERLINK("#Структура!E3303",Структура!E3303)</f>
        <v>1</v>
      </c>
      <c r="K4880" s="116">
        <f>HYPERLINK("#Структура!G3303",Структура!G3303)</f>
        <v>87.253469999999993</v>
      </c>
      <c r="L4880" s="93">
        <f>M4880/J4880</f>
        <v>116024.00255999999</v>
      </c>
      <c r="M4880" s="93">
        <f>SUMIF(E4881:E4932,"*",M4881:M4932)*J4880</f>
        <v>116024.00255999999</v>
      </c>
      <c r="N4880" s="125">
        <f>HYPERLINK("#Трудозатраты!B875",Трудозатраты!B875+SUMIF(E4881:E4932,"*",O4881:O4932))</f>
        <v>2</v>
      </c>
      <c r="O4880" s="94">
        <f>N4880*J4880</f>
        <v>2</v>
      </c>
      <c r="P4880" s="93">
        <f>O4880/60*(1+запас_труд)*стоимость_трудочаса</f>
        <v>78.333333333333329</v>
      </c>
      <c r="Q4880" s="130">
        <f>M4880*(1+наценка_покупное)+P4880</f>
        <v>139307.13640533332</v>
      </c>
    </row>
    <row r="4881" spans="5:17" hidden="1" outlineLevel="3" collapsed="1" x14ac:dyDescent="0.25">
      <c r="E4881" s="85" t="s">
        <v>1611</v>
      </c>
      <c r="F4881" s="86"/>
      <c r="G4881" s="86"/>
      <c r="H4881" s="87"/>
      <c r="I4881" s="88"/>
      <c r="J4881" s="90">
        <f>HYPERLINK("#Структура!E3606",Структура!E3606)</f>
        <v>1</v>
      </c>
      <c r="K4881" s="113">
        <f>HYPERLINK("#Структура!G3606",Структура!G3606)</f>
        <v>29.168869999999998</v>
      </c>
      <c r="L4881" s="88">
        <f>M4881/J4881</f>
        <v>11212.8192</v>
      </c>
      <c r="M4881" s="88">
        <f>SUMIF(F4882,"*",M4882)*J4881</f>
        <v>11212.8192</v>
      </c>
      <c r="N4881" s="123">
        <f>HYPERLINK("#Трудозатраты!B876",Трудозатраты!B876+SUMIF(F4882,"*",O4882))</f>
        <v>1</v>
      </c>
      <c r="O4881" s="89">
        <f>N4881*J4881</f>
        <v>1</v>
      </c>
      <c r="P4881" s="88">
        <f>O4881/60*(1+запас_труд)*стоимость_трудочаса</f>
        <v>39.166666666666664</v>
      </c>
      <c r="Q4881" s="128">
        <f>M4881*(1+наценка_покупное)+P4881</f>
        <v>13494.549706666665</v>
      </c>
    </row>
    <row r="4882" spans="5:17" hidden="1" outlineLevel="4" x14ac:dyDescent="0.25">
      <c r="F4882" s="74" t="s">
        <v>1617</v>
      </c>
      <c r="G4882" s="74"/>
      <c r="H4882" s="75"/>
      <c r="I4882" s="76"/>
      <c r="J4882" s="78">
        <f>HYPERLINK("#Структура!E3657",Структура!E3657)</f>
        <v>1</v>
      </c>
      <c r="K4882" s="114" t="str">
        <f>HYPERLINK("#Структура!G3657","")</f>
        <v/>
      </c>
      <c r="L4882" s="120">
        <f>HYPERLINK("#Покупные_изделия!D17",Покупные_изделия!D17)</f>
        <v>11212.8192</v>
      </c>
      <c r="M4882" s="76">
        <f t="shared" ref="M4882:M4913" si="196">J4882*L4882</f>
        <v>11212.8192</v>
      </c>
      <c r="N4882" s="77"/>
      <c r="O4882" s="77"/>
      <c r="P4882" s="76"/>
      <c r="Q4882" s="76"/>
    </row>
    <row r="4883" spans="5:17" hidden="1" outlineLevel="3" x14ac:dyDescent="0.25">
      <c r="E4883" s="74" t="s">
        <v>501</v>
      </c>
      <c r="F4883" s="74"/>
      <c r="G4883" s="74"/>
      <c r="H4883" s="75"/>
      <c r="I4883" s="76"/>
      <c r="J4883" s="78">
        <f>HYPERLINK("#Структура!E3607",Структура!E3607)</f>
        <v>25</v>
      </c>
      <c r="K4883" s="114">
        <f>HYPERLINK("#Структура!G3607",Структура!G3607)</f>
        <v>1.5E-3</v>
      </c>
      <c r="L4883" s="120">
        <f>HYPERLINK("#Покупные_изделия!D436",Покупные_изделия!D436)</f>
        <v>1.1352000000000002</v>
      </c>
      <c r="M4883" s="76">
        <f t="shared" si="196"/>
        <v>28.380000000000006</v>
      </c>
      <c r="N4883" s="77"/>
      <c r="O4883" s="77"/>
      <c r="P4883" s="76"/>
      <c r="Q4883" s="76"/>
    </row>
    <row r="4884" spans="5:17" hidden="1" outlineLevel="3" x14ac:dyDescent="0.25">
      <c r="E4884" s="74" t="s">
        <v>358</v>
      </c>
      <c r="F4884" s="74"/>
      <c r="G4884" s="74"/>
      <c r="H4884" s="75"/>
      <c r="I4884" s="76"/>
      <c r="J4884" s="78">
        <f>HYPERLINK("#Структура!E3608",Структура!E3608)</f>
        <v>1.085</v>
      </c>
      <c r="K4884" s="114">
        <f>HYPERLINK("#Структура!G3608",Структура!G3608)</f>
        <v>0.32</v>
      </c>
      <c r="L4884" s="120">
        <f>HYPERLINK("#Покупные_изделия!D19",Покупные_изделия!D19)</f>
        <v>115.36800000000002</v>
      </c>
      <c r="M4884" s="76">
        <f t="shared" si="196"/>
        <v>125.17428000000002</v>
      </c>
      <c r="N4884" s="77"/>
      <c r="O4884" s="77"/>
      <c r="P4884" s="76"/>
      <c r="Q4884" s="76"/>
    </row>
    <row r="4885" spans="5:17" hidden="1" outlineLevel="3" x14ac:dyDescent="0.25">
      <c r="E4885" s="74" t="s">
        <v>362</v>
      </c>
      <c r="F4885" s="74"/>
      <c r="G4885" s="74"/>
      <c r="H4885" s="75"/>
      <c r="I4885" s="76"/>
      <c r="J4885" s="78">
        <f>HYPERLINK("#Структура!E3609",Структура!E3609)</f>
        <v>1</v>
      </c>
      <c r="K4885" s="114">
        <f>HYPERLINK("#Структура!G3609",Структура!G3609)</f>
        <v>0.31</v>
      </c>
      <c r="L4885" s="120">
        <f>HYPERLINK("#Покупные_изделия!D56",Покупные_изделия!D56)</f>
        <v>2520.1704</v>
      </c>
      <c r="M4885" s="76">
        <f t="shared" si="196"/>
        <v>2520.1704</v>
      </c>
      <c r="N4885" s="77"/>
      <c r="O4885" s="77"/>
      <c r="P4885" s="76"/>
      <c r="Q4885" s="76"/>
    </row>
    <row r="4886" spans="5:17" hidden="1" outlineLevel="3" x14ac:dyDescent="0.25">
      <c r="E4886" s="74" t="s">
        <v>576</v>
      </c>
      <c r="F4886" s="74"/>
      <c r="G4886" s="74"/>
      <c r="H4886" s="75"/>
      <c r="I4886" s="76"/>
      <c r="J4886" s="78">
        <f>HYPERLINK("#Структура!E3610",Структура!E3610)</f>
        <v>3</v>
      </c>
      <c r="K4886" s="114">
        <f>HYPERLINK("#Структура!G3610",Структура!G3610)</f>
        <v>2.5368499999999998</v>
      </c>
      <c r="L4886" s="120">
        <f>HYPERLINK("#Покупные_изделия!D59",Покупные_изделия!D59)</f>
        <v>8644.4159999999993</v>
      </c>
      <c r="M4886" s="76">
        <f t="shared" si="196"/>
        <v>25933.248</v>
      </c>
      <c r="N4886" s="77"/>
      <c r="O4886" s="77"/>
      <c r="P4886" s="76"/>
      <c r="Q4886" s="76"/>
    </row>
    <row r="4887" spans="5:17" hidden="1" outlineLevel="3" x14ac:dyDescent="0.25">
      <c r="E4887" s="74" t="s">
        <v>1612</v>
      </c>
      <c r="F4887" s="74"/>
      <c r="G4887" s="74"/>
      <c r="H4887" s="75"/>
      <c r="I4887" s="76"/>
      <c r="J4887" s="78">
        <f>HYPERLINK("#Структура!E3611",Структура!E3611)</f>
        <v>1</v>
      </c>
      <c r="K4887" s="114" t="str">
        <f>HYPERLINK("#Структура!G3611","")</f>
        <v/>
      </c>
      <c r="L4887" s="120">
        <f>HYPERLINK("#Покупные_изделия!D60",Покупные_изделия!D60)</f>
        <v>15782.368800000002</v>
      </c>
      <c r="M4887" s="76">
        <f t="shared" si="196"/>
        <v>15782.368800000002</v>
      </c>
      <c r="N4887" s="77"/>
      <c r="O4887" s="77"/>
      <c r="P4887" s="76"/>
      <c r="Q4887" s="76"/>
    </row>
    <row r="4888" spans="5:17" hidden="1" outlineLevel="3" x14ac:dyDescent="0.25">
      <c r="E4888" s="74" t="s">
        <v>373</v>
      </c>
      <c r="F4888" s="74"/>
      <c r="G4888" s="74"/>
      <c r="H4888" s="75"/>
      <c r="I4888" s="76"/>
      <c r="J4888" s="78">
        <f>HYPERLINK("#Структура!E3612",Структура!E3612)</f>
        <v>1</v>
      </c>
      <c r="K4888" s="114">
        <f>HYPERLINK("#Структура!G3612",Структура!G3612)</f>
        <v>4.8000000000000001E-2</v>
      </c>
      <c r="L4888" s="120">
        <f>HYPERLINK("#Покупные_изделия!D153",Покупные_изделия!D153)</f>
        <v>1264.6920000000002</v>
      </c>
      <c r="M4888" s="76">
        <f t="shared" si="196"/>
        <v>1264.6920000000002</v>
      </c>
      <c r="N4888" s="77"/>
      <c r="O4888" s="77"/>
      <c r="P4888" s="76"/>
      <c r="Q4888" s="76"/>
    </row>
    <row r="4889" spans="5:17" hidden="1" outlineLevel="3" x14ac:dyDescent="0.25">
      <c r="E4889" s="74" t="s">
        <v>374</v>
      </c>
      <c r="F4889" s="74"/>
      <c r="G4889" s="74"/>
      <c r="H4889" s="75"/>
      <c r="I4889" s="76"/>
      <c r="J4889" s="78">
        <f>HYPERLINK("#Структура!E3613",Структура!E3613)</f>
        <v>4</v>
      </c>
      <c r="K4889" s="114">
        <f>HYPERLINK("#Структура!G3613",Структура!G3613)</f>
        <v>3.5000000000000003E-2</v>
      </c>
      <c r="L4889" s="120">
        <f>HYPERLINK("#Покупные_изделия!D154",Покупные_изделия!D154)</f>
        <v>352.44</v>
      </c>
      <c r="M4889" s="76">
        <f t="shared" si="196"/>
        <v>1409.76</v>
      </c>
      <c r="N4889" s="77"/>
      <c r="O4889" s="77"/>
      <c r="P4889" s="76"/>
      <c r="Q4889" s="76"/>
    </row>
    <row r="4890" spans="5:17" hidden="1" outlineLevel="3" x14ac:dyDescent="0.25">
      <c r="E4890" s="74" t="s">
        <v>375</v>
      </c>
      <c r="F4890" s="74"/>
      <c r="G4890" s="74"/>
      <c r="H4890" s="75"/>
      <c r="I4890" s="76"/>
      <c r="J4890" s="78">
        <f>HYPERLINK("#Структура!E3614",Структура!E3614)</f>
        <v>4</v>
      </c>
      <c r="K4890" s="114">
        <f>HYPERLINK("#Структура!G3614",Структура!G3614)</f>
        <v>1.4E-2</v>
      </c>
      <c r="L4890" s="120">
        <f>HYPERLINK("#Покупные_изделия!D155",Покупные_изделия!D155)</f>
        <v>261.25439999999998</v>
      </c>
      <c r="M4890" s="76">
        <f t="shared" si="196"/>
        <v>1045.0175999999999</v>
      </c>
      <c r="N4890" s="77"/>
      <c r="O4890" s="77"/>
      <c r="P4890" s="76"/>
      <c r="Q4890" s="76"/>
    </row>
    <row r="4891" spans="5:17" hidden="1" outlineLevel="3" x14ac:dyDescent="0.25">
      <c r="E4891" s="74" t="s">
        <v>376</v>
      </c>
      <c r="F4891" s="74"/>
      <c r="G4891" s="74"/>
      <c r="H4891" s="75"/>
      <c r="I4891" s="76"/>
      <c r="J4891" s="78">
        <f>HYPERLINK("#Структура!E3615",Структура!E3615)</f>
        <v>7</v>
      </c>
      <c r="K4891" s="114">
        <f>HYPERLINK("#Структура!G3615",Структура!G3615)</f>
        <v>7.1730000000000002E-2</v>
      </c>
      <c r="L4891" s="120">
        <f>HYPERLINK("#Покупные_изделия!D156",Покупные_изделия!D156)</f>
        <v>257.25479999999999</v>
      </c>
      <c r="M4891" s="76">
        <f t="shared" si="196"/>
        <v>1800.7836</v>
      </c>
      <c r="N4891" s="77"/>
      <c r="O4891" s="77"/>
      <c r="P4891" s="76"/>
      <c r="Q4891" s="76"/>
    </row>
    <row r="4892" spans="5:17" hidden="1" outlineLevel="3" x14ac:dyDescent="0.25">
      <c r="E4892" s="74" t="s">
        <v>377</v>
      </c>
      <c r="F4892" s="74"/>
      <c r="G4892" s="74"/>
      <c r="H4892" s="75"/>
      <c r="I4892" s="76"/>
      <c r="J4892" s="78">
        <f>HYPERLINK("#Структура!E3616",Структура!E3616)</f>
        <v>14</v>
      </c>
      <c r="K4892" s="114">
        <f>HYPERLINK("#Структура!G3616",Структура!G3616)</f>
        <v>6.2950000000000006E-2</v>
      </c>
      <c r="L4892" s="120">
        <f>HYPERLINK("#Покупные_изделия!D157",Покупные_изделия!D157)</f>
        <v>19.390800000000002</v>
      </c>
      <c r="M4892" s="76">
        <f t="shared" si="196"/>
        <v>271.47120000000001</v>
      </c>
      <c r="N4892" s="77"/>
      <c r="O4892" s="77"/>
      <c r="P4892" s="76"/>
      <c r="Q4892" s="76"/>
    </row>
    <row r="4893" spans="5:17" hidden="1" outlineLevel="3" x14ac:dyDescent="0.25">
      <c r="E4893" s="74" t="s">
        <v>1613</v>
      </c>
      <c r="F4893" s="74"/>
      <c r="G4893" s="74"/>
      <c r="H4893" s="75"/>
      <c r="I4893" s="76"/>
      <c r="J4893" s="78">
        <f>HYPERLINK("#Структура!E3617",Структура!E3617)</f>
        <v>1</v>
      </c>
      <c r="K4893" s="114" t="str">
        <f>HYPERLINK("#Структура!G3617","")</f>
        <v/>
      </c>
      <c r="L4893" s="120">
        <f>HYPERLINK("#Покупные_изделия!D158",Покупные_изделия!D158)</f>
        <v>4190.5380000000005</v>
      </c>
      <c r="M4893" s="76">
        <f t="shared" si="196"/>
        <v>4190.5380000000005</v>
      </c>
      <c r="N4893" s="77"/>
      <c r="O4893" s="77"/>
      <c r="P4893" s="76"/>
      <c r="Q4893" s="76"/>
    </row>
    <row r="4894" spans="5:17" hidden="1" outlineLevel="3" x14ac:dyDescent="0.25">
      <c r="E4894" s="74" t="s">
        <v>1614</v>
      </c>
      <c r="F4894" s="74"/>
      <c r="G4894" s="74"/>
      <c r="H4894" s="75"/>
      <c r="I4894" s="76"/>
      <c r="J4894" s="78">
        <f>HYPERLINK("#Структура!E3618",Структура!E3618)</f>
        <v>1</v>
      </c>
      <c r="K4894" s="114" t="str">
        <f>HYPERLINK("#Структура!G3618","")</f>
        <v/>
      </c>
      <c r="L4894" s="120">
        <f>HYPERLINK("#Покупные_изделия!D160",Покупные_изделия!D160)</f>
        <v>1098.0683999999999</v>
      </c>
      <c r="M4894" s="76">
        <f t="shared" si="196"/>
        <v>1098.0683999999999</v>
      </c>
      <c r="N4894" s="77"/>
      <c r="O4894" s="77"/>
      <c r="P4894" s="76"/>
      <c r="Q4894" s="76"/>
    </row>
    <row r="4895" spans="5:17" hidden="1" outlineLevel="3" x14ac:dyDescent="0.25">
      <c r="E4895" s="74" t="s">
        <v>381</v>
      </c>
      <c r="F4895" s="74"/>
      <c r="G4895" s="74"/>
      <c r="H4895" s="75"/>
      <c r="I4895" s="76"/>
      <c r="J4895" s="78">
        <f>HYPERLINK("#Структура!E3619",Структура!E3619)</f>
        <v>2</v>
      </c>
      <c r="K4895" s="114">
        <f>HYPERLINK("#Структура!G3619",Структура!G3619)</f>
        <v>8.9999999999999993E-3</v>
      </c>
      <c r="L4895" s="120">
        <f>HYPERLINK("#Покупные_изделия!D183",Покупные_изделия!D183)</f>
        <v>66</v>
      </c>
      <c r="M4895" s="76">
        <f t="shared" si="196"/>
        <v>132</v>
      </c>
      <c r="N4895" s="77"/>
      <c r="O4895" s="77"/>
      <c r="P4895" s="76"/>
      <c r="Q4895" s="76"/>
    </row>
    <row r="4896" spans="5:17" hidden="1" outlineLevel="3" x14ac:dyDescent="0.25">
      <c r="E4896" s="74" t="s">
        <v>382</v>
      </c>
      <c r="F4896" s="74"/>
      <c r="G4896" s="74"/>
      <c r="H4896" s="75"/>
      <c r="I4896" s="76"/>
      <c r="J4896" s="78">
        <f>HYPERLINK("#Структура!E3620",Структура!E3620)</f>
        <v>3</v>
      </c>
      <c r="K4896" s="114" t="str">
        <f>HYPERLINK("#Структура!G3620","")</f>
        <v/>
      </c>
      <c r="L4896" s="120">
        <f>HYPERLINK("#Покупные_изделия!D185",Покупные_изделия!D185)</f>
        <v>92.611199999999997</v>
      </c>
      <c r="M4896" s="76">
        <f t="shared" si="196"/>
        <v>277.83359999999999</v>
      </c>
      <c r="N4896" s="77"/>
      <c r="O4896" s="77"/>
      <c r="P4896" s="76"/>
      <c r="Q4896" s="76"/>
    </row>
    <row r="4897" spans="5:17" hidden="1" outlineLevel="3" x14ac:dyDescent="0.25">
      <c r="E4897" s="74" t="s">
        <v>577</v>
      </c>
      <c r="F4897" s="74"/>
      <c r="G4897" s="74"/>
      <c r="H4897" s="75"/>
      <c r="I4897" s="76"/>
      <c r="J4897" s="78">
        <f>HYPERLINK("#Структура!E3621",Структура!E3621)</f>
        <v>1</v>
      </c>
      <c r="K4897" s="114">
        <f>HYPERLINK("#Структура!G3621",Структура!G3621)</f>
        <v>0.36621999999999999</v>
      </c>
      <c r="L4897" s="120">
        <f>HYPERLINK("#Покупные_изделия!D209",Покупные_изделия!D209)</f>
        <v>1.1000000000000001E-2</v>
      </c>
      <c r="M4897" s="76">
        <f t="shared" si="196"/>
        <v>1.1000000000000001E-2</v>
      </c>
      <c r="N4897" s="77"/>
      <c r="O4897" s="77"/>
      <c r="P4897" s="76"/>
      <c r="Q4897" s="76"/>
    </row>
    <row r="4898" spans="5:17" hidden="1" outlineLevel="3" x14ac:dyDescent="0.25">
      <c r="E4898" s="74" t="s">
        <v>390</v>
      </c>
      <c r="F4898" s="74"/>
      <c r="G4898" s="74"/>
      <c r="H4898" s="75"/>
      <c r="I4898" s="76"/>
      <c r="J4898" s="78">
        <f>HYPERLINK("#Структура!E3622",Структура!E3622)</f>
        <v>2</v>
      </c>
      <c r="K4898" s="114">
        <f>HYPERLINK("#Структура!G3622",Структура!G3622)</f>
        <v>0.19148000000000001</v>
      </c>
      <c r="L4898" s="120">
        <f>HYPERLINK("#Покупные_изделия!D211",Покупные_изделия!D211)</f>
        <v>43.56</v>
      </c>
      <c r="M4898" s="76">
        <f t="shared" si="196"/>
        <v>87.12</v>
      </c>
      <c r="N4898" s="77"/>
      <c r="O4898" s="77"/>
      <c r="P4898" s="76"/>
      <c r="Q4898" s="76"/>
    </row>
    <row r="4899" spans="5:17" hidden="1" outlineLevel="3" x14ac:dyDescent="0.25">
      <c r="E4899" s="74" t="s">
        <v>418</v>
      </c>
      <c r="F4899" s="74"/>
      <c r="G4899" s="74"/>
      <c r="H4899" s="75"/>
      <c r="I4899" s="76"/>
      <c r="J4899" s="78">
        <f>HYPERLINK("#Структура!E3623",Структура!E3623)</f>
        <v>5</v>
      </c>
      <c r="K4899" s="114">
        <f>HYPERLINK("#Структура!G3623",Структура!G3623)</f>
        <v>8.9999999999999998E-4</v>
      </c>
      <c r="L4899" s="120">
        <f>HYPERLINK("#Покупные_изделия!D310",Покупные_изделия!D310)</f>
        <v>292.80239999999998</v>
      </c>
      <c r="M4899" s="76">
        <f t="shared" si="196"/>
        <v>1464.0119999999999</v>
      </c>
      <c r="N4899" s="77"/>
      <c r="O4899" s="77"/>
      <c r="P4899" s="76"/>
      <c r="Q4899" s="76"/>
    </row>
    <row r="4900" spans="5:17" hidden="1" outlineLevel="3" x14ac:dyDescent="0.25">
      <c r="E4900" s="74" t="s">
        <v>442</v>
      </c>
      <c r="F4900" s="74"/>
      <c r="G4900" s="74"/>
      <c r="H4900" s="75"/>
      <c r="I4900" s="76"/>
      <c r="J4900" s="78">
        <f>HYPERLINK("#Структура!E3624",Структура!E3624)</f>
        <v>2</v>
      </c>
      <c r="K4900" s="114">
        <f>HYPERLINK("#Структура!G3624",Структура!G3624)</f>
        <v>0.1109</v>
      </c>
      <c r="L4900" s="120">
        <f>HYPERLINK("#Покупные_изделия!D341",Покупные_изделия!D341)</f>
        <v>424.4196</v>
      </c>
      <c r="M4900" s="76">
        <f t="shared" si="196"/>
        <v>848.83920000000001</v>
      </c>
      <c r="N4900" s="77"/>
      <c r="O4900" s="77"/>
      <c r="P4900" s="76"/>
      <c r="Q4900" s="76"/>
    </row>
    <row r="4901" spans="5:17" hidden="1" outlineLevel="3" x14ac:dyDescent="0.25">
      <c r="E4901" s="74" t="s">
        <v>1615</v>
      </c>
      <c r="F4901" s="74"/>
      <c r="G4901" s="74"/>
      <c r="H4901" s="75"/>
      <c r="I4901" s="76"/>
      <c r="J4901" s="78">
        <f>HYPERLINK("#Структура!E3625",Структура!E3625)</f>
        <v>3</v>
      </c>
      <c r="K4901" s="114" t="str">
        <f>HYPERLINK("#Структура!G3625","")</f>
        <v/>
      </c>
      <c r="L4901" s="120">
        <f>HYPERLINK("#Покупные_изделия!D344",Покупные_изделия!D344)</f>
        <v>627.50160000000005</v>
      </c>
      <c r="M4901" s="76">
        <f t="shared" si="196"/>
        <v>1882.5048000000002</v>
      </c>
      <c r="N4901" s="77"/>
      <c r="O4901" s="77"/>
      <c r="P4901" s="76"/>
      <c r="Q4901" s="76"/>
    </row>
    <row r="4902" spans="5:17" hidden="1" outlineLevel="3" x14ac:dyDescent="0.25">
      <c r="E4902" s="74" t="s">
        <v>448</v>
      </c>
      <c r="F4902" s="74"/>
      <c r="G4902" s="74"/>
      <c r="H4902" s="75"/>
      <c r="I4902" s="76"/>
      <c r="J4902" s="78">
        <f>HYPERLINK("#Структура!E3626",Структура!E3626)</f>
        <v>1</v>
      </c>
      <c r="K4902" s="114">
        <f>HYPERLINK("#Структура!G3626",Структура!G3626)</f>
        <v>18.50883</v>
      </c>
      <c r="L4902" s="120">
        <f>HYPERLINK("#Покупные_изделия!D351",Покупные_изделия!D351)</f>
        <v>4062.96</v>
      </c>
      <c r="M4902" s="76">
        <f t="shared" si="196"/>
        <v>4062.96</v>
      </c>
      <c r="N4902" s="77"/>
      <c r="O4902" s="77"/>
      <c r="P4902" s="76"/>
      <c r="Q4902" s="76"/>
    </row>
    <row r="4903" spans="5:17" hidden="1" outlineLevel="3" x14ac:dyDescent="0.25">
      <c r="E4903" s="74" t="s">
        <v>449</v>
      </c>
      <c r="F4903" s="74"/>
      <c r="G4903" s="74"/>
      <c r="H4903" s="75"/>
      <c r="I4903" s="76"/>
      <c r="J4903" s="78">
        <f>HYPERLINK("#Структура!E3627",Структура!E3627)</f>
        <v>18</v>
      </c>
      <c r="K4903" s="114">
        <f>HYPERLINK("#Структура!G3627",Структура!G3627)</f>
        <v>4.4999999999999999E-4</v>
      </c>
      <c r="L4903" s="120">
        <f>HYPERLINK("#Покупные_изделия!D352",Покупные_изделия!D352)</f>
        <v>2.1480000000000001</v>
      </c>
      <c r="M4903" s="76">
        <f t="shared" si="196"/>
        <v>38.664000000000001</v>
      </c>
      <c r="N4903" s="77"/>
      <c r="O4903" s="77"/>
      <c r="P4903" s="76"/>
      <c r="Q4903" s="76"/>
    </row>
    <row r="4904" spans="5:17" hidden="1" outlineLevel="3" x14ac:dyDescent="0.25">
      <c r="E4904" s="74" t="s">
        <v>450</v>
      </c>
      <c r="F4904" s="74"/>
      <c r="G4904" s="74"/>
      <c r="H4904" s="75"/>
      <c r="I4904" s="76"/>
      <c r="J4904" s="78">
        <f>HYPERLINK("#Структура!E3628",Структура!E3628)</f>
        <v>100</v>
      </c>
      <c r="K4904" s="114">
        <f>HYPERLINK("#Структура!G3628",Структура!G3628)</f>
        <v>1.4999999999999999E-4</v>
      </c>
      <c r="L4904" s="120">
        <f>HYPERLINK("#Покупные_изделия!D353",Покупные_изделия!D353)</f>
        <v>2.0460000000000003</v>
      </c>
      <c r="M4904" s="76">
        <f t="shared" si="196"/>
        <v>204.60000000000002</v>
      </c>
      <c r="N4904" s="77"/>
      <c r="O4904" s="77"/>
      <c r="P4904" s="76"/>
      <c r="Q4904" s="76"/>
    </row>
    <row r="4905" spans="5:17" hidden="1" outlineLevel="3" x14ac:dyDescent="0.25">
      <c r="E4905" s="74" t="s">
        <v>451</v>
      </c>
      <c r="F4905" s="74"/>
      <c r="G4905" s="74"/>
      <c r="H4905" s="75"/>
      <c r="I4905" s="76"/>
      <c r="J4905" s="78">
        <f>HYPERLINK("#Структура!E3629",Структура!E3629)</f>
        <v>25</v>
      </c>
      <c r="K4905" s="114">
        <f>HYPERLINK("#Структура!G3629",Структура!G3629)</f>
        <v>2.2000000000000001E-4</v>
      </c>
      <c r="L4905" s="120">
        <f>HYPERLINK("#Покупные_изделия!D354",Покупные_изделия!D354)</f>
        <v>1.0296000000000001</v>
      </c>
      <c r="M4905" s="76">
        <f t="shared" si="196"/>
        <v>25.740000000000002</v>
      </c>
      <c r="N4905" s="77"/>
      <c r="O4905" s="77"/>
      <c r="P4905" s="76"/>
      <c r="Q4905" s="76"/>
    </row>
    <row r="4906" spans="5:17" hidden="1" outlineLevel="3" x14ac:dyDescent="0.25">
      <c r="E4906" s="74" t="s">
        <v>453</v>
      </c>
      <c r="F4906" s="74"/>
      <c r="G4906" s="74"/>
      <c r="H4906" s="75"/>
      <c r="I4906" s="76"/>
      <c r="J4906" s="78">
        <f>HYPERLINK("#Структура!E3630",Структура!E3630)</f>
        <v>18</v>
      </c>
      <c r="K4906" s="114">
        <f>HYPERLINK("#Структура!G3630",Структура!G3630)</f>
        <v>4.0999999999999999E-4</v>
      </c>
      <c r="L4906" s="120">
        <f>HYPERLINK("#Покупные_изделия!D356",Покупные_изделия!D356)</f>
        <v>1.51464</v>
      </c>
      <c r="M4906" s="76">
        <f t="shared" si="196"/>
        <v>27.26352</v>
      </c>
      <c r="N4906" s="77"/>
      <c r="O4906" s="77"/>
      <c r="P4906" s="76"/>
      <c r="Q4906" s="76"/>
    </row>
    <row r="4907" spans="5:17" hidden="1" outlineLevel="3" x14ac:dyDescent="0.25">
      <c r="E4907" s="74" t="s">
        <v>454</v>
      </c>
      <c r="F4907" s="74"/>
      <c r="G4907" s="74"/>
      <c r="H4907" s="75"/>
      <c r="I4907" s="76"/>
      <c r="J4907" s="78">
        <f>HYPERLINK("#Структура!E3631",Структура!E3631)</f>
        <v>10</v>
      </c>
      <c r="K4907" s="114" t="str">
        <f>HYPERLINK("#Структура!G3631","")</f>
        <v/>
      </c>
      <c r="L4907" s="120">
        <f>HYPERLINK("#Покупные_изделия!D357",Покупные_изделия!D357)</f>
        <v>2.2000000000000002</v>
      </c>
      <c r="M4907" s="76">
        <f t="shared" si="196"/>
        <v>22</v>
      </c>
      <c r="N4907" s="77"/>
      <c r="O4907" s="77"/>
      <c r="P4907" s="76"/>
      <c r="Q4907" s="76"/>
    </row>
    <row r="4908" spans="5:17" hidden="1" outlineLevel="3" x14ac:dyDescent="0.25">
      <c r="E4908" s="74" t="s">
        <v>458</v>
      </c>
      <c r="F4908" s="74"/>
      <c r="G4908" s="74"/>
      <c r="H4908" s="75"/>
      <c r="I4908" s="76"/>
      <c r="J4908" s="78">
        <f>HYPERLINK("#Структура!E3632",Структура!E3632)</f>
        <v>1</v>
      </c>
      <c r="K4908" s="114">
        <f>HYPERLINK("#Структура!G3632",Структура!G3632)</f>
        <v>1.92</v>
      </c>
      <c r="L4908" s="120">
        <f>HYPERLINK("#Покупные_изделия!D363",Покупные_изделия!D363)</f>
        <v>465.53760000000005</v>
      </c>
      <c r="M4908" s="76">
        <f t="shared" si="196"/>
        <v>465.53760000000005</v>
      </c>
      <c r="N4908" s="77"/>
      <c r="O4908" s="77"/>
      <c r="P4908" s="76"/>
      <c r="Q4908" s="76"/>
    </row>
    <row r="4909" spans="5:17" hidden="1" outlineLevel="3" x14ac:dyDescent="0.25">
      <c r="E4909" s="74" t="s">
        <v>463</v>
      </c>
      <c r="F4909" s="74"/>
      <c r="G4909" s="74"/>
      <c r="H4909" s="75"/>
      <c r="I4909" s="76"/>
      <c r="J4909" s="78">
        <f>HYPERLINK("#Структура!E3633",Структура!E3633)</f>
        <v>6</v>
      </c>
      <c r="K4909" s="114">
        <f>HYPERLINK("#Структура!G3633",Структура!G3633)</f>
        <v>2.0899999999999998E-3</v>
      </c>
      <c r="L4909" s="120">
        <f>HYPERLINK("#Покупные_изделия!D369",Покупные_изделия!D369)</f>
        <v>41.3292</v>
      </c>
      <c r="M4909" s="76">
        <f t="shared" si="196"/>
        <v>247.9752</v>
      </c>
      <c r="N4909" s="77"/>
      <c r="O4909" s="77"/>
      <c r="P4909" s="76"/>
      <c r="Q4909" s="76"/>
    </row>
    <row r="4910" spans="5:17" hidden="1" outlineLevel="3" x14ac:dyDescent="0.25">
      <c r="E4910" s="74" t="s">
        <v>466</v>
      </c>
      <c r="F4910" s="74"/>
      <c r="G4910" s="74"/>
      <c r="H4910" s="75"/>
      <c r="I4910" s="76"/>
      <c r="J4910" s="78">
        <f>HYPERLINK("#Структура!E3634",Структура!E3634)</f>
        <v>0.8</v>
      </c>
      <c r="K4910" s="114">
        <f>HYPERLINK("#Структура!G3634",Структура!G3634)</f>
        <v>0.28299999999999997</v>
      </c>
      <c r="L4910" s="120">
        <f>HYPERLINK("#Покупные_изделия!D372",Покупные_изделия!D372)</f>
        <v>149.1996</v>
      </c>
      <c r="M4910" s="76">
        <f t="shared" si="196"/>
        <v>119.35968000000001</v>
      </c>
      <c r="N4910" s="77"/>
      <c r="O4910" s="77"/>
      <c r="P4910" s="76"/>
      <c r="Q4910" s="76"/>
    </row>
    <row r="4911" spans="5:17" hidden="1" outlineLevel="3" x14ac:dyDescent="0.25">
      <c r="E4911" s="74" t="s">
        <v>467</v>
      </c>
      <c r="F4911" s="74"/>
      <c r="G4911" s="74"/>
      <c r="H4911" s="75"/>
      <c r="I4911" s="76"/>
      <c r="J4911" s="78">
        <f>HYPERLINK("#Структура!E3635",Структура!E3635)</f>
        <v>1.6</v>
      </c>
      <c r="K4911" s="114">
        <f>HYPERLINK("#Структура!G3635",Структура!G3635)</f>
        <v>0.25</v>
      </c>
      <c r="L4911" s="120">
        <f>HYPERLINK("#Покупные_изделия!D373",Покупные_изделия!D373)</f>
        <v>180.57599999999999</v>
      </c>
      <c r="M4911" s="76">
        <f t="shared" si="196"/>
        <v>288.92160000000001</v>
      </c>
      <c r="N4911" s="77"/>
      <c r="O4911" s="77"/>
      <c r="P4911" s="76"/>
      <c r="Q4911" s="76"/>
    </row>
    <row r="4912" spans="5:17" hidden="1" outlineLevel="3" x14ac:dyDescent="0.25">
      <c r="E4912" s="74" t="s">
        <v>470</v>
      </c>
      <c r="F4912" s="74"/>
      <c r="G4912" s="74"/>
      <c r="H4912" s="75"/>
      <c r="I4912" s="76"/>
      <c r="J4912" s="78">
        <f>HYPERLINK("#Структура!E3636",Структура!E3636)</f>
        <v>10</v>
      </c>
      <c r="K4912" s="114" t="str">
        <f>HYPERLINK("#Структура!G3636","")</f>
        <v/>
      </c>
      <c r="L4912" s="120">
        <f>HYPERLINK("#Покупные_изделия!D376",Покупные_изделия!D376)</f>
        <v>2.013528</v>
      </c>
      <c r="M4912" s="76">
        <f t="shared" si="196"/>
        <v>20.135280000000002</v>
      </c>
      <c r="N4912" s="77"/>
      <c r="O4912" s="77"/>
      <c r="P4912" s="76"/>
      <c r="Q4912" s="76"/>
    </row>
    <row r="4913" spans="5:17" hidden="1" outlineLevel="3" x14ac:dyDescent="0.25">
      <c r="E4913" s="74" t="s">
        <v>472</v>
      </c>
      <c r="F4913" s="74"/>
      <c r="G4913" s="74"/>
      <c r="H4913" s="75"/>
      <c r="I4913" s="76"/>
      <c r="J4913" s="78">
        <f>HYPERLINK("#Структура!E3637",Структура!E3637)</f>
        <v>1</v>
      </c>
      <c r="K4913" s="114">
        <f>HYPERLINK("#Структура!G3637",Структура!G3637)</f>
        <v>0.16206000000000001</v>
      </c>
      <c r="L4913" s="120">
        <f>HYPERLINK("#Покупные_изделия!D379",Покупные_изделия!D379)</f>
        <v>1451.8152</v>
      </c>
      <c r="M4913" s="76">
        <f t="shared" si="196"/>
        <v>1451.8152</v>
      </c>
      <c r="N4913" s="77"/>
      <c r="O4913" s="77"/>
      <c r="P4913" s="76"/>
      <c r="Q4913" s="76"/>
    </row>
    <row r="4914" spans="5:17" hidden="1" outlineLevel="3" x14ac:dyDescent="0.25">
      <c r="E4914" s="74" t="s">
        <v>1616</v>
      </c>
      <c r="F4914" s="74"/>
      <c r="G4914" s="74"/>
      <c r="H4914" s="75"/>
      <c r="I4914" s="76"/>
      <c r="J4914" s="78">
        <f>HYPERLINK("#Структура!E3638",Структура!E3638)</f>
        <v>3</v>
      </c>
      <c r="K4914" s="114" t="str">
        <f>HYPERLINK("#Структура!G3638","")</f>
        <v/>
      </c>
      <c r="L4914" s="120">
        <f>HYPERLINK("#Покупные_изделия!D380",Покупные_изделия!D380)</f>
        <v>2469.4428000000003</v>
      </c>
      <c r="M4914" s="76">
        <f t="shared" ref="M4914:M4932" si="197">J4914*L4914</f>
        <v>7408.3284000000003</v>
      </c>
      <c r="N4914" s="77"/>
      <c r="O4914" s="77"/>
      <c r="P4914" s="76"/>
      <c r="Q4914" s="76"/>
    </row>
    <row r="4915" spans="5:17" hidden="1" outlineLevel="3" x14ac:dyDescent="0.25">
      <c r="E4915" s="74" t="s">
        <v>477</v>
      </c>
      <c r="F4915" s="74"/>
      <c r="G4915" s="74"/>
      <c r="H4915" s="75"/>
      <c r="I4915" s="76"/>
      <c r="J4915" s="78">
        <f>HYPERLINK("#Структура!E3639",Структура!E3639)</f>
        <v>6</v>
      </c>
      <c r="K4915" s="114" t="str">
        <f>HYPERLINK("#Структура!G3639","")</f>
        <v/>
      </c>
      <c r="L4915" s="120">
        <f>HYPERLINK("#Покупные_изделия!D392",Покупные_изделия!D392)</f>
        <v>5.5440000000000005</v>
      </c>
      <c r="M4915" s="76">
        <f t="shared" si="197"/>
        <v>33.264000000000003</v>
      </c>
      <c r="N4915" s="77"/>
      <c r="O4915" s="77"/>
      <c r="P4915" s="76"/>
      <c r="Q4915" s="76"/>
    </row>
    <row r="4916" spans="5:17" hidden="1" outlineLevel="3" x14ac:dyDescent="0.25">
      <c r="E4916" s="74" t="s">
        <v>481</v>
      </c>
      <c r="F4916" s="74"/>
      <c r="G4916" s="74"/>
      <c r="H4916" s="75"/>
      <c r="I4916" s="76"/>
      <c r="J4916" s="78">
        <f>HYPERLINK("#Структура!E3640",Структура!E3640)</f>
        <v>30</v>
      </c>
      <c r="K4916" s="114" t="str">
        <f>HYPERLINK("#Структура!G3640","")</f>
        <v/>
      </c>
      <c r="L4916" s="120">
        <f>HYPERLINK("#Покупные_изделия!D396",Покупные_изделия!D396)</f>
        <v>6.2519999999999998</v>
      </c>
      <c r="M4916" s="76">
        <f t="shared" si="197"/>
        <v>187.56</v>
      </c>
      <c r="N4916" s="77"/>
      <c r="O4916" s="77"/>
      <c r="P4916" s="76"/>
      <c r="Q4916" s="76"/>
    </row>
    <row r="4917" spans="5:17" hidden="1" outlineLevel="3" x14ac:dyDescent="0.25">
      <c r="E4917" s="74" t="s">
        <v>482</v>
      </c>
      <c r="F4917" s="74"/>
      <c r="G4917" s="74"/>
      <c r="H4917" s="75"/>
      <c r="I4917" s="76"/>
      <c r="J4917" s="78">
        <f>HYPERLINK("#Структура!E3641",Структура!E3641)</f>
        <v>3</v>
      </c>
      <c r="K4917" s="114" t="str">
        <f>HYPERLINK("#Структура!G3641","")</f>
        <v/>
      </c>
      <c r="L4917" s="120">
        <f>HYPERLINK("#Покупные_изделия!D397",Покупные_изделия!D397)</f>
        <v>12.54</v>
      </c>
      <c r="M4917" s="76">
        <f t="shared" si="197"/>
        <v>37.619999999999997</v>
      </c>
      <c r="N4917" s="77"/>
      <c r="O4917" s="77"/>
      <c r="P4917" s="76"/>
      <c r="Q4917" s="76"/>
    </row>
    <row r="4918" spans="5:17" hidden="1" outlineLevel="3" x14ac:dyDescent="0.25">
      <c r="E4918" s="74" t="s">
        <v>486</v>
      </c>
      <c r="F4918" s="74"/>
      <c r="G4918" s="74"/>
      <c r="H4918" s="75"/>
      <c r="I4918" s="76"/>
      <c r="J4918" s="78">
        <f>HYPERLINK("#Структура!E3642",Структура!E3642)</f>
        <v>2</v>
      </c>
      <c r="K4918" s="114" t="str">
        <f>HYPERLINK("#Структура!G3642","")</f>
        <v/>
      </c>
      <c r="L4918" s="120">
        <f>HYPERLINK("#Покупные_изделия!D403",Покупные_изделия!D403)</f>
        <v>25.895999999999997</v>
      </c>
      <c r="M4918" s="76">
        <f t="shared" si="197"/>
        <v>51.791999999999994</v>
      </c>
      <c r="N4918" s="77"/>
      <c r="O4918" s="77"/>
      <c r="P4918" s="76"/>
      <c r="Q4918" s="76"/>
    </row>
    <row r="4919" spans="5:17" hidden="1" outlineLevel="3" x14ac:dyDescent="0.25">
      <c r="E4919" s="74" t="s">
        <v>488</v>
      </c>
      <c r="F4919" s="74"/>
      <c r="G4919" s="74"/>
      <c r="H4919" s="75"/>
      <c r="I4919" s="76"/>
      <c r="J4919" s="78">
        <f>HYPERLINK("#Структура!E3643",Структура!E3643)</f>
        <v>18</v>
      </c>
      <c r="K4919" s="114" t="str">
        <f>HYPERLINK("#Структура!G3643","")</f>
        <v/>
      </c>
      <c r="L4919" s="120">
        <f>HYPERLINK("#Покупные_изделия!D405",Покупные_изделия!D405)</f>
        <v>42.359999999999992</v>
      </c>
      <c r="M4919" s="76">
        <f t="shared" si="197"/>
        <v>762.4799999999999</v>
      </c>
      <c r="N4919" s="77"/>
      <c r="O4919" s="77"/>
      <c r="P4919" s="76"/>
      <c r="Q4919" s="76"/>
    </row>
    <row r="4920" spans="5:17" hidden="1" outlineLevel="3" x14ac:dyDescent="0.25">
      <c r="E4920" s="74" t="s">
        <v>491</v>
      </c>
      <c r="F4920" s="74"/>
      <c r="G4920" s="74"/>
      <c r="H4920" s="75"/>
      <c r="I4920" s="76"/>
      <c r="J4920" s="78">
        <f>HYPERLINK("#Структура!E3644",Структура!E3644)</f>
        <v>3</v>
      </c>
      <c r="K4920" s="114">
        <f>HYPERLINK("#Структура!G3644",Структура!G3644)</f>
        <v>3.6800000000000001E-3</v>
      </c>
      <c r="L4920" s="120">
        <f>HYPERLINK("#Покупные_изделия!D411",Покупные_изделия!D411)</f>
        <v>27.508800000000001</v>
      </c>
      <c r="M4920" s="76">
        <f t="shared" si="197"/>
        <v>82.526399999999995</v>
      </c>
      <c r="N4920" s="77"/>
      <c r="O4920" s="77"/>
      <c r="P4920" s="76"/>
      <c r="Q4920" s="76"/>
    </row>
    <row r="4921" spans="5:17" hidden="1" outlineLevel="3" x14ac:dyDescent="0.25">
      <c r="E4921" s="74" t="s">
        <v>570</v>
      </c>
      <c r="F4921" s="74"/>
      <c r="G4921" s="74"/>
      <c r="H4921" s="75"/>
      <c r="I4921" s="76"/>
      <c r="J4921" s="78">
        <f>HYPERLINK("#Структура!E3645",Структура!E3645)</f>
        <v>6</v>
      </c>
      <c r="K4921" s="114">
        <f>HYPERLINK("#Структура!G3645",Структура!G3645)</f>
        <v>4.2199999999999998E-3</v>
      </c>
      <c r="L4921" s="120">
        <f>HYPERLINK("#Покупные_изделия!D412",Покупные_изделия!D412)</f>
        <v>31.204800000000002</v>
      </c>
      <c r="M4921" s="76">
        <f t="shared" si="197"/>
        <v>187.22880000000001</v>
      </c>
      <c r="N4921" s="77"/>
      <c r="O4921" s="77"/>
      <c r="P4921" s="76"/>
      <c r="Q4921" s="76"/>
    </row>
    <row r="4922" spans="5:17" hidden="1" outlineLevel="3" x14ac:dyDescent="0.25">
      <c r="E4922" s="74" t="s">
        <v>500</v>
      </c>
      <c r="F4922" s="74"/>
      <c r="G4922" s="74"/>
      <c r="H4922" s="75"/>
      <c r="I4922" s="76"/>
      <c r="J4922" s="78">
        <f>HYPERLINK("#Структура!E3646",Структура!E3646)</f>
        <v>1</v>
      </c>
      <c r="K4922" s="114">
        <f>HYPERLINK("#Структура!G3646",Структура!G3646)</f>
        <v>0.113</v>
      </c>
      <c r="L4922" s="120">
        <f>HYPERLINK("#Покупные_изделия!D435",Покупные_изделия!D435)</f>
        <v>104.48399999999999</v>
      </c>
      <c r="M4922" s="76">
        <f t="shared" si="197"/>
        <v>104.48399999999999</v>
      </c>
      <c r="N4922" s="77"/>
      <c r="O4922" s="77"/>
      <c r="P4922" s="76"/>
      <c r="Q4922" s="76"/>
    </row>
    <row r="4923" spans="5:17" hidden="1" outlineLevel="3" x14ac:dyDescent="0.25">
      <c r="E4923" s="74" t="s">
        <v>510</v>
      </c>
      <c r="F4923" s="74"/>
      <c r="G4923" s="74"/>
      <c r="H4923" s="75"/>
      <c r="I4923" s="76"/>
      <c r="J4923" s="78">
        <f>HYPERLINK("#Структура!E3647",Структура!E3647)</f>
        <v>1</v>
      </c>
      <c r="K4923" s="114">
        <f>HYPERLINK("#Структура!G3647",Структура!G3647)</f>
        <v>0.87595999999999996</v>
      </c>
      <c r="L4923" s="120">
        <f>HYPERLINK("#Покупные_изделия!D445",Покупные_изделия!D445)</f>
        <v>308.39160000000004</v>
      </c>
      <c r="M4923" s="76">
        <f t="shared" si="197"/>
        <v>308.39160000000004</v>
      </c>
      <c r="N4923" s="77"/>
      <c r="O4923" s="77"/>
      <c r="P4923" s="76"/>
      <c r="Q4923" s="76"/>
    </row>
    <row r="4924" spans="5:17" hidden="1" outlineLevel="3" x14ac:dyDescent="0.25">
      <c r="E4924" s="74" t="s">
        <v>511</v>
      </c>
      <c r="F4924" s="74"/>
      <c r="G4924" s="74"/>
      <c r="H4924" s="75"/>
      <c r="I4924" s="76"/>
      <c r="J4924" s="78">
        <f>HYPERLINK("#Структура!E3648",Структура!E3648)</f>
        <v>100</v>
      </c>
      <c r="K4924" s="114" t="str">
        <f>HYPERLINK("#Структура!G3648","")</f>
        <v/>
      </c>
      <c r="L4924" s="120">
        <f>HYPERLINK("#Покупные_изделия!D455",Покупные_изделия!D455)</f>
        <v>1.183908</v>
      </c>
      <c r="M4924" s="76">
        <f t="shared" si="197"/>
        <v>118.3908</v>
      </c>
      <c r="N4924" s="77"/>
      <c r="O4924" s="77"/>
      <c r="P4924" s="76"/>
      <c r="Q4924" s="76"/>
    </row>
    <row r="4925" spans="5:17" hidden="1" outlineLevel="3" x14ac:dyDescent="0.25">
      <c r="E4925" s="74" t="s">
        <v>519</v>
      </c>
      <c r="F4925" s="74"/>
      <c r="G4925" s="74"/>
      <c r="H4925" s="75"/>
      <c r="I4925" s="76"/>
      <c r="J4925" s="78">
        <f>HYPERLINK("#Структура!E3649",Структура!E3649)</f>
        <v>1</v>
      </c>
      <c r="K4925" s="114" t="str">
        <f>HYPERLINK("#Структура!G3649","")</f>
        <v/>
      </c>
      <c r="L4925" s="120">
        <f>HYPERLINK("#Покупные_изделия!D465",Покупные_изделия!D465)</f>
        <v>9.0156000000000009</v>
      </c>
      <c r="M4925" s="76">
        <f t="shared" si="197"/>
        <v>9.0156000000000009</v>
      </c>
      <c r="N4925" s="77"/>
      <c r="O4925" s="77"/>
      <c r="P4925" s="76"/>
      <c r="Q4925" s="76"/>
    </row>
    <row r="4926" spans="5:17" hidden="1" outlineLevel="3" x14ac:dyDescent="0.25">
      <c r="E4926" s="74" t="s">
        <v>520</v>
      </c>
      <c r="F4926" s="74"/>
      <c r="G4926" s="74"/>
      <c r="H4926" s="75"/>
      <c r="I4926" s="76"/>
      <c r="J4926" s="78">
        <f>HYPERLINK("#Структура!E3650",Структура!E3650)</f>
        <v>1</v>
      </c>
      <c r="K4926" s="114" t="str">
        <f>HYPERLINK("#Структура!G3650","")</f>
        <v/>
      </c>
      <c r="L4926" s="120">
        <f>HYPERLINK("#Покупные_изделия!D466",Покупные_изделия!D466)</f>
        <v>10.1904</v>
      </c>
      <c r="M4926" s="76">
        <f t="shared" si="197"/>
        <v>10.1904</v>
      </c>
      <c r="N4926" s="77"/>
      <c r="O4926" s="77"/>
      <c r="P4926" s="76"/>
      <c r="Q4926" s="76"/>
    </row>
    <row r="4927" spans="5:17" hidden="1" outlineLevel="3" x14ac:dyDescent="0.25">
      <c r="E4927" s="74" t="s">
        <v>521</v>
      </c>
      <c r="F4927" s="74"/>
      <c r="G4927" s="74"/>
      <c r="H4927" s="75"/>
      <c r="I4927" s="76"/>
      <c r="J4927" s="78">
        <f>HYPERLINK("#Структура!E3651",Структура!E3651)</f>
        <v>1</v>
      </c>
      <c r="K4927" s="114" t="str">
        <f>HYPERLINK("#Структура!G3651","")</f>
        <v/>
      </c>
      <c r="L4927" s="120">
        <f>HYPERLINK("#Покупные_изделия!D467",Покупные_изделия!D467)</f>
        <v>10.1904</v>
      </c>
      <c r="M4927" s="76">
        <f t="shared" si="197"/>
        <v>10.1904</v>
      </c>
      <c r="N4927" s="77"/>
      <c r="O4927" s="77"/>
      <c r="P4927" s="76"/>
      <c r="Q4927" s="76"/>
    </row>
    <row r="4928" spans="5:17" hidden="1" outlineLevel="3" x14ac:dyDescent="0.25">
      <c r="E4928" s="74" t="s">
        <v>523</v>
      </c>
      <c r="F4928" s="74"/>
      <c r="G4928" s="74"/>
      <c r="H4928" s="75"/>
      <c r="I4928" s="76"/>
      <c r="J4928" s="78">
        <f>HYPERLINK("#Структура!E3652",Структура!E3652)</f>
        <v>6</v>
      </c>
      <c r="K4928" s="114">
        <f>HYPERLINK("#Структура!G3652",Структура!G3652)</f>
        <v>1.5689999999999999E-2</v>
      </c>
      <c r="L4928" s="120">
        <f>HYPERLINK("#Покупные_изделия!D470",Покупные_изделия!D470)</f>
        <v>30.804000000000002</v>
      </c>
      <c r="M4928" s="76">
        <f t="shared" si="197"/>
        <v>184.82400000000001</v>
      </c>
      <c r="N4928" s="77"/>
      <c r="O4928" s="77"/>
      <c r="P4928" s="76"/>
      <c r="Q4928" s="76"/>
    </row>
    <row r="4929" spans="4:17" hidden="1" outlineLevel="3" x14ac:dyDescent="0.25">
      <c r="E4929" s="74" t="s">
        <v>525</v>
      </c>
      <c r="F4929" s="74"/>
      <c r="G4929" s="74"/>
      <c r="H4929" s="75"/>
      <c r="I4929" s="76"/>
      <c r="J4929" s="78">
        <f>HYPERLINK("#Структура!E3653",Структура!E3653)</f>
        <v>11</v>
      </c>
      <c r="K4929" s="114">
        <f>HYPERLINK("#Структура!G3653",Структура!G3653)</f>
        <v>2.743E-2</v>
      </c>
      <c r="L4929" s="120">
        <f>HYPERLINK("#Покупные_изделия!D472",Покупные_изделия!D472)</f>
        <v>44.304000000000002</v>
      </c>
      <c r="M4929" s="76">
        <f t="shared" si="197"/>
        <v>487.34400000000005</v>
      </c>
      <c r="N4929" s="77"/>
      <c r="O4929" s="77"/>
      <c r="P4929" s="76"/>
      <c r="Q4929" s="76"/>
    </row>
    <row r="4930" spans="4:17" hidden="1" outlineLevel="3" x14ac:dyDescent="0.25">
      <c r="E4930" s="74" t="s">
        <v>528</v>
      </c>
      <c r="F4930" s="74"/>
      <c r="G4930" s="74"/>
      <c r="H4930" s="75"/>
      <c r="I4930" s="76"/>
      <c r="J4930" s="78">
        <f>HYPERLINK("#Структура!E3654",Структура!E3654)</f>
        <v>1</v>
      </c>
      <c r="K4930" s="114">
        <f>HYPERLINK("#Структура!G3654",Структура!G3654)</f>
        <v>0.31</v>
      </c>
      <c r="L4930" s="120">
        <f>HYPERLINK("#Покупные_изделия!D475",Покупные_изделия!D475)</f>
        <v>3678.8040000000001</v>
      </c>
      <c r="M4930" s="76">
        <f t="shared" si="197"/>
        <v>3678.8040000000001</v>
      </c>
      <c r="N4930" s="77"/>
      <c r="O4930" s="77"/>
      <c r="P4930" s="76"/>
      <c r="Q4930" s="76"/>
    </row>
    <row r="4931" spans="4:17" hidden="1" outlineLevel="3" x14ac:dyDescent="0.25">
      <c r="E4931" s="74" t="s">
        <v>579</v>
      </c>
      <c r="F4931" s="74"/>
      <c r="G4931" s="74"/>
      <c r="H4931" s="75"/>
      <c r="I4931" s="76"/>
      <c r="J4931" s="78">
        <f>HYPERLINK("#Структура!E3655",Структура!E3655)</f>
        <v>3</v>
      </c>
      <c r="K4931" s="114">
        <f>HYPERLINK("#Структура!G3655",Структура!G3655)</f>
        <v>4.3047700000000004</v>
      </c>
      <c r="L4931" s="120">
        <f>HYPERLINK("#Покупные_изделия!D477",Покупные_изделия!D477)</f>
        <v>7739.927999999999</v>
      </c>
      <c r="M4931" s="76">
        <f t="shared" si="197"/>
        <v>23219.783999999996</v>
      </c>
      <c r="N4931" s="77"/>
      <c r="O4931" s="77"/>
      <c r="P4931" s="76"/>
      <c r="Q4931" s="76"/>
    </row>
    <row r="4932" spans="4:17" hidden="1" outlineLevel="3" x14ac:dyDescent="0.25">
      <c r="E4932" s="74" t="s">
        <v>540</v>
      </c>
      <c r="F4932" s="74"/>
      <c r="G4932" s="74"/>
      <c r="H4932" s="75"/>
      <c r="I4932" s="76"/>
      <c r="J4932" s="78">
        <f>HYPERLINK("#Структура!E3656",Структура!E3656)</f>
        <v>1</v>
      </c>
      <c r="K4932" s="114">
        <f>HYPERLINK("#Структура!G3656",Структура!G3656)</f>
        <v>0.11327</v>
      </c>
      <c r="L4932" s="120">
        <f>HYPERLINK("#Покупные_изделия!D557",Покупные_изделия!D557)</f>
        <v>792.00000000000011</v>
      </c>
      <c r="M4932" s="76">
        <f t="shared" si="197"/>
        <v>792.00000000000011</v>
      </c>
      <c r="N4932" s="77"/>
      <c r="O4932" s="77"/>
      <c r="P4932" s="76"/>
      <c r="Q4932" s="76"/>
    </row>
    <row r="4933" spans="4:17" hidden="1" outlineLevel="2" collapsed="1" x14ac:dyDescent="0.25">
      <c r="D4933" s="96" t="s">
        <v>1567</v>
      </c>
      <c r="E4933" s="91"/>
      <c r="F4933" s="91"/>
      <c r="G4933" s="91"/>
      <c r="H4933" s="92"/>
      <c r="I4933" s="93"/>
      <c r="J4933" s="95">
        <f>HYPERLINK("#Структура!E3304",Структура!E3304)</f>
        <v>4</v>
      </c>
      <c r="K4933" s="116">
        <f>HYPERLINK("#Структура!G3304",Структура!G3304)</f>
        <v>34.654879999999999</v>
      </c>
      <c r="L4933" s="93">
        <f>M4933/J4933</f>
        <v>121668.99187999996</v>
      </c>
      <c r="M4933" s="93">
        <f>SUMIF(E4934:E4982,"*",M4934:M4982)*J4933</f>
        <v>486675.96751999983</v>
      </c>
      <c r="N4933" s="125">
        <f>HYPERLINK("#Трудозатраты!B877",Трудозатраты!B877+SUMIF(E4934:E4982,"*",O4934:O4982))</f>
        <v>2466.1</v>
      </c>
      <c r="O4933" s="94">
        <f>N4933*J4933</f>
        <v>9864.4</v>
      </c>
      <c r="P4933" s="93">
        <f>O4933/60*(1+запас_труд)*стоимость_трудочаса</f>
        <v>386355.66666666669</v>
      </c>
      <c r="Q4933" s="130">
        <f>M4933*(1+наценка_покупное)+P4933</f>
        <v>970366.82769066654</v>
      </c>
    </row>
    <row r="4934" spans="4:17" hidden="1" outlineLevel="3" collapsed="1" x14ac:dyDescent="0.25">
      <c r="E4934" s="85" t="s">
        <v>800</v>
      </c>
      <c r="F4934" s="86"/>
      <c r="G4934" s="86"/>
      <c r="H4934" s="87"/>
      <c r="I4934" s="88"/>
      <c r="J4934" s="90">
        <f>HYPERLINK("#Структура!E3658",Структура!E3658)</f>
        <v>1</v>
      </c>
      <c r="K4934" s="113">
        <f>HYPERLINK("#Структура!G3658",Структура!G3658)</f>
        <v>0.12250999999999999</v>
      </c>
      <c r="L4934" s="88">
        <f>M4934/J4934</f>
        <v>24.207999999999998</v>
      </c>
      <c r="M4934" s="88">
        <f>SUMIF(F4935,"*",M4935)*J4934</f>
        <v>24.207999999999998</v>
      </c>
      <c r="N4934" s="123">
        <f>HYPERLINK("#Трудозатраты!B131",Трудозатраты!B131+SUMIF(F4935,"*",O4935))</f>
        <v>5.0999999999999996</v>
      </c>
      <c r="O4934" s="89">
        <f>N4934*J4934</f>
        <v>5.0999999999999996</v>
      </c>
      <c r="P4934" s="88">
        <f>O4934/60*(1+запас_труд)*стоимость_трудочаса</f>
        <v>199.74999999999997</v>
      </c>
      <c r="Q4934" s="128">
        <f>M4934*(1+наценка_покупное)+P4934</f>
        <v>228.79959999999997</v>
      </c>
    </row>
    <row r="4935" spans="4:17" hidden="1" outlineLevel="4" x14ac:dyDescent="0.25">
      <c r="F4935" s="74" t="s">
        <v>130</v>
      </c>
      <c r="G4935" s="74"/>
      <c r="H4935" s="75"/>
      <c r="I4935" s="76"/>
      <c r="J4935" s="78">
        <f>HYPERLINK("#Структура!E674",Структура!E674)</f>
        <v>0.15129999999999999</v>
      </c>
      <c r="K4935" s="114" t="str">
        <f>HYPERLINK("#Структура!G674","")</f>
        <v/>
      </c>
      <c r="L4935" s="120">
        <f>HYPERLINK("#Покупные_изделия!D305",Покупные_изделия!D305)</f>
        <v>160</v>
      </c>
      <c r="M4935" s="76">
        <f>J4935*L4935</f>
        <v>24.207999999999998</v>
      </c>
      <c r="N4935" s="77"/>
      <c r="O4935" s="77"/>
      <c r="P4935" s="76"/>
      <c r="Q4935" s="76"/>
    </row>
    <row r="4936" spans="4:17" hidden="1" outlineLevel="3" collapsed="1" x14ac:dyDescent="0.25">
      <c r="E4936" s="84" t="s">
        <v>801</v>
      </c>
      <c r="F4936" s="79"/>
      <c r="G4936" s="79"/>
      <c r="H4936" s="80"/>
      <c r="I4936" s="81"/>
      <c r="J4936" s="83">
        <f>HYPERLINK("#Структура!E3659",Структура!E3659)</f>
        <v>1</v>
      </c>
      <c r="K4936" s="115">
        <f>HYPERLINK("#Структура!G3659",Структура!G3659)</f>
        <v>0.20648</v>
      </c>
      <c r="L4936" s="81">
        <f>M4936/J4936</f>
        <v>44.459200000000003</v>
      </c>
      <c r="M4936" s="81">
        <f>SUMIF(F4937,"*",M4937)*J4936</f>
        <v>44.459200000000003</v>
      </c>
      <c r="N4936" s="124">
        <f>HYPERLINK("#Трудозатраты!B132",Трудозатраты!B132+SUMIF(F4937,"*",O4937))</f>
        <v>11</v>
      </c>
      <c r="O4936" s="82">
        <f>N4936*J4936</f>
        <v>11</v>
      </c>
      <c r="P4936" s="81">
        <f>O4936/60*(1+запас_труд)*стоимость_трудочаса</f>
        <v>430.83333333333331</v>
      </c>
      <c r="Q4936" s="129">
        <f>M4936*(1+наценка_покупное)+P4936</f>
        <v>484.18437333333333</v>
      </c>
    </row>
    <row r="4937" spans="4:17" hidden="1" outlineLevel="4" x14ac:dyDescent="0.25">
      <c r="F4937" s="74" t="s">
        <v>128</v>
      </c>
      <c r="G4937" s="74"/>
      <c r="H4937" s="75"/>
      <c r="I4937" s="76"/>
      <c r="J4937" s="78">
        <f>HYPERLINK("#Структура!E675",Структура!E675)</f>
        <v>0.27787000000000001</v>
      </c>
      <c r="K4937" s="114" t="str">
        <f>HYPERLINK("#Структура!G675","")</f>
        <v/>
      </c>
      <c r="L4937" s="120">
        <f>HYPERLINK("#Покупные_изделия!D303",Покупные_изделия!D303)</f>
        <v>160</v>
      </c>
      <c r="M4937" s="76">
        <f>J4937*L4937</f>
        <v>44.459200000000003</v>
      </c>
      <c r="N4937" s="77"/>
      <c r="O4937" s="77"/>
      <c r="P4937" s="76"/>
      <c r="Q4937" s="76"/>
    </row>
    <row r="4938" spans="4:17" hidden="1" outlineLevel="3" collapsed="1" x14ac:dyDescent="0.25">
      <c r="E4938" s="84" t="s">
        <v>1618</v>
      </c>
      <c r="F4938" s="79"/>
      <c r="G4938" s="79"/>
      <c r="H4938" s="80"/>
      <c r="I4938" s="81"/>
      <c r="J4938" s="83">
        <f>HYPERLINK("#Структура!E3660",Структура!E3660)</f>
        <v>1</v>
      </c>
      <c r="K4938" s="115">
        <f>HYPERLINK("#Структура!G3660",Структура!G3660)</f>
        <v>15.812989999999999</v>
      </c>
      <c r="L4938" s="81">
        <f>M4938/J4938</f>
        <v>6252.4440000000004</v>
      </c>
      <c r="M4938" s="81">
        <f>SUMIF(F4939,"*",M4939)*J4938</f>
        <v>6252.4440000000004</v>
      </c>
      <c r="N4938" s="124">
        <f>HYPERLINK("#Трудозатраты!B878",Трудозатраты!B878+SUMIF(F4939,"*",O4939))</f>
        <v>100</v>
      </c>
      <c r="O4938" s="82">
        <f>N4938*J4938</f>
        <v>100</v>
      </c>
      <c r="P4938" s="81">
        <f>O4938/60*(1+запас_труд)*стоимость_трудочаса</f>
        <v>3916.666666666667</v>
      </c>
      <c r="Q4938" s="129">
        <f>M4938*(1+наценка_покупное)+P4938</f>
        <v>11419.599466666667</v>
      </c>
    </row>
    <row r="4939" spans="4:17" hidden="1" outlineLevel="4" x14ac:dyDescent="0.25">
      <c r="F4939" s="74" t="s">
        <v>542</v>
      </c>
      <c r="G4939" s="74"/>
      <c r="H4939" s="75"/>
      <c r="I4939" s="76"/>
      <c r="J4939" s="78">
        <f>HYPERLINK("#Структура!E3704",Структура!E3704)</f>
        <v>1</v>
      </c>
      <c r="K4939" s="114" t="str">
        <f>HYPERLINK("#Структура!G3704","")</f>
        <v/>
      </c>
      <c r="L4939" s="120">
        <f>HYPERLINK("#Покупные_изделия!D559",Покупные_изделия!D559)</f>
        <v>6252.4440000000004</v>
      </c>
      <c r="M4939" s="76">
        <f t="shared" ref="M4939:M4982" si="198">J4939*L4939</f>
        <v>6252.4440000000004</v>
      </c>
      <c r="N4939" s="77"/>
      <c r="O4939" s="77"/>
      <c r="P4939" s="76"/>
      <c r="Q4939" s="76"/>
    </row>
    <row r="4940" spans="4:17" hidden="1" outlineLevel="3" x14ac:dyDescent="0.25">
      <c r="E4940" s="74" t="s">
        <v>501</v>
      </c>
      <c r="F4940" s="74"/>
      <c r="G4940" s="74"/>
      <c r="H4940" s="75"/>
      <c r="I4940" s="76"/>
      <c r="J4940" s="78">
        <f>HYPERLINK("#Структура!E3661",Структура!E3661)</f>
        <v>50</v>
      </c>
      <c r="K4940" s="114">
        <f>HYPERLINK("#Структура!G3661",Структура!G3661)</f>
        <v>1.5E-3</v>
      </c>
      <c r="L4940" s="120">
        <f>HYPERLINK("#Покупные_изделия!D436",Покупные_изделия!D436)</f>
        <v>1.1352000000000002</v>
      </c>
      <c r="M4940" s="76">
        <f t="shared" si="198"/>
        <v>56.760000000000012</v>
      </c>
      <c r="N4940" s="77"/>
      <c r="O4940" s="77"/>
      <c r="P4940" s="76"/>
      <c r="Q4940" s="76"/>
    </row>
    <row r="4941" spans="4:17" hidden="1" outlineLevel="3" x14ac:dyDescent="0.25">
      <c r="E4941" s="74" t="s">
        <v>1619</v>
      </c>
      <c r="F4941" s="74"/>
      <c r="G4941" s="74"/>
      <c r="H4941" s="75"/>
      <c r="I4941" s="76"/>
      <c r="J4941" s="78">
        <f>HYPERLINK("#Структура!E3662",Структура!E3662)</f>
        <v>1</v>
      </c>
      <c r="K4941" s="114">
        <f>HYPERLINK("#Структура!G3662",Структура!G3662)</f>
        <v>0.95032000000000005</v>
      </c>
      <c r="L4941" s="120">
        <f>HYPERLINK("#Покупные_изделия!D13",Покупные_изделия!D13)</f>
        <v>6898.8233999999993</v>
      </c>
      <c r="M4941" s="76">
        <f t="shared" si="198"/>
        <v>6898.8233999999993</v>
      </c>
      <c r="N4941" s="77"/>
      <c r="O4941" s="77"/>
      <c r="P4941" s="76"/>
      <c r="Q4941" s="76"/>
    </row>
    <row r="4942" spans="4:17" hidden="1" outlineLevel="3" x14ac:dyDescent="0.25">
      <c r="E4942" s="74" t="s">
        <v>358</v>
      </c>
      <c r="F4942" s="74"/>
      <c r="G4942" s="74"/>
      <c r="H4942" s="75"/>
      <c r="I4942" s="76"/>
      <c r="J4942" s="78">
        <f>HYPERLINK("#Структура!E3663",Структура!E3663)</f>
        <v>1</v>
      </c>
      <c r="K4942" s="114">
        <f>HYPERLINK("#Структура!G3663",Структура!G3663)</f>
        <v>0.32</v>
      </c>
      <c r="L4942" s="120">
        <f>HYPERLINK("#Покупные_изделия!D19",Покупные_изделия!D19)</f>
        <v>115.36800000000002</v>
      </c>
      <c r="M4942" s="76">
        <f t="shared" si="198"/>
        <v>115.36800000000002</v>
      </c>
      <c r="N4942" s="77"/>
      <c r="O4942" s="77"/>
      <c r="P4942" s="76"/>
      <c r="Q4942" s="76"/>
    </row>
    <row r="4943" spans="4:17" hidden="1" outlineLevel="3" x14ac:dyDescent="0.25">
      <c r="E4943" s="74" t="s">
        <v>359</v>
      </c>
      <c r="F4943" s="74"/>
      <c r="G4943" s="74"/>
      <c r="H4943" s="75"/>
      <c r="I4943" s="76"/>
      <c r="J4943" s="78">
        <f>HYPERLINK("#Структура!E3664",Структура!E3664)</f>
        <v>1</v>
      </c>
      <c r="K4943" s="114">
        <f>HYPERLINK("#Структура!G3664",Структура!G3664)</f>
        <v>2.3327800000000001</v>
      </c>
      <c r="L4943" s="120">
        <f>HYPERLINK("#Покупные_изделия!D21",Покупные_изделия!D21)</f>
        <v>26137.65</v>
      </c>
      <c r="M4943" s="76">
        <f t="shared" si="198"/>
        <v>26137.65</v>
      </c>
      <c r="N4943" s="77"/>
      <c r="O4943" s="77"/>
      <c r="P4943" s="76"/>
      <c r="Q4943" s="76"/>
    </row>
    <row r="4944" spans="4:17" hidden="1" outlineLevel="3" x14ac:dyDescent="0.25">
      <c r="E4944" s="74" t="s">
        <v>376</v>
      </c>
      <c r="F4944" s="74"/>
      <c r="G4944" s="74"/>
      <c r="H4944" s="75"/>
      <c r="I4944" s="76"/>
      <c r="J4944" s="78">
        <f>HYPERLINK("#Структура!E3665",Структура!E3665)</f>
        <v>3</v>
      </c>
      <c r="K4944" s="114">
        <f>HYPERLINK("#Структура!G3665",Структура!G3665)</f>
        <v>7.1730000000000002E-2</v>
      </c>
      <c r="L4944" s="120">
        <f>HYPERLINK("#Покупные_изделия!D156",Покупные_изделия!D156)</f>
        <v>257.25479999999999</v>
      </c>
      <c r="M4944" s="76">
        <f t="shared" si="198"/>
        <v>771.76440000000002</v>
      </c>
      <c r="N4944" s="77"/>
      <c r="O4944" s="77"/>
      <c r="P4944" s="76"/>
      <c r="Q4944" s="76"/>
    </row>
    <row r="4945" spans="5:17" hidden="1" outlineLevel="3" x14ac:dyDescent="0.25">
      <c r="E4945" s="74" t="s">
        <v>377</v>
      </c>
      <c r="F4945" s="74"/>
      <c r="G4945" s="74"/>
      <c r="H4945" s="75"/>
      <c r="I4945" s="76"/>
      <c r="J4945" s="78">
        <f>HYPERLINK("#Структура!E3666",Структура!E3666)</f>
        <v>21</v>
      </c>
      <c r="K4945" s="114">
        <f>HYPERLINK("#Структура!G3666",Структура!G3666)</f>
        <v>6.2950000000000006E-2</v>
      </c>
      <c r="L4945" s="120">
        <f>HYPERLINK("#Покупные_изделия!D157",Покупные_изделия!D157)</f>
        <v>19.390800000000002</v>
      </c>
      <c r="M4945" s="76">
        <f t="shared" si="198"/>
        <v>407.20680000000004</v>
      </c>
      <c r="N4945" s="77"/>
      <c r="O4945" s="77"/>
      <c r="P4945" s="76"/>
      <c r="Q4945" s="76"/>
    </row>
    <row r="4946" spans="5:17" hidden="1" outlineLevel="3" x14ac:dyDescent="0.25">
      <c r="E4946" s="74" t="s">
        <v>380</v>
      </c>
      <c r="F4946" s="74"/>
      <c r="G4946" s="74"/>
      <c r="H4946" s="75"/>
      <c r="I4946" s="76"/>
      <c r="J4946" s="78">
        <f>HYPERLINK("#Структура!E3667",Структура!E3667)</f>
        <v>2</v>
      </c>
      <c r="K4946" s="114">
        <f>HYPERLINK("#Структура!G3667",Структура!G3667)</f>
        <v>5.96E-3</v>
      </c>
      <c r="L4946" s="120">
        <f>HYPERLINK("#Покупные_изделия!D180",Покупные_изделия!D180)</f>
        <v>52.074000000000005</v>
      </c>
      <c r="M4946" s="76">
        <f t="shared" si="198"/>
        <v>104.14800000000001</v>
      </c>
      <c r="N4946" s="77"/>
      <c r="O4946" s="77"/>
      <c r="P4946" s="76"/>
      <c r="Q4946" s="76"/>
    </row>
    <row r="4947" spans="5:17" hidden="1" outlineLevel="3" x14ac:dyDescent="0.25">
      <c r="E4947" s="74" t="s">
        <v>391</v>
      </c>
      <c r="F4947" s="74"/>
      <c r="G4947" s="74"/>
      <c r="H4947" s="75"/>
      <c r="I4947" s="76"/>
      <c r="J4947" s="78">
        <f>HYPERLINK("#Структура!E3668",Структура!E3668)</f>
        <v>2</v>
      </c>
      <c r="K4947" s="114">
        <f>HYPERLINK("#Структура!G3668",Структура!G3668)</f>
        <v>6.4999999999999997E-4</v>
      </c>
      <c r="L4947" s="120">
        <f>HYPERLINK("#Покупные_изделия!D212",Покупные_изделия!D212)</f>
        <v>582.12</v>
      </c>
      <c r="M4947" s="76">
        <f t="shared" si="198"/>
        <v>1164.24</v>
      </c>
      <c r="N4947" s="77"/>
      <c r="O4947" s="77"/>
      <c r="P4947" s="76"/>
      <c r="Q4947" s="76"/>
    </row>
    <row r="4948" spans="5:17" hidden="1" outlineLevel="3" x14ac:dyDescent="0.25">
      <c r="E4948" s="74" t="s">
        <v>394</v>
      </c>
      <c r="F4948" s="74"/>
      <c r="G4948" s="74"/>
      <c r="H4948" s="75"/>
      <c r="I4948" s="76"/>
      <c r="J4948" s="78">
        <f>HYPERLINK("#Структура!E3669",Структура!E3669)</f>
        <v>1</v>
      </c>
      <c r="K4948" s="114" t="str">
        <f>HYPERLINK("#Структура!G3669","")</f>
        <v/>
      </c>
      <c r="L4948" s="120">
        <f>HYPERLINK("#Покупные_изделия!D215",Покупные_изделия!D215)</f>
        <v>33</v>
      </c>
      <c r="M4948" s="76">
        <f t="shared" si="198"/>
        <v>33</v>
      </c>
      <c r="N4948" s="77"/>
      <c r="O4948" s="77"/>
      <c r="P4948" s="76"/>
      <c r="Q4948" s="76"/>
    </row>
    <row r="4949" spans="5:17" hidden="1" outlineLevel="3" x14ac:dyDescent="0.25">
      <c r="E4949" s="74" t="s">
        <v>406</v>
      </c>
      <c r="F4949" s="74"/>
      <c r="G4949" s="74"/>
      <c r="H4949" s="75"/>
      <c r="I4949" s="76"/>
      <c r="J4949" s="78">
        <f>HYPERLINK("#Структура!E3670",Структура!E3670)</f>
        <v>1</v>
      </c>
      <c r="K4949" s="114">
        <f>HYPERLINK("#Структура!G3670",Структура!G3670)</f>
        <v>0.24562999999999999</v>
      </c>
      <c r="L4949" s="120">
        <f>HYPERLINK("#Покупные_изделия!D230",Покупные_изделия!D230)</f>
        <v>3086.1600000000003</v>
      </c>
      <c r="M4949" s="76">
        <f t="shared" si="198"/>
        <v>3086.1600000000003</v>
      </c>
      <c r="N4949" s="77"/>
      <c r="O4949" s="77"/>
      <c r="P4949" s="76"/>
      <c r="Q4949" s="76"/>
    </row>
    <row r="4950" spans="5:17" hidden="1" outlineLevel="3" x14ac:dyDescent="0.25">
      <c r="E4950" s="74" t="s">
        <v>408</v>
      </c>
      <c r="F4950" s="74"/>
      <c r="G4950" s="74"/>
      <c r="H4950" s="75"/>
      <c r="I4950" s="76"/>
      <c r="J4950" s="78">
        <f>HYPERLINK("#Структура!E3671",Структура!E3671)</f>
        <v>1</v>
      </c>
      <c r="K4950" s="114">
        <f>HYPERLINK("#Структура!G3671",Структура!G3671)</f>
        <v>4.7980000000000002E-2</v>
      </c>
      <c r="L4950" s="120">
        <f>HYPERLINK("#Покупные_изделия!D232",Покупные_изделия!D232)</f>
        <v>163.68</v>
      </c>
      <c r="M4950" s="76">
        <f t="shared" si="198"/>
        <v>163.68</v>
      </c>
      <c r="N4950" s="77"/>
      <c r="O4950" s="77"/>
      <c r="P4950" s="76"/>
      <c r="Q4950" s="76"/>
    </row>
    <row r="4951" spans="5:17" hidden="1" outlineLevel="3" x14ac:dyDescent="0.25">
      <c r="E4951" s="74" t="s">
        <v>409</v>
      </c>
      <c r="F4951" s="74"/>
      <c r="G4951" s="74"/>
      <c r="H4951" s="75"/>
      <c r="I4951" s="76"/>
      <c r="J4951" s="78">
        <f>HYPERLINK("#Структура!E3672",Структура!E3672)</f>
        <v>1</v>
      </c>
      <c r="K4951" s="114">
        <f>HYPERLINK("#Структура!G3672",Структура!G3672)</f>
        <v>2.1121400000000001</v>
      </c>
      <c r="L4951" s="120">
        <f>HYPERLINK("#Покупные_изделия!D233",Покупные_изделия!D233)</f>
        <v>15750</v>
      </c>
      <c r="M4951" s="76">
        <f t="shared" si="198"/>
        <v>15750</v>
      </c>
      <c r="N4951" s="77"/>
      <c r="O4951" s="77"/>
      <c r="P4951" s="76"/>
      <c r="Q4951" s="76"/>
    </row>
    <row r="4952" spans="5:17" hidden="1" outlineLevel="3" x14ac:dyDescent="0.25">
      <c r="E4952" s="74" t="s">
        <v>414</v>
      </c>
      <c r="F4952" s="74"/>
      <c r="G4952" s="74"/>
      <c r="H4952" s="75"/>
      <c r="I4952" s="76"/>
      <c r="J4952" s="78">
        <f>HYPERLINK("#Структура!E3673",Структура!E3673)</f>
        <v>1</v>
      </c>
      <c r="K4952" s="114">
        <f>HYPERLINK("#Структура!G3673",Структура!G3673)</f>
        <v>0.10681</v>
      </c>
      <c r="L4952" s="120">
        <f>HYPERLINK("#Покупные_изделия!D239",Покупные_изделия!D239)</f>
        <v>261.61079999999998</v>
      </c>
      <c r="M4952" s="76">
        <f t="shared" si="198"/>
        <v>261.61079999999998</v>
      </c>
      <c r="N4952" s="77"/>
      <c r="O4952" s="77"/>
      <c r="P4952" s="76"/>
      <c r="Q4952" s="76"/>
    </row>
    <row r="4953" spans="5:17" hidden="1" outlineLevel="3" x14ac:dyDescent="0.25">
      <c r="E4953" s="74" t="s">
        <v>418</v>
      </c>
      <c r="F4953" s="74"/>
      <c r="G4953" s="74"/>
      <c r="H4953" s="75"/>
      <c r="I4953" s="76"/>
      <c r="J4953" s="78">
        <f>HYPERLINK("#Структура!E3674",Структура!E3674)</f>
        <v>3</v>
      </c>
      <c r="K4953" s="114">
        <f>HYPERLINK("#Структура!G3674",Структура!G3674)</f>
        <v>8.9999999999999998E-4</v>
      </c>
      <c r="L4953" s="120">
        <f>HYPERLINK("#Покупные_изделия!D310",Покупные_изделия!D310)</f>
        <v>292.80239999999998</v>
      </c>
      <c r="M4953" s="76">
        <f t="shared" si="198"/>
        <v>878.40719999999988</v>
      </c>
      <c r="N4953" s="77"/>
      <c r="O4953" s="77"/>
      <c r="P4953" s="76"/>
      <c r="Q4953" s="76"/>
    </row>
    <row r="4954" spans="5:17" hidden="1" outlineLevel="3" x14ac:dyDescent="0.25">
      <c r="E4954" s="74" t="s">
        <v>419</v>
      </c>
      <c r="F4954" s="74"/>
      <c r="G4954" s="74"/>
      <c r="H4954" s="75"/>
      <c r="I4954" s="76"/>
      <c r="J4954" s="78">
        <f>HYPERLINK("#Структура!E3675",Структура!E3675)</f>
        <v>1</v>
      </c>
      <c r="K4954" s="114" t="str">
        <f>HYPERLINK("#Структура!G3675","")</f>
        <v/>
      </c>
      <c r="L4954" s="120">
        <f>HYPERLINK("#Покупные_изделия!D311",Покупные_изделия!D311)</f>
        <v>292.9212</v>
      </c>
      <c r="M4954" s="76">
        <f t="shared" si="198"/>
        <v>292.9212</v>
      </c>
      <c r="N4954" s="77"/>
      <c r="O4954" s="77"/>
      <c r="P4954" s="76"/>
      <c r="Q4954" s="76"/>
    </row>
    <row r="4955" spans="5:17" hidden="1" outlineLevel="3" x14ac:dyDescent="0.25">
      <c r="E4955" s="74" t="s">
        <v>424</v>
      </c>
      <c r="F4955" s="74"/>
      <c r="G4955" s="74"/>
      <c r="H4955" s="75"/>
      <c r="I4955" s="76"/>
      <c r="J4955" s="78">
        <f>HYPERLINK("#Структура!E3676",Структура!E3676)</f>
        <v>2</v>
      </c>
      <c r="K4955" s="114" t="str">
        <f>HYPERLINK("#Структура!G3676","")</f>
        <v/>
      </c>
      <c r="L4955" s="120">
        <f>HYPERLINK("#Покупные_изделия!D317",Покупные_изделия!D317)</f>
        <v>489.53520000000003</v>
      </c>
      <c r="M4955" s="76">
        <f t="shared" si="198"/>
        <v>979.07040000000006</v>
      </c>
      <c r="N4955" s="77"/>
      <c r="O4955" s="77"/>
      <c r="P4955" s="76"/>
      <c r="Q4955" s="76"/>
    </row>
    <row r="4956" spans="5:17" hidden="1" outlineLevel="3" x14ac:dyDescent="0.25">
      <c r="E4956" s="74" t="s">
        <v>429</v>
      </c>
      <c r="F4956" s="74"/>
      <c r="G4956" s="74"/>
      <c r="H4956" s="75"/>
      <c r="I4956" s="76"/>
      <c r="J4956" s="78">
        <f>HYPERLINK("#Структура!E3677",Структура!E3677)</f>
        <v>2</v>
      </c>
      <c r="K4956" s="114">
        <f>HYPERLINK("#Структура!G3677",Структура!G3677)</f>
        <v>3.8109999999999998E-2</v>
      </c>
      <c r="L4956" s="120">
        <f>HYPERLINK("#Покупные_изделия!D322",Покупные_изделия!D322)</f>
        <v>330</v>
      </c>
      <c r="M4956" s="76">
        <f t="shared" si="198"/>
        <v>660</v>
      </c>
      <c r="N4956" s="77"/>
      <c r="O4956" s="77"/>
      <c r="P4956" s="76"/>
      <c r="Q4956" s="76"/>
    </row>
    <row r="4957" spans="5:17" hidden="1" outlineLevel="3" x14ac:dyDescent="0.25">
      <c r="E4957" s="74" t="s">
        <v>435</v>
      </c>
      <c r="F4957" s="74"/>
      <c r="G4957" s="74"/>
      <c r="H4957" s="75"/>
      <c r="I4957" s="76"/>
      <c r="J4957" s="78">
        <f>HYPERLINK("#Структура!E3678",Структура!E3678)</f>
        <v>2</v>
      </c>
      <c r="K4957" s="114">
        <f>HYPERLINK("#Структура!G3678",Структура!G3678)</f>
        <v>4.6339999999999999E-2</v>
      </c>
      <c r="L4957" s="120">
        <f>HYPERLINK("#Покупные_изделия!D328",Покупные_изделия!D328)</f>
        <v>75.345600000000005</v>
      </c>
      <c r="M4957" s="76">
        <f t="shared" si="198"/>
        <v>150.69120000000001</v>
      </c>
      <c r="N4957" s="77"/>
      <c r="O4957" s="77"/>
      <c r="P4957" s="76"/>
      <c r="Q4957" s="76"/>
    </row>
    <row r="4958" spans="5:17" hidden="1" outlineLevel="3" x14ac:dyDescent="0.25">
      <c r="E4958" s="74" t="s">
        <v>436</v>
      </c>
      <c r="F4958" s="74"/>
      <c r="G4958" s="74"/>
      <c r="H4958" s="75"/>
      <c r="I4958" s="76"/>
      <c r="J4958" s="78">
        <f>HYPERLINK("#Структура!E3679",Структура!E3679)</f>
        <v>1</v>
      </c>
      <c r="K4958" s="114">
        <f>HYPERLINK("#Структура!G3679",Структура!G3679)</f>
        <v>0.72323000000000004</v>
      </c>
      <c r="L4958" s="120">
        <f>HYPERLINK("#Покупные_изделия!D329",Покупные_изделия!D329)</f>
        <v>118.80000000000001</v>
      </c>
      <c r="M4958" s="76">
        <f t="shared" si="198"/>
        <v>118.80000000000001</v>
      </c>
      <c r="N4958" s="77"/>
      <c r="O4958" s="77"/>
      <c r="P4958" s="76"/>
      <c r="Q4958" s="76"/>
    </row>
    <row r="4959" spans="5:17" hidden="1" outlineLevel="3" x14ac:dyDescent="0.25">
      <c r="E4959" s="74" t="s">
        <v>441</v>
      </c>
      <c r="F4959" s="74"/>
      <c r="G4959" s="74"/>
      <c r="H4959" s="75"/>
      <c r="I4959" s="76"/>
      <c r="J4959" s="78">
        <f>HYPERLINK("#Структура!E3680",Структура!E3680)</f>
        <v>2</v>
      </c>
      <c r="K4959" s="114">
        <f>HYPERLINK("#Структура!G3680",Структура!G3680)</f>
        <v>8.0509999999999998E-2</v>
      </c>
      <c r="L4959" s="120">
        <f>HYPERLINK("#Покупные_изделия!D340",Покупные_изделия!D340)</f>
        <v>401.29200000000003</v>
      </c>
      <c r="M4959" s="76">
        <f t="shared" si="198"/>
        <v>802.58400000000006</v>
      </c>
      <c r="N4959" s="77"/>
      <c r="O4959" s="77"/>
      <c r="P4959" s="76"/>
      <c r="Q4959" s="76"/>
    </row>
    <row r="4960" spans="5:17" hidden="1" outlineLevel="3" x14ac:dyDescent="0.25">
      <c r="E4960" s="74" t="s">
        <v>447</v>
      </c>
      <c r="F4960" s="74"/>
      <c r="G4960" s="74"/>
      <c r="H4960" s="75"/>
      <c r="I4960" s="76"/>
      <c r="J4960" s="78">
        <f>HYPERLINK("#Структура!E3681",Структура!E3681)</f>
        <v>1</v>
      </c>
      <c r="K4960" s="114">
        <f>HYPERLINK("#Структура!G3681",Структура!G3681)</f>
        <v>6.64154</v>
      </c>
      <c r="L4960" s="120">
        <f>HYPERLINK("#Покупные_изделия!D350",Покупные_изделия!D350)</f>
        <v>652.54200000000003</v>
      </c>
      <c r="M4960" s="76">
        <f t="shared" si="198"/>
        <v>652.54200000000003</v>
      </c>
      <c r="N4960" s="77"/>
      <c r="O4960" s="77"/>
      <c r="P4960" s="76"/>
      <c r="Q4960" s="76"/>
    </row>
    <row r="4961" spans="5:17" hidden="1" outlineLevel="3" x14ac:dyDescent="0.25">
      <c r="E4961" s="74" t="s">
        <v>450</v>
      </c>
      <c r="F4961" s="74"/>
      <c r="G4961" s="74"/>
      <c r="H4961" s="75"/>
      <c r="I4961" s="76"/>
      <c r="J4961" s="78">
        <f>HYPERLINK("#Структура!E3682",Структура!E3682)</f>
        <v>200</v>
      </c>
      <c r="K4961" s="114">
        <f>HYPERLINK("#Структура!G3682",Структура!G3682)</f>
        <v>1.4999999999999999E-4</v>
      </c>
      <c r="L4961" s="120">
        <f>HYPERLINK("#Покупные_изделия!D353",Покупные_изделия!D353)</f>
        <v>2.0460000000000003</v>
      </c>
      <c r="M4961" s="76">
        <f t="shared" si="198"/>
        <v>409.20000000000005</v>
      </c>
      <c r="N4961" s="77"/>
      <c r="O4961" s="77"/>
      <c r="P4961" s="76"/>
      <c r="Q4961" s="76"/>
    </row>
    <row r="4962" spans="5:17" hidden="1" outlineLevel="3" x14ac:dyDescent="0.25">
      <c r="E4962" s="74" t="s">
        <v>460</v>
      </c>
      <c r="F4962" s="74"/>
      <c r="G4962" s="74"/>
      <c r="H4962" s="75"/>
      <c r="I4962" s="76"/>
      <c r="J4962" s="78">
        <f>HYPERLINK("#Структура!E3683",Структура!E3683)</f>
        <v>1</v>
      </c>
      <c r="K4962" s="114">
        <f>HYPERLINK("#Структура!G3683",Структура!G3683)</f>
        <v>0.13605</v>
      </c>
      <c r="L4962" s="120">
        <f>HYPERLINK("#Покупные_изделия!D365",Покупные_изделия!D365)</f>
        <v>982.72800000000007</v>
      </c>
      <c r="M4962" s="76">
        <f t="shared" si="198"/>
        <v>982.72800000000007</v>
      </c>
      <c r="N4962" s="77"/>
      <c r="O4962" s="77"/>
      <c r="P4962" s="76"/>
      <c r="Q4962" s="76"/>
    </row>
    <row r="4963" spans="5:17" hidden="1" outlineLevel="3" x14ac:dyDescent="0.25">
      <c r="E4963" s="74" t="s">
        <v>463</v>
      </c>
      <c r="F4963" s="74"/>
      <c r="G4963" s="74"/>
      <c r="H4963" s="75"/>
      <c r="I4963" s="76"/>
      <c r="J4963" s="78">
        <f>HYPERLINK("#Структура!E3684",Структура!E3684)</f>
        <v>3</v>
      </c>
      <c r="K4963" s="114">
        <f>HYPERLINK("#Структура!G3684",Структура!G3684)</f>
        <v>2.0899999999999998E-3</v>
      </c>
      <c r="L4963" s="120">
        <f>HYPERLINK("#Покупные_изделия!D369",Покупные_изделия!D369)</f>
        <v>41.3292</v>
      </c>
      <c r="M4963" s="76">
        <f t="shared" si="198"/>
        <v>123.9876</v>
      </c>
      <c r="N4963" s="77"/>
      <c r="O4963" s="77"/>
      <c r="P4963" s="76"/>
      <c r="Q4963" s="76"/>
    </row>
    <row r="4964" spans="5:17" hidden="1" outlineLevel="3" x14ac:dyDescent="0.25">
      <c r="E4964" s="74" t="s">
        <v>466</v>
      </c>
      <c r="F4964" s="74"/>
      <c r="G4964" s="74"/>
      <c r="H4964" s="75"/>
      <c r="I4964" s="76"/>
      <c r="J4964" s="78">
        <f>HYPERLINK("#Структура!E3685",Структура!E3685)</f>
        <v>2</v>
      </c>
      <c r="K4964" s="114">
        <f>HYPERLINK("#Структура!G3685",Структура!G3685)</f>
        <v>0.28299999999999997</v>
      </c>
      <c r="L4964" s="120">
        <f>HYPERLINK("#Покупные_изделия!D372",Покупные_изделия!D372)</f>
        <v>149.1996</v>
      </c>
      <c r="M4964" s="76">
        <f t="shared" si="198"/>
        <v>298.39920000000001</v>
      </c>
      <c r="N4964" s="77"/>
      <c r="O4964" s="77"/>
      <c r="P4964" s="76"/>
      <c r="Q4964" s="76"/>
    </row>
    <row r="4965" spans="5:17" hidden="1" outlineLevel="3" x14ac:dyDescent="0.25">
      <c r="E4965" s="74" t="s">
        <v>470</v>
      </c>
      <c r="F4965" s="74"/>
      <c r="G4965" s="74"/>
      <c r="H4965" s="75"/>
      <c r="I4965" s="76"/>
      <c r="J4965" s="78">
        <f>HYPERLINK("#Структура!E3686",Структура!E3686)</f>
        <v>10</v>
      </c>
      <c r="K4965" s="114" t="str">
        <f>HYPERLINK("#Структура!G3686","")</f>
        <v/>
      </c>
      <c r="L4965" s="120">
        <f>HYPERLINK("#Покупные_изделия!D376",Покупные_изделия!D376)</f>
        <v>2.013528</v>
      </c>
      <c r="M4965" s="76">
        <f t="shared" si="198"/>
        <v>20.135280000000002</v>
      </c>
      <c r="N4965" s="77"/>
      <c r="O4965" s="77"/>
      <c r="P4965" s="76"/>
      <c r="Q4965" s="76"/>
    </row>
    <row r="4966" spans="5:17" hidden="1" outlineLevel="3" x14ac:dyDescent="0.25">
      <c r="E4966" s="74" t="s">
        <v>471</v>
      </c>
      <c r="F4966" s="74"/>
      <c r="G4966" s="74"/>
      <c r="H4966" s="75"/>
      <c r="I4966" s="76"/>
      <c r="J4966" s="78">
        <f>HYPERLINK("#Структура!E3687",Структура!E3687)</f>
        <v>2</v>
      </c>
      <c r="K4966" s="114">
        <f>HYPERLINK("#Структура!G3687",Структура!G3687)</f>
        <v>0.12361999999999999</v>
      </c>
      <c r="L4966" s="120">
        <f>HYPERLINK("#Покупные_изделия!D378",Покупные_изделия!D378)</f>
        <v>1544.412</v>
      </c>
      <c r="M4966" s="76">
        <f t="shared" si="198"/>
        <v>3088.8240000000001</v>
      </c>
      <c r="N4966" s="77"/>
      <c r="O4966" s="77"/>
      <c r="P4966" s="76"/>
      <c r="Q4966" s="76"/>
    </row>
    <row r="4967" spans="5:17" hidden="1" outlineLevel="3" x14ac:dyDescent="0.25">
      <c r="E4967" s="74" t="s">
        <v>473</v>
      </c>
      <c r="F4967" s="74"/>
      <c r="G4967" s="74"/>
      <c r="H4967" s="75"/>
      <c r="I4967" s="76"/>
      <c r="J4967" s="78">
        <f>HYPERLINK("#Структура!E3688",Структура!E3688)</f>
        <v>1</v>
      </c>
      <c r="K4967" s="114" t="str">
        <f>HYPERLINK("#Структура!G3688","")</f>
        <v/>
      </c>
      <c r="L4967" s="120">
        <f>HYPERLINK("#Покупные_изделия!D383",Покупные_изделия!D383)</f>
        <v>46.2</v>
      </c>
      <c r="M4967" s="76">
        <f t="shared" si="198"/>
        <v>46.2</v>
      </c>
      <c r="N4967" s="77"/>
      <c r="O4967" s="77"/>
      <c r="P4967" s="76"/>
      <c r="Q4967" s="76"/>
    </row>
    <row r="4968" spans="5:17" hidden="1" outlineLevel="3" x14ac:dyDescent="0.25">
      <c r="E4968" s="74" t="s">
        <v>477</v>
      </c>
      <c r="F4968" s="74"/>
      <c r="G4968" s="74"/>
      <c r="H4968" s="75"/>
      <c r="I4968" s="76"/>
      <c r="J4968" s="78">
        <f>HYPERLINK("#Структура!E3689",Структура!E3689)</f>
        <v>5</v>
      </c>
      <c r="K4968" s="114" t="str">
        <f>HYPERLINK("#Структура!G3689","")</f>
        <v/>
      </c>
      <c r="L4968" s="120">
        <f>HYPERLINK("#Покупные_изделия!D392",Покупные_изделия!D392)</f>
        <v>5.5440000000000005</v>
      </c>
      <c r="M4968" s="76">
        <f t="shared" si="198"/>
        <v>27.720000000000002</v>
      </c>
      <c r="N4968" s="77"/>
      <c r="O4968" s="77"/>
      <c r="P4968" s="76"/>
      <c r="Q4968" s="76"/>
    </row>
    <row r="4969" spans="5:17" hidden="1" outlineLevel="3" x14ac:dyDescent="0.25">
      <c r="E4969" s="74" t="s">
        <v>478</v>
      </c>
      <c r="F4969" s="74"/>
      <c r="G4969" s="74"/>
      <c r="H4969" s="75"/>
      <c r="I4969" s="76"/>
      <c r="J4969" s="78">
        <f>HYPERLINK("#Структура!E3690",Структура!E3690)</f>
        <v>5</v>
      </c>
      <c r="K4969" s="114" t="str">
        <f>HYPERLINK("#Структура!G3690","")</f>
        <v/>
      </c>
      <c r="L4969" s="120">
        <f>HYPERLINK("#Покупные_изделия!D393",Покупные_изделия!D393)</f>
        <v>6.6360000000000001</v>
      </c>
      <c r="M4969" s="76">
        <f t="shared" si="198"/>
        <v>33.18</v>
      </c>
      <c r="N4969" s="77"/>
      <c r="O4969" s="77"/>
      <c r="P4969" s="76"/>
      <c r="Q4969" s="76"/>
    </row>
    <row r="4970" spans="5:17" hidden="1" outlineLevel="3" x14ac:dyDescent="0.25">
      <c r="E4970" s="74" t="s">
        <v>481</v>
      </c>
      <c r="F4970" s="74"/>
      <c r="G4970" s="74"/>
      <c r="H4970" s="75"/>
      <c r="I4970" s="76"/>
      <c r="J4970" s="78">
        <f>HYPERLINK("#Структура!E3691",Структура!E3691)</f>
        <v>20</v>
      </c>
      <c r="K4970" s="114" t="str">
        <f>HYPERLINK("#Структура!G3691","")</f>
        <v/>
      </c>
      <c r="L4970" s="120">
        <f>HYPERLINK("#Покупные_изделия!D396",Покупные_изделия!D396)</f>
        <v>6.2519999999999998</v>
      </c>
      <c r="M4970" s="76">
        <f t="shared" si="198"/>
        <v>125.03999999999999</v>
      </c>
      <c r="N4970" s="77"/>
      <c r="O4970" s="77"/>
      <c r="P4970" s="76"/>
      <c r="Q4970" s="76"/>
    </row>
    <row r="4971" spans="5:17" hidden="1" outlineLevel="3" x14ac:dyDescent="0.25">
      <c r="E4971" s="74" t="s">
        <v>490</v>
      </c>
      <c r="F4971" s="74"/>
      <c r="G4971" s="74"/>
      <c r="H4971" s="75"/>
      <c r="I4971" s="76"/>
      <c r="J4971" s="78">
        <f>HYPERLINK("#Структура!E3692",Структура!E3692)</f>
        <v>4</v>
      </c>
      <c r="K4971" s="114">
        <f>HYPERLINK("#Структура!G3692",Структура!G3692)</f>
        <v>2.5400000000000002E-3</v>
      </c>
      <c r="L4971" s="120">
        <f>HYPERLINK("#Покупные_изделия!D410",Покупные_изделия!D410)</f>
        <v>28.104000000000003</v>
      </c>
      <c r="M4971" s="76">
        <f t="shared" si="198"/>
        <v>112.41600000000001</v>
      </c>
      <c r="N4971" s="77"/>
      <c r="O4971" s="77"/>
      <c r="P4971" s="76"/>
      <c r="Q4971" s="76"/>
    </row>
    <row r="4972" spans="5:17" hidden="1" outlineLevel="3" x14ac:dyDescent="0.25">
      <c r="E4972" s="74" t="s">
        <v>498</v>
      </c>
      <c r="F4972" s="74"/>
      <c r="G4972" s="74"/>
      <c r="H4972" s="75"/>
      <c r="I4972" s="76"/>
      <c r="J4972" s="78">
        <f>HYPERLINK("#Структура!E3693",Структура!E3693)</f>
        <v>2</v>
      </c>
      <c r="K4972" s="114" t="str">
        <f>HYPERLINK("#Структура!G3693","")</f>
        <v/>
      </c>
      <c r="L4972" s="120">
        <f>HYPERLINK("#Покупные_изделия!D432",Покупные_изделия!D432)</f>
        <v>330</v>
      </c>
      <c r="M4972" s="76">
        <f t="shared" si="198"/>
        <v>660</v>
      </c>
      <c r="N4972" s="77"/>
      <c r="O4972" s="77"/>
      <c r="P4972" s="76"/>
      <c r="Q4972" s="76"/>
    </row>
    <row r="4973" spans="5:17" hidden="1" outlineLevel="3" x14ac:dyDescent="0.25">
      <c r="E4973" s="74" t="s">
        <v>499</v>
      </c>
      <c r="F4973" s="74"/>
      <c r="G4973" s="74"/>
      <c r="H4973" s="75"/>
      <c r="I4973" s="76"/>
      <c r="J4973" s="78">
        <f>HYPERLINK("#Структура!E3694",Структура!E3694)</f>
        <v>4</v>
      </c>
      <c r="K4973" s="114">
        <f>HYPERLINK("#Структура!G3694",Структура!G3694)</f>
        <v>6.9849999999999995E-2</v>
      </c>
      <c r="L4973" s="120">
        <f>HYPERLINK("#Покупные_изделия!D434",Покупные_изделия!D434)</f>
        <v>13.956000000000001</v>
      </c>
      <c r="M4973" s="76">
        <f t="shared" si="198"/>
        <v>55.824000000000005</v>
      </c>
      <c r="N4973" s="77"/>
      <c r="O4973" s="77"/>
      <c r="P4973" s="76"/>
      <c r="Q4973" s="76"/>
    </row>
    <row r="4974" spans="5:17" hidden="1" outlineLevel="3" x14ac:dyDescent="0.25">
      <c r="E4974" s="74" t="s">
        <v>505</v>
      </c>
      <c r="F4974" s="74"/>
      <c r="G4974" s="74"/>
      <c r="H4974" s="75"/>
      <c r="I4974" s="76"/>
      <c r="J4974" s="78">
        <f>HYPERLINK("#Структура!E3695",Структура!E3695)</f>
        <v>1</v>
      </c>
      <c r="K4974" s="114">
        <f>HYPERLINK("#Структура!G3695",Структура!G3695)</f>
        <v>6.812E-2</v>
      </c>
      <c r="L4974" s="120">
        <f>HYPERLINK("#Покупные_изделия!D440",Покупные_изделия!D440)</f>
        <v>523.2084000000001</v>
      </c>
      <c r="M4974" s="76">
        <f t="shared" si="198"/>
        <v>523.2084000000001</v>
      </c>
      <c r="N4974" s="77"/>
      <c r="O4974" s="77"/>
      <c r="P4974" s="76"/>
      <c r="Q4974" s="76"/>
    </row>
    <row r="4975" spans="5:17" hidden="1" outlineLevel="3" x14ac:dyDescent="0.25">
      <c r="E4975" s="74" t="s">
        <v>506</v>
      </c>
      <c r="F4975" s="74"/>
      <c r="G4975" s="74"/>
      <c r="H4975" s="75"/>
      <c r="I4975" s="76"/>
      <c r="J4975" s="78">
        <f>HYPERLINK("#Структура!E3696",Структура!E3696)</f>
        <v>1</v>
      </c>
      <c r="K4975" s="114">
        <f>HYPERLINK("#Структура!G3696",Структура!G3696)</f>
        <v>6.812E-2</v>
      </c>
      <c r="L4975" s="120">
        <f>HYPERLINK("#Покупные_изделия!D441",Покупные_изделия!D441)</f>
        <v>485.25599999999997</v>
      </c>
      <c r="M4975" s="76">
        <f t="shared" si="198"/>
        <v>485.25599999999997</v>
      </c>
      <c r="N4975" s="77"/>
      <c r="O4975" s="77"/>
      <c r="P4975" s="76"/>
      <c r="Q4975" s="76"/>
    </row>
    <row r="4976" spans="5:17" hidden="1" outlineLevel="3" x14ac:dyDescent="0.25">
      <c r="E4976" s="74" t="s">
        <v>511</v>
      </c>
      <c r="F4976" s="74"/>
      <c r="G4976" s="74"/>
      <c r="H4976" s="75"/>
      <c r="I4976" s="76"/>
      <c r="J4976" s="78">
        <f>HYPERLINK("#Структура!E3697",Структура!E3697)</f>
        <v>100</v>
      </c>
      <c r="K4976" s="114" t="str">
        <f>HYPERLINK("#Структура!G3697","")</f>
        <v/>
      </c>
      <c r="L4976" s="120">
        <f>HYPERLINK("#Покупные_изделия!D455",Покупные_изделия!D455)</f>
        <v>1.183908</v>
      </c>
      <c r="M4976" s="76">
        <f t="shared" si="198"/>
        <v>118.3908</v>
      </c>
      <c r="N4976" s="77"/>
      <c r="O4976" s="77"/>
      <c r="P4976" s="76"/>
      <c r="Q4976" s="76"/>
    </row>
    <row r="4977" spans="4:17" hidden="1" outlineLevel="3" x14ac:dyDescent="0.25">
      <c r="E4977" s="74" t="s">
        <v>516</v>
      </c>
      <c r="F4977" s="74"/>
      <c r="G4977" s="74"/>
      <c r="H4977" s="75"/>
      <c r="I4977" s="76"/>
      <c r="J4977" s="78">
        <f>HYPERLINK("#Структура!E3698",Структура!E3698)</f>
        <v>1</v>
      </c>
      <c r="K4977" s="114">
        <f>HYPERLINK("#Структура!G3698",Структура!G3698)</f>
        <v>1.7549699999999999</v>
      </c>
      <c r="L4977" s="120">
        <f>HYPERLINK("#Покупные_изделия!D462",Покупные_изделия!D462)</f>
        <v>47985</v>
      </c>
      <c r="M4977" s="76">
        <f t="shared" si="198"/>
        <v>47985</v>
      </c>
      <c r="N4977" s="77"/>
      <c r="O4977" s="77"/>
      <c r="P4977" s="76"/>
      <c r="Q4977" s="76"/>
    </row>
    <row r="4978" spans="4:17" hidden="1" outlineLevel="3" x14ac:dyDescent="0.25">
      <c r="E4978" s="74" t="s">
        <v>523</v>
      </c>
      <c r="F4978" s="74"/>
      <c r="G4978" s="74"/>
      <c r="H4978" s="75"/>
      <c r="I4978" s="76"/>
      <c r="J4978" s="78">
        <f>HYPERLINK("#Структура!E3699",Структура!E3699)</f>
        <v>3</v>
      </c>
      <c r="K4978" s="114">
        <f>HYPERLINK("#Структура!G3699",Структура!G3699)</f>
        <v>1.5689999999999999E-2</v>
      </c>
      <c r="L4978" s="120">
        <f>HYPERLINK("#Покупные_изделия!D470",Покупные_изделия!D470)</f>
        <v>30.804000000000002</v>
      </c>
      <c r="M4978" s="76">
        <f t="shared" si="198"/>
        <v>92.412000000000006</v>
      </c>
      <c r="N4978" s="77"/>
      <c r="O4978" s="77"/>
      <c r="P4978" s="76"/>
      <c r="Q4978" s="76"/>
    </row>
    <row r="4979" spans="4:17" hidden="1" outlineLevel="3" x14ac:dyDescent="0.25">
      <c r="E4979" s="74" t="s">
        <v>525</v>
      </c>
      <c r="F4979" s="74"/>
      <c r="G4979" s="74"/>
      <c r="H4979" s="75"/>
      <c r="I4979" s="76"/>
      <c r="J4979" s="78">
        <f>HYPERLINK("#Структура!E3700",Структура!E3700)</f>
        <v>8</v>
      </c>
      <c r="K4979" s="114">
        <f>HYPERLINK("#Структура!G3700",Структура!G3700)</f>
        <v>2.743E-2</v>
      </c>
      <c r="L4979" s="120">
        <f>HYPERLINK("#Покупные_изделия!D472",Покупные_изделия!D472)</f>
        <v>44.304000000000002</v>
      </c>
      <c r="M4979" s="76">
        <f t="shared" si="198"/>
        <v>354.43200000000002</v>
      </c>
      <c r="N4979" s="77"/>
      <c r="O4979" s="77"/>
      <c r="P4979" s="76"/>
      <c r="Q4979" s="76"/>
    </row>
    <row r="4980" spans="4:17" hidden="1" outlineLevel="3" x14ac:dyDescent="0.25">
      <c r="E4980" s="74" t="s">
        <v>535</v>
      </c>
      <c r="F4980" s="74"/>
      <c r="G4980" s="74"/>
      <c r="H4980" s="75"/>
      <c r="I4980" s="76"/>
      <c r="J4980" s="78">
        <f>HYPERLINK("#Структура!E3701",Структура!E3701)</f>
        <v>1</v>
      </c>
      <c r="K4980" s="114">
        <f>HYPERLINK("#Структура!G3701",Структура!G3701)</f>
        <v>1.129E-2</v>
      </c>
      <c r="L4980" s="120">
        <f>HYPERLINK("#Покупные_изделия!D513",Покупные_изделия!D513)</f>
        <v>53.460000000000008</v>
      </c>
      <c r="M4980" s="76">
        <f t="shared" si="198"/>
        <v>53.460000000000008</v>
      </c>
      <c r="N4980" s="77"/>
      <c r="O4980" s="77"/>
      <c r="P4980" s="76"/>
      <c r="Q4980" s="76"/>
    </row>
    <row r="4981" spans="4:17" hidden="1" outlineLevel="3" x14ac:dyDescent="0.25">
      <c r="E4981" s="74" t="s">
        <v>536</v>
      </c>
      <c r="F4981" s="74"/>
      <c r="G4981" s="74"/>
      <c r="H4981" s="75"/>
      <c r="I4981" s="76"/>
      <c r="J4981" s="78">
        <f>HYPERLINK("#Структура!E3702",Структура!E3702)</f>
        <v>1</v>
      </c>
      <c r="K4981" s="114">
        <f>HYPERLINK("#Структура!G3702",Структура!G3702)</f>
        <v>2.9520000000000001E-2</v>
      </c>
      <c r="L4981" s="120">
        <f>HYPERLINK("#Покупные_изделия!D514",Покупные_изделия!D514)</f>
        <v>194.04000000000002</v>
      </c>
      <c r="M4981" s="76">
        <f t="shared" si="198"/>
        <v>194.04000000000002</v>
      </c>
      <c r="N4981" s="77"/>
      <c r="O4981" s="77"/>
      <c r="P4981" s="76"/>
      <c r="Q4981" s="76"/>
    </row>
    <row r="4982" spans="4:17" hidden="1" outlineLevel="3" x14ac:dyDescent="0.25">
      <c r="E4982" s="74" t="s">
        <v>537</v>
      </c>
      <c r="F4982" s="74"/>
      <c r="G4982" s="74"/>
      <c r="H4982" s="75"/>
      <c r="I4982" s="76"/>
      <c r="J4982" s="78">
        <f>HYPERLINK("#Структура!E3703",Структура!E3703)</f>
        <v>1</v>
      </c>
      <c r="K4982" s="114">
        <f>HYPERLINK("#Структура!G3703",Структура!G3703)</f>
        <v>2.1749999999999999E-2</v>
      </c>
      <c r="L4982" s="120">
        <f>HYPERLINK("#Покупные_изделия!D515",Покупные_изделия!D515)</f>
        <v>72.600000000000009</v>
      </c>
      <c r="M4982" s="76">
        <f t="shared" si="198"/>
        <v>72.600000000000009</v>
      </c>
      <c r="N4982" s="77"/>
      <c r="O4982" s="77"/>
      <c r="P4982" s="76"/>
      <c r="Q4982" s="76"/>
    </row>
    <row r="4983" spans="4:17" hidden="1" outlineLevel="2" collapsed="1" x14ac:dyDescent="0.25">
      <c r="D4983" s="96" t="s">
        <v>1569</v>
      </c>
      <c r="E4983" s="91"/>
      <c r="F4983" s="91"/>
      <c r="G4983" s="91"/>
      <c r="H4983" s="92"/>
      <c r="I4983" s="93"/>
      <c r="J4983" s="95">
        <f>HYPERLINK("#Структура!E3305",Структура!E3305)</f>
        <v>2</v>
      </c>
      <c r="K4983" s="116">
        <f>HYPERLINK("#Структура!G3305",Структура!G3305)</f>
        <v>45.395609999999998</v>
      </c>
      <c r="L4983" s="93">
        <f>M4983/J4983</f>
        <v>231921.38055999999</v>
      </c>
      <c r="M4983" s="93">
        <f>SUMIF(E4984:E5032,"*",M4984:M5032)*J4983</f>
        <v>463842.76111999998</v>
      </c>
      <c r="N4983" s="125">
        <f>HYPERLINK("#Трудозатраты!B879",Трудозатраты!B879+SUMIF(E4984:E5032,"*",O4984:O5032))</f>
        <v>732.2</v>
      </c>
      <c r="O4983" s="94">
        <f>N4983*J4983</f>
        <v>1464.4</v>
      </c>
      <c r="P4983" s="93">
        <f>O4983/60*(1+запас_труд)*стоимость_трудочаса</f>
        <v>57355.666666666672</v>
      </c>
      <c r="Q4983" s="130">
        <f>M4983*(1+наценка_покупное)+P4983</f>
        <v>613966.98001066654</v>
      </c>
    </row>
    <row r="4984" spans="4:17" hidden="1" outlineLevel="3" collapsed="1" x14ac:dyDescent="0.25">
      <c r="E4984" s="85" t="s">
        <v>800</v>
      </c>
      <c r="F4984" s="86"/>
      <c r="G4984" s="86"/>
      <c r="H4984" s="87"/>
      <c r="I4984" s="88"/>
      <c r="J4984" s="90">
        <f>HYPERLINK("#Структура!E3705",Структура!E3705)</f>
        <v>2</v>
      </c>
      <c r="K4984" s="113">
        <f>HYPERLINK("#Структура!G3705",Структура!G3705)</f>
        <v>0.12250999999999999</v>
      </c>
      <c r="L4984" s="88">
        <f>M4984/J4984</f>
        <v>24.207999999999998</v>
      </c>
      <c r="M4984" s="88">
        <f>SUMIF(F4985,"*",M4985)*J4984</f>
        <v>48.415999999999997</v>
      </c>
      <c r="N4984" s="123">
        <f>HYPERLINK("#Трудозатраты!B131",Трудозатраты!B131+SUMIF(F4985,"*",O4985))</f>
        <v>5.0999999999999996</v>
      </c>
      <c r="O4984" s="89">
        <f>N4984*J4984</f>
        <v>10.199999999999999</v>
      </c>
      <c r="P4984" s="88">
        <f>O4984/60*(1+запас_труд)*стоимость_трудочаса</f>
        <v>399.49999999999994</v>
      </c>
      <c r="Q4984" s="128">
        <f>M4984*(1+наценка_покупное)+P4984</f>
        <v>457.59919999999994</v>
      </c>
    </row>
    <row r="4985" spans="4:17" hidden="1" outlineLevel="4" x14ac:dyDescent="0.25">
      <c r="F4985" s="74" t="s">
        <v>130</v>
      </c>
      <c r="G4985" s="74"/>
      <c r="H4985" s="75"/>
      <c r="I4985" s="76"/>
      <c r="J4985" s="78">
        <f>HYPERLINK("#Структура!E674",Структура!E674)</f>
        <v>0.15129999999999999</v>
      </c>
      <c r="K4985" s="114" t="str">
        <f>HYPERLINK("#Структура!G674","")</f>
        <v/>
      </c>
      <c r="L4985" s="120">
        <f>HYPERLINK("#Покупные_изделия!D305",Покупные_изделия!D305)</f>
        <v>160</v>
      </c>
      <c r="M4985" s="76">
        <f>J4985*L4985</f>
        <v>24.207999999999998</v>
      </c>
      <c r="N4985" s="77"/>
      <c r="O4985" s="77"/>
      <c r="P4985" s="76"/>
      <c r="Q4985" s="76"/>
    </row>
    <row r="4986" spans="4:17" hidden="1" outlineLevel="3" collapsed="1" x14ac:dyDescent="0.25">
      <c r="E4986" s="84" t="s">
        <v>801</v>
      </c>
      <c r="F4986" s="79"/>
      <c r="G4986" s="79"/>
      <c r="H4986" s="80"/>
      <c r="I4986" s="81"/>
      <c r="J4986" s="83">
        <f>HYPERLINK("#Структура!E3706",Структура!E3706)</f>
        <v>2</v>
      </c>
      <c r="K4986" s="115">
        <f>HYPERLINK("#Структура!G3706",Структура!G3706)</f>
        <v>0.20648</v>
      </c>
      <c r="L4986" s="81">
        <f>M4986/J4986</f>
        <v>44.459200000000003</v>
      </c>
      <c r="M4986" s="81">
        <f>SUMIF(F4987,"*",M4987)*J4986</f>
        <v>88.918400000000005</v>
      </c>
      <c r="N4986" s="124">
        <f>HYPERLINK("#Трудозатраты!B132",Трудозатраты!B132+SUMIF(F4987,"*",O4987))</f>
        <v>11</v>
      </c>
      <c r="O4986" s="82">
        <f>N4986*J4986</f>
        <v>22</v>
      </c>
      <c r="P4986" s="81">
        <f>O4986/60*(1+запас_труд)*стоимость_трудочаса</f>
        <v>861.66666666666663</v>
      </c>
      <c r="Q4986" s="129">
        <f>M4986*(1+наценка_покупное)+P4986</f>
        <v>968.36874666666665</v>
      </c>
    </row>
    <row r="4987" spans="4:17" hidden="1" outlineLevel="4" x14ac:dyDescent="0.25">
      <c r="F4987" s="74" t="s">
        <v>128</v>
      </c>
      <c r="G4987" s="74"/>
      <c r="H4987" s="75"/>
      <c r="I4987" s="76"/>
      <c r="J4987" s="78">
        <f>HYPERLINK("#Структура!E675",Структура!E675)</f>
        <v>0.27787000000000001</v>
      </c>
      <c r="K4987" s="114" t="str">
        <f>HYPERLINK("#Структура!G675","")</f>
        <v/>
      </c>
      <c r="L4987" s="120">
        <f>HYPERLINK("#Покупные_изделия!D303",Покупные_изделия!D303)</f>
        <v>160</v>
      </c>
      <c r="M4987" s="76">
        <f>J4987*L4987</f>
        <v>44.459200000000003</v>
      </c>
      <c r="N4987" s="77"/>
      <c r="O4987" s="77"/>
      <c r="P4987" s="76"/>
      <c r="Q4987" s="76"/>
    </row>
    <row r="4988" spans="4:17" hidden="1" outlineLevel="3" collapsed="1" x14ac:dyDescent="0.25">
      <c r="E4988" s="84" t="s">
        <v>1620</v>
      </c>
      <c r="F4988" s="79"/>
      <c r="G4988" s="79"/>
      <c r="H4988" s="80"/>
      <c r="I4988" s="81"/>
      <c r="J4988" s="83">
        <f>HYPERLINK("#Структура!E3707",Структура!E3707)</f>
        <v>1</v>
      </c>
      <c r="K4988" s="115">
        <f>HYPERLINK("#Структура!G3707",Структура!G3707)</f>
        <v>15.812989999999999</v>
      </c>
      <c r="L4988" s="81">
        <f>M4988/J4988</f>
        <v>6252.4440000000004</v>
      </c>
      <c r="M4988" s="81">
        <f>SUMIF(F4989,"*",M4989)*J4988</f>
        <v>6252.4440000000004</v>
      </c>
      <c r="N4988" s="124">
        <f>HYPERLINK("#Трудозатраты!B880",Трудозатраты!B880+SUMIF(F4989,"*",O4989))</f>
        <v>120</v>
      </c>
      <c r="O4988" s="82">
        <f>N4988*J4988</f>
        <v>120</v>
      </c>
      <c r="P4988" s="81">
        <f>O4988/60*(1+запас_труд)*стоимость_трудочаса</f>
        <v>4700</v>
      </c>
      <c r="Q4988" s="129">
        <f>M4988*(1+наценка_покупное)+P4988</f>
        <v>12202.9328</v>
      </c>
    </row>
    <row r="4989" spans="4:17" hidden="1" outlineLevel="4" x14ac:dyDescent="0.25">
      <c r="F4989" s="74" t="s">
        <v>542</v>
      </c>
      <c r="G4989" s="74"/>
      <c r="H4989" s="75"/>
      <c r="I4989" s="76"/>
      <c r="J4989" s="78">
        <f>HYPERLINK("#Структура!E3751",Структура!E3751)</f>
        <v>1</v>
      </c>
      <c r="K4989" s="114" t="str">
        <f>HYPERLINK("#Структура!G3751","")</f>
        <v/>
      </c>
      <c r="L4989" s="120">
        <f>HYPERLINK("#Покупные_изделия!D559",Покупные_изделия!D559)</f>
        <v>6252.4440000000004</v>
      </c>
      <c r="M4989" s="76">
        <f t="shared" ref="M4989:M5032" si="199">J4989*L4989</f>
        <v>6252.4440000000004</v>
      </c>
      <c r="N4989" s="77"/>
      <c r="O4989" s="77"/>
      <c r="P4989" s="76"/>
      <c r="Q4989" s="76"/>
    </row>
    <row r="4990" spans="4:17" hidden="1" outlineLevel="3" x14ac:dyDescent="0.25">
      <c r="E4990" s="74" t="s">
        <v>501</v>
      </c>
      <c r="F4990" s="74"/>
      <c r="G4990" s="74"/>
      <c r="H4990" s="75"/>
      <c r="I4990" s="76"/>
      <c r="J4990" s="78">
        <f>HYPERLINK("#Структура!E3708",Структура!E3708)</f>
        <v>50</v>
      </c>
      <c r="K4990" s="114">
        <f>HYPERLINK("#Структура!G3708",Структура!G3708)</f>
        <v>1.5E-3</v>
      </c>
      <c r="L4990" s="120">
        <f>HYPERLINK("#Покупные_изделия!D436",Покупные_изделия!D436)</f>
        <v>1.1352000000000002</v>
      </c>
      <c r="M4990" s="76">
        <f t="shared" si="199"/>
        <v>56.760000000000012</v>
      </c>
      <c r="N4990" s="77"/>
      <c r="O4990" s="77"/>
      <c r="P4990" s="76"/>
      <c r="Q4990" s="76"/>
    </row>
    <row r="4991" spans="4:17" hidden="1" outlineLevel="3" x14ac:dyDescent="0.25">
      <c r="E4991" s="74" t="s">
        <v>1619</v>
      </c>
      <c r="F4991" s="74"/>
      <c r="G4991" s="74"/>
      <c r="H4991" s="75"/>
      <c r="I4991" s="76"/>
      <c r="J4991" s="78">
        <f>HYPERLINK("#Структура!E3709",Структура!E3709)</f>
        <v>2</v>
      </c>
      <c r="K4991" s="114">
        <f>HYPERLINK("#Структура!G3709",Структура!G3709)</f>
        <v>0.95032000000000005</v>
      </c>
      <c r="L4991" s="120">
        <f>HYPERLINK("#Покупные_изделия!D13",Покупные_изделия!D13)</f>
        <v>6898.8233999999993</v>
      </c>
      <c r="M4991" s="76">
        <f t="shared" si="199"/>
        <v>13797.646799999999</v>
      </c>
      <c r="N4991" s="77"/>
      <c r="O4991" s="77"/>
      <c r="P4991" s="76"/>
      <c r="Q4991" s="76"/>
    </row>
    <row r="4992" spans="4:17" hidden="1" outlineLevel="3" x14ac:dyDescent="0.25">
      <c r="E4992" s="74" t="s">
        <v>358</v>
      </c>
      <c r="F4992" s="74"/>
      <c r="G4992" s="74"/>
      <c r="H4992" s="75"/>
      <c r="I4992" s="76"/>
      <c r="J4992" s="78">
        <f>HYPERLINK("#Структура!E3710",Структура!E3710)</f>
        <v>1</v>
      </c>
      <c r="K4992" s="114">
        <f>HYPERLINK("#Структура!G3710",Структура!G3710)</f>
        <v>0.32</v>
      </c>
      <c r="L4992" s="120">
        <f>HYPERLINK("#Покупные_изделия!D19",Покупные_изделия!D19)</f>
        <v>115.36800000000002</v>
      </c>
      <c r="M4992" s="76">
        <f t="shared" si="199"/>
        <v>115.36800000000002</v>
      </c>
      <c r="N4992" s="77"/>
      <c r="O4992" s="77"/>
      <c r="P4992" s="76"/>
      <c r="Q4992" s="76"/>
    </row>
    <row r="4993" spans="5:17" hidden="1" outlineLevel="3" x14ac:dyDescent="0.25">
      <c r="E4993" s="74" t="s">
        <v>359</v>
      </c>
      <c r="F4993" s="74"/>
      <c r="G4993" s="74"/>
      <c r="H4993" s="75"/>
      <c r="I4993" s="76"/>
      <c r="J4993" s="78">
        <f>HYPERLINK("#Структура!E3711",Структура!E3711)</f>
        <v>2</v>
      </c>
      <c r="K4993" s="114">
        <f>HYPERLINK("#Структура!G3711",Структура!G3711)</f>
        <v>2.3327800000000001</v>
      </c>
      <c r="L4993" s="120">
        <f>HYPERLINK("#Покупные_изделия!D21",Покупные_изделия!D21)</f>
        <v>26137.65</v>
      </c>
      <c r="M4993" s="76">
        <f t="shared" si="199"/>
        <v>52275.3</v>
      </c>
      <c r="N4993" s="77"/>
      <c r="O4993" s="77"/>
      <c r="P4993" s="76"/>
      <c r="Q4993" s="76"/>
    </row>
    <row r="4994" spans="5:17" hidden="1" outlineLevel="3" x14ac:dyDescent="0.25">
      <c r="E4994" s="74" t="s">
        <v>376</v>
      </c>
      <c r="F4994" s="74"/>
      <c r="G4994" s="74"/>
      <c r="H4994" s="75"/>
      <c r="I4994" s="76"/>
      <c r="J4994" s="78">
        <f>HYPERLINK("#Структура!E3712",Структура!E3712)</f>
        <v>5</v>
      </c>
      <c r="K4994" s="114">
        <f>HYPERLINK("#Структура!G3712",Структура!G3712)</f>
        <v>7.1730000000000002E-2</v>
      </c>
      <c r="L4994" s="120">
        <f>HYPERLINK("#Покупные_изделия!D156",Покупные_изделия!D156)</f>
        <v>257.25479999999999</v>
      </c>
      <c r="M4994" s="76">
        <f t="shared" si="199"/>
        <v>1286.2739999999999</v>
      </c>
      <c r="N4994" s="77"/>
      <c r="O4994" s="77"/>
      <c r="P4994" s="76"/>
      <c r="Q4994" s="76"/>
    </row>
    <row r="4995" spans="5:17" hidden="1" outlineLevel="3" x14ac:dyDescent="0.25">
      <c r="E4995" s="74" t="s">
        <v>377</v>
      </c>
      <c r="F4995" s="74"/>
      <c r="G4995" s="74"/>
      <c r="H4995" s="75"/>
      <c r="I4995" s="76"/>
      <c r="J4995" s="78">
        <f>HYPERLINK("#Структура!E3713",Структура!E3713)</f>
        <v>33</v>
      </c>
      <c r="K4995" s="114">
        <f>HYPERLINK("#Структура!G3713",Структура!G3713)</f>
        <v>6.2950000000000006E-2</v>
      </c>
      <c r="L4995" s="120">
        <f>HYPERLINK("#Покупные_изделия!D157",Покупные_изделия!D157)</f>
        <v>19.390800000000002</v>
      </c>
      <c r="M4995" s="76">
        <f t="shared" si="199"/>
        <v>639.89640000000009</v>
      </c>
      <c r="N4995" s="77"/>
      <c r="O4995" s="77"/>
      <c r="P4995" s="76"/>
      <c r="Q4995" s="76"/>
    </row>
    <row r="4996" spans="5:17" hidden="1" outlineLevel="3" x14ac:dyDescent="0.25">
      <c r="E4996" s="74" t="s">
        <v>380</v>
      </c>
      <c r="F4996" s="74"/>
      <c r="G4996" s="74"/>
      <c r="H4996" s="75"/>
      <c r="I4996" s="76"/>
      <c r="J4996" s="78">
        <f>HYPERLINK("#Структура!E3714",Структура!E3714)</f>
        <v>4</v>
      </c>
      <c r="K4996" s="114">
        <f>HYPERLINK("#Структура!G3714",Структура!G3714)</f>
        <v>5.96E-3</v>
      </c>
      <c r="L4996" s="120">
        <f>HYPERLINK("#Покупные_изделия!D180",Покупные_изделия!D180)</f>
        <v>52.074000000000005</v>
      </c>
      <c r="M4996" s="76">
        <f t="shared" si="199"/>
        <v>208.29600000000002</v>
      </c>
      <c r="N4996" s="77"/>
      <c r="O4996" s="77"/>
      <c r="P4996" s="76"/>
      <c r="Q4996" s="76"/>
    </row>
    <row r="4997" spans="5:17" hidden="1" outlineLevel="3" x14ac:dyDescent="0.25">
      <c r="E4997" s="74" t="s">
        <v>391</v>
      </c>
      <c r="F4997" s="74"/>
      <c r="G4997" s="74"/>
      <c r="H4997" s="75"/>
      <c r="I4997" s="76"/>
      <c r="J4997" s="78">
        <f>HYPERLINK("#Структура!E3715",Структура!E3715)</f>
        <v>4</v>
      </c>
      <c r="K4997" s="114">
        <f>HYPERLINK("#Структура!G3715",Структура!G3715)</f>
        <v>6.4999999999999997E-4</v>
      </c>
      <c r="L4997" s="120">
        <f>HYPERLINK("#Покупные_изделия!D212",Покупные_изделия!D212)</f>
        <v>582.12</v>
      </c>
      <c r="M4997" s="76">
        <f t="shared" si="199"/>
        <v>2328.48</v>
      </c>
      <c r="N4997" s="77"/>
      <c r="O4997" s="77"/>
      <c r="P4997" s="76"/>
      <c r="Q4997" s="76"/>
    </row>
    <row r="4998" spans="5:17" hidden="1" outlineLevel="3" x14ac:dyDescent="0.25">
      <c r="E4998" s="74" t="s">
        <v>394</v>
      </c>
      <c r="F4998" s="74"/>
      <c r="G4998" s="74"/>
      <c r="H4998" s="75"/>
      <c r="I4998" s="76"/>
      <c r="J4998" s="78">
        <f>HYPERLINK("#Структура!E3716",Структура!E3716)</f>
        <v>1</v>
      </c>
      <c r="K4998" s="114" t="str">
        <f>HYPERLINK("#Структура!G3716","")</f>
        <v/>
      </c>
      <c r="L4998" s="120">
        <f>HYPERLINK("#Покупные_изделия!D215",Покупные_изделия!D215)</f>
        <v>33</v>
      </c>
      <c r="M4998" s="76">
        <f t="shared" si="199"/>
        <v>33</v>
      </c>
      <c r="N4998" s="77"/>
      <c r="O4998" s="77"/>
      <c r="P4998" s="76"/>
      <c r="Q4998" s="76"/>
    </row>
    <row r="4999" spans="5:17" hidden="1" outlineLevel="3" x14ac:dyDescent="0.25">
      <c r="E4999" s="74" t="s">
        <v>406</v>
      </c>
      <c r="F4999" s="74"/>
      <c r="G4999" s="74"/>
      <c r="H4999" s="75"/>
      <c r="I4999" s="76"/>
      <c r="J4999" s="78">
        <f>HYPERLINK("#Структура!E3717",Структура!E3717)</f>
        <v>2</v>
      </c>
      <c r="K4999" s="114">
        <f>HYPERLINK("#Структура!G3717",Структура!G3717)</f>
        <v>0.24562999999999999</v>
      </c>
      <c r="L4999" s="120">
        <f>HYPERLINK("#Покупные_изделия!D230",Покупные_изделия!D230)</f>
        <v>3086.1600000000003</v>
      </c>
      <c r="M4999" s="76">
        <f t="shared" si="199"/>
        <v>6172.3200000000006</v>
      </c>
      <c r="N4999" s="77"/>
      <c r="O4999" s="77"/>
      <c r="P4999" s="76"/>
      <c r="Q4999" s="76"/>
    </row>
    <row r="5000" spans="5:17" hidden="1" outlineLevel="3" x14ac:dyDescent="0.25">
      <c r="E5000" s="74" t="s">
        <v>408</v>
      </c>
      <c r="F5000" s="74"/>
      <c r="G5000" s="74"/>
      <c r="H5000" s="75"/>
      <c r="I5000" s="76"/>
      <c r="J5000" s="78">
        <f>HYPERLINK("#Структура!E3718",Структура!E3718)</f>
        <v>2</v>
      </c>
      <c r="K5000" s="114">
        <f>HYPERLINK("#Структура!G3718",Структура!G3718)</f>
        <v>4.7980000000000002E-2</v>
      </c>
      <c r="L5000" s="120">
        <f>HYPERLINK("#Покупные_изделия!D232",Покупные_изделия!D232)</f>
        <v>163.68</v>
      </c>
      <c r="M5000" s="76">
        <f t="shared" si="199"/>
        <v>327.36</v>
      </c>
      <c r="N5000" s="77"/>
      <c r="O5000" s="77"/>
      <c r="P5000" s="76"/>
      <c r="Q5000" s="76"/>
    </row>
    <row r="5001" spans="5:17" hidden="1" outlineLevel="3" x14ac:dyDescent="0.25">
      <c r="E5001" s="74" t="s">
        <v>409</v>
      </c>
      <c r="F5001" s="74"/>
      <c r="G5001" s="74"/>
      <c r="H5001" s="75"/>
      <c r="I5001" s="76"/>
      <c r="J5001" s="78">
        <f>HYPERLINK("#Структура!E3719",Структура!E3719)</f>
        <v>2</v>
      </c>
      <c r="K5001" s="114">
        <f>HYPERLINK("#Структура!G3719",Структура!G3719)</f>
        <v>2.1121400000000001</v>
      </c>
      <c r="L5001" s="120">
        <f>HYPERLINK("#Покупные_изделия!D233",Покупные_изделия!D233)</f>
        <v>15750</v>
      </c>
      <c r="M5001" s="76">
        <f t="shared" si="199"/>
        <v>31500</v>
      </c>
      <c r="N5001" s="77"/>
      <c r="O5001" s="77"/>
      <c r="P5001" s="76"/>
      <c r="Q5001" s="76"/>
    </row>
    <row r="5002" spans="5:17" hidden="1" outlineLevel="3" x14ac:dyDescent="0.25">
      <c r="E5002" s="74" t="s">
        <v>414</v>
      </c>
      <c r="F5002" s="74"/>
      <c r="G5002" s="74"/>
      <c r="H5002" s="75"/>
      <c r="I5002" s="76"/>
      <c r="J5002" s="78">
        <f>HYPERLINK("#Структура!E3720",Структура!E3720)</f>
        <v>2</v>
      </c>
      <c r="K5002" s="114">
        <f>HYPERLINK("#Структура!G3720",Структура!G3720)</f>
        <v>0.10681</v>
      </c>
      <c r="L5002" s="120">
        <f>HYPERLINK("#Покупные_изделия!D239",Покупные_изделия!D239)</f>
        <v>261.61079999999998</v>
      </c>
      <c r="M5002" s="76">
        <f t="shared" si="199"/>
        <v>523.22159999999997</v>
      </c>
      <c r="N5002" s="77"/>
      <c r="O5002" s="77"/>
      <c r="P5002" s="76"/>
      <c r="Q5002" s="76"/>
    </row>
    <row r="5003" spans="5:17" hidden="1" outlineLevel="3" x14ac:dyDescent="0.25">
      <c r="E5003" s="74" t="s">
        <v>418</v>
      </c>
      <c r="F5003" s="74"/>
      <c r="G5003" s="74"/>
      <c r="H5003" s="75"/>
      <c r="I5003" s="76"/>
      <c r="J5003" s="78">
        <f>HYPERLINK("#Структура!E3721",Структура!E3721)</f>
        <v>3</v>
      </c>
      <c r="K5003" s="114">
        <f>HYPERLINK("#Структура!G3721",Структура!G3721)</f>
        <v>8.9999999999999998E-4</v>
      </c>
      <c r="L5003" s="120">
        <f>HYPERLINK("#Покупные_изделия!D310",Покупные_изделия!D310)</f>
        <v>292.80239999999998</v>
      </c>
      <c r="M5003" s="76">
        <f t="shared" si="199"/>
        <v>878.40719999999988</v>
      </c>
      <c r="N5003" s="77"/>
      <c r="O5003" s="77"/>
      <c r="P5003" s="76"/>
      <c r="Q5003" s="76"/>
    </row>
    <row r="5004" spans="5:17" hidden="1" outlineLevel="3" x14ac:dyDescent="0.25">
      <c r="E5004" s="74" t="s">
        <v>419</v>
      </c>
      <c r="F5004" s="74"/>
      <c r="G5004" s="74"/>
      <c r="H5004" s="75"/>
      <c r="I5004" s="76"/>
      <c r="J5004" s="78">
        <f>HYPERLINK("#Структура!E3722",Структура!E3722)</f>
        <v>1</v>
      </c>
      <c r="K5004" s="114" t="str">
        <f>HYPERLINK("#Структура!G3722","")</f>
        <v/>
      </c>
      <c r="L5004" s="120">
        <f>HYPERLINK("#Покупные_изделия!D311",Покупные_изделия!D311)</f>
        <v>292.9212</v>
      </c>
      <c r="M5004" s="76">
        <f t="shared" si="199"/>
        <v>292.9212</v>
      </c>
      <c r="N5004" s="77"/>
      <c r="O5004" s="77"/>
      <c r="P5004" s="76"/>
      <c r="Q5004" s="76"/>
    </row>
    <row r="5005" spans="5:17" hidden="1" outlineLevel="3" x14ac:dyDescent="0.25">
      <c r="E5005" s="74" t="s">
        <v>424</v>
      </c>
      <c r="F5005" s="74"/>
      <c r="G5005" s="74"/>
      <c r="H5005" s="75"/>
      <c r="I5005" s="76"/>
      <c r="J5005" s="78">
        <f>HYPERLINK("#Структура!E3723",Структура!E3723)</f>
        <v>3</v>
      </c>
      <c r="K5005" s="114" t="str">
        <f>HYPERLINK("#Структура!G3723","")</f>
        <v/>
      </c>
      <c r="L5005" s="120">
        <f>HYPERLINK("#Покупные_изделия!D317",Покупные_изделия!D317)</f>
        <v>489.53520000000003</v>
      </c>
      <c r="M5005" s="76">
        <f t="shared" si="199"/>
        <v>1468.6056000000001</v>
      </c>
      <c r="N5005" s="77"/>
      <c r="O5005" s="77"/>
      <c r="P5005" s="76"/>
      <c r="Q5005" s="76"/>
    </row>
    <row r="5006" spans="5:17" hidden="1" outlineLevel="3" x14ac:dyDescent="0.25">
      <c r="E5006" s="74" t="s">
        <v>429</v>
      </c>
      <c r="F5006" s="74"/>
      <c r="G5006" s="74"/>
      <c r="H5006" s="75"/>
      <c r="I5006" s="76"/>
      <c r="J5006" s="78">
        <f>HYPERLINK("#Структура!E3724",Структура!E3724)</f>
        <v>3</v>
      </c>
      <c r="K5006" s="114">
        <f>HYPERLINK("#Структура!G3724",Структура!G3724)</f>
        <v>3.8109999999999998E-2</v>
      </c>
      <c r="L5006" s="120">
        <f>HYPERLINK("#Покупные_изделия!D322",Покупные_изделия!D322)</f>
        <v>330</v>
      </c>
      <c r="M5006" s="76">
        <f t="shared" si="199"/>
        <v>990</v>
      </c>
      <c r="N5006" s="77"/>
      <c r="O5006" s="77"/>
      <c r="P5006" s="76"/>
      <c r="Q5006" s="76"/>
    </row>
    <row r="5007" spans="5:17" hidden="1" outlineLevel="3" x14ac:dyDescent="0.25">
      <c r="E5007" s="74" t="s">
        <v>435</v>
      </c>
      <c r="F5007" s="74"/>
      <c r="G5007" s="74"/>
      <c r="H5007" s="75"/>
      <c r="I5007" s="76"/>
      <c r="J5007" s="78">
        <f>HYPERLINK("#Структура!E3725",Структура!E3725)</f>
        <v>4</v>
      </c>
      <c r="K5007" s="114">
        <f>HYPERLINK("#Структура!G3725",Структура!G3725)</f>
        <v>4.6339999999999999E-2</v>
      </c>
      <c r="L5007" s="120">
        <f>HYPERLINK("#Покупные_изделия!D328",Покупные_изделия!D328)</f>
        <v>75.345600000000005</v>
      </c>
      <c r="M5007" s="76">
        <f t="shared" si="199"/>
        <v>301.38240000000002</v>
      </c>
      <c r="N5007" s="77"/>
      <c r="O5007" s="77"/>
      <c r="P5007" s="76"/>
      <c r="Q5007" s="76"/>
    </row>
    <row r="5008" spans="5:17" hidden="1" outlineLevel="3" x14ac:dyDescent="0.25">
      <c r="E5008" s="74" t="s">
        <v>436</v>
      </c>
      <c r="F5008" s="74"/>
      <c r="G5008" s="74"/>
      <c r="H5008" s="75"/>
      <c r="I5008" s="76"/>
      <c r="J5008" s="78">
        <f>HYPERLINK("#Структура!E3726",Структура!E3726)</f>
        <v>2</v>
      </c>
      <c r="K5008" s="114">
        <f>HYPERLINK("#Структура!G3726",Структура!G3726)</f>
        <v>0.72323000000000004</v>
      </c>
      <c r="L5008" s="120">
        <f>HYPERLINK("#Покупные_изделия!D329",Покупные_изделия!D329)</f>
        <v>118.80000000000001</v>
      </c>
      <c r="M5008" s="76">
        <f t="shared" si="199"/>
        <v>237.60000000000002</v>
      </c>
      <c r="N5008" s="77"/>
      <c r="O5008" s="77"/>
      <c r="P5008" s="76"/>
      <c r="Q5008" s="76"/>
    </row>
    <row r="5009" spans="5:17" hidden="1" outlineLevel="3" x14ac:dyDescent="0.25">
      <c r="E5009" s="74" t="s">
        <v>441</v>
      </c>
      <c r="F5009" s="74"/>
      <c r="G5009" s="74"/>
      <c r="H5009" s="75"/>
      <c r="I5009" s="76"/>
      <c r="J5009" s="78">
        <f>HYPERLINK("#Структура!E3727",Структура!E3727)</f>
        <v>4</v>
      </c>
      <c r="K5009" s="114">
        <f>HYPERLINK("#Структура!G3727",Структура!G3727)</f>
        <v>8.0509999999999998E-2</v>
      </c>
      <c r="L5009" s="120">
        <f>HYPERLINK("#Покупные_изделия!D340",Покупные_изделия!D340)</f>
        <v>401.29200000000003</v>
      </c>
      <c r="M5009" s="76">
        <f t="shared" si="199"/>
        <v>1605.1680000000001</v>
      </c>
      <c r="N5009" s="77"/>
      <c r="O5009" s="77"/>
      <c r="P5009" s="76"/>
      <c r="Q5009" s="76"/>
    </row>
    <row r="5010" spans="5:17" hidden="1" outlineLevel="3" x14ac:dyDescent="0.25">
      <c r="E5010" s="74" t="s">
        <v>447</v>
      </c>
      <c r="F5010" s="74"/>
      <c r="G5010" s="74"/>
      <c r="H5010" s="75"/>
      <c r="I5010" s="76"/>
      <c r="J5010" s="78">
        <f>HYPERLINK("#Структура!E3728",Структура!E3728)</f>
        <v>1</v>
      </c>
      <c r="K5010" s="114">
        <f>HYPERLINK("#Структура!G3728",Структура!G3728)</f>
        <v>6.64154</v>
      </c>
      <c r="L5010" s="120">
        <f>HYPERLINK("#Покупные_изделия!D350",Покупные_изделия!D350)</f>
        <v>652.54200000000003</v>
      </c>
      <c r="M5010" s="76">
        <f t="shared" si="199"/>
        <v>652.54200000000003</v>
      </c>
      <c r="N5010" s="77"/>
      <c r="O5010" s="77"/>
      <c r="P5010" s="76"/>
      <c r="Q5010" s="76"/>
    </row>
    <row r="5011" spans="5:17" hidden="1" outlineLevel="3" x14ac:dyDescent="0.25">
      <c r="E5011" s="74" t="s">
        <v>450</v>
      </c>
      <c r="F5011" s="74"/>
      <c r="G5011" s="74"/>
      <c r="H5011" s="75"/>
      <c r="I5011" s="76"/>
      <c r="J5011" s="78">
        <f>HYPERLINK("#Структура!E3729",Структура!E3729)</f>
        <v>200</v>
      </c>
      <c r="K5011" s="114">
        <f>HYPERLINK("#Структура!G3729",Структура!G3729)</f>
        <v>1.4999999999999999E-4</v>
      </c>
      <c r="L5011" s="120">
        <f>HYPERLINK("#Покупные_изделия!D353",Покупные_изделия!D353)</f>
        <v>2.0460000000000003</v>
      </c>
      <c r="M5011" s="76">
        <f t="shared" si="199"/>
        <v>409.20000000000005</v>
      </c>
      <c r="N5011" s="77"/>
      <c r="O5011" s="77"/>
      <c r="P5011" s="76"/>
      <c r="Q5011" s="76"/>
    </row>
    <row r="5012" spans="5:17" hidden="1" outlineLevel="3" x14ac:dyDescent="0.25">
      <c r="E5012" s="74" t="s">
        <v>460</v>
      </c>
      <c r="F5012" s="74"/>
      <c r="G5012" s="74"/>
      <c r="H5012" s="75"/>
      <c r="I5012" s="76"/>
      <c r="J5012" s="78">
        <f>HYPERLINK("#Структура!E3730",Структура!E3730)</f>
        <v>2</v>
      </c>
      <c r="K5012" s="114">
        <f>HYPERLINK("#Структура!G3730",Структура!G3730)</f>
        <v>0.13605</v>
      </c>
      <c r="L5012" s="120">
        <f>HYPERLINK("#Покупные_изделия!D365",Покупные_изделия!D365)</f>
        <v>982.72800000000007</v>
      </c>
      <c r="M5012" s="76">
        <f t="shared" si="199"/>
        <v>1965.4560000000001</v>
      </c>
      <c r="N5012" s="77"/>
      <c r="O5012" s="77"/>
      <c r="P5012" s="76"/>
      <c r="Q5012" s="76"/>
    </row>
    <row r="5013" spans="5:17" hidden="1" outlineLevel="3" x14ac:dyDescent="0.25">
      <c r="E5013" s="74" t="s">
        <v>463</v>
      </c>
      <c r="F5013" s="74"/>
      <c r="G5013" s="74"/>
      <c r="H5013" s="75"/>
      <c r="I5013" s="76"/>
      <c r="J5013" s="78">
        <f>HYPERLINK("#Структура!E3731",Структура!E3731)</f>
        <v>3</v>
      </c>
      <c r="K5013" s="114">
        <f>HYPERLINK("#Структура!G3731",Структура!G3731)</f>
        <v>2.0899999999999998E-3</v>
      </c>
      <c r="L5013" s="120">
        <f>HYPERLINK("#Покупные_изделия!D369",Покупные_изделия!D369)</f>
        <v>41.3292</v>
      </c>
      <c r="M5013" s="76">
        <f t="shared" si="199"/>
        <v>123.9876</v>
      </c>
      <c r="N5013" s="77"/>
      <c r="O5013" s="77"/>
      <c r="P5013" s="76"/>
      <c r="Q5013" s="76"/>
    </row>
    <row r="5014" spans="5:17" hidden="1" outlineLevel="3" x14ac:dyDescent="0.25">
      <c r="E5014" s="74" t="s">
        <v>466</v>
      </c>
      <c r="F5014" s="74"/>
      <c r="G5014" s="74"/>
      <c r="H5014" s="75"/>
      <c r="I5014" s="76"/>
      <c r="J5014" s="78">
        <f>HYPERLINK("#Структура!E3732",Структура!E3732)</f>
        <v>2</v>
      </c>
      <c r="K5014" s="114">
        <f>HYPERLINK("#Структура!G3732",Структура!G3732)</f>
        <v>0.28299999999999997</v>
      </c>
      <c r="L5014" s="120">
        <f>HYPERLINK("#Покупные_изделия!D372",Покупные_изделия!D372)</f>
        <v>149.1996</v>
      </c>
      <c r="M5014" s="76">
        <f t="shared" si="199"/>
        <v>298.39920000000001</v>
      </c>
      <c r="N5014" s="77"/>
      <c r="O5014" s="77"/>
      <c r="P5014" s="76"/>
      <c r="Q5014" s="76"/>
    </row>
    <row r="5015" spans="5:17" hidden="1" outlineLevel="3" x14ac:dyDescent="0.25">
      <c r="E5015" s="74" t="s">
        <v>470</v>
      </c>
      <c r="F5015" s="74"/>
      <c r="G5015" s="74"/>
      <c r="H5015" s="75"/>
      <c r="I5015" s="76"/>
      <c r="J5015" s="78">
        <f>HYPERLINK("#Структура!E3733",Структура!E3733)</f>
        <v>20</v>
      </c>
      <c r="K5015" s="114" t="str">
        <f>HYPERLINK("#Структура!G3733","")</f>
        <v/>
      </c>
      <c r="L5015" s="120">
        <f>HYPERLINK("#Покупные_изделия!D376",Покупные_изделия!D376)</f>
        <v>2.013528</v>
      </c>
      <c r="M5015" s="76">
        <f t="shared" si="199"/>
        <v>40.270560000000003</v>
      </c>
      <c r="N5015" s="77"/>
      <c r="O5015" s="77"/>
      <c r="P5015" s="76"/>
      <c r="Q5015" s="76"/>
    </row>
    <row r="5016" spans="5:17" hidden="1" outlineLevel="3" x14ac:dyDescent="0.25">
      <c r="E5016" s="74" t="s">
        <v>471</v>
      </c>
      <c r="F5016" s="74"/>
      <c r="G5016" s="74"/>
      <c r="H5016" s="75"/>
      <c r="I5016" s="76"/>
      <c r="J5016" s="78">
        <f>HYPERLINK("#Структура!E3734",Структура!E3734)</f>
        <v>4</v>
      </c>
      <c r="K5016" s="114">
        <f>HYPERLINK("#Структура!G3734",Структура!G3734)</f>
        <v>0.12361999999999999</v>
      </c>
      <c r="L5016" s="120">
        <f>HYPERLINK("#Покупные_изделия!D378",Покупные_изделия!D378)</f>
        <v>1544.412</v>
      </c>
      <c r="M5016" s="76">
        <f t="shared" si="199"/>
        <v>6177.6480000000001</v>
      </c>
      <c r="N5016" s="77"/>
      <c r="O5016" s="77"/>
      <c r="P5016" s="76"/>
      <c r="Q5016" s="76"/>
    </row>
    <row r="5017" spans="5:17" hidden="1" outlineLevel="3" x14ac:dyDescent="0.25">
      <c r="E5017" s="74" t="s">
        <v>473</v>
      </c>
      <c r="F5017" s="74"/>
      <c r="G5017" s="74"/>
      <c r="H5017" s="75"/>
      <c r="I5017" s="76"/>
      <c r="J5017" s="78">
        <f>HYPERLINK("#Структура!E3735",Структура!E3735)</f>
        <v>1</v>
      </c>
      <c r="K5017" s="114" t="str">
        <f>HYPERLINK("#Структура!G3735","")</f>
        <v/>
      </c>
      <c r="L5017" s="120">
        <f>HYPERLINK("#Покупные_изделия!D383",Покупные_изделия!D383)</f>
        <v>46.2</v>
      </c>
      <c r="M5017" s="76">
        <f t="shared" si="199"/>
        <v>46.2</v>
      </c>
      <c r="N5017" s="77"/>
      <c r="O5017" s="77"/>
      <c r="P5017" s="76"/>
      <c r="Q5017" s="76"/>
    </row>
    <row r="5018" spans="5:17" hidden="1" outlineLevel="3" x14ac:dyDescent="0.25">
      <c r="E5018" s="74" t="s">
        <v>477</v>
      </c>
      <c r="F5018" s="74"/>
      <c r="G5018" s="74"/>
      <c r="H5018" s="75"/>
      <c r="I5018" s="76"/>
      <c r="J5018" s="78">
        <f>HYPERLINK("#Структура!E3736",Структура!E3736)</f>
        <v>5</v>
      </c>
      <c r="K5018" s="114" t="str">
        <f>HYPERLINK("#Структура!G3736","")</f>
        <v/>
      </c>
      <c r="L5018" s="120">
        <f>HYPERLINK("#Покупные_изделия!D392",Покупные_изделия!D392)</f>
        <v>5.5440000000000005</v>
      </c>
      <c r="M5018" s="76">
        <f t="shared" si="199"/>
        <v>27.720000000000002</v>
      </c>
      <c r="N5018" s="77"/>
      <c r="O5018" s="77"/>
      <c r="P5018" s="76"/>
      <c r="Q5018" s="76"/>
    </row>
    <row r="5019" spans="5:17" hidden="1" outlineLevel="3" x14ac:dyDescent="0.25">
      <c r="E5019" s="74" t="s">
        <v>478</v>
      </c>
      <c r="F5019" s="74"/>
      <c r="G5019" s="74"/>
      <c r="H5019" s="75"/>
      <c r="I5019" s="76"/>
      <c r="J5019" s="78">
        <f>HYPERLINK("#Структура!E3737",Структура!E3737)</f>
        <v>5</v>
      </c>
      <c r="K5019" s="114" t="str">
        <f>HYPERLINK("#Структура!G3737","")</f>
        <v/>
      </c>
      <c r="L5019" s="120">
        <f>HYPERLINK("#Покупные_изделия!D393",Покупные_изделия!D393)</f>
        <v>6.6360000000000001</v>
      </c>
      <c r="M5019" s="76">
        <f t="shared" si="199"/>
        <v>33.18</v>
      </c>
      <c r="N5019" s="77"/>
      <c r="O5019" s="77"/>
      <c r="P5019" s="76"/>
      <c r="Q5019" s="76"/>
    </row>
    <row r="5020" spans="5:17" hidden="1" outlineLevel="3" x14ac:dyDescent="0.25">
      <c r="E5020" s="74" t="s">
        <v>481</v>
      </c>
      <c r="F5020" s="74"/>
      <c r="G5020" s="74"/>
      <c r="H5020" s="75"/>
      <c r="I5020" s="76"/>
      <c r="J5020" s="78">
        <f>HYPERLINK("#Структура!E3738",Структура!E3738)</f>
        <v>20</v>
      </c>
      <c r="K5020" s="114" t="str">
        <f>HYPERLINK("#Структура!G3738","")</f>
        <v/>
      </c>
      <c r="L5020" s="120">
        <f>HYPERLINK("#Покупные_изделия!D396",Покупные_изделия!D396)</f>
        <v>6.2519999999999998</v>
      </c>
      <c r="M5020" s="76">
        <f t="shared" si="199"/>
        <v>125.03999999999999</v>
      </c>
      <c r="N5020" s="77"/>
      <c r="O5020" s="77"/>
      <c r="P5020" s="76"/>
      <c r="Q5020" s="76"/>
    </row>
    <row r="5021" spans="5:17" hidden="1" outlineLevel="3" x14ac:dyDescent="0.25">
      <c r="E5021" s="74" t="s">
        <v>490</v>
      </c>
      <c r="F5021" s="74"/>
      <c r="G5021" s="74"/>
      <c r="H5021" s="75"/>
      <c r="I5021" s="76"/>
      <c r="J5021" s="78">
        <f>HYPERLINK("#Структура!E3739",Структура!E3739)</f>
        <v>8</v>
      </c>
      <c r="K5021" s="114">
        <f>HYPERLINK("#Структура!G3739",Структура!G3739)</f>
        <v>2.5400000000000002E-3</v>
      </c>
      <c r="L5021" s="120">
        <f>HYPERLINK("#Покупные_изделия!D410",Покупные_изделия!D410)</f>
        <v>28.104000000000003</v>
      </c>
      <c r="M5021" s="76">
        <f t="shared" si="199"/>
        <v>224.83200000000002</v>
      </c>
      <c r="N5021" s="77"/>
      <c r="O5021" s="77"/>
      <c r="P5021" s="76"/>
      <c r="Q5021" s="76"/>
    </row>
    <row r="5022" spans="5:17" hidden="1" outlineLevel="3" x14ac:dyDescent="0.25">
      <c r="E5022" s="74" t="s">
        <v>498</v>
      </c>
      <c r="F5022" s="74"/>
      <c r="G5022" s="74"/>
      <c r="H5022" s="75"/>
      <c r="I5022" s="76"/>
      <c r="J5022" s="78">
        <f>HYPERLINK("#Структура!E3740",Структура!E3740)</f>
        <v>3</v>
      </c>
      <c r="K5022" s="114" t="str">
        <f>HYPERLINK("#Структура!G3740","")</f>
        <v/>
      </c>
      <c r="L5022" s="120">
        <f>HYPERLINK("#Покупные_изделия!D432",Покупные_изделия!D432)</f>
        <v>330</v>
      </c>
      <c r="M5022" s="76">
        <f t="shared" si="199"/>
        <v>990</v>
      </c>
      <c r="N5022" s="77"/>
      <c r="O5022" s="77"/>
      <c r="P5022" s="76"/>
      <c r="Q5022" s="76"/>
    </row>
    <row r="5023" spans="5:17" hidden="1" outlineLevel="3" x14ac:dyDescent="0.25">
      <c r="E5023" s="74" t="s">
        <v>499</v>
      </c>
      <c r="F5023" s="74"/>
      <c r="G5023" s="74"/>
      <c r="H5023" s="75"/>
      <c r="I5023" s="76"/>
      <c r="J5023" s="78">
        <f>HYPERLINK("#Структура!E3741",Структура!E3741)</f>
        <v>8</v>
      </c>
      <c r="K5023" s="114">
        <f>HYPERLINK("#Структура!G3741",Структура!G3741)</f>
        <v>6.9849999999999995E-2</v>
      </c>
      <c r="L5023" s="120">
        <f>HYPERLINK("#Покупные_изделия!D434",Покупные_изделия!D434)</f>
        <v>13.956000000000001</v>
      </c>
      <c r="M5023" s="76">
        <f t="shared" si="199"/>
        <v>111.64800000000001</v>
      </c>
      <c r="N5023" s="77"/>
      <c r="O5023" s="77"/>
      <c r="P5023" s="76"/>
      <c r="Q5023" s="76"/>
    </row>
    <row r="5024" spans="5:17" hidden="1" outlineLevel="3" x14ac:dyDescent="0.25">
      <c r="E5024" s="74" t="s">
        <v>505</v>
      </c>
      <c r="F5024" s="74"/>
      <c r="G5024" s="74"/>
      <c r="H5024" s="75"/>
      <c r="I5024" s="76"/>
      <c r="J5024" s="78">
        <f>HYPERLINK("#Структура!E3742",Структура!E3742)</f>
        <v>2</v>
      </c>
      <c r="K5024" s="114">
        <f>HYPERLINK("#Структура!G3742",Структура!G3742)</f>
        <v>6.812E-2</v>
      </c>
      <c r="L5024" s="120">
        <f>HYPERLINK("#Покупные_изделия!D440",Покупные_изделия!D440)</f>
        <v>523.2084000000001</v>
      </c>
      <c r="M5024" s="76">
        <f t="shared" si="199"/>
        <v>1046.4168000000002</v>
      </c>
      <c r="N5024" s="77"/>
      <c r="O5024" s="77"/>
      <c r="P5024" s="76"/>
      <c r="Q5024" s="76"/>
    </row>
    <row r="5025" spans="5:18" hidden="1" outlineLevel="3" x14ac:dyDescent="0.25">
      <c r="E5025" s="74" t="s">
        <v>506</v>
      </c>
      <c r="F5025" s="74"/>
      <c r="G5025" s="74"/>
      <c r="H5025" s="75"/>
      <c r="I5025" s="76"/>
      <c r="J5025" s="78">
        <f>HYPERLINK("#Структура!E3743",Структура!E3743)</f>
        <v>2</v>
      </c>
      <c r="K5025" s="114">
        <f>HYPERLINK("#Структура!G3743",Структура!G3743)</f>
        <v>6.812E-2</v>
      </c>
      <c r="L5025" s="120">
        <f>HYPERLINK("#Покупные_изделия!D441",Покупные_изделия!D441)</f>
        <v>485.25599999999997</v>
      </c>
      <c r="M5025" s="76">
        <f t="shared" si="199"/>
        <v>970.51199999999994</v>
      </c>
      <c r="N5025" s="77"/>
      <c r="O5025" s="77"/>
      <c r="P5025" s="76"/>
      <c r="Q5025" s="76"/>
    </row>
    <row r="5026" spans="5:18" hidden="1" outlineLevel="3" x14ac:dyDescent="0.25">
      <c r="E5026" s="74" t="s">
        <v>511</v>
      </c>
      <c r="F5026" s="74"/>
      <c r="G5026" s="74"/>
      <c r="H5026" s="75"/>
      <c r="I5026" s="76"/>
      <c r="J5026" s="78">
        <f>HYPERLINK("#Структура!E3744",Структура!E3744)</f>
        <v>100</v>
      </c>
      <c r="K5026" s="114" t="str">
        <f>HYPERLINK("#Структура!G3744","")</f>
        <v/>
      </c>
      <c r="L5026" s="120">
        <f>HYPERLINK("#Покупные_изделия!D455",Покупные_изделия!D455)</f>
        <v>1.183908</v>
      </c>
      <c r="M5026" s="76">
        <f t="shared" si="199"/>
        <v>118.3908</v>
      </c>
      <c r="N5026" s="77"/>
      <c r="O5026" s="77"/>
      <c r="P5026" s="76"/>
      <c r="Q5026" s="76"/>
    </row>
    <row r="5027" spans="5:18" hidden="1" outlineLevel="3" x14ac:dyDescent="0.25">
      <c r="E5027" s="74" t="s">
        <v>516</v>
      </c>
      <c r="F5027" s="74"/>
      <c r="G5027" s="74"/>
      <c r="H5027" s="75"/>
      <c r="I5027" s="76"/>
      <c r="J5027" s="78">
        <f>HYPERLINK("#Структура!E3745",Структура!E3745)</f>
        <v>2</v>
      </c>
      <c r="K5027" s="114">
        <f>HYPERLINK("#Структура!G3745",Структура!G3745)</f>
        <v>1.7549699999999999</v>
      </c>
      <c r="L5027" s="120">
        <f>HYPERLINK("#Покупные_изделия!D462",Покупные_изделия!D462)</f>
        <v>47985</v>
      </c>
      <c r="M5027" s="76">
        <f t="shared" si="199"/>
        <v>95970</v>
      </c>
      <c r="N5027" s="77"/>
      <c r="O5027" s="77"/>
      <c r="P5027" s="76"/>
      <c r="Q5027" s="76"/>
    </row>
    <row r="5028" spans="5:18" hidden="1" outlineLevel="3" x14ac:dyDescent="0.25">
      <c r="E5028" s="74" t="s">
        <v>523</v>
      </c>
      <c r="F5028" s="74"/>
      <c r="G5028" s="74"/>
      <c r="H5028" s="75"/>
      <c r="I5028" s="76"/>
      <c r="J5028" s="78">
        <f>HYPERLINK("#Структура!E3746",Структура!E3746)</f>
        <v>4</v>
      </c>
      <c r="K5028" s="114">
        <f>HYPERLINK("#Структура!G3746",Структура!G3746)</f>
        <v>1.5689999999999999E-2</v>
      </c>
      <c r="L5028" s="120">
        <f>HYPERLINK("#Покупные_изделия!D470",Покупные_изделия!D470)</f>
        <v>30.804000000000002</v>
      </c>
      <c r="M5028" s="76">
        <f t="shared" si="199"/>
        <v>123.21600000000001</v>
      </c>
      <c r="N5028" s="77"/>
      <c r="O5028" s="77"/>
      <c r="P5028" s="76"/>
      <c r="Q5028" s="76"/>
    </row>
    <row r="5029" spans="5:18" hidden="1" outlineLevel="3" x14ac:dyDescent="0.25">
      <c r="E5029" s="74" t="s">
        <v>525</v>
      </c>
      <c r="F5029" s="74"/>
      <c r="G5029" s="74"/>
      <c r="H5029" s="75"/>
      <c r="I5029" s="76"/>
      <c r="J5029" s="78">
        <f>HYPERLINK("#Структура!E3747",Структура!E3747)</f>
        <v>9</v>
      </c>
      <c r="K5029" s="114">
        <f>HYPERLINK("#Структура!G3747",Структура!G3747)</f>
        <v>2.743E-2</v>
      </c>
      <c r="L5029" s="120">
        <f>HYPERLINK("#Покупные_изделия!D472",Покупные_изделия!D472)</f>
        <v>44.304000000000002</v>
      </c>
      <c r="M5029" s="76">
        <f t="shared" si="199"/>
        <v>398.73599999999999</v>
      </c>
      <c r="N5029" s="77"/>
      <c r="O5029" s="77"/>
      <c r="P5029" s="76"/>
      <c r="Q5029" s="76"/>
    </row>
    <row r="5030" spans="5:18" hidden="1" outlineLevel="3" x14ac:dyDescent="0.25">
      <c r="E5030" s="74" t="s">
        <v>535</v>
      </c>
      <c r="F5030" s="74"/>
      <c r="G5030" s="74"/>
      <c r="H5030" s="75"/>
      <c r="I5030" s="76"/>
      <c r="J5030" s="78">
        <f>HYPERLINK("#Структура!E3748",Структура!E3748)</f>
        <v>2</v>
      </c>
      <c r="K5030" s="114">
        <f>HYPERLINK("#Структура!G3748",Структура!G3748)</f>
        <v>1.129E-2</v>
      </c>
      <c r="L5030" s="120">
        <f>HYPERLINK("#Покупные_изделия!D513",Покупные_изделия!D513)</f>
        <v>53.460000000000008</v>
      </c>
      <c r="M5030" s="76">
        <f t="shared" si="199"/>
        <v>106.92000000000002</v>
      </c>
      <c r="N5030" s="77"/>
      <c r="O5030" s="77"/>
      <c r="P5030" s="76"/>
      <c r="Q5030" s="76"/>
    </row>
    <row r="5031" spans="5:18" hidden="1" outlineLevel="3" x14ac:dyDescent="0.25">
      <c r="E5031" s="74" t="s">
        <v>536</v>
      </c>
      <c r="F5031" s="74"/>
      <c r="G5031" s="74"/>
      <c r="H5031" s="75"/>
      <c r="I5031" s="76"/>
      <c r="J5031" s="78">
        <f>HYPERLINK("#Структура!E3749",Структура!E3749)</f>
        <v>2</v>
      </c>
      <c r="K5031" s="114">
        <f>HYPERLINK("#Структура!G3749",Структура!G3749)</f>
        <v>2.9520000000000001E-2</v>
      </c>
      <c r="L5031" s="120">
        <f>HYPERLINK("#Покупные_изделия!D514",Покупные_изделия!D514)</f>
        <v>194.04000000000002</v>
      </c>
      <c r="M5031" s="76">
        <f t="shared" si="199"/>
        <v>388.08000000000004</v>
      </c>
      <c r="N5031" s="77"/>
      <c r="O5031" s="77"/>
      <c r="P5031" s="76"/>
      <c r="Q5031" s="76"/>
    </row>
    <row r="5032" spans="5:18" hidden="1" outlineLevel="3" x14ac:dyDescent="0.25">
      <c r="E5032" s="74" t="s">
        <v>537</v>
      </c>
      <c r="F5032" s="74"/>
      <c r="G5032" s="74"/>
      <c r="H5032" s="75"/>
      <c r="I5032" s="76"/>
      <c r="J5032" s="78">
        <f>HYPERLINK("#Структура!E3750",Структура!E3750)</f>
        <v>2</v>
      </c>
      <c r="K5032" s="114">
        <f>HYPERLINK("#Структура!G3750",Структура!G3750)</f>
        <v>2.1749999999999999E-2</v>
      </c>
      <c r="L5032" s="120">
        <f>HYPERLINK("#Покупные_изделия!D515",Покупные_изделия!D515)</f>
        <v>72.600000000000009</v>
      </c>
      <c r="M5032" s="76">
        <f t="shared" si="199"/>
        <v>145.20000000000002</v>
      </c>
      <c r="N5032" s="77"/>
      <c r="O5032" s="77"/>
      <c r="P5032" s="76"/>
      <c r="Q5032" s="76"/>
    </row>
    <row r="5033" spans="5:18" x14ac:dyDescent="0.25">
      <c r="R5033" s="139" t="s">
        <v>1938</v>
      </c>
    </row>
    <row r="5034" spans="5:18" x14ac:dyDescent="0.25">
      <c r="R5034" s="140" t="s">
        <v>1936</v>
      </c>
    </row>
    <row r="5036" spans="5:18" x14ac:dyDescent="0.25">
      <c r="P5036" s="143" t="s">
        <v>1940</v>
      </c>
      <c r="Q5036" s="3">
        <f>Q4138+Q710+Q835*4+Q966+Q1015</f>
        <v>4857496.0117333336</v>
      </c>
    </row>
    <row r="5037" spans="5:18" x14ac:dyDescent="0.25">
      <c r="P5037" s="143" t="s">
        <v>1941</v>
      </c>
      <c r="Q5037" s="3">
        <f>Q16 -Q5036+2869470.3691 - Покупные_изделия!D152*(1+наценка_покупное) + 650000*1.2</f>
        <v>24011866.163025327</v>
      </c>
    </row>
    <row r="5038" spans="5:18" x14ac:dyDescent="0.25">
      <c r="Q5038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9"/>
  <sheetViews>
    <sheetView workbookViewId="0">
      <selection activeCell="B7" sqref="B7"/>
    </sheetView>
  </sheetViews>
  <sheetFormatPr defaultRowHeight="15" x14ac:dyDescent="0.25"/>
  <cols>
    <col min="1" max="1" width="23" customWidth="1"/>
    <col min="2" max="2" width="11.5703125" customWidth="1"/>
    <col min="3" max="3" width="12.7109375" customWidth="1"/>
  </cols>
  <sheetData>
    <row r="1" spans="1:2" ht="15.75" thickBot="1" x14ac:dyDescent="0.3">
      <c r="A1" s="131" t="s">
        <v>1927</v>
      </c>
      <c r="B1" s="132" t="s">
        <v>1928</v>
      </c>
    </row>
    <row r="2" spans="1:2" x14ac:dyDescent="0.25">
      <c r="A2" t="s">
        <v>1929</v>
      </c>
      <c r="B2" s="71">
        <v>80</v>
      </c>
    </row>
    <row r="3" spans="1:2" x14ac:dyDescent="0.25">
      <c r="A3" t="s">
        <v>1930</v>
      </c>
      <c r="B3" s="71">
        <v>40</v>
      </c>
    </row>
    <row r="4" spans="1:2" x14ac:dyDescent="0.25">
      <c r="A4" t="s">
        <v>1931</v>
      </c>
      <c r="B4" s="71">
        <v>80</v>
      </c>
    </row>
    <row r="5" spans="1:2" x14ac:dyDescent="0.25">
      <c r="A5" t="s">
        <v>1932</v>
      </c>
      <c r="B5" s="71">
        <f>32*4+40*2</f>
        <v>208</v>
      </c>
    </row>
    <row r="6" spans="1:2" x14ac:dyDescent="0.25">
      <c r="A6" t="s">
        <v>1933</v>
      </c>
      <c r="B6" s="71">
        <v>120</v>
      </c>
    </row>
    <row r="7" spans="1:2" x14ac:dyDescent="0.25">
      <c r="A7" t="s">
        <v>1934</v>
      </c>
      <c r="B7" s="71">
        <f>(40+16)*5</f>
        <v>280</v>
      </c>
    </row>
    <row r="8" spans="1:2" x14ac:dyDescent="0.25">
      <c r="A8" t="s">
        <v>1935</v>
      </c>
      <c r="B8" s="71">
        <v>12</v>
      </c>
    </row>
    <row r="9" spans="1:2" x14ac:dyDescent="0.25">
      <c r="B9" s="133">
        <f>SUM(B2:B8)</f>
        <v>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567"/>
  <sheetViews>
    <sheetView workbookViewId="0">
      <pane ySplit="4" topLeftCell="A144" activePane="bottomLeft" state="frozenSplit"/>
      <selection pane="bottomLeft" activeCell="D553" sqref="D553"/>
    </sheetView>
  </sheetViews>
  <sheetFormatPr defaultRowHeight="15" x14ac:dyDescent="0.25"/>
  <cols>
    <col min="1" max="1" width="69.42578125" customWidth="1"/>
    <col min="2" max="2" width="6.28515625" customWidth="1"/>
    <col min="3" max="3" width="9.140625" customWidth="1"/>
    <col min="4" max="4" width="13.42578125" customWidth="1"/>
    <col min="5" max="5" width="12.42578125" customWidth="1"/>
    <col min="6" max="6" width="51" customWidth="1"/>
    <col min="7" max="7" width="11" customWidth="1"/>
    <col min="9" max="9" width="51.7109375" customWidth="1"/>
  </cols>
  <sheetData>
    <row r="1" spans="1:9" ht="15.75" x14ac:dyDescent="0.25">
      <c r="A1" s="5" t="s">
        <v>338</v>
      </c>
      <c r="G1" s="4"/>
      <c r="H1" t="s">
        <v>339</v>
      </c>
    </row>
    <row r="2" spans="1:9" ht="15.75" x14ac:dyDescent="0.25">
      <c r="A2" s="5" t="s">
        <v>340</v>
      </c>
      <c r="G2" s="15"/>
      <c r="H2" s="3" t="s">
        <v>353</v>
      </c>
    </row>
    <row r="3" spans="1:9" x14ac:dyDescent="0.25">
      <c r="G3" s="141">
        <v>44383</v>
      </c>
      <c r="H3" t="s">
        <v>1939</v>
      </c>
    </row>
    <row r="4" spans="1:9" ht="45" x14ac:dyDescent="0.25">
      <c r="A4" s="12" t="s">
        <v>216</v>
      </c>
      <c r="B4" s="12" t="s">
        <v>329</v>
      </c>
      <c r="C4" s="12" t="s">
        <v>330</v>
      </c>
      <c r="D4" s="13" t="s">
        <v>347</v>
      </c>
      <c r="E4" s="2" t="s">
        <v>348</v>
      </c>
      <c r="F4" s="2" t="s">
        <v>349</v>
      </c>
      <c r="G4" s="2" t="s">
        <v>350</v>
      </c>
      <c r="H4" s="2" t="s">
        <v>351</v>
      </c>
      <c r="I4" s="2" t="s">
        <v>1740</v>
      </c>
    </row>
    <row r="5" spans="1:9" x14ac:dyDescent="0.25">
      <c r="A5" s="50" t="s">
        <v>3</v>
      </c>
      <c r="B5" s="51" t="s">
        <v>1676</v>
      </c>
      <c r="C5" s="52">
        <v>8</v>
      </c>
      <c r="D5" s="61">
        <f t="shared" ref="D5:D10" si="0">H5 * IF(G5="руб", 1, 1.4 * (k_ru_dol*(G5="USD")+k_ru_evro*(G5="EUR")+k_ru_yuan*(G5="CNY"))/1.2) * IF(E5&lt;(дата_расчета - 365),1.1,1)</f>
        <v>747.04</v>
      </c>
      <c r="E5" s="62">
        <v>44074</v>
      </c>
      <c r="F5" s="63" t="s">
        <v>1681</v>
      </c>
      <c r="G5" s="63" t="s">
        <v>1682</v>
      </c>
      <c r="H5" s="64">
        <v>55.199999999999996</v>
      </c>
      <c r="I5" s="64" t="s">
        <v>3</v>
      </c>
    </row>
    <row r="6" spans="1:9" x14ac:dyDescent="0.25">
      <c r="A6" s="50" t="s">
        <v>4</v>
      </c>
      <c r="B6" s="51" t="s">
        <v>1676</v>
      </c>
      <c r="C6" s="52">
        <v>6</v>
      </c>
      <c r="D6" s="61">
        <f t="shared" si="0"/>
        <v>1071.8399999999999</v>
      </c>
      <c r="E6" s="62">
        <v>44074</v>
      </c>
      <c r="F6" s="63" t="s">
        <v>1681</v>
      </c>
      <c r="G6" s="63" t="s">
        <v>1682</v>
      </c>
      <c r="H6" s="64">
        <v>79.2</v>
      </c>
      <c r="I6" s="64" t="s">
        <v>4</v>
      </c>
    </row>
    <row r="7" spans="1:9" x14ac:dyDescent="0.25">
      <c r="A7" s="50" t="s">
        <v>5</v>
      </c>
      <c r="B7" s="51" t="s">
        <v>1676</v>
      </c>
      <c r="C7" s="52">
        <v>1</v>
      </c>
      <c r="D7" s="61">
        <f t="shared" si="0"/>
        <v>14650.008</v>
      </c>
      <c r="E7" s="62">
        <v>44046</v>
      </c>
      <c r="F7" s="63" t="s">
        <v>1683</v>
      </c>
      <c r="G7" s="63" t="s">
        <v>1684</v>
      </c>
      <c r="H7" s="64">
        <v>14650.008</v>
      </c>
      <c r="I7" s="64" t="s">
        <v>1685</v>
      </c>
    </row>
    <row r="8" spans="1:9" x14ac:dyDescent="0.25">
      <c r="A8" s="50" t="s">
        <v>6</v>
      </c>
      <c r="B8" s="51" t="s">
        <v>1676</v>
      </c>
      <c r="C8" s="52">
        <v>2</v>
      </c>
      <c r="D8" s="61">
        <f t="shared" si="0"/>
        <v>18865.004400000002</v>
      </c>
      <c r="E8" s="62">
        <v>44014</v>
      </c>
      <c r="F8" s="63" t="s">
        <v>1683</v>
      </c>
      <c r="G8" s="63" t="s">
        <v>1684</v>
      </c>
      <c r="H8" s="64">
        <v>17150.004000000001</v>
      </c>
      <c r="I8" s="64" t="s">
        <v>1686</v>
      </c>
    </row>
    <row r="9" spans="1:9" x14ac:dyDescent="0.25">
      <c r="A9" s="50" t="s">
        <v>7</v>
      </c>
      <c r="B9" s="51" t="s">
        <v>1676</v>
      </c>
      <c r="C9" s="52">
        <v>1</v>
      </c>
      <c r="D9" s="61">
        <f t="shared" si="0"/>
        <v>25610.003999999997</v>
      </c>
      <c r="E9" s="62">
        <v>44046</v>
      </c>
      <c r="F9" s="63" t="s">
        <v>1683</v>
      </c>
      <c r="G9" s="63" t="s">
        <v>1684</v>
      </c>
      <c r="H9" s="64">
        <v>25610.003999999997</v>
      </c>
      <c r="I9" s="64" t="s">
        <v>1687</v>
      </c>
    </row>
    <row r="10" spans="1:9" x14ac:dyDescent="0.25">
      <c r="A10" s="50" t="s">
        <v>548</v>
      </c>
      <c r="B10" s="51" t="s">
        <v>1676</v>
      </c>
      <c r="C10" s="52">
        <v>5</v>
      </c>
      <c r="D10" s="61">
        <f t="shared" si="0"/>
        <v>32030.003999999997</v>
      </c>
      <c r="E10" s="62">
        <v>44060</v>
      </c>
      <c r="F10" s="63" t="s">
        <v>1683</v>
      </c>
      <c r="G10" s="63" t="s">
        <v>1684</v>
      </c>
      <c r="H10" s="64">
        <v>32030.003999999997</v>
      </c>
      <c r="I10" s="64" t="s">
        <v>1688</v>
      </c>
    </row>
    <row r="11" spans="1:9" x14ac:dyDescent="0.25">
      <c r="A11" s="50" t="s">
        <v>8</v>
      </c>
      <c r="B11" s="51" t="s">
        <v>1676</v>
      </c>
      <c r="C11" s="52">
        <v>2</v>
      </c>
      <c r="D11" s="61">
        <f>H11 * IF(G11="руб", 1, (k_ru_dol*(G11="USD")+k_ru_evro*(G11="EUR")+k_ru_yuan*(G11="CNY"))) * IF(E11&lt;(дата_расчета - 365),1.1,1)</f>
        <v>790.17840000000001</v>
      </c>
      <c r="E11" s="62">
        <v>43985</v>
      </c>
      <c r="F11" s="63" t="s">
        <v>1689</v>
      </c>
      <c r="G11" s="63" t="s">
        <v>1690</v>
      </c>
      <c r="H11" s="64">
        <v>7.919999999999999</v>
      </c>
      <c r="I11" s="64" t="s">
        <v>8</v>
      </c>
    </row>
    <row r="12" spans="1:9" x14ac:dyDescent="0.25">
      <c r="A12" s="50" t="s">
        <v>9</v>
      </c>
      <c r="B12" s="51" t="s">
        <v>1677</v>
      </c>
      <c r="C12" s="52">
        <v>20</v>
      </c>
      <c r="D12" s="61">
        <f>H12 * IF(G12="руб", 1, 1.4 * (k_ru_dol*(G12="USD")+k_ru_evro*(G12="EUR")+k_ru_yuan*(G12="CNY"))/1.2) * IF(E12&lt;(дата_расчета - 365),1.1,1)</f>
        <v>1018.2479999999999</v>
      </c>
      <c r="E12" s="62">
        <v>43381</v>
      </c>
      <c r="F12" s="63" t="s">
        <v>1691</v>
      </c>
      <c r="G12" s="63" t="s">
        <v>1682</v>
      </c>
      <c r="H12" s="64">
        <v>68.399999999999991</v>
      </c>
      <c r="I12" s="64" t="s">
        <v>9</v>
      </c>
    </row>
    <row r="13" spans="1:9" x14ac:dyDescent="0.25">
      <c r="A13" s="50" t="s">
        <v>356</v>
      </c>
      <c r="B13" s="51" t="s">
        <v>1676</v>
      </c>
      <c r="C13" s="52">
        <v>8</v>
      </c>
      <c r="D13" s="61">
        <f>H13 * IF(G13="руб", 1, 1.4 * (k_ru_dol*(G13="USD")+k_ru_evro*(G13="EUR")+k_ru_yuan*(G13="CNY"))/1.2) * IF(E13&lt;(дата_расчета - 365),1.1,1)</f>
        <v>6898.8233999999993</v>
      </c>
      <c r="E13" s="62">
        <v>44019</v>
      </c>
      <c r="F13" s="63" t="s">
        <v>1692</v>
      </c>
      <c r="G13" s="63" t="s">
        <v>1690</v>
      </c>
      <c r="H13" s="64">
        <v>65.195999999999998</v>
      </c>
      <c r="I13" s="64" t="s">
        <v>356</v>
      </c>
    </row>
    <row r="14" spans="1:9" x14ac:dyDescent="0.25">
      <c r="A14" s="50" t="s">
        <v>10</v>
      </c>
      <c r="B14" s="51" t="s">
        <v>1676</v>
      </c>
      <c r="C14" s="52">
        <v>8</v>
      </c>
      <c r="D14" s="136">
        <f>H14 * IF(G14="руб", 1, (k_ru_dol*(G14="USD")+k_ru_evro*(G14="EUR")+k_ru_yuan*(G14="CNY"))) * IF(E14&lt;(дата_расчета - 365),1.1,1)  *1.1</f>
        <v>64040.008428000008</v>
      </c>
      <c r="E14" s="62">
        <v>43626</v>
      </c>
      <c r="F14" s="63" t="s">
        <v>1693</v>
      </c>
      <c r="G14" s="63" t="s">
        <v>1690</v>
      </c>
      <c r="H14" s="64">
        <v>583.524</v>
      </c>
      <c r="I14" s="64" t="s">
        <v>10</v>
      </c>
    </row>
    <row r="15" spans="1:9" x14ac:dyDescent="0.25">
      <c r="A15" s="50" t="s">
        <v>11</v>
      </c>
      <c r="B15" s="51" t="s">
        <v>1676</v>
      </c>
      <c r="C15" s="52">
        <v>1</v>
      </c>
      <c r="D15" s="136">
        <f>H15 * IF(G15="руб", 1, (k_ru_dol*(G15="USD")+k_ru_evro*(G15="EUR")+k_ru_yuan*(G15="CNY"))) * IF(E15&lt;(дата_расчета - 365),1.1,1)  *1.1</f>
        <v>66721.34713200001</v>
      </c>
      <c r="E15" s="62">
        <v>43357</v>
      </c>
      <c r="F15" s="63" t="s">
        <v>1693</v>
      </c>
      <c r="G15" s="63" t="s">
        <v>1690</v>
      </c>
      <c r="H15" s="64">
        <v>607.95600000000002</v>
      </c>
      <c r="I15" s="64" t="s">
        <v>1694</v>
      </c>
    </row>
    <row r="16" spans="1:9" x14ac:dyDescent="0.25">
      <c r="A16" s="50" t="s">
        <v>357</v>
      </c>
      <c r="B16" s="51" t="s">
        <v>1676</v>
      </c>
      <c r="C16" s="52">
        <v>1</v>
      </c>
      <c r="D16" s="61">
        <f t="shared" ref="D16:D21" si="1">H16 * IF(G16="руб", 1, 1.4 * (k_ru_dol*(G16="USD")+k_ru_evro*(G16="EUR")+k_ru_yuan*(G16="CNY"))/1.2) * IF(E16&lt;(дата_расчета - 365),1.1,1)</f>
        <v>30829.180800000002</v>
      </c>
      <c r="E16" s="62">
        <v>43643</v>
      </c>
      <c r="F16" s="63" t="s">
        <v>1695</v>
      </c>
      <c r="G16" s="63" t="s">
        <v>1684</v>
      </c>
      <c r="H16" s="64">
        <v>28026.527999999998</v>
      </c>
      <c r="I16" s="64" t="s">
        <v>1696</v>
      </c>
    </row>
    <row r="17" spans="1:9" x14ac:dyDescent="0.25">
      <c r="A17" s="50" t="s">
        <v>1617</v>
      </c>
      <c r="B17" s="51" t="s">
        <v>1676</v>
      </c>
      <c r="C17" s="52">
        <v>1</v>
      </c>
      <c r="D17" s="61">
        <f t="shared" si="1"/>
        <v>11212.8192</v>
      </c>
      <c r="E17" s="62">
        <v>43643</v>
      </c>
      <c r="F17" s="63" t="s">
        <v>1695</v>
      </c>
      <c r="G17" s="63" t="s">
        <v>1684</v>
      </c>
      <c r="H17" s="64">
        <v>10193.472</v>
      </c>
      <c r="I17" s="64" t="s">
        <v>1697</v>
      </c>
    </row>
    <row r="18" spans="1:9" x14ac:dyDescent="0.25">
      <c r="A18" s="50" t="s">
        <v>12</v>
      </c>
      <c r="B18" s="51" t="s">
        <v>1676</v>
      </c>
      <c r="C18" s="52">
        <v>8</v>
      </c>
      <c r="D18" s="61">
        <f t="shared" si="1"/>
        <v>4504.5</v>
      </c>
      <c r="E18" s="62">
        <v>43979</v>
      </c>
      <c r="F18" s="63" t="s">
        <v>1698</v>
      </c>
      <c r="G18" s="63" t="s">
        <v>1699</v>
      </c>
      <c r="H18" s="64">
        <v>46.8</v>
      </c>
      <c r="I18" s="64" t="s">
        <v>12</v>
      </c>
    </row>
    <row r="19" spans="1:9" x14ac:dyDescent="0.25">
      <c r="A19" s="50" t="s">
        <v>358</v>
      </c>
      <c r="B19" s="51" t="s">
        <v>1677</v>
      </c>
      <c r="C19" s="53">
        <v>12.585000000000001</v>
      </c>
      <c r="D19" s="61">
        <f t="shared" si="1"/>
        <v>115.36800000000002</v>
      </c>
      <c r="E19" s="62">
        <v>43971</v>
      </c>
      <c r="F19" s="63" t="s">
        <v>1700</v>
      </c>
      <c r="G19" s="63" t="s">
        <v>1684</v>
      </c>
      <c r="H19" s="64">
        <v>104.88000000000001</v>
      </c>
      <c r="I19" s="64" t="s">
        <v>358</v>
      </c>
    </row>
    <row r="20" spans="1:9" x14ac:dyDescent="0.25">
      <c r="A20" s="50" t="s">
        <v>13</v>
      </c>
      <c r="B20" s="51" t="s">
        <v>1676</v>
      </c>
      <c r="C20" s="52">
        <v>8</v>
      </c>
      <c r="D20" s="61">
        <f t="shared" si="1"/>
        <v>4594.59</v>
      </c>
      <c r="E20" s="62">
        <v>43979</v>
      </c>
      <c r="F20" s="63" t="s">
        <v>1698</v>
      </c>
      <c r="G20" s="63" t="s">
        <v>1699</v>
      </c>
      <c r="H20" s="64">
        <v>47.735999999999997</v>
      </c>
      <c r="I20" s="64" t="s">
        <v>13</v>
      </c>
    </row>
    <row r="21" spans="1:9" x14ac:dyDescent="0.25">
      <c r="A21" s="50" t="s">
        <v>359</v>
      </c>
      <c r="B21" s="51" t="s">
        <v>1676</v>
      </c>
      <c r="C21" s="52">
        <v>8</v>
      </c>
      <c r="D21" s="61">
        <f t="shared" si="1"/>
        <v>26137.65</v>
      </c>
      <c r="E21" s="62">
        <v>44086</v>
      </c>
      <c r="F21" s="63" t="s">
        <v>1698</v>
      </c>
      <c r="G21" s="63" t="s">
        <v>1699</v>
      </c>
      <c r="H21" s="64">
        <v>298.71600000000001</v>
      </c>
      <c r="I21" s="64" t="s">
        <v>359</v>
      </c>
    </row>
    <row r="22" spans="1:9" x14ac:dyDescent="0.25">
      <c r="A22" s="50" t="s">
        <v>14</v>
      </c>
      <c r="B22" s="51" t="s">
        <v>1676</v>
      </c>
      <c r="C22" s="52">
        <v>8</v>
      </c>
      <c r="D22" s="61">
        <f>H22 * IF(G22="руб", 1, (k_ru_dol*(G22="USD")+k_ru_evro*(G22="EUR")+k_ru_yuan*(G22="CNY"))) * IF(E22&lt;(дата_расчета - 365),1.1,1)</f>
        <v>790.17840000000001</v>
      </c>
      <c r="E22" s="62">
        <v>43607</v>
      </c>
      <c r="F22" s="63" t="s">
        <v>1701</v>
      </c>
      <c r="G22" s="63" t="s">
        <v>1690</v>
      </c>
      <c r="H22" s="64">
        <v>7.919999999999999</v>
      </c>
      <c r="I22" s="64" t="s">
        <v>14</v>
      </c>
    </row>
    <row r="23" spans="1:9" x14ac:dyDescent="0.25">
      <c r="A23" s="50" t="s">
        <v>15</v>
      </c>
      <c r="B23" s="51" t="s">
        <v>1676</v>
      </c>
      <c r="C23" s="52">
        <v>16</v>
      </c>
      <c r="D23" s="61">
        <f>H23 * IF(G23="руб", 1, (k_ru_dol*(G23="USD")+k_ru_evro*(G23="EUR")+k_ru_yuan*(G23="CNY"))) * IF(E23&lt;(дата_расчета - 365),1.1,1)</f>
        <v>1807.8324</v>
      </c>
      <c r="E23" s="62">
        <v>43607</v>
      </c>
      <c r="F23" s="63" t="s">
        <v>1701</v>
      </c>
      <c r="G23" s="63" t="s">
        <v>1690</v>
      </c>
      <c r="H23" s="64">
        <v>18.119999999999997</v>
      </c>
      <c r="I23" s="64" t="s">
        <v>15</v>
      </c>
    </row>
    <row r="24" spans="1:9" x14ac:dyDescent="0.25">
      <c r="A24" s="50" t="s">
        <v>16</v>
      </c>
      <c r="B24" s="51" t="s">
        <v>1676</v>
      </c>
      <c r="C24" s="52">
        <v>16</v>
      </c>
      <c r="D24" s="61">
        <f>H24 * IF(G24="руб", 1, (k_ru_dol*(G24="USD")+k_ru_evro*(G24="EUR")+k_ru_yuan*(G24="CNY"))) * IF(E24&lt;(дата_расчета - 365),1.1,1)</f>
        <v>554.32212000000004</v>
      </c>
      <c r="E24" s="62">
        <v>43607</v>
      </c>
      <c r="F24" s="63" t="s">
        <v>1701</v>
      </c>
      <c r="G24" s="63" t="s">
        <v>1690</v>
      </c>
      <c r="H24" s="64">
        <v>5.556</v>
      </c>
      <c r="I24" s="64" t="s">
        <v>16</v>
      </c>
    </row>
    <row r="25" spans="1:9" x14ac:dyDescent="0.25">
      <c r="A25" s="50" t="s">
        <v>17</v>
      </c>
      <c r="B25" s="51" t="s">
        <v>1678</v>
      </c>
      <c r="C25" s="53">
        <v>4.0000000000000001E-3</v>
      </c>
      <c r="D25" s="61">
        <f t="shared" ref="D25:D42" si="2">H25 * IF(G25="руб", 1, 1.4 * (k_ru_dol*(G25="USD")+k_ru_evro*(G25="EUR")+k_ru_yuan*(G25="CNY"))/1.2) * IF(E25&lt;(дата_расчета - 365),1.1,1)</f>
        <v>48916.992000000006</v>
      </c>
      <c r="E25" s="62">
        <v>44049</v>
      </c>
      <c r="F25" s="63" t="s">
        <v>1702</v>
      </c>
      <c r="G25" s="63" t="s">
        <v>1684</v>
      </c>
      <c r="H25" s="64">
        <v>48916.992000000006</v>
      </c>
      <c r="I25" s="64" t="s">
        <v>17</v>
      </c>
    </row>
    <row r="26" spans="1:9" x14ac:dyDescent="0.25">
      <c r="A26" s="50" t="s">
        <v>18</v>
      </c>
      <c r="B26" s="51" t="s">
        <v>1676</v>
      </c>
      <c r="C26" s="52">
        <v>8</v>
      </c>
      <c r="D26" s="61">
        <f t="shared" si="2"/>
        <v>35490</v>
      </c>
      <c r="E26" s="62">
        <v>44158</v>
      </c>
      <c r="F26" s="63" t="s">
        <v>1698</v>
      </c>
      <c r="G26" s="63" t="s">
        <v>1699</v>
      </c>
      <c r="H26" s="64">
        <f>338*1.2</f>
        <v>405.59999999999997</v>
      </c>
      <c r="I26" s="64" t="s">
        <v>18</v>
      </c>
    </row>
    <row r="27" spans="1:9" x14ac:dyDescent="0.25">
      <c r="A27" s="50" t="s">
        <v>946</v>
      </c>
      <c r="B27" s="51" t="s">
        <v>1676</v>
      </c>
      <c r="C27" s="52">
        <v>1</v>
      </c>
      <c r="D27" s="61">
        <f t="shared" si="2"/>
        <v>25212.000000000004</v>
      </c>
      <c r="E27" s="62">
        <v>43563</v>
      </c>
      <c r="F27" s="63" t="s">
        <v>1703</v>
      </c>
      <c r="G27" s="63" t="s">
        <v>1684</v>
      </c>
      <c r="H27" s="64">
        <v>22920</v>
      </c>
      <c r="I27" s="64" t="s">
        <v>1704</v>
      </c>
    </row>
    <row r="28" spans="1:9" x14ac:dyDescent="0.25">
      <c r="A28" s="50" t="s">
        <v>19</v>
      </c>
      <c r="B28" s="51" t="s">
        <v>1676</v>
      </c>
      <c r="C28" s="52">
        <v>1</v>
      </c>
      <c r="D28" s="61">
        <f t="shared" si="2"/>
        <v>392.01600000000002</v>
      </c>
      <c r="E28" s="62">
        <v>44067</v>
      </c>
      <c r="F28" s="63" t="s">
        <v>1705</v>
      </c>
      <c r="G28" s="63" t="s">
        <v>1684</v>
      </c>
      <c r="H28" s="64">
        <v>392.01600000000002</v>
      </c>
      <c r="I28" s="64" t="s">
        <v>19</v>
      </c>
    </row>
    <row r="29" spans="1:9" x14ac:dyDescent="0.25">
      <c r="A29" s="50" t="s">
        <v>20</v>
      </c>
      <c r="B29" s="51" t="s">
        <v>1676</v>
      </c>
      <c r="C29" s="52">
        <v>1</v>
      </c>
      <c r="D29" s="61">
        <f t="shared" si="2"/>
        <v>392.01600000000002</v>
      </c>
      <c r="E29" s="62">
        <v>44067</v>
      </c>
      <c r="F29" s="63" t="s">
        <v>1705</v>
      </c>
      <c r="G29" s="63" t="s">
        <v>1684</v>
      </c>
      <c r="H29" s="64">
        <v>392.01600000000002</v>
      </c>
      <c r="I29" s="64" t="s">
        <v>20</v>
      </c>
    </row>
    <row r="30" spans="1:9" x14ac:dyDescent="0.25">
      <c r="A30" s="50" t="s">
        <v>21</v>
      </c>
      <c r="B30" s="51" t="s">
        <v>1676</v>
      </c>
      <c r="C30" s="52">
        <v>1</v>
      </c>
      <c r="D30" s="61">
        <f t="shared" si="2"/>
        <v>366.9864</v>
      </c>
      <c r="E30" s="62">
        <v>43388</v>
      </c>
      <c r="F30" s="63" t="s">
        <v>1705</v>
      </c>
      <c r="G30" s="63" t="s">
        <v>1684</v>
      </c>
      <c r="H30" s="64">
        <v>333.62399999999997</v>
      </c>
      <c r="I30" s="64" t="s">
        <v>21</v>
      </c>
    </row>
    <row r="31" spans="1:9" x14ac:dyDescent="0.25">
      <c r="A31" s="50" t="s">
        <v>22</v>
      </c>
      <c r="B31" s="51" t="s">
        <v>1676</v>
      </c>
      <c r="C31" s="52">
        <v>2</v>
      </c>
      <c r="D31" s="61">
        <f t="shared" si="2"/>
        <v>761.42399999999998</v>
      </c>
      <c r="E31" s="62">
        <v>44040</v>
      </c>
      <c r="F31" s="63" t="s">
        <v>1705</v>
      </c>
      <c r="G31" s="63" t="s">
        <v>1684</v>
      </c>
      <c r="H31" s="64">
        <v>761.42399999999998</v>
      </c>
      <c r="I31" s="64" t="s">
        <v>22</v>
      </c>
    </row>
    <row r="32" spans="1:9" x14ac:dyDescent="0.25">
      <c r="A32" s="50" t="s">
        <v>23</v>
      </c>
      <c r="B32" s="51" t="s">
        <v>1676</v>
      </c>
      <c r="C32" s="52">
        <v>1</v>
      </c>
      <c r="D32" s="61">
        <f t="shared" si="2"/>
        <v>761.42399999999998</v>
      </c>
      <c r="E32" s="62">
        <v>44040</v>
      </c>
      <c r="F32" s="63" t="s">
        <v>1705</v>
      </c>
      <c r="G32" s="63" t="s">
        <v>1684</v>
      </c>
      <c r="H32" s="64">
        <v>761.42399999999998</v>
      </c>
      <c r="I32" s="64" t="s">
        <v>23</v>
      </c>
    </row>
    <row r="33" spans="1:9" x14ac:dyDescent="0.25">
      <c r="A33" s="50" t="s">
        <v>24</v>
      </c>
      <c r="B33" s="51" t="s">
        <v>1676</v>
      </c>
      <c r="C33" s="52">
        <v>14</v>
      </c>
      <c r="D33" s="61">
        <f t="shared" si="2"/>
        <v>730.76400000000001</v>
      </c>
      <c r="E33" s="62">
        <v>44067</v>
      </c>
      <c r="F33" s="63" t="s">
        <v>1705</v>
      </c>
      <c r="G33" s="63" t="s">
        <v>1684</v>
      </c>
      <c r="H33" s="64">
        <v>730.76400000000001</v>
      </c>
      <c r="I33" s="64" t="s">
        <v>24</v>
      </c>
    </row>
    <row r="34" spans="1:9" x14ac:dyDescent="0.25">
      <c r="A34" s="50" t="s">
        <v>25</v>
      </c>
      <c r="B34" s="51" t="s">
        <v>1676</v>
      </c>
      <c r="C34" s="52">
        <v>1</v>
      </c>
      <c r="D34" s="61">
        <f t="shared" si="2"/>
        <v>708.024</v>
      </c>
      <c r="E34" s="62">
        <v>44067</v>
      </c>
      <c r="F34" s="63" t="s">
        <v>1705</v>
      </c>
      <c r="G34" s="63" t="s">
        <v>1684</v>
      </c>
      <c r="H34" s="64">
        <v>708.024</v>
      </c>
      <c r="I34" s="64" t="s">
        <v>25</v>
      </c>
    </row>
    <row r="35" spans="1:9" x14ac:dyDescent="0.25">
      <c r="A35" s="50" t="s">
        <v>26</v>
      </c>
      <c r="B35" s="51" t="s">
        <v>1676</v>
      </c>
      <c r="C35" s="52">
        <v>1</v>
      </c>
      <c r="D35" s="61">
        <f t="shared" si="2"/>
        <v>810.37199999999996</v>
      </c>
      <c r="E35" s="62">
        <v>44067</v>
      </c>
      <c r="F35" s="63" t="s">
        <v>1705</v>
      </c>
      <c r="G35" s="63" t="s">
        <v>1684</v>
      </c>
      <c r="H35" s="64">
        <v>810.37199999999996</v>
      </c>
      <c r="I35" s="64" t="s">
        <v>26</v>
      </c>
    </row>
    <row r="36" spans="1:9" x14ac:dyDescent="0.25">
      <c r="A36" s="50" t="s">
        <v>27</v>
      </c>
      <c r="B36" s="51" t="s">
        <v>1676</v>
      </c>
      <c r="C36" s="52">
        <v>1</v>
      </c>
      <c r="D36" s="61">
        <f t="shared" si="2"/>
        <v>1030.2336</v>
      </c>
      <c r="E36" s="62">
        <v>43279</v>
      </c>
      <c r="F36" s="63" t="s">
        <v>1705</v>
      </c>
      <c r="G36" s="63" t="s">
        <v>1684</v>
      </c>
      <c r="H36" s="64">
        <v>936.57600000000002</v>
      </c>
      <c r="I36" s="64" t="s">
        <v>27</v>
      </c>
    </row>
    <row r="37" spans="1:9" x14ac:dyDescent="0.25">
      <c r="A37" s="50" t="s">
        <v>28</v>
      </c>
      <c r="B37" s="51" t="s">
        <v>1676</v>
      </c>
      <c r="C37" s="52">
        <v>3</v>
      </c>
      <c r="D37" s="61">
        <f t="shared" si="2"/>
        <v>3226.1724000000004</v>
      </c>
      <c r="E37" s="62">
        <v>43371</v>
      </c>
      <c r="F37" s="63" t="s">
        <v>1705</v>
      </c>
      <c r="G37" s="63" t="s">
        <v>1684</v>
      </c>
      <c r="H37" s="64">
        <v>2932.884</v>
      </c>
      <c r="I37" s="64" t="s">
        <v>28</v>
      </c>
    </row>
    <row r="38" spans="1:9" x14ac:dyDescent="0.25">
      <c r="A38" s="50" t="s">
        <v>29</v>
      </c>
      <c r="B38" s="51" t="s">
        <v>1676</v>
      </c>
      <c r="C38" s="52">
        <v>3</v>
      </c>
      <c r="D38" s="61">
        <f t="shared" si="2"/>
        <v>3452.1479999999997</v>
      </c>
      <c r="E38" s="62">
        <v>44067</v>
      </c>
      <c r="F38" s="63" t="s">
        <v>1705</v>
      </c>
      <c r="G38" s="63" t="s">
        <v>1684</v>
      </c>
      <c r="H38" s="64">
        <v>3452.1479999999997</v>
      </c>
      <c r="I38" s="64" t="s">
        <v>29</v>
      </c>
    </row>
    <row r="39" spans="1:9" x14ac:dyDescent="0.25">
      <c r="A39" s="50" t="s">
        <v>30</v>
      </c>
      <c r="B39" s="51" t="s">
        <v>1676</v>
      </c>
      <c r="C39" s="52">
        <v>1</v>
      </c>
      <c r="D39" s="61">
        <f t="shared" si="2"/>
        <v>7424.8944000000001</v>
      </c>
      <c r="E39" s="62">
        <v>43308</v>
      </c>
      <c r="F39" s="63" t="s">
        <v>1705</v>
      </c>
      <c r="G39" s="63" t="s">
        <v>1684</v>
      </c>
      <c r="H39" s="64">
        <v>6749.9039999999995</v>
      </c>
      <c r="I39" s="64" t="s">
        <v>30</v>
      </c>
    </row>
    <row r="40" spans="1:9" x14ac:dyDescent="0.25">
      <c r="A40" s="50" t="s">
        <v>549</v>
      </c>
      <c r="B40" s="51" t="s">
        <v>1676</v>
      </c>
      <c r="C40" s="52">
        <v>5</v>
      </c>
      <c r="D40" s="61">
        <f t="shared" si="2"/>
        <v>3688.0919999999996</v>
      </c>
      <c r="E40" s="62">
        <v>44047</v>
      </c>
      <c r="F40" s="63" t="s">
        <v>1705</v>
      </c>
      <c r="G40" s="63" t="s">
        <v>1684</v>
      </c>
      <c r="H40" s="64">
        <v>3688.0919999999996</v>
      </c>
      <c r="I40" s="64" t="s">
        <v>549</v>
      </c>
    </row>
    <row r="41" spans="1:9" x14ac:dyDescent="0.25">
      <c r="A41" s="50" t="s">
        <v>550</v>
      </c>
      <c r="B41" s="51" t="s">
        <v>1676</v>
      </c>
      <c r="C41" s="52">
        <v>5</v>
      </c>
      <c r="D41" s="61">
        <f t="shared" si="2"/>
        <v>3654.5783999999999</v>
      </c>
      <c r="E41" s="62">
        <v>43388</v>
      </c>
      <c r="F41" s="63" t="s">
        <v>1705</v>
      </c>
      <c r="G41" s="63" t="s">
        <v>1684</v>
      </c>
      <c r="H41" s="64">
        <v>3322.3439999999996</v>
      </c>
      <c r="I41" s="64" t="s">
        <v>550</v>
      </c>
    </row>
    <row r="42" spans="1:9" x14ac:dyDescent="0.25">
      <c r="A42" s="50" t="s">
        <v>31</v>
      </c>
      <c r="B42" s="51" t="s">
        <v>1676</v>
      </c>
      <c r="C42" s="52">
        <v>2</v>
      </c>
      <c r="D42" s="61">
        <f t="shared" si="2"/>
        <v>3916.5</v>
      </c>
      <c r="E42" s="62">
        <v>44025</v>
      </c>
      <c r="F42" s="63" t="s">
        <v>1706</v>
      </c>
      <c r="G42" s="63" t="s">
        <v>1699</v>
      </c>
      <c r="H42" s="64">
        <v>44.76</v>
      </c>
      <c r="I42" s="64" t="s">
        <v>31</v>
      </c>
    </row>
    <row r="43" spans="1:9" x14ac:dyDescent="0.25">
      <c r="A43" s="50" t="s">
        <v>32</v>
      </c>
      <c r="B43" s="51" t="s">
        <v>1676</v>
      </c>
      <c r="C43" s="52">
        <v>16</v>
      </c>
      <c r="D43" s="136">
        <f>H43 * IF(G43="руб", 1, (k_ru_dol*(G43="USD")+k_ru_evro*(G43="EUR")+k_ru_yuan*(G43="CNY"))) * IF(E43&lt;(дата_расчета - 365),1.1,1)  *1.1</f>
        <v>44821.552776000004</v>
      </c>
      <c r="E43" s="62">
        <v>43566</v>
      </c>
      <c r="F43" s="63" t="s">
        <v>1693</v>
      </c>
      <c r="G43" s="63" t="s">
        <v>1690</v>
      </c>
      <c r="H43" s="64">
        <v>408.40799999999996</v>
      </c>
      <c r="I43" s="64" t="s">
        <v>32</v>
      </c>
    </row>
    <row r="44" spans="1:9" x14ac:dyDescent="0.25">
      <c r="A44" s="50" t="s">
        <v>33</v>
      </c>
      <c r="B44" s="51" t="s">
        <v>1676</v>
      </c>
      <c r="C44" s="52">
        <v>8</v>
      </c>
      <c r="D44" s="136">
        <f>H44 * IF(G44="руб", 1, (k_ru_dol*(G44="USD")+k_ru_evro*(G44="EUR")+k_ru_yuan*(G44="CNY"))) * IF(E44&lt;(дата_расчета - 365),1.1,1)  *1.1</f>
        <v>25038.119568000006</v>
      </c>
      <c r="E44" s="62">
        <v>43566</v>
      </c>
      <c r="F44" s="63" t="s">
        <v>1693</v>
      </c>
      <c r="G44" s="63" t="s">
        <v>1690</v>
      </c>
      <c r="H44" s="64">
        <v>228.14400000000001</v>
      </c>
      <c r="I44" s="64" t="s">
        <v>33</v>
      </c>
    </row>
    <row r="45" spans="1:9" x14ac:dyDescent="0.25">
      <c r="A45" s="50" t="s">
        <v>34</v>
      </c>
      <c r="B45" s="51" t="s">
        <v>1676</v>
      </c>
      <c r="C45" s="52">
        <v>2</v>
      </c>
      <c r="D45" s="61">
        <f>H45 * IF(G45="руб", 1, 1.4 * (k_ru_dol*(G45="USD")+k_ru_evro*(G45="EUR")+k_ru_yuan*(G45="CNY"))/1.2) * IF(E45&lt;(дата_расчета - 365),1.1,1)</f>
        <v>685.44960000000003</v>
      </c>
      <c r="E45" s="62">
        <v>43238</v>
      </c>
      <c r="F45" s="63" t="s">
        <v>1707</v>
      </c>
      <c r="G45" s="63" t="s">
        <v>1684</v>
      </c>
      <c r="H45" s="64">
        <v>623.13599999999997</v>
      </c>
      <c r="I45" s="64" t="s">
        <v>34</v>
      </c>
    </row>
    <row r="46" spans="1:9" x14ac:dyDescent="0.25">
      <c r="A46" s="50" t="s">
        <v>35</v>
      </c>
      <c r="B46" s="51" t="s">
        <v>1676</v>
      </c>
      <c r="C46" s="52">
        <v>1</v>
      </c>
      <c r="D46" s="61">
        <f>H46 * IF(G46="руб", 1, 1.4 * (k_ru_dol*(G46="USD")+k_ru_evro*(G46="EUR")+k_ru_yuan*(G46="CNY"))/1.2) * IF(E46&lt;(дата_расчета - 365),1.1,1)</f>
        <v>444.74399999999997</v>
      </c>
      <c r="E46" s="62">
        <v>44062</v>
      </c>
      <c r="F46" s="63" t="s">
        <v>1707</v>
      </c>
      <c r="G46" s="63" t="s">
        <v>1684</v>
      </c>
      <c r="H46" s="64">
        <v>444.74399999999997</v>
      </c>
      <c r="I46" s="64" t="s">
        <v>35</v>
      </c>
    </row>
    <row r="47" spans="1:9" x14ac:dyDescent="0.25">
      <c r="A47" s="50" t="s">
        <v>36</v>
      </c>
      <c r="B47" s="51" t="s">
        <v>1676</v>
      </c>
      <c r="C47" s="52">
        <v>1</v>
      </c>
      <c r="D47" s="61">
        <f>H47 * IF(G47="руб", 1, (k_ru_dol*(G47="USD")+k_ru_evro*(G47="EUR")+k_ru_yuan*(G47="CNY"))) * IF(E47&lt;(дата_расчета - 365),1.1,1)</f>
        <v>87063.292799999996</v>
      </c>
      <c r="E47" s="62">
        <v>44049</v>
      </c>
      <c r="F47" s="63" t="s">
        <v>1689</v>
      </c>
      <c r="G47" s="63" t="s">
        <v>1690</v>
      </c>
      <c r="H47" s="64">
        <v>959.90399999999988</v>
      </c>
      <c r="I47" s="64" t="s">
        <v>36</v>
      </c>
    </row>
    <row r="48" spans="1:9" x14ac:dyDescent="0.25">
      <c r="A48" s="50" t="s">
        <v>37</v>
      </c>
      <c r="B48" s="51" t="s">
        <v>1676</v>
      </c>
      <c r="C48" s="52">
        <v>1</v>
      </c>
      <c r="D48" s="61">
        <f t="shared" ref="D48:D63" si="3">H48 * IF(G48="руб", 1, 1.4 * (k_ru_dol*(G48="USD")+k_ru_evro*(G48="EUR")+k_ru_yuan*(G48="CNY"))/1.2) * IF(E48&lt;(дата_расчета - 365),1.1,1)</f>
        <v>3088.8</v>
      </c>
      <c r="E48" s="62">
        <v>43864</v>
      </c>
      <c r="F48" s="63" t="s">
        <v>1708</v>
      </c>
      <c r="G48" s="63" t="s">
        <v>1684</v>
      </c>
      <c r="H48" s="64">
        <v>2808</v>
      </c>
      <c r="I48" s="64" t="s">
        <v>37</v>
      </c>
    </row>
    <row r="49" spans="1:9" x14ac:dyDescent="0.25">
      <c r="A49" s="50" t="s">
        <v>38</v>
      </c>
      <c r="B49" s="51" t="s">
        <v>1676</v>
      </c>
      <c r="C49" s="52">
        <v>4</v>
      </c>
      <c r="D49" s="61">
        <f t="shared" si="3"/>
        <v>999.99599999999998</v>
      </c>
      <c r="E49" s="62">
        <v>44062</v>
      </c>
      <c r="F49" s="63" t="s">
        <v>1709</v>
      </c>
      <c r="G49" s="63" t="s">
        <v>1684</v>
      </c>
      <c r="H49" s="64">
        <v>999.99599999999998</v>
      </c>
      <c r="I49" s="64" t="s">
        <v>38</v>
      </c>
    </row>
    <row r="50" spans="1:9" x14ac:dyDescent="0.25">
      <c r="A50" s="50" t="s">
        <v>39</v>
      </c>
      <c r="B50" s="51" t="s">
        <v>1676</v>
      </c>
      <c r="C50" s="52">
        <v>2</v>
      </c>
      <c r="D50" s="61">
        <f t="shared" si="3"/>
        <v>2337.0072000000005</v>
      </c>
      <c r="E50" s="62">
        <v>43131</v>
      </c>
      <c r="F50" s="63" t="s">
        <v>1710</v>
      </c>
      <c r="G50" s="63" t="s">
        <v>1684</v>
      </c>
      <c r="H50" s="64">
        <v>2124.5520000000001</v>
      </c>
      <c r="I50" s="64" t="s">
        <v>39</v>
      </c>
    </row>
    <row r="51" spans="1:9" x14ac:dyDescent="0.25">
      <c r="A51" s="50" t="s">
        <v>40</v>
      </c>
      <c r="B51" s="51" t="s">
        <v>1676</v>
      </c>
      <c r="C51" s="52">
        <v>16</v>
      </c>
      <c r="D51" s="61">
        <f t="shared" si="3"/>
        <v>3122.1564000000003</v>
      </c>
      <c r="E51" s="62">
        <v>43496</v>
      </c>
      <c r="F51" s="63" t="s">
        <v>1710</v>
      </c>
      <c r="G51" s="63" t="s">
        <v>1684</v>
      </c>
      <c r="H51" s="64">
        <v>2838.3240000000001</v>
      </c>
      <c r="I51" s="64" t="s">
        <v>40</v>
      </c>
    </row>
    <row r="52" spans="1:9" x14ac:dyDescent="0.25">
      <c r="A52" s="50" t="s">
        <v>41</v>
      </c>
      <c r="B52" s="51" t="s">
        <v>1676</v>
      </c>
      <c r="C52" s="52">
        <v>2</v>
      </c>
      <c r="D52" s="61">
        <f t="shared" si="3"/>
        <v>2413.3955999999998</v>
      </c>
      <c r="E52" s="62">
        <v>43546</v>
      </c>
      <c r="F52" s="63" t="s">
        <v>1711</v>
      </c>
      <c r="G52" s="63" t="s">
        <v>1684</v>
      </c>
      <c r="H52" s="64">
        <v>2193.9959999999996</v>
      </c>
      <c r="I52" s="64" t="s">
        <v>41</v>
      </c>
    </row>
    <row r="53" spans="1:9" x14ac:dyDescent="0.25">
      <c r="A53" s="50" t="s">
        <v>42</v>
      </c>
      <c r="B53" s="51" t="s">
        <v>1676</v>
      </c>
      <c r="C53" s="52">
        <v>21</v>
      </c>
      <c r="D53" s="61">
        <f t="shared" si="3"/>
        <v>530.86440000000005</v>
      </c>
      <c r="E53" s="62">
        <v>43798</v>
      </c>
      <c r="F53" s="63" t="s">
        <v>1707</v>
      </c>
      <c r="G53" s="63" t="s">
        <v>1684</v>
      </c>
      <c r="H53" s="64">
        <v>482.60399999999998</v>
      </c>
      <c r="I53" s="64" t="s">
        <v>42</v>
      </c>
    </row>
    <row r="54" spans="1:9" x14ac:dyDescent="0.25">
      <c r="A54" s="50" t="s">
        <v>360</v>
      </c>
      <c r="B54" s="51" t="s">
        <v>1676</v>
      </c>
      <c r="C54" s="52">
        <v>1</v>
      </c>
      <c r="D54" s="61">
        <f t="shared" si="3"/>
        <v>1320</v>
      </c>
      <c r="E54" s="62">
        <v>0</v>
      </c>
      <c r="F54" s="63" t="e">
        <v>#VALUE!</v>
      </c>
      <c r="G54" s="65" t="s">
        <v>1684</v>
      </c>
      <c r="H54" s="66">
        <v>1200</v>
      </c>
      <c r="I54" s="64" t="s">
        <v>1712</v>
      </c>
    </row>
    <row r="55" spans="1:9" x14ac:dyDescent="0.25">
      <c r="A55" s="50" t="s">
        <v>361</v>
      </c>
      <c r="B55" s="51" t="s">
        <v>1676</v>
      </c>
      <c r="C55" s="52">
        <v>1</v>
      </c>
      <c r="D55" s="61">
        <f t="shared" si="3"/>
        <v>1946.5512000000003</v>
      </c>
      <c r="E55" s="62">
        <v>43866</v>
      </c>
      <c r="F55" s="63" t="s">
        <v>1700</v>
      </c>
      <c r="G55" s="63" t="s">
        <v>1684</v>
      </c>
      <c r="H55" s="64">
        <v>1769.5920000000001</v>
      </c>
      <c r="I55" s="64" t="s">
        <v>1713</v>
      </c>
    </row>
    <row r="56" spans="1:9" x14ac:dyDescent="0.25">
      <c r="A56" s="50" t="s">
        <v>362</v>
      </c>
      <c r="B56" s="51" t="s">
        <v>1676</v>
      </c>
      <c r="C56" s="52">
        <v>2</v>
      </c>
      <c r="D56" s="61">
        <f t="shared" si="3"/>
        <v>2520.1704</v>
      </c>
      <c r="E56" s="62">
        <v>43124</v>
      </c>
      <c r="F56" s="63" t="s">
        <v>1689</v>
      </c>
      <c r="G56" s="63" t="s">
        <v>1684</v>
      </c>
      <c r="H56" s="64">
        <v>2291.0639999999999</v>
      </c>
      <c r="I56" s="64" t="s">
        <v>1714</v>
      </c>
    </row>
    <row r="57" spans="1:9" x14ac:dyDescent="0.25">
      <c r="A57" s="50" t="s">
        <v>363</v>
      </c>
      <c r="B57" s="51" t="s">
        <v>1676</v>
      </c>
      <c r="C57" s="52">
        <v>1</v>
      </c>
      <c r="D57" s="61">
        <f t="shared" si="3"/>
        <v>1409.7996000000001</v>
      </c>
      <c r="E57" s="62">
        <v>43501</v>
      </c>
      <c r="F57" s="63" t="s">
        <v>1689</v>
      </c>
      <c r="G57" s="63" t="s">
        <v>1684</v>
      </c>
      <c r="H57" s="64">
        <v>1281.636</v>
      </c>
      <c r="I57" s="64" t="s">
        <v>1715</v>
      </c>
    </row>
    <row r="58" spans="1:9" x14ac:dyDescent="0.25">
      <c r="A58" s="50" t="s">
        <v>364</v>
      </c>
      <c r="B58" s="51" t="s">
        <v>1676</v>
      </c>
      <c r="C58" s="52">
        <v>1</v>
      </c>
      <c r="D58" s="61">
        <f t="shared" si="3"/>
        <v>6595.0236000000004</v>
      </c>
      <c r="E58" s="62">
        <v>43124</v>
      </c>
      <c r="F58" s="63" t="s">
        <v>1689</v>
      </c>
      <c r="G58" s="63" t="s">
        <v>1684</v>
      </c>
      <c r="H58" s="64">
        <v>5995.4759999999997</v>
      </c>
      <c r="I58" s="64" t="s">
        <v>1716</v>
      </c>
    </row>
    <row r="59" spans="1:9" x14ac:dyDescent="0.25">
      <c r="A59" s="50" t="s">
        <v>576</v>
      </c>
      <c r="B59" s="51" t="s">
        <v>1676</v>
      </c>
      <c r="C59" s="52">
        <v>5</v>
      </c>
      <c r="D59" s="61">
        <f t="shared" si="3"/>
        <v>8644.4159999999993</v>
      </c>
      <c r="E59" s="62">
        <v>43684</v>
      </c>
      <c r="F59" s="63" t="s">
        <v>1689</v>
      </c>
      <c r="G59" s="63" t="s">
        <v>1684</v>
      </c>
      <c r="H59" s="64">
        <v>7858.5599999999995</v>
      </c>
      <c r="I59" s="64" t="s">
        <v>1717</v>
      </c>
    </row>
    <row r="60" spans="1:9" x14ac:dyDescent="0.25">
      <c r="A60" s="50" t="s">
        <v>1612</v>
      </c>
      <c r="B60" s="51" t="s">
        <v>1676</v>
      </c>
      <c r="C60" s="52">
        <v>1</v>
      </c>
      <c r="D60" s="61">
        <f t="shared" si="3"/>
        <v>15782.368800000002</v>
      </c>
      <c r="E60" s="62">
        <v>43684</v>
      </c>
      <c r="F60" s="63" t="s">
        <v>1689</v>
      </c>
      <c r="G60" s="63" t="s">
        <v>1684</v>
      </c>
      <c r="H60" s="64">
        <v>14347.608</v>
      </c>
      <c r="I60" s="64" t="s">
        <v>1718</v>
      </c>
    </row>
    <row r="61" spans="1:9" x14ac:dyDescent="0.25">
      <c r="A61" s="50" t="s">
        <v>365</v>
      </c>
      <c r="B61" s="51" t="s">
        <v>1676</v>
      </c>
      <c r="C61" s="52">
        <v>1</v>
      </c>
      <c r="D61" s="61">
        <f t="shared" si="3"/>
        <v>22497.618000000002</v>
      </c>
      <c r="E61" s="62">
        <v>43165</v>
      </c>
      <c r="F61" s="63" t="s">
        <v>1689</v>
      </c>
      <c r="G61" s="63" t="s">
        <v>1684</v>
      </c>
      <c r="H61" s="64">
        <v>20452.38</v>
      </c>
      <c r="I61" s="64" t="s">
        <v>1719</v>
      </c>
    </row>
    <row r="62" spans="1:9" x14ac:dyDescent="0.25">
      <c r="A62" s="50" t="s">
        <v>43</v>
      </c>
      <c r="B62" s="51" t="s">
        <v>1676</v>
      </c>
      <c r="C62" s="52">
        <v>1</v>
      </c>
      <c r="D62" s="61">
        <f t="shared" si="3"/>
        <v>6480</v>
      </c>
      <c r="E62" s="62">
        <v>44046</v>
      </c>
      <c r="F62" s="63" t="s">
        <v>1683</v>
      </c>
      <c r="G62" s="63" t="s">
        <v>1684</v>
      </c>
      <c r="H62" s="64">
        <v>6480</v>
      </c>
      <c r="I62" s="64" t="s">
        <v>1720</v>
      </c>
    </row>
    <row r="63" spans="1:9" x14ac:dyDescent="0.25">
      <c r="A63" s="50" t="s">
        <v>44</v>
      </c>
      <c r="B63" s="51" t="s">
        <v>1678</v>
      </c>
      <c r="C63" s="53">
        <v>25.126000000000001</v>
      </c>
      <c r="D63" s="61">
        <f t="shared" si="3"/>
        <v>396.00000000000006</v>
      </c>
      <c r="E63" s="62">
        <v>43931</v>
      </c>
      <c r="F63" s="63" t="s">
        <v>1721</v>
      </c>
      <c r="G63" s="63" t="s">
        <v>1684</v>
      </c>
      <c r="H63" s="64">
        <v>360</v>
      </c>
      <c r="I63" s="64" t="s">
        <v>44</v>
      </c>
    </row>
    <row r="64" spans="1:9" x14ac:dyDescent="0.25">
      <c r="A64" s="50" t="s">
        <v>45</v>
      </c>
      <c r="B64" s="51" t="s">
        <v>1678</v>
      </c>
      <c r="C64" s="54">
        <v>3458.1434399999998</v>
      </c>
      <c r="D64" s="142">
        <v>300</v>
      </c>
      <c r="E64" s="62">
        <v>44257</v>
      </c>
      <c r="F64" s="63" t="s">
        <v>1722</v>
      </c>
      <c r="G64" s="63" t="s">
        <v>1690</v>
      </c>
      <c r="H64" s="70">
        <f>1.047*1.4*1.1</f>
        <v>1.6123799999999999</v>
      </c>
      <c r="I64" s="64" t="s">
        <v>45</v>
      </c>
    </row>
    <row r="65" spans="1:9" x14ac:dyDescent="0.25">
      <c r="A65" s="50" t="s">
        <v>328</v>
      </c>
      <c r="B65" s="51" t="s">
        <v>1678</v>
      </c>
      <c r="C65" s="53">
        <v>33.311999999999998</v>
      </c>
      <c r="D65" s="136">
        <f>H65 * IF(G65="руб", 1, 1.4 * (k_ru_dol*(G65="USD")+k_ru_evro*(G65="EUR")+k_ru_yuan*(G65="CNY"))/1.2) * IF(E65&lt;(дата_расчета - 365),1.1,1)   *1.85</f>
        <v>455.28647999999998</v>
      </c>
      <c r="E65" s="62">
        <v>0</v>
      </c>
      <c r="F65" s="63" t="e">
        <v>#VALUE!</v>
      </c>
      <c r="G65" s="67" t="s">
        <v>1684</v>
      </c>
      <c r="H65" s="68">
        <v>223.72799999999998</v>
      </c>
      <c r="I65" s="64" t="s">
        <v>1712</v>
      </c>
    </row>
    <row r="66" spans="1:9" x14ac:dyDescent="0.25">
      <c r="A66" s="50" t="s">
        <v>366</v>
      </c>
      <c r="B66" s="51" t="s">
        <v>1676</v>
      </c>
      <c r="C66" s="52">
        <v>1</v>
      </c>
      <c r="D66" s="61">
        <f t="shared" ref="D66:D97" si="4">H66 * IF(G66="руб", 1, 1.4 * (k_ru_dol*(G66="USD")+k_ru_evro*(G66="EUR")+k_ru_yuan*(G66="CNY"))/1.2) * IF(E66&lt;(дата_расчета - 365),1.1,1)</f>
        <v>3211.9955999999997</v>
      </c>
      <c r="E66" s="62">
        <v>43889</v>
      </c>
      <c r="F66" s="63" t="s">
        <v>1723</v>
      </c>
      <c r="G66" s="63" t="s">
        <v>1684</v>
      </c>
      <c r="H66" s="64">
        <v>2919.9959999999996</v>
      </c>
      <c r="I66" s="64" t="s">
        <v>1724</v>
      </c>
    </row>
    <row r="67" spans="1:9" ht="26.25" x14ac:dyDescent="0.25">
      <c r="A67" s="50" t="s">
        <v>367</v>
      </c>
      <c r="B67" s="51" t="s">
        <v>1676</v>
      </c>
      <c r="C67" s="52">
        <v>1</v>
      </c>
      <c r="D67" s="61">
        <f t="shared" si="4"/>
        <v>1061.5044</v>
      </c>
      <c r="E67" s="62">
        <v>43881</v>
      </c>
      <c r="F67" s="63" t="s">
        <v>1725</v>
      </c>
      <c r="G67" s="63" t="s">
        <v>1684</v>
      </c>
      <c r="H67" s="64">
        <v>965.00399999999991</v>
      </c>
      <c r="I67" s="64" t="s">
        <v>1726</v>
      </c>
    </row>
    <row r="68" spans="1:9" x14ac:dyDescent="0.25">
      <c r="A68" s="50" t="s">
        <v>46</v>
      </c>
      <c r="B68" s="51" t="s">
        <v>1679</v>
      </c>
      <c r="C68" s="55">
        <v>581.28</v>
      </c>
      <c r="D68" s="61">
        <f t="shared" si="4"/>
        <v>0.21</v>
      </c>
      <c r="E68" s="62">
        <v>44054</v>
      </c>
      <c r="F68" s="63" t="s">
        <v>1727</v>
      </c>
      <c r="G68" s="63" t="s">
        <v>1684</v>
      </c>
      <c r="H68" s="73">
        <f>21/100</f>
        <v>0.21</v>
      </c>
      <c r="I68" s="64" t="s">
        <v>46</v>
      </c>
    </row>
    <row r="69" spans="1:9" x14ac:dyDescent="0.25">
      <c r="A69" s="50" t="s">
        <v>368</v>
      </c>
      <c r="B69" s="51" t="s">
        <v>1676</v>
      </c>
      <c r="C69" s="52">
        <v>1</v>
      </c>
      <c r="D69" s="61">
        <f t="shared" si="4"/>
        <v>6153.4308000000001</v>
      </c>
      <c r="E69" s="62">
        <v>44012</v>
      </c>
      <c r="F69" s="63" t="s">
        <v>1728</v>
      </c>
      <c r="G69" s="63" t="s">
        <v>1684</v>
      </c>
      <c r="H69" s="64">
        <v>5594.0279999999993</v>
      </c>
      <c r="I69" s="64" t="s">
        <v>1729</v>
      </c>
    </row>
    <row r="70" spans="1:9" x14ac:dyDescent="0.25">
      <c r="A70" s="50" t="s">
        <v>290</v>
      </c>
      <c r="B70" s="51" t="s">
        <v>1676</v>
      </c>
      <c r="C70" s="52">
        <v>12</v>
      </c>
      <c r="D70" s="61">
        <f t="shared" si="4"/>
        <v>259.512</v>
      </c>
      <c r="E70" s="62">
        <v>43935</v>
      </c>
      <c r="F70" s="63" t="s">
        <v>1730</v>
      </c>
      <c r="G70" s="63" t="s">
        <v>1684</v>
      </c>
      <c r="H70" s="64">
        <v>235.92</v>
      </c>
      <c r="I70" s="64" t="s">
        <v>290</v>
      </c>
    </row>
    <row r="71" spans="1:9" x14ac:dyDescent="0.25">
      <c r="A71" s="50" t="s">
        <v>301</v>
      </c>
      <c r="B71" s="51" t="s">
        <v>1676</v>
      </c>
      <c r="C71" s="52">
        <v>32</v>
      </c>
      <c r="D71" s="61">
        <f t="shared" si="4"/>
        <v>10.692</v>
      </c>
      <c r="E71" s="62">
        <v>43378</v>
      </c>
      <c r="F71" s="63" t="s">
        <v>1730</v>
      </c>
      <c r="G71" s="63" t="s">
        <v>1684</v>
      </c>
      <c r="H71" s="64">
        <v>9.7199999999999989</v>
      </c>
      <c r="I71" s="64" t="s">
        <v>1731</v>
      </c>
    </row>
    <row r="72" spans="1:9" x14ac:dyDescent="0.25">
      <c r="A72" s="50" t="s">
        <v>551</v>
      </c>
      <c r="B72" s="51" t="s">
        <v>1676</v>
      </c>
      <c r="C72" s="52">
        <v>500</v>
      </c>
      <c r="D72" s="61">
        <f t="shared" si="4"/>
        <v>12.6</v>
      </c>
      <c r="E72" s="62">
        <v>44054</v>
      </c>
      <c r="F72" s="63" t="s">
        <v>1730</v>
      </c>
      <c r="G72" s="63" t="s">
        <v>1684</v>
      </c>
      <c r="H72" s="64">
        <v>12.6</v>
      </c>
      <c r="I72" s="64" t="s">
        <v>551</v>
      </c>
    </row>
    <row r="73" spans="1:9" x14ac:dyDescent="0.25">
      <c r="A73" s="50" t="s">
        <v>261</v>
      </c>
      <c r="B73" s="51" t="s">
        <v>1676</v>
      </c>
      <c r="C73" s="52">
        <v>442</v>
      </c>
      <c r="D73" s="61">
        <f t="shared" si="4"/>
        <v>12.888</v>
      </c>
      <c r="E73" s="62">
        <v>44054</v>
      </c>
      <c r="F73" s="63" t="s">
        <v>1730</v>
      </c>
      <c r="G73" s="63" t="s">
        <v>1684</v>
      </c>
      <c r="H73" s="64">
        <v>12.888</v>
      </c>
      <c r="I73" s="64" t="s">
        <v>261</v>
      </c>
    </row>
    <row r="74" spans="1:9" x14ac:dyDescent="0.25">
      <c r="A74" s="50" t="s">
        <v>300</v>
      </c>
      <c r="B74" s="51" t="s">
        <v>1676</v>
      </c>
      <c r="C74" s="52">
        <v>88</v>
      </c>
      <c r="D74" s="61">
        <f t="shared" si="4"/>
        <v>13.912799999999999</v>
      </c>
      <c r="E74" s="62">
        <v>43378</v>
      </c>
      <c r="F74" s="63" t="s">
        <v>1730</v>
      </c>
      <c r="G74" s="63" t="s">
        <v>1684</v>
      </c>
      <c r="H74" s="64">
        <v>12.647999999999998</v>
      </c>
      <c r="I74" s="64" t="s">
        <v>1732</v>
      </c>
    </row>
    <row r="75" spans="1:9" x14ac:dyDescent="0.25">
      <c r="A75" s="50" t="s">
        <v>299</v>
      </c>
      <c r="B75" s="51" t="s">
        <v>1676</v>
      </c>
      <c r="C75" s="52">
        <v>8</v>
      </c>
      <c r="D75" s="61">
        <f t="shared" si="4"/>
        <v>15.367968000000003</v>
      </c>
      <c r="E75" s="62">
        <v>43287</v>
      </c>
      <c r="F75" s="63" t="s">
        <v>1730</v>
      </c>
      <c r="G75" s="63" t="s">
        <v>1684</v>
      </c>
      <c r="H75" s="64">
        <v>13.970880000000001</v>
      </c>
      <c r="I75" s="64" t="s">
        <v>1733</v>
      </c>
    </row>
    <row r="76" spans="1:9" x14ac:dyDescent="0.25">
      <c r="A76" s="50" t="s">
        <v>552</v>
      </c>
      <c r="B76" s="51" t="s">
        <v>1676</v>
      </c>
      <c r="C76" s="56">
        <v>2700</v>
      </c>
      <c r="D76" s="61">
        <f t="shared" si="4"/>
        <v>47.4</v>
      </c>
      <c r="E76" s="62">
        <v>44061</v>
      </c>
      <c r="F76" s="63" t="s">
        <v>1730</v>
      </c>
      <c r="G76" s="63" t="s">
        <v>1684</v>
      </c>
      <c r="H76" s="64">
        <v>47.4</v>
      </c>
      <c r="I76" s="64" t="s">
        <v>552</v>
      </c>
    </row>
    <row r="77" spans="1:9" x14ac:dyDescent="0.25">
      <c r="A77" s="50" t="s">
        <v>305</v>
      </c>
      <c r="B77" s="51" t="s">
        <v>1676</v>
      </c>
      <c r="C77" s="52">
        <v>8</v>
      </c>
      <c r="D77" s="61">
        <f t="shared" si="4"/>
        <v>66</v>
      </c>
      <c r="E77" s="62">
        <v>0</v>
      </c>
      <c r="F77" s="63" t="e">
        <v>#VALUE!</v>
      </c>
      <c r="G77" s="69" t="s">
        <v>1684</v>
      </c>
      <c r="H77" s="70">
        <v>60</v>
      </c>
      <c r="I77" s="64" t="s">
        <v>1712</v>
      </c>
    </row>
    <row r="78" spans="1:9" x14ac:dyDescent="0.25">
      <c r="A78" s="50" t="s">
        <v>304</v>
      </c>
      <c r="B78" s="51" t="s">
        <v>1676</v>
      </c>
      <c r="C78" s="52">
        <v>56</v>
      </c>
      <c r="D78" s="61">
        <f t="shared" si="4"/>
        <v>92.13600000000001</v>
      </c>
      <c r="E78" s="62">
        <v>43371</v>
      </c>
      <c r="F78" s="63" t="s">
        <v>1730</v>
      </c>
      <c r="G78" s="63" t="s">
        <v>1684</v>
      </c>
      <c r="H78" s="64">
        <v>83.76</v>
      </c>
      <c r="I78" s="64" t="s">
        <v>1734</v>
      </c>
    </row>
    <row r="79" spans="1:9" x14ac:dyDescent="0.25">
      <c r="A79" s="50" t="s">
        <v>308</v>
      </c>
      <c r="B79" s="51" t="s">
        <v>1676</v>
      </c>
      <c r="C79" s="52">
        <v>4</v>
      </c>
      <c r="D79" s="61">
        <f t="shared" si="4"/>
        <v>97.838399999999993</v>
      </c>
      <c r="E79" s="62">
        <v>43397</v>
      </c>
      <c r="F79" s="63" t="s">
        <v>1730</v>
      </c>
      <c r="G79" s="63" t="s">
        <v>1684</v>
      </c>
      <c r="H79" s="64">
        <v>88.943999999999988</v>
      </c>
      <c r="I79" s="64" t="s">
        <v>1735</v>
      </c>
    </row>
    <row r="80" spans="1:9" x14ac:dyDescent="0.25">
      <c r="A80" s="50" t="s">
        <v>553</v>
      </c>
      <c r="B80" s="51" t="s">
        <v>1676</v>
      </c>
      <c r="C80" s="52">
        <v>20</v>
      </c>
      <c r="D80" s="61">
        <f t="shared" si="4"/>
        <v>60.363600000000005</v>
      </c>
      <c r="E80" s="62">
        <v>43178</v>
      </c>
      <c r="F80" s="63" t="s">
        <v>1730</v>
      </c>
      <c r="G80" s="63" t="s">
        <v>1684</v>
      </c>
      <c r="H80" s="64">
        <v>54.875999999999998</v>
      </c>
      <c r="I80" s="64" t="s">
        <v>1736</v>
      </c>
    </row>
    <row r="81" spans="1:9" x14ac:dyDescent="0.25">
      <c r="A81" s="50" t="s">
        <v>282</v>
      </c>
      <c r="B81" s="51" t="s">
        <v>1676</v>
      </c>
      <c r="C81" s="52">
        <v>32</v>
      </c>
      <c r="D81" s="61">
        <f t="shared" si="4"/>
        <v>1.9809899999999998</v>
      </c>
      <c r="E81" s="62">
        <v>43252</v>
      </c>
      <c r="F81" s="63" t="s">
        <v>1730</v>
      </c>
      <c r="G81" s="63" t="s">
        <v>1684</v>
      </c>
      <c r="H81" s="64">
        <v>1.8008999999999997</v>
      </c>
      <c r="I81" s="64" t="s">
        <v>1737</v>
      </c>
    </row>
    <row r="82" spans="1:9" x14ac:dyDescent="0.25">
      <c r="A82" s="50" t="s">
        <v>279</v>
      </c>
      <c r="B82" s="51" t="s">
        <v>1676</v>
      </c>
      <c r="C82" s="52">
        <v>32</v>
      </c>
      <c r="D82" s="61">
        <f t="shared" si="4"/>
        <v>12.06</v>
      </c>
      <c r="E82" s="62">
        <v>44032</v>
      </c>
      <c r="F82" s="63" t="s">
        <v>1730</v>
      </c>
      <c r="G82" s="63" t="s">
        <v>1684</v>
      </c>
      <c r="H82" s="64">
        <v>12.06</v>
      </c>
      <c r="I82" s="64" t="s">
        <v>279</v>
      </c>
    </row>
    <row r="83" spans="1:9" x14ac:dyDescent="0.25">
      <c r="A83" s="50" t="s">
        <v>276</v>
      </c>
      <c r="B83" s="51" t="s">
        <v>1676</v>
      </c>
      <c r="C83" s="52">
        <v>88</v>
      </c>
      <c r="D83" s="61">
        <f t="shared" si="4"/>
        <v>9.4919999999999991</v>
      </c>
      <c r="E83" s="62">
        <v>44054</v>
      </c>
      <c r="F83" s="63" t="s">
        <v>1730</v>
      </c>
      <c r="G83" s="63" t="s">
        <v>1684</v>
      </c>
      <c r="H83" s="64">
        <v>9.4919999999999991</v>
      </c>
      <c r="I83" s="64" t="s">
        <v>276</v>
      </c>
    </row>
    <row r="84" spans="1:9" x14ac:dyDescent="0.25">
      <c r="A84" s="50" t="s">
        <v>283</v>
      </c>
      <c r="B84" s="51" t="s">
        <v>1676</v>
      </c>
      <c r="C84" s="52">
        <v>56</v>
      </c>
      <c r="D84" s="61">
        <f t="shared" si="4"/>
        <v>10.68</v>
      </c>
      <c r="E84" s="62">
        <v>44054</v>
      </c>
      <c r="F84" s="63" t="s">
        <v>1730</v>
      </c>
      <c r="G84" s="63" t="s">
        <v>1684</v>
      </c>
      <c r="H84" s="64">
        <v>10.68</v>
      </c>
      <c r="I84" s="64" t="s">
        <v>283</v>
      </c>
    </row>
    <row r="85" spans="1:9" x14ac:dyDescent="0.25">
      <c r="A85" s="50" t="s">
        <v>256</v>
      </c>
      <c r="B85" s="51" t="s">
        <v>1676</v>
      </c>
      <c r="C85" s="56">
        <v>15955</v>
      </c>
      <c r="D85" s="61">
        <f t="shared" si="4"/>
        <v>8.6999999999999993</v>
      </c>
      <c r="E85" s="62">
        <v>44067</v>
      </c>
      <c r="F85" s="63" t="s">
        <v>1730</v>
      </c>
      <c r="G85" s="63" t="s">
        <v>1684</v>
      </c>
      <c r="H85" s="64">
        <v>8.6999999999999993</v>
      </c>
      <c r="I85" s="64" t="s">
        <v>256</v>
      </c>
    </row>
    <row r="86" spans="1:9" x14ac:dyDescent="0.25">
      <c r="A86" s="50" t="s">
        <v>285</v>
      </c>
      <c r="B86" s="51" t="s">
        <v>1676</v>
      </c>
      <c r="C86" s="56">
        <v>7180</v>
      </c>
      <c r="D86" s="61">
        <f t="shared" si="4"/>
        <v>8.7719999999999985</v>
      </c>
      <c r="E86" s="62">
        <v>44054</v>
      </c>
      <c r="F86" s="63" t="s">
        <v>1730</v>
      </c>
      <c r="G86" s="63" t="s">
        <v>1684</v>
      </c>
      <c r="H86" s="64">
        <v>8.7719999999999985</v>
      </c>
      <c r="I86" s="64" t="s">
        <v>285</v>
      </c>
    </row>
    <row r="87" spans="1:9" x14ac:dyDescent="0.25">
      <c r="A87" s="50" t="s">
        <v>286</v>
      </c>
      <c r="B87" s="51" t="s">
        <v>1676</v>
      </c>
      <c r="C87" s="52">
        <v>1</v>
      </c>
      <c r="D87" s="61">
        <f t="shared" si="4"/>
        <v>12.051600000000002</v>
      </c>
      <c r="E87" s="62">
        <v>43850</v>
      </c>
      <c r="F87" s="63" t="s">
        <v>1730</v>
      </c>
      <c r="G87" s="63" t="s">
        <v>1684</v>
      </c>
      <c r="H87" s="64">
        <v>10.956000000000001</v>
      </c>
      <c r="I87" s="64" t="s">
        <v>286</v>
      </c>
    </row>
    <row r="88" spans="1:9" x14ac:dyDescent="0.25">
      <c r="A88" s="50" t="s">
        <v>236</v>
      </c>
      <c r="B88" s="51" t="s">
        <v>1676</v>
      </c>
      <c r="C88" s="52">
        <v>4</v>
      </c>
      <c r="D88" s="61">
        <f t="shared" si="4"/>
        <v>305.86799999999999</v>
      </c>
      <c r="E88" s="62">
        <v>44067</v>
      </c>
      <c r="F88" s="63" t="s">
        <v>1730</v>
      </c>
      <c r="G88" s="63" t="s">
        <v>1684</v>
      </c>
      <c r="H88" s="64">
        <v>305.86799999999999</v>
      </c>
      <c r="I88" s="64" t="s">
        <v>236</v>
      </c>
    </row>
    <row r="89" spans="1:9" x14ac:dyDescent="0.25">
      <c r="A89" s="50" t="s">
        <v>327</v>
      </c>
      <c r="B89" s="51" t="s">
        <v>1676</v>
      </c>
      <c r="C89" s="52">
        <v>4</v>
      </c>
      <c r="D89" s="61">
        <f t="shared" si="4"/>
        <v>5.5</v>
      </c>
      <c r="E89" s="62">
        <v>0</v>
      </c>
      <c r="F89" s="63" t="e">
        <v>#VALUE!</v>
      </c>
      <c r="G89" s="69" t="s">
        <v>1684</v>
      </c>
      <c r="H89" s="70">
        <v>5</v>
      </c>
      <c r="I89" s="64" t="s">
        <v>1712</v>
      </c>
    </row>
    <row r="90" spans="1:9" x14ac:dyDescent="0.25">
      <c r="A90" s="50" t="s">
        <v>322</v>
      </c>
      <c r="B90" s="51" t="s">
        <v>1676</v>
      </c>
      <c r="C90" s="52">
        <v>16</v>
      </c>
      <c r="D90" s="61">
        <f t="shared" si="4"/>
        <v>55.000000000000007</v>
      </c>
      <c r="E90" s="62">
        <v>0</v>
      </c>
      <c r="F90" s="63" t="e">
        <v>#VALUE!</v>
      </c>
      <c r="G90" s="69" t="s">
        <v>1684</v>
      </c>
      <c r="H90" s="70">
        <v>50</v>
      </c>
      <c r="I90" s="64" t="s">
        <v>1712</v>
      </c>
    </row>
    <row r="91" spans="1:9" x14ac:dyDescent="0.25">
      <c r="A91" s="50" t="s">
        <v>255</v>
      </c>
      <c r="B91" s="51" t="s">
        <v>1676</v>
      </c>
      <c r="C91" s="52">
        <v>70</v>
      </c>
      <c r="D91" s="61">
        <f t="shared" si="4"/>
        <v>13.452</v>
      </c>
      <c r="E91" s="62">
        <v>44032</v>
      </c>
      <c r="F91" s="63" t="s">
        <v>1730</v>
      </c>
      <c r="G91" s="63" t="s">
        <v>1684</v>
      </c>
      <c r="H91" s="64">
        <v>13.452</v>
      </c>
      <c r="I91" s="64" t="s">
        <v>255</v>
      </c>
    </row>
    <row r="92" spans="1:9" x14ac:dyDescent="0.25">
      <c r="A92" s="50" t="s">
        <v>292</v>
      </c>
      <c r="B92" s="51" t="s">
        <v>1676</v>
      </c>
      <c r="C92" s="52">
        <v>4</v>
      </c>
      <c r="D92" s="61">
        <f t="shared" si="4"/>
        <v>110.00000000000001</v>
      </c>
      <c r="E92" s="62">
        <v>0</v>
      </c>
      <c r="F92" s="63" t="e">
        <v>#VALUE!</v>
      </c>
      <c r="G92" s="69" t="s">
        <v>1684</v>
      </c>
      <c r="H92" s="70">
        <v>100</v>
      </c>
      <c r="I92" s="64" t="s">
        <v>1712</v>
      </c>
    </row>
    <row r="93" spans="1:9" x14ac:dyDescent="0.25">
      <c r="A93" s="50" t="s">
        <v>230</v>
      </c>
      <c r="B93" s="51" t="s">
        <v>1676</v>
      </c>
      <c r="C93" s="52">
        <v>16</v>
      </c>
      <c r="D93" s="61">
        <f t="shared" si="4"/>
        <v>24.023999999999997</v>
      </c>
      <c r="E93" s="62">
        <v>44067</v>
      </c>
      <c r="F93" s="63" t="s">
        <v>1730</v>
      </c>
      <c r="G93" s="63" t="s">
        <v>1684</v>
      </c>
      <c r="H93" s="64">
        <v>24.023999999999997</v>
      </c>
      <c r="I93" s="64" t="s">
        <v>230</v>
      </c>
    </row>
    <row r="94" spans="1:9" x14ac:dyDescent="0.25">
      <c r="A94" s="50" t="s">
        <v>293</v>
      </c>
      <c r="B94" s="51" t="s">
        <v>1676</v>
      </c>
      <c r="C94" s="52">
        <v>4</v>
      </c>
      <c r="D94" s="61">
        <f t="shared" si="4"/>
        <v>132</v>
      </c>
      <c r="E94" s="62">
        <v>0</v>
      </c>
      <c r="F94" s="63" t="e">
        <v>#VALUE!</v>
      </c>
      <c r="G94" s="69" t="s">
        <v>1684</v>
      </c>
      <c r="H94" s="70">
        <v>120</v>
      </c>
      <c r="I94" s="64" t="s">
        <v>1712</v>
      </c>
    </row>
    <row r="95" spans="1:9" x14ac:dyDescent="0.25">
      <c r="A95" s="50" t="s">
        <v>258</v>
      </c>
      <c r="B95" s="51" t="s">
        <v>1676</v>
      </c>
      <c r="C95" s="52">
        <v>54</v>
      </c>
      <c r="D95" s="61">
        <f t="shared" si="4"/>
        <v>18.443999999999999</v>
      </c>
      <c r="E95" s="62">
        <v>44061</v>
      </c>
      <c r="F95" s="63" t="s">
        <v>1730</v>
      </c>
      <c r="G95" s="63" t="s">
        <v>1684</v>
      </c>
      <c r="H95" s="64">
        <v>18.443999999999999</v>
      </c>
      <c r="I95" s="64" t="s">
        <v>258</v>
      </c>
    </row>
    <row r="96" spans="1:9" x14ac:dyDescent="0.25">
      <c r="A96" s="50" t="s">
        <v>237</v>
      </c>
      <c r="B96" s="51" t="s">
        <v>1676</v>
      </c>
      <c r="C96" s="52">
        <v>120</v>
      </c>
      <c r="D96" s="61">
        <f t="shared" si="4"/>
        <v>21.563999999999997</v>
      </c>
      <c r="E96" s="62">
        <v>44046</v>
      </c>
      <c r="F96" s="63" t="s">
        <v>1730</v>
      </c>
      <c r="G96" s="63" t="s">
        <v>1684</v>
      </c>
      <c r="H96" s="64">
        <v>21.563999999999997</v>
      </c>
      <c r="I96" s="64" t="s">
        <v>237</v>
      </c>
    </row>
    <row r="97" spans="1:9" x14ac:dyDescent="0.25">
      <c r="A97" s="50" t="s">
        <v>287</v>
      </c>
      <c r="B97" s="51" t="s">
        <v>1676</v>
      </c>
      <c r="C97" s="52">
        <v>8</v>
      </c>
      <c r="D97" s="61">
        <f t="shared" si="4"/>
        <v>16.5</v>
      </c>
      <c r="E97" s="62">
        <v>0</v>
      </c>
      <c r="F97" s="63" t="e">
        <v>#VALUE!</v>
      </c>
      <c r="G97" s="69" t="s">
        <v>1684</v>
      </c>
      <c r="H97" s="70">
        <v>15</v>
      </c>
      <c r="I97" s="64" t="s">
        <v>1712</v>
      </c>
    </row>
    <row r="98" spans="1:9" x14ac:dyDescent="0.25">
      <c r="A98" s="50" t="s">
        <v>298</v>
      </c>
      <c r="B98" s="51" t="s">
        <v>1676</v>
      </c>
      <c r="C98" s="52">
        <v>32</v>
      </c>
      <c r="D98" s="61">
        <f t="shared" ref="D98:D129" si="5">H98 * IF(G98="руб", 1, 1.4 * (k_ru_dol*(G98="USD")+k_ru_evro*(G98="EUR")+k_ru_yuan*(G98="CNY"))/1.2) * IF(E98&lt;(дата_расчета - 365),1.1,1)</f>
        <v>21.241466400000004</v>
      </c>
      <c r="E98" s="62">
        <v>43153</v>
      </c>
      <c r="F98" s="63" t="s">
        <v>1730</v>
      </c>
      <c r="G98" s="63" t="s">
        <v>1684</v>
      </c>
      <c r="H98" s="64">
        <v>19.310424000000001</v>
      </c>
      <c r="I98" s="64" t="s">
        <v>1738</v>
      </c>
    </row>
    <row r="99" spans="1:9" x14ac:dyDescent="0.25">
      <c r="A99" s="50" t="s">
        <v>267</v>
      </c>
      <c r="B99" s="51" t="s">
        <v>1676</v>
      </c>
      <c r="C99" s="52">
        <v>4</v>
      </c>
      <c r="D99" s="61">
        <f t="shared" si="5"/>
        <v>9.0419999999999998</v>
      </c>
      <c r="E99" s="62">
        <v>43908</v>
      </c>
      <c r="F99" s="63" t="s">
        <v>1730</v>
      </c>
      <c r="G99" s="63" t="s">
        <v>1684</v>
      </c>
      <c r="H99" s="64">
        <v>8.2199999999999989</v>
      </c>
      <c r="I99" s="64" t="s">
        <v>267</v>
      </c>
    </row>
    <row r="100" spans="1:9" x14ac:dyDescent="0.25">
      <c r="A100" s="50" t="s">
        <v>325</v>
      </c>
      <c r="B100" s="51" t="s">
        <v>1676</v>
      </c>
      <c r="C100" s="52">
        <v>60</v>
      </c>
      <c r="D100" s="61">
        <f t="shared" si="5"/>
        <v>8.2199999999999989</v>
      </c>
      <c r="E100" s="62">
        <v>44046</v>
      </c>
      <c r="F100" s="63" t="s">
        <v>1730</v>
      </c>
      <c r="G100" s="63" t="s">
        <v>1684</v>
      </c>
      <c r="H100" s="64">
        <v>8.2199999999999989</v>
      </c>
      <c r="I100" s="64" t="s">
        <v>325</v>
      </c>
    </row>
    <row r="101" spans="1:9" x14ac:dyDescent="0.25">
      <c r="A101" s="50" t="s">
        <v>317</v>
      </c>
      <c r="B101" s="51" t="s">
        <v>1676</v>
      </c>
      <c r="C101" s="52">
        <v>16</v>
      </c>
      <c r="D101" s="61">
        <f t="shared" si="5"/>
        <v>2.9700000000000006</v>
      </c>
      <c r="E101" s="62">
        <v>0</v>
      </c>
      <c r="F101" s="63" t="e">
        <v>#VALUE!</v>
      </c>
      <c r="G101" s="69" t="s">
        <v>1684</v>
      </c>
      <c r="H101" s="70">
        <v>2.7</v>
      </c>
      <c r="I101" s="64" t="s">
        <v>1712</v>
      </c>
    </row>
    <row r="102" spans="1:9" x14ac:dyDescent="0.25">
      <c r="A102" s="50" t="s">
        <v>346</v>
      </c>
      <c r="B102" s="51" t="s">
        <v>1676</v>
      </c>
      <c r="C102" s="52">
        <v>7</v>
      </c>
      <c r="D102" s="61">
        <f t="shared" si="5"/>
        <v>9.3719999999999999</v>
      </c>
      <c r="E102" s="62">
        <v>43908</v>
      </c>
      <c r="F102" s="63" t="s">
        <v>1730</v>
      </c>
      <c r="G102" s="63" t="s">
        <v>1684</v>
      </c>
      <c r="H102" s="64">
        <v>8.52</v>
      </c>
      <c r="I102" s="64" t="s">
        <v>346</v>
      </c>
    </row>
    <row r="103" spans="1:9" x14ac:dyDescent="0.25">
      <c r="A103" s="50" t="s">
        <v>218</v>
      </c>
      <c r="B103" s="51" t="s">
        <v>1676</v>
      </c>
      <c r="C103" s="52">
        <v>13</v>
      </c>
      <c r="D103" s="61">
        <f t="shared" si="5"/>
        <v>4.26</v>
      </c>
      <c r="E103" s="62">
        <v>44046</v>
      </c>
      <c r="F103" s="63" t="s">
        <v>1730</v>
      </c>
      <c r="G103" s="63" t="s">
        <v>1684</v>
      </c>
      <c r="H103" s="64">
        <v>4.26</v>
      </c>
      <c r="I103" s="64" t="s">
        <v>218</v>
      </c>
    </row>
    <row r="104" spans="1:9" x14ac:dyDescent="0.25">
      <c r="A104" s="50" t="s">
        <v>47</v>
      </c>
      <c r="B104" s="51" t="s">
        <v>1676</v>
      </c>
      <c r="C104" s="52">
        <v>32</v>
      </c>
      <c r="D104" s="61">
        <f t="shared" si="5"/>
        <v>6.8772000000000002</v>
      </c>
      <c r="E104" s="62">
        <v>43703</v>
      </c>
      <c r="F104" s="63" t="s">
        <v>1739</v>
      </c>
      <c r="G104" s="63" t="s">
        <v>1684</v>
      </c>
      <c r="H104" s="64">
        <v>6.2519999999999998</v>
      </c>
      <c r="I104" s="64" t="s">
        <v>47</v>
      </c>
    </row>
    <row r="105" spans="1:9" x14ac:dyDescent="0.25">
      <c r="A105" s="50" t="s">
        <v>223</v>
      </c>
      <c r="B105" s="51" t="s">
        <v>1676</v>
      </c>
      <c r="C105" s="52">
        <v>375</v>
      </c>
      <c r="D105" s="61">
        <f t="shared" si="5"/>
        <v>5.0999999999999996</v>
      </c>
      <c r="E105" s="62">
        <v>44054</v>
      </c>
      <c r="F105" s="63" t="s">
        <v>1730</v>
      </c>
      <c r="G105" s="63" t="s">
        <v>1684</v>
      </c>
      <c r="H105" s="64">
        <v>5.0999999999999996</v>
      </c>
      <c r="I105" s="64" t="s">
        <v>223</v>
      </c>
    </row>
    <row r="106" spans="1:9" x14ac:dyDescent="0.25">
      <c r="A106" s="50" t="s">
        <v>234</v>
      </c>
      <c r="B106" s="51" t="s">
        <v>1676</v>
      </c>
      <c r="C106" s="52">
        <v>31</v>
      </c>
      <c r="D106" s="61">
        <f t="shared" si="5"/>
        <v>5.4119999999999999</v>
      </c>
      <c r="E106" s="62">
        <v>44046</v>
      </c>
      <c r="F106" s="63" t="s">
        <v>1730</v>
      </c>
      <c r="G106" s="63" t="s">
        <v>1684</v>
      </c>
      <c r="H106" s="64">
        <v>5.4119999999999999</v>
      </c>
      <c r="I106" s="64" t="s">
        <v>234</v>
      </c>
    </row>
    <row r="107" spans="1:9" x14ac:dyDescent="0.25">
      <c r="A107" s="50" t="s">
        <v>251</v>
      </c>
      <c r="B107" s="51" t="s">
        <v>1676</v>
      </c>
      <c r="C107" s="52">
        <v>4</v>
      </c>
      <c r="D107" s="61">
        <f t="shared" si="5"/>
        <v>5.976</v>
      </c>
      <c r="E107" s="62">
        <v>44032</v>
      </c>
      <c r="F107" s="63" t="s">
        <v>1730</v>
      </c>
      <c r="G107" s="63" t="s">
        <v>1684</v>
      </c>
      <c r="H107" s="64">
        <v>5.976</v>
      </c>
      <c r="I107" s="64" t="s">
        <v>251</v>
      </c>
    </row>
    <row r="108" spans="1:9" x14ac:dyDescent="0.25">
      <c r="A108" s="50" t="s">
        <v>242</v>
      </c>
      <c r="B108" s="51" t="s">
        <v>1676</v>
      </c>
      <c r="C108" s="52">
        <v>14</v>
      </c>
      <c r="D108" s="61">
        <f t="shared" si="5"/>
        <v>6.5159999999999991</v>
      </c>
      <c r="E108" s="62">
        <v>44032</v>
      </c>
      <c r="F108" s="63" t="s">
        <v>1730</v>
      </c>
      <c r="G108" s="63" t="s">
        <v>1684</v>
      </c>
      <c r="H108" s="64">
        <v>6.5159999999999991</v>
      </c>
      <c r="I108" s="64" t="s">
        <v>242</v>
      </c>
    </row>
    <row r="109" spans="1:9" x14ac:dyDescent="0.25">
      <c r="A109" s="50" t="s">
        <v>262</v>
      </c>
      <c r="B109" s="51" t="s">
        <v>1676</v>
      </c>
      <c r="C109" s="52">
        <v>12</v>
      </c>
      <c r="D109" s="61">
        <f t="shared" si="5"/>
        <v>12.100000000000001</v>
      </c>
      <c r="E109" s="62">
        <v>0</v>
      </c>
      <c r="F109" s="63" t="e">
        <v>#VALUE!</v>
      </c>
      <c r="G109" s="69" t="s">
        <v>1684</v>
      </c>
      <c r="H109" s="70">
        <v>11</v>
      </c>
      <c r="I109" s="64" t="s">
        <v>1712</v>
      </c>
    </row>
    <row r="110" spans="1:9" x14ac:dyDescent="0.25">
      <c r="A110" s="50" t="s">
        <v>345</v>
      </c>
      <c r="B110" s="51" t="s">
        <v>1676</v>
      </c>
      <c r="C110" s="52">
        <v>2</v>
      </c>
      <c r="D110" s="61">
        <f t="shared" si="5"/>
        <v>14.3</v>
      </c>
      <c r="E110" s="62">
        <v>0</v>
      </c>
      <c r="F110" s="63" t="e">
        <v>#VALUE!</v>
      </c>
      <c r="G110" s="69" t="s">
        <v>1684</v>
      </c>
      <c r="H110" s="70">
        <v>13</v>
      </c>
      <c r="I110" s="64" t="s">
        <v>1712</v>
      </c>
    </row>
    <row r="111" spans="1:9" x14ac:dyDescent="0.25">
      <c r="A111" s="50" t="s">
        <v>48</v>
      </c>
      <c r="B111" s="51" t="s">
        <v>1676</v>
      </c>
      <c r="C111" s="52">
        <v>48</v>
      </c>
      <c r="D111" s="61">
        <f t="shared" si="5"/>
        <v>13.9656</v>
      </c>
      <c r="E111" s="62">
        <v>43703</v>
      </c>
      <c r="F111" s="63" t="s">
        <v>1739</v>
      </c>
      <c r="G111" s="63" t="s">
        <v>1684</v>
      </c>
      <c r="H111" s="64">
        <v>12.696</v>
      </c>
      <c r="I111" s="64" t="s">
        <v>48</v>
      </c>
    </row>
    <row r="112" spans="1:9" x14ac:dyDescent="0.25">
      <c r="A112" s="50" t="s">
        <v>288</v>
      </c>
      <c r="B112" s="51" t="s">
        <v>1676</v>
      </c>
      <c r="C112" s="52">
        <v>12</v>
      </c>
      <c r="D112" s="61">
        <f t="shared" si="5"/>
        <v>5.4959652000000006</v>
      </c>
      <c r="E112" s="62">
        <v>43252</v>
      </c>
      <c r="F112" s="63" t="s">
        <v>1730</v>
      </c>
      <c r="G112" s="63" t="s">
        <v>1684</v>
      </c>
      <c r="H112" s="64">
        <v>4.9963319999999998</v>
      </c>
      <c r="I112" s="64" t="s">
        <v>1741</v>
      </c>
    </row>
    <row r="113" spans="1:9" x14ac:dyDescent="0.25">
      <c r="A113" s="50" t="s">
        <v>243</v>
      </c>
      <c r="B113" s="51" t="s">
        <v>1676</v>
      </c>
      <c r="C113" s="52">
        <v>1</v>
      </c>
      <c r="D113" s="61">
        <f t="shared" si="5"/>
        <v>102.75599999999999</v>
      </c>
      <c r="E113" s="62">
        <v>44032</v>
      </c>
      <c r="F113" s="63" t="s">
        <v>1730</v>
      </c>
      <c r="G113" s="63" t="s">
        <v>1684</v>
      </c>
      <c r="H113" s="64">
        <v>102.75599999999999</v>
      </c>
      <c r="I113" s="64" t="s">
        <v>243</v>
      </c>
    </row>
    <row r="114" spans="1:9" x14ac:dyDescent="0.25">
      <c r="A114" s="50" t="s">
        <v>369</v>
      </c>
      <c r="B114" s="51" t="s">
        <v>1676</v>
      </c>
      <c r="C114" s="52">
        <v>1</v>
      </c>
      <c r="D114" s="61">
        <f t="shared" si="5"/>
        <v>1276.2750000000001</v>
      </c>
      <c r="E114" s="62">
        <v>43143</v>
      </c>
      <c r="F114" s="63" t="s">
        <v>1742</v>
      </c>
      <c r="G114" s="63" t="s">
        <v>1699</v>
      </c>
      <c r="H114" s="64">
        <v>13.26</v>
      </c>
      <c r="I114" s="64" t="s">
        <v>1743</v>
      </c>
    </row>
    <row r="115" spans="1:9" x14ac:dyDescent="0.25">
      <c r="A115" s="50" t="s">
        <v>370</v>
      </c>
      <c r="B115" s="51" t="s">
        <v>1676</v>
      </c>
      <c r="C115" s="52">
        <v>16</v>
      </c>
      <c r="D115" s="61">
        <f t="shared" si="5"/>
        <v>77</v>
      </c>
      <c r="E115" s="62">
        <v>0</v>
      </c>
      <c r="F115" s="63" t="e">
        <v>#VALUE!</v>
      </c>
      <c r="G115" s="69" t="s">
        <v>1684</v>
      </c>
      <c r="H115" s="70">
        <v>70</v>
      </c>
      <c r="I115" s="64" t="s">
        <v>1712</v>
      </c>
    </row>
    <row r="116" spans="1:9" x14ac:dyDescent="0.25">
      <c r="A116" s="50" t="s">
        <v>323</v>
      </c>
      <c r="B116" s="51" t="s">
        <v>1676</v>
      </c>
      <c r="C116" s="52">
        <v>12</v>
      </c>
      <c r="D116" s="61">
        <f t="shared" si="5"/>
        <v>13.978800000000001</v>
      </c>
      <c r="E116" s="62">
        <v>43287</v>
      </c>
      <c r="F116" s="63" t="s">
        <v>1730</v>
      </c>
      <c r="G116" s="63" t="s">
        <v>1684</v>
      </c>
      <c r="H116" s="64">
        <v>12.708</v>
      </c>
      <c r="I116" s="64" t="s">
        <v>1744</v>
      </c>
    </row>
    <row r="117" spans="1:9" x14ac:dyDescent="0.25">
      <c r="A117" s="50" t="s">
        <v>278</v>
      </c>
      <c r="B117" s="51" t="s">
        <v>1676</v>
      </c>
      <c r="C117" s="52">
        <v>136</v>
      </c>
      <c r="D117" s="61">
        <f t="shared" si="5"/>
        <v>4.5599999999999996</v>
      </c>
      <c r="E117" s="62">
        <v>44061</v>
      </c>
      <c r="F117" s="63" t="s">
        <v>1730</v>
      </c>
      <c r="G117" s="63" t="s">
        <v>1684</v>
      </c>
      <c r="H117" s="64">
        <v>4.5599999999999996</v>
      </c>
      <c r="I117" s="64" t="s">
        <v>278</v>
      </c>
    </row>
    <row r="118" spans="1:9" x14ac:dyDescent="0.25">
      <c r="A118" s="50" t="s">
        <v>275</v>
      </c>
      <c r="B118" s="51" t="s">
        <v>1676</v>
      </c>
      <c r="C118" s="52">
        <v>16</v>
      </c>
      <c r="D118" s="61">
        <f t="shared" si="5"/>
        <v>0.83160000000000012</v>
      </c>
      <c r="E118" s="62">
        <v>43529</v>
      </c>
      <c r="F118" s="63" t="s">
        <v>1730</v>
      </c>
      <c r="G118" s="63" t="s">
        <v>1684</v>
      </c>
      <c r="H118" s="64">
        <v>0.75600000000000001</v>
      </c>
      <c r="I118" s="64" t="s">
        <v>275</v>
      </c>
    </row>
    <row r="119" spans="1:9" x14ac:dyDescent="0.25">
      <c r="A119" s="50" t="s">
        <v>316</v>
      </c>
      <c r="B119" s="51" t="s">
        <v>1676</v>
      </c>
      <c r="C119" s="52">
        <v>32</v>
      </c>
      <c r="D119" s="61">
        <f t="shared" si="5"/>
        <v>1.2804</v>
      </c>
      <c r="E119" s="62">
        <v>43599</v>
      </c>
      <c r="F119" s="63" t="s">
        <v>1730</v>
      </c>
      <c r="G119" s="63" t="s">
        <v>1684</v>
      </c>
      <c r="H119" s="64">
        <v>1.1639999999999999</v>
      </c>
      <c r="I119" s="64" t="s">
        <v>316</v>
      </c>
    </row>
    <row r="120" spans="1:9" x14ac:dyDescent="0.25">
      <c r="A120" s="50" t="s">
        <v>343</v>
      </c>
      <c r="B120" s="51" t="s">
        <v>1676</v>
      </c>
      <c r="C120" s="52">
        <v>32</v>
      </c>
      <c r="D120" s="61">
        <f t="shared" si="5"/>
        <v>4.3680000000000003</v>
      </c>
      <c r="E120" s="62">
        <v>44046</v>
      </c>
      <c r="F120" s="63" t="s">
        <v>1730</v>
      </c>
      <c r="G120" s="63" t="s">
        <v>1684</v>
      </c>
      <c r="H120" s="64">
        <v>4.3680000000000003</v>
      </c>
      <c r="I120" s="64" t="s">
        <v>343</v>
      </c>
    </row>
    <row r="121" spans="1:9" x14ac:dyDescent="0.25">
      <c r="A121" s="50" t="s">
        <v>321</v>
      </c>
      <c r="B121" s="51" t="s">
        <v>1676</v>
      </c>
      <c r="C121" s="52">
        <v>144</v>
      </c>
      <c r="D121" s="61">
        <f t="shared" si="5"/>
        <v>0.88440000000000007</v>
      </c>
      <c r="E121" s="62">
        <v>43252</v>
      </c>
      <c r="F121" s="63" t="s">
        <v>1730</v>
      </c>
      <c r="G121" s="63" t="s">
        <v>1684</v>
      </c>
      <c r="H121" s="64">
        <v>0.80400000000000005</v>
      </c>
      <c r="I121" s="64" t="s">
        <v>321</v>
      </c>
    </row>
    <row r="122" spans="1:9" x14ac:dyDescent="0.25">
      <c r="A122" s="50" t="s">
        <v>289</v>
      </c>
      <c r="B122" s="51" t="s">
        <v>1676</v>
      </c>
      <c r="C122" s="52">
        <v>9</v>
      </c>
      <c r="D122" s="61">
        <f t="shared" si="5"/>
        <v>5.1348000000000003</v>
      </c>
      <c r="E122" s="62">
        <v>43871</v>
      </c>
      <c r="F122" s="63" t="s">
        <v>1730</v>
      </c>
      <c r="G122" s="63" t="s">
        <v>1684</v>
      </c>
      <c r="H122" s="64">
        <v>4.6680000000000001</v>
      </c>
      <c r="I122" s="64" t="s">
        <v>289</v>
      </c>
    </row>
    <row r="123" spans="1:9" x14ac:dyDescent="0.25">
      <c r="A123" s="50" t="s">
        <v>554</v>
      </c>
      <c r="B123" s="51" t="s">
        <v>1676</v>
      </c>
      <c r="C123" s="52">
        <v>4</v>
      </c>
      <c r="D123" s="61">
        <f t="shared" si="5"/>
        <v>9.57</v>
      </c>
      <c r="E123" s="62">
        <v>0</v>
      </c>
      <c r="F123" s="63" t="e">
        <v>#VALUE!</v>
      </c>
      <c r="G123" s="69" t="s">
        <v>1684</v>
      </c>
      <c r="H123" s="70">
        <v>8.6999999999999993</v>
      </c>
      <c r="I123" s="64" t="s">
        <v>1712</v>
      </c>
    </row>
    <row r="124" spans="1:9" x14ac:dyDescent="0.25">
      <c r="A124" s="50" t="s">
        <v>274</v>
      </c>
      <c r="B124" s="51" t="s">
        <v>1676</v>
      </c>
      <c r="C124" s="56">
        <v>2958</v>
      </c>
      <c r="D124" s="61">
        <f t="shared" si="5"/>
        <v>8.6999999999999993</v>
      </c>
      <c r="E124" s="62">
        <v>44046</v>
      </c>
      <c r="F124" s="63" t="s">
        <v>1730</v>
      </c>
      <c r="G124" s="63" t="s">
        <v>1684</v>
      </c>
      <c r="H124" s="64">
        <v>8.6999999999999993</v>
      </c>
      <c r="I124" s="64" t="s">
        <v>274</v>
      </c>
    </row>
    <row r="125" spans="1:9" x14ac:dyDescent="0.25">
      <c r="A125" s="50" t="s">
        <v>224</v>
      </c>
      <c r="B125" s="51" t="s">
        <v>1676</v>
      </c>
      <c r="C125" s="52">
        <v>16</v>
      </c>
      <c r="D125" s="61">
        <f t="shared" si="5"/>
        <v>6.72</v>
      </c>
      <c r="E125" s="62">
        <v>44046</v>
      </c>
      <c r="F125" s="63" t="s">
        <v>1730</v>
      </c>
      <c r="G125" s="63" t="s">
        <v>1684</v>
      </c>
      <c r="H125" s="64">
        <v>6.72</v>
      </c>
      <c r="I125" s="64" t="s">
        <v>224</v>
      </c>
    </row>
    <row r="126" spans="1:9" x14ac:dyDescent="0.25">
      <c r="A126" s="50" t="s">
        <v>254</v>
      </c>
      <c r="B126" s="51" t="s">
        <v>1676</v>
      </c>
      <c r="C126" s="52">
        <v>2</v>
      </c>
      <c r="D126" s="61">
        <f t="shared" si="5"/>
        <v>31.451999999999998</v>
      </c>
      <c r="E126" s="62">
        <v>44067</v>
      </c>
      <c r="F126" s="63" t="s">
        <v>1730</v>
      </c>
      <c r="G126" s="63" t="s">
        <v>1684</v>
      </c>
      <c r="H126" s="64">
        <v>31.451999999999998</v>
      </c>
      <c r="I126" s="64" t="s">
        <v>254</v>
      </c>
    </row>
    <row r="127" spans="1:9" x14ac:dyDescent="0.25">
      <c r="A127" s="50" t="s">
        <v>226</v>
      </c>
      <c r="B127" s="51" t="s">
        <v>1676</v>
      </c>
      <c r="C127" s="52">
        <v>2</v>
      </c>
      <c r="D127" s="61">
        <f t="shared" si="5"/>
        <v>36.735599999999998</v>
      </c>
      <c r="E127" s="62">
        <v>43119</v>
      </c>
      <c r="F127" s="63" t="s">
        <v>1730</v>
      </c>
      <c r="G127" s="63" t="s">
        <v>1684</v>
      </c>
      <c r="H127" s="64">
        <v>33.395999999999994</v>
      </c>
      <c r="I127" s="64" t="s">
        <v>226</v>
      </c>
    </row>
    <row r="128" spans="1:9" x14ac:dyDescent="0.25">
      <c r="A128" s="50" t="s">
        <v>269</v>
      </c>
      <c r="B128" s="51" t="s">
        <v>1676</v>
      </c>
      <c r="C128" s="52">
        <v>1</v>
      </c>
      <c r="D128" s="61">
        <f t="shared" si="5"/>
        <v>5.5</v>
      </c>
      <c r="E128" s="62">
        <v>0</v>
      </c>
      <c r="F128" s="63" t="e">
        <v>#VALUE!</v>
      </c>
      <c r="G128" s="69" t="s">
        <v>1684</v>
      </c>
      <c r="H128" s="70">
        <v>5</v>
      </c>
      <c r="I128" s="64" t="s">
        <v>1712</v>
      </c>
    </row>
    <row r="129" spans="1:9" x14ac:dyDescent="0.25">
      <c r="A129" s="50" t="s">
        <v>270</v>
      </c>
      <c r="B129" s="51" t="s">
        <v>1676</v>
      </c>
      <c r="C129" s="52">
        <v>2</v>
      </c>
      <c r="D129" s="61">
        <f t="shared" si="5"/>
        <v>9.4512000000000018</v>
      </c>
      <c r="E129" s="62">
        <v>43850</v>
      </c>
      <c r="F129" s="63" t="s">
        <v>1730</v>
      </c>
      <c r="G129" s="63" t="s">
        <v>1684</v>
      </c>
      <c r="H129" s="64">
        <v>8.5920000000000005</v>
      </c>
      <c r="I129" s="64" t="s">
        <v>270</v>
      </c>
    </row>
    <row r="130" spans="1:9" x14ac:dyDescent="0.25">
      <c r="A130" s="50" t="s">
        <v>225</v>
      </c>
      <c r="B130" s="51" t="s">
        <v>1676</v>
      </c>
      <c r="C130" s="52">
        <v>2</v>
      </c>
      <c r="D130" s="61">
        <f t="shared" ref="D130:D161" si="6">H130 * IF(G130="руб", 1, 1.4 * (k_ru_dol*(G130="USD")+k_ru_evro*(G130="EUR")+k_ru_yuan*(G130="CNY"))/1.2) * IF(E130&lt;(дата_расчета - 365),1.1,1)</f>
        <v>1.9140000000000001</v>
      </c>
      <c r="E130" s="62">
        <v>43308</v>
      </c>
      <c r="F130" s="63" t="s">
        <v>1745</v>
      </c>
      <c r="G130" s="63" t="s">
        <v>1684</v>
      </c>
      <c r="H130" s="64">
        <v>1.74</v>
      </c>
      <c r="I130" s="64" t="s">
        <v>225</v>
      </c>
    </row>
    <row r="131" spans="1:9" x14ac:dyDescent="0.25">
      <c r="A131" s="50" t="s">
        <v>247</v>
      </c>
      <c r="B131" s="51" t="s">
        <v>1676</v>
      </c>
      <c r="C131" s="52">
        <v>1</v>
      </c>
      <c r="D131" s="61">
        <f t="shared" si="6"/>
        <v>13.873200000000001</v>
      </c>
      <c r="E131" s="62">
        <v>43867</v>
      </c>
      <c r="F131" s="63" t="s">
        <v>1730</v>
      </c>
      <c r="G131" s="63" t="s">
        <v>1684</v>
      </c>
      <c r="H131" s="64">
        <v>12.612</v>
      </c>
      <c r="I131" s="64" t="s">
        <v>247</v>
      </c>
    </row>
    <row r="132" spans="1:9" x14ac:dyDescent="0.25">
      <c r="A132" s="50" t="s">
        <v>320</v>
      </c>
      <c r="B132" s="51" t="s">
        <v>1676</v>
      </c>
      <c r="C132" s="52">
        <v>4</v>
      </c>
      <c r="D132" s="61">
        <f t="shared" si="6"/>
        <v>11</v>
      </c>
      <c r="E132" s="62">
        <v>0</v>
      </c>
      <c r="F132" s="63" t="e">
        <v>#VALUE!</v>
      </c>
      <c r="G132" s="69" t="s">
        <v>1684</v>
      </c>
      <c r="H132" s="70">
        <v>10</v>
      </c>
      <c r="I132" s="64" t="s">
        <v>1712</v>
      </c>
    </row>
    <row r="133" spans="1:9" x14ac:dyDescent="0.25">
      <c r="A133" s="50" t="s">
        <v>49</v>
      </c>
      <c r="B133" s="51" t="s">
        <v>1676</v>
      </c>
      <c r="C133" s="52">
        <v>32</v>
      </c>
      <c r="D133" s="61">
        <f t="shared" si="6"/>
        <v>1.2012000000000003</v>
      </c>
      <c r="E133" s="62">
        <v>43900</v>
      </c>
      <c r="F133" s="63" t="s">
        <v>1746</v>
      </c>
      <c r="G133" s="63" t="s">
        <v>1684</v>
      </c>
      <c r="H133" s="64">
        <v>1.0920000000000001</v>
      </c>
      <c r="I133" s="64" t="s">
        <v>49</v>
      </c>
    </row>
    <row r="134" spans="1:9" x14ac:dyDescent="0.25">
      <c r="A134" s="50" t="s">
        <v>555</v>
      </c>
      <c r="B134" s="51" t="s">
        <v>1676</v>
      </c>
      <c r="C134" s="52">
        <v>40</v>
      </c>
      <c r="D134" s="61">
        <f t="shared" si="6"/>
        <v>88.176000000000002</v>
      </c>
      <c r="E134" s="62">
        <v>44046</v>
      </c>
      <c r="F134" s="63" t="s">
        <v>1730</v>
      </c>
      <c r="G134" s="63" t="s">
        <v>1684</v>
      </c>
      <c r="H134" s="64">
        <v>88.176000000000002</v>
      </c>
      <c r="I134" s="64" t="s">
        <v>555</v>
      </c>
    </row>
    <row r="135" spans="1:9" x14ac:dyDescent="0.25">
      <c r="A135" s="50" t="s">
        <v>556</v>
      </c>
      <c r="B135" s="51" t="s">
        <v>1676</v>
      </c>
      <c r="C135" s="52">
        <v>50</v>
      </c>
      <c r="D135" s="61">
        <f t="shared" si="6"/>
        <v>5.5</v>
      </c>
      <c r="E135" s="62">
        <v>0</v>
      </c>
      <c r="F135" s="63" t="e">
        <v>#VALUE!</v>
      </c>
      <c r="G135" s="69" t="s">
        <v>1684</v>
      </c>
      <c r="H135" s="70">
        <v>5</v>
      </c>
      <c r="I135" s="64" t="s">
        <v>1712</v>
      </c>
    </row>
    <row r="136" spans="1:9" x14ac:dyDescent="0.25">
      <c r="A136" s="50" t="s">
        <v>319</v>
      </c>
      <c r="B136" s="51" t="s">
        <v>1676</v>
      </c>
      <c r="C136" s="52">
        <v>5</v>
      </c>
      <c r="D136" s="61">
        <f t="shared" si="6"/>
        <v>4.2240000000000002</v>
      </c>
      <c r="E136" s="62">
        <v>0</v>
      </c>
      <c r="F136" s="63" t="e">
        <v>#VALUE!</v>
      </c>
      <c r="G136" s="69" t="s">
        <v>1684</v>
      </c>
      <c r="H136" s="70">
        <v>3.84</v>
      </c>
      <c r="I136" s="64" t="s">
        <v>1712</v>
      </c>
    </row>
    <row r="137" spans="1:9" x14ac:dyDescent="0.25">
      <c r="A137" s="50" t="s">
        <v>284</v>
      </c>
      <c r="B137" s="51" t="s">
        <v>1676</v>
      </c>
      <c r="C137" s="52">
        <v>746</v>
      </c>
      <c r="D137" s="61">
        <f t="shared" si="6"/>
        <v>40.163999999999994</v>
      </c>
      <c r="E137" s="62">
        <v>44054</v>
      </c>
      <c r="F137" s="63" t="s">
        <v>1730</v>
      </c>
      <c r="G137" s="63" t="s">
        <v>1684</v>
      </c>
      <c r="H137" s="64">
        <v>40.163999999999994</v>
      </c>
      <c r="I137" s="64" t="s">
        <v>284</v>
      </c>
    </row>
    <row r="138" spans="1:9" x14ac:dyDescent="0.25">
      <c r="A138" s="50" t="s">
        <v>50</v>
      </c>
      <c r="B138" s="51" t="s">
        <v>1676</v>
      </c>
      <c r="C138" s="52">
        <v>8</v>
      </c>
      <c r="D138" s="61">
        <f t="shared" si="6"/>
        <v>31.627200000000002</v>
      </c>
      <c r="E138" s="62">
        <v>43119</v>
      </c>
      <c r="F138" s="63" t="s">
        <v>1730</v>
      </c>
      <c r="G138" s="63" t="s">
        <v>1684</v>
      </c>
      <c r="H138" s="64">
        <v>28.751999999999999</v>
      </c>
      <c r="I138" s="64" t="s">
        <v>1747</v>
      </c>
    </row>
    <row r="139" spans="1:9" x14ac:dyDescent="0.25">
      <c r="A139" s="50" t="s">
        <v>268</v>
      </c>
      <c r="B139" s="51" t="s">
        <v>1676</v>
      </c>
      <c r="C139" s="52">
        <v>1</v>
      </c>
      <c r="D139" s="61">
        <f t="shared" si="6"/>
        <v>27.12</v>
      </c>
      <c r="E139" s="62">
        <v>44046</v>
      </c>
      <c r="F139" s="63" t="s">
        <v>1730</v>
      </c>
      <c r="G139" s="63" t="s">
        <v>1684</v>
      </c>
      <c r="H139" s="64">
        <v>27.12</v>
      </c>
      <c r="I139" s="64" t="s">
        <v>268</v>
      </c>
    </row>
    <row r="140" spans="1:9" x14ac:dyDescent="0.25">
      <c r="A140" s="50" t="s">
        <v>51</v>
      </c>
      <c r="B140" s="51" t="s">
        <v>1676</v>
      </c>
      <c r="C140" s="52">
        <v>6</v>
      </c>
      <c r="D140" s="61">
        <f t="shared" si="6"/>
        <v>40.114800000000002</v>
      </c>
      <c r="E140" s="62">
        <v>43218</v>
      </c>
      <c r="F140" s="63" t="s">
        <v>1730</v>
      </c>
      <c r="G140" s="63" t="s">
        <v>1684</v>
      </c>
      <c r="H140" s="64">
        <v>36.467999999999996</v>
      </c>
      <c r="I140" s="64" t="s">
        <v>1748</v>
      </c>
    </row>
    <row r="141" spans="1:9" x14ac:dyDescent="0.25">
      <c r="A141" s="50" t="s">
        <v>52</v>
      </c>
      <c r="B141" s="51" t="s">
        <v>1676</v>
      </c>
      <c r="C141" s="52">
        <v>2</v>
      </c>
      <c r="D141" s="61">
        <f t="shared" si="6"/>
        <v>2.76</v>
      </c>
      <c r="E141" s="62">
        <v>44032</v>
      </c>
      <c r="F141" s="63" t="s">
        <v>1730</v>
      </c>
      <c r="G141" s="63" t="s">
        <v>1684</v>
      </c>
      <c r="H141" s="64">
        <v>2.76</v>
      </c>
      <c r="I141" s="64" t="s">
        <v>52</v>
      </c>
    </row>
    <row r="142" spans="1:9" x14ac:dyDescent="0.25">
      <c r="A142" s="50" t="s">
        <v>53</v>
      </c>
      <c r="B142" s="51" t="s">
        <v>1676</v>
      </c>
      <c r="C142" s="52">
        <v>16</v>
      </c>
      <c r="D142" s="61">
        <f t="shared" si="6"/>
        <v>1.5047999999999999</v>
      </c>
      <c r="E142" s="62">
        <v>43164</v>
      </c>
      <c r="F142" s="63" t="s">
        <v>1730</v>
      </c>
      <c r="G142" s="63" t="s">
        <v>1684</v>
      </c>
      <c r="H142" s="64">
        <v>1.3679999999999999</v>
      </c>
      <c r="I142" s="64" t="s">
        <v>1749</v>
      </c>
    </row>
    <row r="143" spans="1:9" x14ac:dyDescent="0.25">
      <c r="A143" s="50" t="s">
        <v>54</v>
      </c>
      <c r="B143" s="51" t="s">
        <v>1676</v>
      </c>
      <c r="C143" s="52">
        <v>2</v>
      </c>
      <c r="D143" s="61">
        <f t="shared" si="6"/>
        <v>3.8759999999999999</v>
      </c>
      <c r="E143" s="62">
        <v>44032</v>
      </c>
      <c r="F143" s="63" t="s">
        <v>1730</v>
      </c>
      <c r="G143" s="63" t="s">
        <v>1684</v>
      </c>
      <c r="H143" s="64">
        <v>3.8759999999999999</v>
      </c>
      <c r="I143" s="64" t="s">
        <v>54</v>
      </c>
    </row>
    <row r="144" spans="1:9" x14ac:dyDescent="0.25">
      <c r="A144" s="50" t="s">
        <v>55</v>
      </c>
      <c r="B144" s="51" t="s">
        <v>1676</v>
      </c>
      <c r="C144" s="52">
        <v>14</v>
      </c>
      <c r="D144" s="61">
        <f t="shared" si="6"/>
        <v>5.3460000000000001</v>
      </c>
      <c r="E144" s="62">
        <v>43908</v>
      </c>
      <c r="F144" s="63" t="s">
        <v>1730</v>
      </c>
      <c r="G144" s="63" t="s">
        <v>1684</v>
      </c>
      <c r="H144" s="64">
        <v>4.8599999999999994</v>
      </c>
      <c r="I144" s="64" t="s">
        <v>55</v>
      </c>
    </row>
    <row r="145" spans="1:9" x14ac:dyDescent="0.25">
      <c r="A145" s="50" t="s">
        <v>56</v>
      </c>
      <c r="B145" s="51" t="s">
        <v>1676</v>
      </c>
      <c r="C145" s="52">
        <v>54</v>
      </c>
      <c r="D145" s="61">
        <f t="shared" si="6"/>
        <v>9.4919999999999991</v>
      </c>
      <c r="E145" s="62">
        <v>44067</v>
      </c>
      <c r="F145" s="63" t="s">
        <v>1730</v>
      </c>
      <c r="G145" s="63" t="s">
        <v>1684</v>
      </c>
      <c r="H145" s="64">
        <v>9.4919999999999991</v>
      </c>
      <c r="I145" s="64" t="s">
        <v>56</v>
      </c>
    </row>
    <row r="146" spans="1:9" x14ac:dyDescent="0.25">
      <c r="A146" s="50" t="s">
        <v>57</v>
      </c>
      <c r="B146" s="51" t="s">
        <v>1676</v>
      </c>
      <c r="C146" s="52">
        <v>16</v>
      </c>
      <c r="D146" s="61">
        <f t="shared" si="6"/>
        <v>9.4919999999999991</v>
      </c>
      <c r="E146" s="62">
        <v>44032</v>
      </c>
      <c r="F146" s="63" t="s">
        <v>1730</v>
      </c>
      <c r="G146" s="63" t="s">
        <v>1684</v>
      </c>
      <c r="H146" s="64">
        <v>9.4919999999999991</v>
      </c>
      <c r="I146" s="64" t="s">
        <v>57</v>
      </c>
    </row>
    <row r="147" spans="1:9" x14ac:dyDescent="0.25">
      <c r="A147" s="50" t="s">
        <v>58</v>
      </c>
      <c r="B147" s="51" t="s">
        <v>1676</v>
      </c>
      <c r="C147" s="52">
        <v>12</v>
      </c>
      <c r="D147" s="61">
        <f t="shared" si="6"/>
        <v>10.752000000000001</v>
      </c>
      <c r="E147" s="62">
        <v>44046</v>
      </c>
      <c r="F147" s="63" t="s">
        <v>1730</v>
      </c>
      <c r="G147" s="63" t="s">
        <v>1684</v>
      </c>
      <c r="H147" s="64">
        <v>10.752000000000001</v>
      </c>
      <c r="I147" s="64" t="s">
        <v>58</v>
      </c>
    </row>
    <row r="148" spans="1:9" x14ac:dyDescent="0.25">
      <c r="A148" s="50" t="s">
        <v>324</v>
      </c>
      <c r="B148" s="51" t="s">
        <v>1676</v>
      </c>
      <c r="C148" s="52">
        <v>32</v>
      </c>
      <c r="D148" s="61">
        <f t="shared" si="6"/>
        <v>1.26</v>
      </c>
      <c r="E148" s="62">
        <v>44046</v>
      </c>
      <c r="F148" s="63" t="s">
        <v>1730</v>
      </c>
      <c r="G148" s="63" t="s">
        <v>1684</v>
      </c>
      <c r="H148" s="64">
        <v>1.26</v>
      </c>
      <c r="I148" s="64" t="s">
        <v>324</v>
      </c>
    </row>
    <row r="149" spans="1:9" x14ac:dyDescent="0.25">
      <c r="A149" s="50" t="s">
        <v>277</v>
      </c>
      <c r="B149" s="51" t="s">
        <v>1676</v>
      </c>
      <c r="C149" s="52">
        <v>860</v>
      </c>
      <c r="D149" s="61">
        <f t="shared" si="6"/>
        <v>1.032</v>
      </c>
      <c r="E149" s="62">
        <v>44054</v>
      </c>
      <c r="F149" s="63" t="s">
        <v>1730</v>
      </c>
      <c r="G149" s="63" t="s">
        <v>1684</v>
      </c>
      <c r="H149" s="64">
        <v>1.032</v>
      </c>
      <c r="I149" s="64" t="s">
        <v>277</v>
      </c>
    </row>
    <row r="150" spans="1:9" x14ac:dyDescent="0.25">
      <c r="A150" s="50" t="s">
        <v>302</v>
      </c>
      <c r="B150" s="51" t="s">
        <v>1676</v>
      </c>
      <c r="C150" s="52">
        <v>16</v>
      </c>
      <c r="D150" s="61">
        <f t="shared" si="6"/>
        <v>1.3860000000000001</v>
      </c>
      <c r="E150" s="62">
        <v>43887</v>
      </c>
      <c r="F150" s="63" t="s">
        <v>1730</v>
      </c>
      <c r="G150" s="63" t="s">
        <v>1684</v>
      </c>
      <c r="H150" s="64">
        <v>1.26</v>
      </c>
      <c r="I150" s="64" t="s">
        <v>302</v>
      </c>
    </row>
    <row r="151" spans="1:9" x14ac:dyDescent="0.25">
      <c r="A151" s="50" t="s">
        <v>371</v>
      </c>
      <c r="B151" s="51" t="s">
        <v>1676</v>
      </c>
      <c r="C151" s="52">
        <v>6</v>
      </c>
      <c r="D151" s="61">
        <f t="shared" si="6"/>
        <v>79.397999999999996</v>
      </c>
      <c r="E151" s="62">
        <v>43447</v>
      </c>
      <c r="F151" s="63" t="s">
        <v>1700</v>
      </c>
      <c r="G151" s="63" t="s">
        <v>1684</v>
      </c>
      <c r="H151" s="64">
        <v>72.179999999999993</v>
      </c>
      <c r="I151" s="64" t="s">
        <v>1750</v>
      </c>
    </row>
    <row r="152" spans="1:9" x14ac:dyDescent="0.25">
      <c r="A152" s="50" t="s">
        <v>372</v>
      </c>
      <c r="B152" s="51" t="s">
        <v>1676</v>
      </c>
      <c r="C152" s="52">
        <v>1</v>
      </c>
      <c r="D152" s="61">
        <f t="shared" si="6"/>
        <v>183750</v>
      </c>
      <c r="E152" s="62">
        <v>44046</v>
      </c>
      <c r="F152" s="63" t="s">
        <v>1751</v>
      </c>
      <c r="G152" s="63" t="s">
        <v>1699</v>
      </c>
      <c r="H152" s="64">
        <v>2100</v>
      </c>
      <c r="I152" s="64" t="s">
        <v>372</v>
      </c>
    </row>
    <row r="153" spans="1:9" x14ac:dyDescent="0.25">
      <c r="A153" s="50" t="s">
        <v>373</v>
      </c>
      <c r="B153" s="51" t="s">
        <v>1676</v>
      </c>
      <c r="C153" s="52">
        <v>2</v>
      </c>
      <c r="D153" s="61">
        <f t="shared" si="6"/>
        <v>1264.6920000000002</v>
      </c>
      <c r="E153" s="62">
        <v>43124</v>
      </c>
      <c r="F153" s="63" t="s">
        <v>1689</v>
      </c>
      <c r="G153" s="63" t="s">
        <v>1684</v>
      </c>
      <c r="H153" s="64">
        <v>1149.72</v>
      </c>
      <c r="I153" s="64" t="s">
        <v>1752</v>
      </c>
    </row>
    <row r="154" spans="1:9" x14ac:dyDescent="0.25">
      <c r="A154" s="50" t="s">
        <v>374</v>
      </c>
      <c r="B154" s="51" t="s">
        <v>1676</v>
      </c>
      <c r="C154" s="52">
        <v>11</v>
      </c>
      <c r="D154" s="61">
        <f t="shared" si="6"/>
        <v>352.44</v>
      </c>
      <c r="E154" s="62">
        <v>0</v>
      </c>
      <c r="F154" s="63" t="e">
        <v>#VALUE!</v>
      </c>
      <c r="G154" s="69" t="s">
        <v>1684</v>
      </c>
      <c r="H154" s="70">
        <v>320.39999999999998</v>
      </c>
      <c r="I154" s="64" t="s">
        <v>1712</v>
      </c>
    </row>
    <row r="155" spans="1:9" x14ac:dyDescent="0.25">
      <c r="A155" s="50" t="s">
        <v>375</v>
      </c>
      <c r="B155" s="51" t="s">
        <v>1676</v>
      </c>
      <c r="C155" s="52">
        <v>13</v>
      </c>
      <c r="D155" s="61">
        <f t="shared" si="6"/>
        <v>261.25439999999998</v>
      </c>
      <c r="E155" s="62">
        <v>43959</v>
      </c>
      <c r="F155" s="63" t="s">
        <v>1753</v>
      </c>
      <c r="G155" s="63" t="s">
        <v>1684</v>
      </c>
      <c r="H155" s="64">
        <v>237.50399999999996</v>
      </c>
      <c r="I155" s="64" t="s">
        <v>375</v>
      </c>
    </row>
    <row r="156" spans="1:9" ht="26.25" x14ac:dyDescent="0.25">
      <c r="A156" s="50" t="s">
        <v>376</v>
      </c>
      <c r="B156" s="51" t="s">
        <v>1676</v>
      </c>
      <c r="C156" s="52">
        <v>46</v>
      </c>
      <c r="D156" s="61">
        <f t="shared" si="6"/>
        <v>257.25479999999999</v>
      </c>
      <c r="E156" s="62">
        <v>43889</v>
      </c>
      <c r="F156" s="63" t="s">
        <v>1700</v>
      </c>
      <c r="G156" s="63" t="s">
        <v>1684</v>
      </c>
      <c r="H156" s="64">
        <v>233.86799999999997</v>
      </c>
      <c r="I156" s="64" t="s">
        <v>1754</v>
      </c>
    </row>
    <row r="157" spans="1:9" x14ac:dyDescent="0.25">
      <c r="A157" s="50" t="s">
        <v>377</v>
      </c>
      <c r="B157" s="51" t="s">
        <v>1676</v>
      </c>
      <c r="C157" s="52">
        <v>424</v>
      </c>
      <c r="D157" s="61">
        <f t="shared" si="6"/>
        <v>19.390800000000002</v>
      </c>
      <c r="E157" s="62">
        <v>43889</v>
      </c>
      <c r="F157" s="63" t="s">
        <v>1700</v>
      </c>
      <c r="G157" s="63" t="s">
        <v>1684</v>
      </c>
      <c r="H157" s="64">
        <v>17.628</v>
      </c>
      <c r="I157" s="64" t="s">
        <v>1755</v>
      </c>
    </row>
    <row r="158" spans="1:9" x14ac:dyDescent="0.25">
      <c r="A158" s="50" t="s">
        <v>1613</v>
      </c>
      <c r="B158" s="51" t="s">
        <v>1676</v>
      </c>
      <c r="C158" s="52">
        <v>1</v>
      </c>
      <c r="D158" s="61">
        <f t="shared" si="6"/>
        <v>4190.5380000000005</v>
      </c>
      <c r="E158" s="62">
        <v>43699</v>
      </c>
      <c r="F158" s="63" t="s">
        <v>1689</v>
      </c>
      <c r="G158" s="63" t="s">
        <v>1684</v>
      </c>
      <c r="H158" s="64">
        <v>3809.58</v>
      </c>
      <c r="I158" s="64" t="s">
        <v>1756</v>
      </c>
    </row>
    <row r="159" spans="1:9" x14ac:dyDescent="0.25">
      <c r="A159" s="50" t="s">
        <v>378</v>
      </c>
      <c r="B159" s="51" t="s">
        <v>1676</v>
      </c>
      <c r="C159" s="52">
        <v>1</v>
      </c>
      <c r="D159" s="61">
        <f t="shared" si="6"/>
        <v>5421.0420000000004</v>
      </c>
      <c r="E159" s="62">
        <v>44001</v>
      </c>
      <c r="F159" s="63" t="s">
        <v>1700</v>
      </c>
      <c r="G159" s="63" t="s">
        <v>1684</v>
      </c>
      <c r="H159" s="64">
        <v>4928.22</v>
      </c>
      <c r="I159" s="64" t="s">
        <v>378</v>
      </c>
    </row>
    <row r="160" spans="1:9" ht="26.25" x14ac:dyDescent="0.25">
      <c r="A160" s="50" t="s">
        <v>1614</v>
      </c>
      <c r="B160" s="51" t="s">
        <v>1676</v>
      </c>
      <c r="C160" s="52">
        <v>1</v>
      </c>
      <c r="D160" s="61">
        <f t="shared" si="6"/>
        <v>1098.0683999999999</v>
      </c>
      <c r="E160" s="62">
        <v>44001</v>
      </c>
      <c r="F160" s="63" t="s">
        <v>1700</v>
      </c>
      <c r="G160" s="63" t="s">
        <v>1684</v>
      </c>
      <c r="H160" s="64">
        <v>998.24399999999991</v>
      </c>
      <c r="I160" s="64" t="s">
        <v>1614</v>
      </c>
    </row>
    <row r="161" spans="1:9" x14ac:dyDescent="0.25">
      <c r="A161" s="50" t="s">
        <v>379</v>
      </c>
      <c r="B161" s="51" t="s">
        <v>1676</v>
      </c>
      <c r="C161" s="52">
        <v>8</v>
      </c>
      <c r="D161" s="61">
        <f t="shared" si="6"/>
        <v>2383.92</v>
      </c>
      <c r="E161" s="62">
        <v>43160</v>
      </c>
      <c r="F161" s="63" t="s">
        <v>1757</v>
      </c>
      <c r="G161" s="63" t="s">
        <v>1684</v>
      </c>
      <c r="H161" s="64">
        <v>2167.1999999999998</v>
      </c>
      <c r="I161" s="64" t="s">
        <v>643</v>
      </c>
    </row>
    <row r="162" spans="1:9" x14ac:dyDescent="0.25">
      <c r="A162" s="50" t="s">
        <v>318</v>
      </c>
      <c r="B162" s="51" t="s">
        <v>1676</v>
      </c>
      <c r="C162" s="52">
        <v>32</v>
      </c>
      <c r="D162" s="61">
        <f t="shared" ref="D162:D193" si="7">H162 * IF(G162="руб", 1, 1.4 * (k_ru_dol*(G162="USD")+k_ru_evro*(G162="EUR")+k_ru_yuan*(G162="CNY"))/1.2) * IF(E162&lt;(дата_расчета - 365),1.1,1)</f>
        <v>5.5</v>
      </c>
      <c r="E162" s="62">
        <v>0</v>
      </c>
      <c r="F162" s="63" t="e">
        <v>#VALUE!</v>
      </c>
      <c r="G162" s="69" t="s">
        <v>1684</v>
      </c>
      <c r="H162" s="70">
        <v>5</v>
      </c>
      <c r="I162" s="64" t="s">
        <v>1712</v>
      </c>
    </row>
    <row r="163" spans="1:9" x14ac:dyDescent="0.25">
      <c r="A163" s="50" t="s">
        <v>250</v>
      </c>
      <c r="B163" s="51" t="s">
        <v>1676</v>
      </c>
      <c r="C163" s="52">
        <v>998</v>
      </c>
      <c r="D163" s="61">
        <f t="shared" si="7"/>
        <v>4.1525058823529415</v>
      </c>
      <c r="E163" s="62">
        <v>44067</v>
      </c>
      <c r="F163" s="63" t="s">
        <v>1730</v>
      </c>
      <c r="G163" s="63" t="s">
        <v>1684</v>
      </c>
      <c r="H163" s="64">
        <v>4.1525058823529415</v>
      </c>
      <c r="I163" s="64" t="s">
        <v>250</v>
      </c>
    </row>
    <row r="164" spans="1:9" x14ac:dyDescent="0.25">
      <c r="A164" s="50" t="s">
        <v>557</v>
      </c>
      <c r="B164" s="51" t="s">
        <v>1676</v>
      </c>
      <c r="C164" s="56">
        <v>2700</v>
      </c>
      <c r="D164" s="61">
        <f t="shared" si="7"/>
        <v>8.4854776470588238</v>
      </c>
      <c r="E164" s="62">
        <v>44054</v>
      </c>
      <c r="F164" s="63" t="s">
        <v>1730</v>
      </c>
      <c r="G164" s="63" t="s">
        <v>1684</v>
      </c>
      <c r="H164" s="64">
        <v>8.4854776470588238</v>
      </c>
      <c r="I164" s="64" t="s">
        <v>557</v>
      </c>
    </row>
    <row r="165" spans="1:9" x14ac:dyDescent="0.25">
      <c r="A165" s="50" t="s">
        <v>238</v>
      </c>
      <c r="B165" s="51" t="s">
        <v>1676</v>
      </c>
      <c r="C165" s="52">
        <v>16</v>
      </c>
      <c r="D165" s="61">
        <f t="shared" si="7"/>
        <v>14.226544799999999</v>
      </c>
      <c r="E165" s="62">
        <v>44054</v>
      </c>
      <c r="F165" s="63" t="s">
        <v>1730</v>
      </c>
      <c r="G165" s="63" t="s">
        <v>1684</v>
      </c>
      <c r="H165" s="64">
        <v>14.226544799999999</v>
      </c>
      <c r="I165" s="64" t="s">
        <v>238</v>
      </c>
    </row>
    <row r="166" spans="1:9" x14ac:dyDescent="0.25">
      <c r="A166" s="50" t="s">
        <v>281</v>
      </c>
      <c r="B166" s="51" t="s">
        <v>1676</v>
      </c>
      <c r="C166" s="52">
        <v>32</v>
      </c>
      <c r="D166" s="61">
        <f t="shared" si="7"/>
        <v>2.4</v>
      </c>
      <c r="E166" s="62">
        <v>44032</v>
      </c>
      <c r="F166" s="63" t="s">
        <v>1730</v>
      </c>
      <c r="G166" s="63" t="s">
        <v>1684</v>
      </c>
      <c r="H166" s="64">
        <v>2.4</v>
      </c>
      <c r="I166" s="64" t="s">
        <v>281</v>
      </c>
    </row>
    <row r="167" spans="1:9" x14ac:dyDescent="0.25">
      <c r="A167" s="50" t="s">
        <v>266</v>
      </c>
      <c r="B167" s="51" t="s">
        <v>1676</v>
      </c>
      <c r="C167" s="52">
        <v>358</v>
      </c>
      <c r="D167" s="61">
        <f t="shared" si="7"/>
        <v>2.0654400000000002</v>
      </c>
      <c r="E167" s="62">
        <v>44046</v>
      </c>
      <c r="F167" s="63" t="s">
        <v>1730</v>
      </c>
      <c r="G167" s="63" t="s">
        <v>1684</v>
      </c>
      <c r="H167" s="64">
        <v>2.0654400000000002</v>
      </c>
      <c r="I167" s="64" t="s">
        <v>266</v>
      </c>
    </row>
    <row r="168" spans="1:9" x14ac:dyDescent="0.25">
      <c r="A168" s="50" t="s">
        <v>219</v>
      </c>
      <c r="B168" s="51" t="s">
        <v>1676</v>
      </c>
      <c r="C168" s="56">
        <v>26751</v>
      </c>
      <c r="D168" s="61">
        <f t="shared" si="7"/>
        <v>1.9715672368421051</v>
      </c>
      <c r="E168" s="62">
        <v>44067</v>
      </c>
      <c r="F168" s="63" t="s">
        <v>1730</v>
      </c>
      <c r="G168" s="63" t="s">
        <v>1684</v>
      </c>
      <c r="H168" s="64">
        <v>1.9715672368421051</v>
      </c>
      <c r="I168" s="64" t="s">
        <v>219</v>
      </c>
    </row>
    <row r="169" spans="1:9" x14ac:dyDescent="0.25">
      <c r="A169" s="50" t="s">
        <v>303</v>
      </c>
      <c r="B169" s="51" t="s">
        <v>1676</v>
      </c>
      <c r="C169" s="52">
        <v>32</v>
      </c>
      <c r="D169" s="61">
        <f t="shared" si="7"/>
        <v>10.92</v>
      </c>
      <c r="E169" s="62">
        <v>44061</v>
      </c>
      <c r="F169" s="63" t="s">
        <v>1730</v>
      </c>
      <c r="G169" s="63" t="s">
        <v>1684</v>
      </c>
      <c r="H169" s="64">
        <v>10.92</v>
      </c>
      <c r="I169" s="64" t="s">
        <v>303</v>
      </c>
    </row>
    <row r="170" spans="1:9" x14ac:dyDescent="0.25">
      <c r="A170" s="50" t="s">
        <v>271</v>
      </c>
      <c r="B170" s="51" t="s">
        <v>1676</v>
      </c>
      <c r="C170" s="52">
        <v>564</v>
      </c>
      <c r="D170" s="61">
        <f t="shared" si="7"/>
        <v>1.3728</v>
      </c>
      <c r="E170" s="62">
        <v>43371</v>
      </c>
      <c r="F170" s="63" t="s">
        <v>1730</v>
      </c>
      <c r="G170" s="63" t="s">
        <v>1684</v>
      </c>
      <c r="H170" s="64">
        <v>1.248</v>
      </c>
      <c r="I170" s="64" t="s">
        <v>1758</v>
      </c>
    </row>
    <row r="171" spans="1:9" x14ac:dyDescent="0.25">
      <c r="A171" s="50" t="s">
        <v>222</v>
      </c>
      <c r="B171" s="51" t="s">
        <v>1676</v>
      </c>
      <c r="C171" s="52">
        <v>156</v>
      </c>
      <c r="D171" s="61">
        <f t="shared" si="7"/>
        <v>1.490326325581395</v>
      </c>
      <c r="E171" s="62">
        <v>44032</v>
      </c>
      <c r="F171" s="63" t="s">
        <v>1730</v>
      </c>
      <c r="G171" s="63" t="s">
        <v>1684</v>
      </c>
      <c r="H171" s="64">
        <v>1.490326325581395</v>
      </c>
      <c r="I171" s="64" t="s">
        <v>222</v>
      </c>
    </row>
    <row r="172" spans="1:9" x14ac:dyDescent="0.25">
      <c r="A172" s="50" t="s">
        <v>59</v>
      </c>
      <c r="B172" s="51" t="s">
        <v>1676</v>
      </c>
      <c r="C172" s="52">
        <v>1</v>
      </c>
      <c r="D172" s="61">
        <f t="shared" si="7"/>
        <v>24</v>
      </c>
      <c r="E172" s="62">
        <v>44061</v>
      </c>
      <c r="F172" s="63" t="s">
        <v>1753</v>
      </c>
      <c r="G172" s="63" t="s">
        <v>1684</v>
      </c>
      <c r="H172" s="64">
        <v>24</v>
      </c>
      <c r="I172" s="64" t="s">
        <v>59</v>
      </c>
    </row>
    <row r="173" spans="1:9" x14ac:dyDescent="0.25">
      <c r="A173" s="50" t="s">
        <v>60</v>
      </c>
      <c r="B173" s="51" t="s">
        <v>1676</v>
      </c>
      <c r="C173" s="52">
        <v>24</v>
      </c>
      <c r="D173" s="61">
        <f t="shared" si="7"/>
        <v>36.432000000000002</v>
      </c>
      <c r="E173" s="62">
        <v>43252</v>
      </c>
      <c r="F173" s="63" t="s">
        <v>1730</v>
      </c>
      <c r="G173" s="63" t="s">
        <v>1684</v>
      </c>
      <c r="H173" s="64">
        <v>33.119999999999997</v>
      </c>
      <c r="I173" s="64" t="s">
        <v>1759</v>
      </c>
    </row>
    <row r="174" spans="1:9" x14ac:dyDescent="0.25">
      <c r="A174" s="50" t="s">
        <v>246</v>
      </c>
      <c r="B174" s="51" t="s">
        <v>1676</v>
      </c>
      <c r="C174" s="52">
        <v>148</v>
      </c>
      <c r="D174" s="61">
        <f t="shared" si="7"/>
        <v>4.7160000000000002</v>
      </c>
      <c r="E174" s="62">
        <v>44032</v>
      </c>
      <c r="F174" s="63" t="s">
        <v>1730</v>
      </c>
      <c r="G174" s="63" t="s">
        <v>1684</v>
      </c>
      <c r="H174" s="64">
        <v>4.7160000000000002</v>
      </c>
      <c r="I174" s="64" t="s">
        <v>246</v>
      </c>
    </row>
    <row r="175" spans="1:9" x14ac:dyDescent="0.25">
      <c r="A175" s="50" t="s">
        <v>263</v>
      </c>
      <c r="B175" s="51" t="s">
        <v>1676</v>
      </c>
      <c r="C175" s="52">
        <v>85</v>
      </c>
      <c r="D175" s="61">
        <f t="shared" si="7"/>
        <v>3.3659999999999997</v>
      </c>
      <c r="E175" s="62">
        <v>43378</v>
      </c>
      <c r="F175" s="63" t="s">
        <v>1730</v>
      </c>
      <c r="G175" s="63" t="s">
        <v>1684</v>
      </c>
      <c r="H175" s="64">
        <v>3.0599999999999996</v>
      </c>
      <c r="I175" s="64" t="s">
        <v>263</v>
      </c>
    </row>
    <row r="176" spans="1:9" x14ac:dyDescent="0.25">
      <c r="A176" s="50" t="s">
        <v>231</v>
      </c>
      <c r="B176" s="51" t="s">
        <v>1676</v>
      </c>
      <c r="C176" s="52">
        <v>36</v>
      </c>
      <c r="D176" s="61">
        <f t="shared" si="7"/>
        <v>9.5879999999999992</v>
      </c>
      <c r="E176" s="62">
        <v>44054</v>
      </c>
      <c r="F176" s="63" t="s">
        <v>1730</v>
      </c>
      <c r="G176" s="63" t="s">
        <v>1684</v>
      </c>
      <c r="H176" s="64">
        <v>9.5879999999999992</v>
      </c>
      <c r="I176" s="64" t="s">
        <v>231</v>
      </c>
    </row>
    <row r="177" spans="1:9" x14ac:dyDescent="0.25">
      <c r="A177" s="50" t="s">
        <v>259</v>
      </c>
      <c r="B177" s="51" t="s">
        <v>1676</v>
      </c>
      <c r="C177" s="52">
        <v>223</v>
      </c>
      <c r="D177" s="61">
        <f t="shared" si="7"/>
        <v>9.4320000000000004</v>
      </c>
      <c r="E177" s="62">
        <v>44054</v>
      </c>
      <c r="F177" s="63" t="s">
        <v>1730</v>
      </c>
      <c r="G177" s="63" t="s">
        <v>1684</v>
      </c>
      <c r="H177" s="64">
        <v>9.4320000000000004</v>
      </c>
      <c r="I177" s="64" t="s">
        <v>259</v>
      </c>
    </row>
    <row r="178" spans="1:9" x14ac:dyDescent="0.25">
      <c r="A178" s="50" t="s">
        <v>291</v>
      </c>
      <c r="B178" s="51" t="s">
        <v>1676</v>
      </c>
      <c r="C178" s="52">
        <v>12</v>
      </c>
      <c r="D178" s="61">
        <f t="shared" si="7"/>
        <v>9.4320000000000004</v>
      </c>
      <c r="E178" s="62">
        <v>44054</v>
      </c>
      <c r="F178" s="63" t="s">
        <v>1730</v>
      </c>
      <c r="G178" s="63" t="s">
        <v>1684</v>
      </c>
      <c r="H178" s="64">
        <v>9.4320000000000004</v>
      </c>
      <c r="I178" s="64" t="s">
        <v>259</v>
      </c>
    </row>
    <row r="179" spans="1:9" x14ac:dyDescent="0.25">
      <c r="A179" s="50" t="s">
        <v>326</v>
      </c>
      <c r="B179" s="51" t="s">
        <v>1676</v>
      </c>
      <c r="C179" s="52">
        <v>1</v>
      </c>
      <c r="D179" s="61">
        <f t="shared" si="7"/>
        <v>154.22880000000001</v>
      </c>
      <c r="E179" s="62">
        <v>43119</v>
      </c>
      <c r="F179" s="63" t="s">
        <v>1730</v>
      </c>
      <c r="G179" s="63" t="s">
        <v>1684</v>
      </c>
      <c r="H179" s="64">
        <v>140.208</v>
      </c>
      <c r="I179" s="64" t="s">
        <v>1760</v>
      </c>
    </row>
    <row r="180" spans="1:9" x14ac:dyDescent="0.25">
      <c r="A180" s="50" t="s">
        <v>380</v>
      </c>
      <c r="B180" s="51" t="s">
        <v>1676</v>
      </c>
      <c r="C180" s="52">
        <v>64</v>
      </c>
      <c r="D180" s="61">
        <f t="shared" si="7"/>
        <v>52.074000000000005</v>
      </c>
      <c r="E180" s="62">
        <v>43979</v>
      </c>
      <c r="F180" s="63" t="s">
        <v>1700</v>
      </c>
      <c r="G180" s="63" t="s">
        <v>1684</v>
      </c>
      <c r="H180" s="64">
        <v>47.34</v>
      </c>
      <c r="I180" s="64" t="s">
        <v>380</v>
      </c>
    </row>
    <row r="181" spans="1:9" x14ac:dyDescent="0.25">
      <c r="A181" s="50" t="s">
        <v>235</v>
      </c>
      <c r="B181" s="51" t="s">
        <v>1676</v>
      </c>
      <c r="C181" s="52">
        <v>76</v>
      </c>
      <c r="D181" s="61">
        <f t="shared" si="7"/>
        <v>15.227999999999998</v>
      </c>
      <c r="E181" s="62">
        <v>44054</v>
      </c>
      <c r="F181" s="63" t="s">
        <v>1730</v>
      </c>
      <c r="G181" s="63" t="s">
        <v>1684</v>
      </c>
      <c r="H181" s="64">
        <v>15.227999999999998</v>
      </c>
      <c r="I181" s="64" t="s">
        <v>235</v>
      </c>
    </row>
    <row r="182" spans="1:9" x14ac:dyDescent="0.25">
      <c r="A182" s="50" t="s">
        <v>220</v>
      </c>
      <c r="B182" s="51" t="s">
        <v>1676</v>
      </c>
      <c r="C182" s="52">
        <v>10</v>
      </c>
      <c r="D182" s="61">
        <f t="shared" si="7"/>
        <v>23.591999999999999</v>
      </c>
      <c r="E182" s="62">
        <v>44054</v>
      </c>
      <c r="F182" s="63" t="s">
        <v>1730</v>
      </c>
      <c r="G182" s="63" t="s">
        <v>1684</v>
      </c>
      <c r="H182" s="64">
        <v>23.591999999999999</v>
      </c>
      <c r="I182" s="64" t="s">
        <v>220</v>
      </c>
    </row>
    <row r="183" spans="1:9" x14ac:dyDescent="0.25">
      <c r="A183" s="50" t="s">
        <v>381</v>
      </c>
      <c r="B183" s="51" t="s">
        <v>1676</v>
      </c>
      <c r="C183" s="52">
        <v>12</v>
      </c>
      <c r="D183" s="61">
        <f t="shared" si="7"/>
        <v>66</v>
      </c>
      <c r="E183" s="62">
        <v>0</v>
      </c>
      <c r="F183" s="63" t="e">
        <v>#VALUE!</v>
      </c>
      <c r="G183" s="69" t="s">
        <v>1684</v>
      </c>
      <c r="H183" s="70">
        <v>60</v>
      </c>
      <c r="I183" s="64" t="s">
        <v>1712</v>
      </c>
    </row>
    <row r="184" spans="1:9" x14ac:dyDescent="0.25">
      <c r="A184" s="50" t="s">
        <v>253</v>
      </c>
      <c r="B184" s="51" t="s">
        <v>1676</v>
      </c>
      <c r="C184" s="52">
        <v>2</v>
      </c>
      <c r="D184" s="61">
        <f t="shared" si="7"/>
        <v>0.55000000000000004</v>
      </c>
      <c r="E184" s="62">
        <v>43252</v>
      </c>
      <c r="F184" s="63" t="s">
        <v>1730</v>
      </c>
      <c r="G184" s="69" t="s">
        <v>1684</v>
      </c>
      <c r="H184" s="70">
        <v>0.5</v>
      </c>
      <c r="I184" s="64" t="s">
        <v>1761</v>
      </c>
    </row>
    <row r="185" spans="1:9" x14ac:dyDescent="0.25">
      <c r="A185" s="50" t="s">
        <v>382</v>
      </c>
      <c r="B185" s="51" t="s">
        <v>1676</v>
      </c>
      <c r="C185" s="52">
        <v>11</v>
      </c>
      <c r="D185" s="61">
        <f t="shared" si="7"/>
        <v>92.611199999999997</v>
      </c>
      <c r="E185" s="62">
        <v>43907</v>
      </c>
      <c r="F185" s="63" t="s">
        <v>1700</v>
      </c>
      <c r="G185" s="63" t="s">
        <v>1684</v>
      </c>
      <c r="H185" s="64">
        <v>84.191999999999993</v>
      </c>
      <c r="I185" s="64" t="s">
        <v>1762</v>
      </c>
    </row>
    <row r="186" spans="1:9" x14ac:dyDescent="0.25">
      <c r="A186" s="50" t="s">
        <v>273</v>
      </c>
      <c r="B186" s="51" t="s">
        <v>1676</v>
      </c>
      <c r="C186" s="52">
        <v>192</v>
      </c>
      <c r="D186" s="61">
        <f t="shared" si="7"/>
        <v>0.51480000000000004</v>
      </c>
      <c r="E186" s="62">
        <v>43529</v>
      </c>
      <c r="F186" s="63" t="s">
        <v>1730</v>
      </c>
      <c r="G186" s="63" t="s">
        <v>1684</v>
      </c>
      <c r="H186" s="64">
        <v>0.46799999999999997</v>
      </c>
      <c r="I186" s="64" t="s">
        <v>273</v>
      </c>
    </row>
    <row r="187" spans="1:9" x14ac:dyDescent="0.25">
      <c r="A187" s="50" t="s">
        <v>252</v>
      </c>
      <c r="B187" s="51" t="s">
        <v>1676</v>
      </c>
      <c r="C187" s="52">
        <v>34</v>
      </c>
      <c r="D187" s="61">
        <f t="shared" si="7"/>
        <v>0.5544</v>
      </c>
      <c r="E187" s="62">
        <v>43424</v>
      </c>
      <c r="F187" s="63" t="s">
        <v>1730</v>
      </c>
      <c r="G187" s="63" t="s">
        <v>1684</v>
      </c>
      <c r="H187" s="64">
        <v>0.504</v>
      </c>
      <c r="I187" s="64" t="s">
        <v>252</v>
      </c>
    </row>
    <row r="188" spans="1:9" x14ac:dyDescent="0.25">
      <c r="A188" s="50" t="s">
        <v>571</v>
      </c>
      <c r="B188" s="51" t="s">
        <v>1676</v>
      </c>
      <c r="C188" s="52">
        <v>4</v>
      </c>
      <c r="D188" s="61">
        <f t="shared" si="7"/>
        <v>440.00000000000006</v>
      </c>
      <c r="E188" s="62">
        <v>0</v>
      </c>
      <c r="F188" s="63" t="e">
        <v>#VALUE!</v>
      </c>
      <c r="G188" s="69" t="s">
        <v>1684</v>
      </c>
      <c r="H188" s="70">
        <v>400</v>
      </c>
      <c r="I188" s="64" t="s">
        <v>1712</v>
      </c>
    </row>
    <row r="189" spans="1:9" x14ac:dyDescent="0.25">
      <c r="A189" s="50" t="s">
        <v>315</v>
      </c>
      <c r="B189" s="51" t="s">
        <v>1676</v>
      </c>
      <c r="C189" s="52">
        <v>16</v>
      </c>
      <c r="D189" s="61">
        <f t="shared" si="7"/>
        <v>1.2012000000000003</v>
      </c>
      <c r="E189" s="62">
        <v>43763</v>
      </c>
      <c r="F189" s="63" t="s">
        <v>1730</v>
      </c>
      <c r="G189" s="63" t="s">
        <v>1684</v>
      </c>
      <c r="H189" s="64">
        <v>1.0920000000000001</v>
      </c>
      <c r="I189" s="64" t="s">
        <v>315</v>
      </c>
    </row>
    <row r="190" spans="1:9" x14ac:dyDescent="0.25">
      <c r="A190" s="50" t="s">
        <v>383</v>
      </c>
      <c r="B190" s="51" t="s">
        <v>1676</v>
      </c>
      <c r="C190" s="52">
        <v>1</v>
      </c>
      <c r="D190" s="61">
        <f t="shared" si="7"/>
        <v>557.04</v>
      </c>
      <c r="E190" s="62">
        <v>0</v>
      </c>
      <c r="F190" s="63" t="e">
        <v>#VALUE!</v>
      </c>
      <c r="G190" s="69" t="s">
        <v>1684</v>
      </c>
      <c r="H190" s="70">
        <v>506.4</v>
      </c>
      <c r="I190" s="64" t="s">
        <v>1712</v>
      </c>
    </row>
    <row r="191" spans="1:9" x14ac:dyDescent="0.25">
      <c r="A191" s="50" t="s">
        <v>227</v>
      </c>
      <c r="B191" s="51" t="s">
        <v>1676</v>
      </c>
      <c r="C191" s="52">
        <v>9</v>
      </c>
      <c r="D191" s="61">
        <f t="shared" si="7"/>
        <v>2.3079818181818181</v>
      </c>
      <c r="E191" s="62">
        <v>44067</v>
      </c>
      <c r="F191" s="63" t="s">
        <v>1730</v>
      </c>
      <c r="G191" s="63" t="s">
        <v>1684</v>
      </c>
      <c r="H191" s="64">
        <v>2.3079818181818181</v>
      </c>
      <c r="I191" s="64" t="s">
        <v>227</v>
      </c>
    </row>
    <row r="192" spans="1:9" x14ac:dyDescent="0.25">
      <c r="A192" s="50" t="s">
        <v>245</v>
      </c>
      <c r="B192" s="51" t="s">
        <v>1676</v>
      </c>
      <c r="C192" s="52">
        <v>48</v>
      </c>
      <c r="D192" s="61">
        <f t="shared" si="7"/>
        <v>1.9799999999999998</v>
      </c>
      <c r="E192" s="62">
        <v>44032</v>
      </c>
      <c r="F192" s="63" t="s">
        <v>1730</v>
      </c>
      <c r="G192" s="63" t="s">
        <v>1684</v>
      </c>
      <c r="H192" s="64">
        <v>1.9799999999999998</v>
      </c>
      <c r="I192" s="64" t="s">
        <v>245</v>
      </c>
    </row>
    <row r="193" spans="1:9" x14ac:dyDescent="0.25">
      <c r="A193" s="50" t="s">
        <v>61</v>
      </c>
      <c r="B193" s="51" t="s">
        <v>1676</v>
      </c>
      <c r="C193" s="52">
        <v>16</v>
      </c>
      <c r="D193" s="61">
        <f t="shared" si="7"/>
        <v>213.40799999999999</v>
      </c>
      <c r="E193" s="62">
        <v>44032</v>
      </c>
      <c r="F193" s="63" t="s">
        <v>1763</v>
      </c>
      <c r="G193" s="63" t="s">
        <v>1684</v>
      </c>
      <c r="H193" s="64">
        <v>213.40799999999999</v>
      </c>
      <c r="I193" s="64" t="s">
        <v>61</v>
      </c>
    </row>
    <row r="194" spans="1:9" x14ac:dyDescent="0.25">
      <c r="A194" s="50" t="s">
        <v>62</v>
      </c>
      <c r="B194" s="51" t="s">
        <v>1676</v>
      </c>
      <c r="C194" s="57">
        <v>17.2</v>
      </c>
      <c r="D194" s="61">
        <f t="shared" ref="D194:D225" si="8">H194 * IF(G194="руб", 1, 1.4 * (k_ru_dol*(G194="USD")+k_ru_evro*(G194="EUR")+k_ru_yuan*(G194="CNY"))/1.2) * IF(E194&lt;(дата_расчета - 365),1.1,1)</f>
        <v>333.22800000000001</v>
      </c>
      <c r="E194" s="62">
        <v>44035</v>
      </c>
      <c r="F194" s="63" t="s">
        <v>1764</v>
      </c>
      <c r="G194" s="63" t="s">
        <v>1684</v>
      </c>
      <c r="H194" s="64">
        <v>333.22800000000001</v>
      </c>
      <c r="I194" s="64" t="s">
        <v>62</v>
      </c>
    </row>
    <row r="195" spans="1:9" x14ac:dyDescent="0.25">
      <c r="A195" s="50" t="s">
        <v>63</v>
      </c>
      <c r="B195" s="51" t="s">
        <v>1676</v>
      </c>
      <c r="C195" s="52">
        <v>6</v>
      </c>
      <c r="D195" s="61">
        <f t="shared" si="8"/>
        <v>560.00400000000002</v>
      </c>
      <c r="E195" s="62">
        <v>44046</v>
      </c>
      <c r="F195" s="63" t="s">
        <v>1765</v>
      </c>
      <c r="G195" s="63" t="s">
        <v>1684</v>
      </c>
      <c r="H195" s="64">
        <v>560.00400000000002</v>
      </c>
      <c r="I195" s="64" t="s">
        <v>63</v>
      </c>
    </row>
    <row r="196" spans="1:9" x14ac:dyDescent="0.25">
      <c r="A196" s="50" t="s">
        <v>64</v>
      </c>
      <c r="B196" s="51" t="s">
        <v>1678</v>
      </c>
      <c r="C196" s="53">
        <v>2.0470000000000002</v>
      </c>
      <c r="D196" s="61">
        <f t="shared" si="8"/>
        <v>187.92840000000001</v>
      </c>
      <c r="E196" s="62">
        <v>43367</v>
      </c>
      <c r="F196" s="63" t="s">
        <v>1766</v>
      </c>
      <c r="G196" s="63" t="s">
        <v>1684</v>
      </c>
      <c r="H196" s="64">
        <v>170.84399999999999</v>
      </c>
      <c r="I196" s="64" t="s">
        <v>1767</v>
      </c>
    </row>
    <row r="197" spans="1:9" x14ac:dyDescent="0.25">
      <c r="A197" s="50" t="s">
        <v>65</v>
      </c>
      <c r="B197" s="51" t="s">
        <v>1678</v>
      </c>
      <c r="C197" s="53">
        <v>49.493000000000002</v>
      </c>
      <c r="D197" s="61">
        <f t="shared" si="8"/>
        <v>264.50399999999996</v>
      </c>
      <c r="E197" s="62">
        <v>44053</v>
      </c>
      <c r="F197" s="63" t="s">
        <v>1768</v>
      </c>
      <c r="G197" s="63" t="s">
        <v>1684</v>
      </c>
      <c r="H197" s="64">
        <v>264.50399999999996</v>
      </c>
      <c r="I197" s="64" t="s">
        <v>65</v>
      </c>
    </row>
    <row r="198" spans="1:9" x14ac:dyDescent="0.25">
      <c r="A198" s="50" t="s">
        <v>66</v>
      </c>
      <c r="B198" s="51" t="s">
        <v>1678</v>
      </c>
      <c r="C198" s="53">
        <v>0.96099999999999997</v>
      </c>
      <c r="D198" s="61">
        <f t="shared" si="8"/>
        <v>268.47480000000002</v>
      </c>
      <c r="E198" s="62">
        <v>43373</v>
      </c>
      <c r="F198" s="63" t="s">
        <v>1769</v>
      </c>
      <c r="G198" s="63" t="s">
        <v>1684</v>
      </c>
      <c r="H198" s="64">
        <v>244.06799999999998</v>
      </c>
      <c r="I198" s="64" t="s">
        <v>1770</v>
      </c>
    </row>
    <row r="199" spans="1:9" x14ac:dyDescent="0.25">
      <c r="A199" s="50" t="s">
        <v>384</v>
      </c>
      <c r="B199" s="51" t="s">
        <v>1676</v>
      </c>
      <c r="C199" s="52">
        <v>1</v>
      </c>
      <c r="D199" s="61">
        <f t="shared" si="8"/>
        <v>2121.9263999999998</v>
      </c>
      <c r="E199" s="62">
        <v>43119</v>
      </c>
      <c r="F199" s="63" t="s">
        <v>1771</v>
      </c>
      <c r="G199" s="63" t="s">
        <v>1684</v>
      </c>
      <c r="H199" s="64">
        <v>1929.0239999999999</v>
      </c>
      <c r="I199" s="64" t="s">
        <v>1772</v>
      </c>
    </row>
    <row r="200" spans="1:9" x14ac:dyDescent="0.25">
      <c r="A200" s="50" t="s">
        <v>385</v>
      </c>
      <c r="B200" s="51" t="s">
        <v>1676</v>
      </c>
      <c r="C200" s="52">
        <v>4</v>
      </c>
      <c r="D200" s="61">
        <f t="shared" si="8"/>
        <v>1839.12</v>
      </c>
      <c r="E200" s="62">
        <v>44040</v>
      </c>
      <c r="F200" s="63" t="s">
        <v>1773</v>
      </c>
      <c r="G200" s="63" t="s">
        <v>1684</v>
      </c>
      <c r="H200" s="64">
        <v>1839.12</v>
      </c>
      <c r="I200" s="64" t="s">
        <v>385</v>
      </c>
    </row>
    <row r="201" spans="1:9" x14ac:dyDescent="0.25">
      <c r="A201" s="50" t="s">
        <v>386</v>
      </c>
      <c r="B201" s="51" t="s">
        <v>1676</v>
      </c>
      <c r="C201" s="52">
        <v>1</v>
      </c>
      <c r="D201" s="61">
        <f t="shared" si="8"/>
        <v>18768.75</v>
      </c>
      <c r="E201" s="62">
        <v>0</v>
      </c>
      <c r="F201" s="63" t="e">
        <v>#VALUE!</v>
      </c>
      <c r="G201" s="69" t="s">
        <v>1699</v>
      </c>
      <c r="H201" s="70">
        <v>195</v>
      </c>
      <c r="I201" s="64" t="s">
        <v>1712</v>
      </c>
    </row>
    <row r="202" spans="1:9" x14ac:dyDescent="0.25">
      <c r="A202" s="50" t="s">
        <v>387</v>
      </c>
      <c r="B202" s="51" t="s">
        <v>1676</v>
      </c>
      <c r="C202" s="52">
        <v>1</v>
      </c>
      <c r="D202" s="61">
        <f t="shared" si="8"/>
        <v>12666.350400000001</v>
      </c>
      <c r="E202" s="62">
        <v>43979</v>
      </c>
      <c r="F202" s="63" t="s">
        <v>1700</v>
      </c>
      <c r="G202" s="63" t="s">
        <v>1684</v>
      </c>
      <c r="H202" s="64">
        <v>11514.864</v>
      </c>
      <c r="I202" s="64" t="s">
        <v>387</v>
      </c>
    </row>
    <row r="203" spans="1:9" x14ac:dyDescent="0.25">
      <c r="A203" s="50" t="s">
        <v>67</v>
      </c>
      <c r="B203" s="51" t="s">
        <v>1678</v>
      </c>
      <c r="C203" s="53">
        <v>132.31200000000001</v>
      </c>
      <c r="D203" s="61">
        <f t="shared" si="8"/>
        <v>30.003600000000002</v>
      </c>
      <c r="E203" s="62">
        <v>44008</v>
      </c>
      <c r="F203" s="63" t="s">
        <v>1727</v>
      </c>
      <c r="G203" s="63" t="s">
        <v>1684</v>
      </c>
      <c r="H203" s="64">
        <v>27.276</v>
      </c>
      <c r="I203" s="64" t="s">
        <v>67</v>
      </c>
    </row>
    <row r="204" spans="1:9" x14ac:dyDescent="0.25">
      <c r="A204" s="50" t="s">
        <v>68</v>
      </c>
      <c r="B204" s="51" t="s">
        <v>1676</v>
      </c>
      <c r="C204" s="52">
        <v>32</v>
      </c>
      <c r="D204" s="61">
        <f t="shared" si="8"/>
        <v>1.2276000000000002</v>
      </c>
      <c r="E204" s="62">
        <v>43189</v>
      </c>
      <c r="F204" s="63" t="s">
        <v>1774</v>
      </c>
      <c r="G204" s="63" t="s">
        <v>1684</v>
      </c>
      <c r="H204" s="64">
        <v>1.1160000000000001</v>
      </c>
      <c r="I204" s="64" t="s">
        <v>68</v>
      </c>
    </row>
    <row r="205" spans="1:9" x14ac:dyDescent="0.25">
      <c r="A205" s="50" t="s">
        <v>341</v>
      </c>
      <c r="B205" s="51" t="s">
        <v>1676</v>
      </c>
      <c r="C205" s="52">
        <v>4</v>
      </c>
      <c r="D205" s="61">
        <f t="shared" si="8"/>
        <v>0.31775039999999999</v>
      </c>
      <c r="E205" s="62">
        <v>43811</v>
      </c>
      <c r="F205" s="63" t="s">
        <v>1775</v>
      </c>
      <c r="G205" s="63" t="s">
        <v>1684</v>
      </c>
      <c r="H205" s="64">
        <v>0.28886399999999995</v>
      </c>
      <c r="I205" s="64" t="s">
        <v>341</v>
      </c>
    </row>
    <row r="206" spans="1:9" x14ac:dyDescent="0.25">
      <c r="A206" s="50" t="s">
        <v>294</v>
      </c>
      <c r="B206" s="51" t="s">
        <v>1676</v>
      </c>
      <c r="C206" s="52">
        <v>56</v>
      </c>
      <c r="D206" s="61">
        <f t="shared" si="8"/>
        <v>4.5804</v>
      </c>
      <c r="E206" s="62">
        <v>43153</v>
      </c>
      <c r="F206" s="63" t="s">
        <v>1776</v>
      </c>
      <c r="G206" s="63" t="s">
        <v>1684</v>
      </c>
      <c r="H206" s="64">
        <v>4.1639999999999997</v>
      </c>
      <c r="I206" s="64" t="s">
        <v>294</v>
      </c>
    </row>
    <row r="207" spans="1:9" x14ac:dyDescent="0.25">
      <c r="A207" s="50" t="s">
        <v>69</v>
      </c>
      <c r="B207" s="51" t="s">
        <v>1676</v>
      </c>
      <c r="C207" s="52">
        <v>4</v>
      </c>
      <c r="D207" s="61">
        <f t="shared" si="8"/>
        <v>5.5</v>
      </c>
      <c r="E207" s="62">
        <v>0</v>
      </c>
      <c r="F207" s="63" t="e">
        <v>#VALUE!</v>
      </c>
      <c r="G207" s="69" t="s">
        <v>1684</v>
      </c>
      <c r="H207" s="70">
        <v>5</v>
      </c>
      <c r="I207" s="64" t="s">
        <v>1712</v>
      </c>
    </row>
    <row r="208" spans="1:9" x14ac:dyDescent="0.25">
      <c r="A208" s="50" t="s">
        <v>70</v>
      </c>
      <c r="B208" s="51" t="s">
        <v>1676</v>
      </c>
      <c r="C208" s="52">
        <v>6</v>
      </c>
      <c r="D208" s="61">
        <f t="shared" si="8"/>
        <v>7.26</v>
      </c>
      <c r="E208" s="62">
        <v>43412</v>
      </c>
      <c r="F208" s="63" t="s">
        <v>1777</v>
      </c>
      <c r="G208" s="63" t="s">
        <v>1684</v>
      </c>
      <c r="H208" s="64">
        <v>6.6</v>
      </c>
      <c r="I208" s="64" t="s">
        <v>1778</v>
      </c>
    </row>
    <row r="209" spans="1:9" x14ac:dyDescent="0.25">
      <c r="A209" s="50" t="s">
        <v>577</v>
      </c>
      <c r="B209" s="51" t="s">
        <v>1676</v>
      </c>
      <c r="C209" s="52">
        <v>2</v>
      </c>
      <c r="D209" s="61">
        <f t="shared" si="8"/>
        <v>1.1000000000000001E-2</v>
      </c>
      <c r="E209" s="62">
        <v>0</v>
      </c>
      <c r="F209" s="63" t="e">
        <v>#VALUE!</v>
      </c>
      <c r="G209" s="69" t="s">
        <v>1684</v>
      </c>
      <c r="H209" s="70">
        <v>0.01</v>
      </c>
      <c r="I209" s="64" t="s">
        <v>1712</v>
      </c>
    </row>
    <row r="210" spans="1:9" x14ac:dyDescent="0.25">
      <c r="A210" s="50" t="s">
        <v>389</v>
      </c>
      <c r="B210" s="51" t="s">
        <v>1676</v>
      </c>
      <c r="C210" s="52">
        <v>2</v>
      </c>
      <c r="D210" s="61">
        <f t="shared" si="8"/>
        <v>3.5640000000000005</v>
      </c>
      <c r="E210" s="62">
        <v>0</v>
      </c>
      <c r="F210" s="63" t="e">
        <v>#VALUE!</v>
      </c>
      <c r="G210" s="69" t="s">
        <v>1684</v>
      </c>
      <c r="H210" s="70">
        <v>3.24</v>
      </c>
      <c r="I210" s="64" t="s">
        <v>1712</v>
      </c>
    </row>
    <row r="211" spans="1:9" x14ac:dyDescent="0.25">
      <c r="A211" s="50" t="s">
        <v>390</v>
      </c>
      <c r="B211" s="51" t="s">
        <v>1676</v>
      </c>
      <c r="C211" s="52">
        <v>4</v>
      </c>
      <c r="D211" s="61">
        <f t="shared" si="8"/>
        <v>43.56</v>
      </c>
      <c r="E211" s="62">
        <v>0</v>
      </c>
      <c r="F211" s="63" t="e">
        <v>#VALUE!</v>
      </c>
      <c r="G211" s="69" t="s">
        <v>1684</v>
      </c>
      <c r="H211" s="70">
        <v>39.6</v>
      </c>
      <c r="I211" s="64" t="s">
        <v>1712</v>
      </c>
    </row>
    <row r="212" spans="1:9" x14ac:dyDescent="0.25">
      <c r="A212" s="50" t="s">
        <v>391</v>
      </c>
      <c r="B212" s="51" t="s">
        <v>1676</v>
      </c>
      <c r="C212" s="52">
        <v>23</v>
      </c>
      <c r="D212" s="61">
        <f t="shared" si="8"/>
        <v>582.12</v>
      </c>
      <c r="E212" s="62">
        <v>0</v>
      </c>
      <c r="F212" s="63" t="e">
        <v>#VALUE!</v>
      </c>
      <c r="G212" s="69" t="s">
        <v>1684</v>
      </c>
      <c r="H212" s="70">
        <v>529.19999999999993</v>
      </c>
      <c r="I212" s="64" t="s">
        <v>1712</v>
      </c>
    </row>
    <row r="213" spans="1:9" x14ac:dyDescent="0.25">
      <c r="A213" s="50" t="s">
        <v>392</v>
      </c>
      <c r="B213" s="51" t="s">
        <v>1676</v>
      </c>
      <c r="C213" s="52">
        <v>3</v>
      </c>
      <c r="D213" s="61">
        <f t="shared" si="8"/>
        <v>528</v>
      </c>
      <c r="E213" s="62">
        <v>0</v>
      </c>
      <c r="F213" s="63" t="e">
        <v>#VALUE!</v>
      </c>
      <c r="G213" s="69" t="s">
        <v>1684</v>
      </c>
      <c r="H213" s="70">
        <v>480</v>
      </c>
      <c r="I213" s="64" t="s">
        <v>1712</v>
      </c>
    </row>
    <row r="214" spans="1:9" x14ac:dyDescent="0.25">
      <c r="A214" s="50" t="s">
        <v>393</v>
      </c>
      <c r="B214" s="51" t="s">
        <v>1677</v>
      </c>
      <c r="C214" s="52">
        <v>2</v>
      </c>
      <c r="D214" s="61">
        <f t="shared" si="8"/>
        <v>37.382400000000004</v>
      </c>
      <c r="E214" s="62">
        <v>44012</v>
      </c>
      <c r="F214" s="63" t="s">
        <v>1728</v>
      </c>
      <c r="G214" s="63" t="s">
        <v>1684</v>
      </c>
      <c r="H214" s="64">
        <v>33.984000000000002</v>
      </c>
      <c r="I214" s="64" t="s">
        <v>393</v>
      </c>
    </row>
    <row r="215" spans="1:9" x14ac:dyDescent="0.25">
      <c r="A215" s="50" t="s">
        <v>394</v>
      </c>
      <c r="B215" s="51" t="s">
        <v>1677</v>
      </c>
      <c r="C215" s="52">
        <v>6</v>
      </c>
      <c r="D215" s="61">
        <f t="shared" si="8"/>
        <v>33</v>
      </c>
      <c r="E215" s="62">
        <v>0</v>
      </c>
      <c r="F215" s="63" t="e">
        <v>#VALUE!</v>
      </c>
      <c r="G215" s="69" t="s">
        <v>1684</v>
      </c>
      <c r="H215" s="70">
        <v>30</v>
      </c>
      <c r="I215" s="64" t="s">
        <v>1712</v>
      </c>
    </row>
    <row r="216" spans="1:9" x14ac:dyDescent="0.25">
      <c r="A216" s="50" t="s">
        <v>775</v>
      </c>
      <c r="B216" s="51" t="s">
        <v>1677</v>
      </c>
      <c r="C216" s="52">
        <v>76</v>
      </c>
      <c r="D216" s="61">
        <f t="shared" si="8"/>
        <v>31.536000000000001</v>
      </c>
      <c r="E216" s="62">
        <v>44029</v>
      </c>
      <c r="F216" s="63" t="s">
        <v>1700</v>
      </c>
      <c r="G216" s="63" t="s">
        <v>1684</v>
      </c>
      <c r="H216" s="64">
        <v>31.536000000000001</v>
      </c>
      <c r="I216" s="64" t="s">
        <v>775</v>
      </c>
    </row>
    <row r="217" spans="1:9" x14ac:dyDescent="0.25">
      <c r="A217" s="50" t="s">
        <v>395</v>
      </c>
      <c r="B217" s="51" t="s">
        <v>1677</v>
      </c>
      <c r="C217" s="52">
        <v>87</v>
      </c>
      <c r="D217" s="61">
        <f t="shared" si="8"/>
        <v>38.5</v>
      </c>
      <c r="E217" s="62">
        <v>0</v>
      </c>
      <c r="F217" s="63" t="e">
        <v>#VALUE!</v>
      </c>
      <c r="G217" s="69" t="s">
        <v>1684</v>
      </c>
      <c r="H217" s="70">
        <v>35</v>
      </c>
      <c r="I217" s="64" t="s">
        <v>1712</v>
      </c>
    </row>
    <row r="218" spans="1:9" x14ac:dyDescent="0.25">
      <c r="A218" s="50" t="s">
        <v>396</v>
      </c>
      <c r="B218" s="51" t="s">
        <v>1677</v>
      </c>
      <c r="C218" s="52">
        <v>20</v>
      </c>
      <c r="D218" s="61">
        <f t="shared" si="8"/>
        <v>49.500000000000007</v>
      </c>
      <c r="E218" s="62">
        <v>0</v>
      </c>
      <c r="F218" s="63" t="e">
        <v>#VALUE!</v>
      </c>
      <c r="G218" s="69" t="s">
        <v>1684</v>
      </c>
      <c r="H218" s="70">
        <v>45</v>
      </c>
      <c r="I218" s="64" t="s">
        <v>1712</v>
      </c>
    </row>
    <row r="219" spans="1:9" ht="26.25" x14ac:dyDescent="0.25">
      <c r="A219" s="50" t="s">
        <v>397</v>
      </c>
      <c r="B219" s="51" t="s">
        <v>1677</v>
      </c>
      <c r="C219" s="52">
        <v>20</v>
      </c>
      <c r="D219" s="61">
        <f t="shared" si="8"/>
        <v>61.221600000000002</v>
      </c>
      <c r="E219" s="62">
        <v>43903</v>
      </c>
      <c r="F219" s="63" t="s">
        <v>1700</v>
      </c>
      <c r="G219" s="63" t="s">
        <v>1684</v>
      </c>
      <c r="H219" s="64">
        <v>55.655999999999999</v>
      </c>
      <c r="I219" s="64" t="s">
        <v>1779</v>
      </c>
    </row>
    <row r="220" spans="1:9" ht="26.25" x14ac:dyDescent="0.25">
      <c r="A220" s="50" t="s">
        <v>398</v>
      </c>
      <c r="B220" s="51" t="s">
        <v>1677</v>
      </c>
      <c r="C220" s="52">
        <v>20</v>
      </c>
      <c r="D220" s="61">
        <f t="shared" si="8"/>
        <v>61.221600000000002</v>
      </c>
      <c r="E220" s="62">
        <v>43903</v>
      </c>
      <c r="F220" s="63" t="s">
        <v>1700</v>
      </c>
      <c r="G220" s="63" t="s">
        <v>1684</v>
      </c>
      <c r="H220" s="64">
        <v>55.655999999999999</v>
      </c>
      <c r="I220" s="64" t="s">
        <v>1780</v>
      </c>
    </row>
    <row r="221" spans="1:9" x14ac:dyDescent="0.25">
      <c r="A221" s="50" t="s">
        <v>399</v>
      </c>
      <c r="B221" s="51" t="s">
        <v>1676</v>
      </c>
      <c r="C221" s="52">
        <v>1</v>
      </c>
      <c r="D221" s="61">
        <f t="shared" si="8"/>
        <v>13096.6</v>
      </c>
      <c r="E221" s="62">
        <v>0</v>
      </c>
      <c r="F221" s="63" t="e">
        <v>#VALUE!</v>
      </c>
      <c r="G221" s="69" t="s">
        <v>1684</v>
      </c>
      <c r="H221" s="70">
        <v>11906</v>
      </c>
      <c r="I221" s="64" t="s">
        <v>1712</v>
      </c>
    </row>
    <row r="222" spans="1:9" x14ac:dyDescent="0.25">
      <c r="A222" s="50" t="s">
        <v>71</v>
      </c>
      <c r="B222" s="51" t="s">
        <v>1678</v>
      </c>
      <c r="C222" s="53">
        <v>0.36299999999999999</v>
      </c>
      <c r="D222" s="142">
        <v>120</v>
      </c>
      <c r="E222" s="62">
        <v>44014</v>
      </c>
      <c r="F222" s="63" t="s">
        <v>1781</v>
      </c>
      <c r="G222" s="63" t="s">
        <v>1684</v>
      </c>
      <c r="H222" s="64">
        <v>120.09599999999999</v>
      </c>
      <c r="I222" s="64" t="s">
        <v>71</v>
      </c>
    </row>
    <row r="223" spans="1:9" x14ac:dyDescent="0.25">
      <c r="A223" s="50" t="s">
        <v>72</v>
      </c>
      <c r="B223" s="51" t="s">
        <v>1678</v>
      </c>
      <c r="C223" s="53">
        <v>0.46600000000000003</v>
      </c>
      <c r="D223" s="142">
        <v>120</v>
      </c>
      <c r="E223" s="62">
        <v>0</v>
      </c>
      <c r="F223" s="63" t="e">
        <v>#VALUE!</v>
      </c>
      <c r="G223" s="69" t="s">
        <v>1684</v>
      </c>
      <c r="H223" s="70">
        <v>85</v>
      </c>
      <c r="I223" s="64" t="s">
        <v>1712</v>
      </c>
    </row>
    <row r="224" spans="1:9" ht="26.25" x14ac:dyDescent="0.25">
      <c r="A224" s="50" t="s">
        <v>400</v>
      </c>
      <c r="B224" s="51" t="s">
        <v>1676</v>
      </c>
      <c r="C224" s="52">
        <v>9</v>
      </c>
      <c r="D224" s="61">
        <f t="shared" ref="D224:D242" si="9">H224 * IF(G224="руб", 1, 1.4 * (k_ru_dol*(G224="USD")+k_ru_evro*(G224="EUR")+k_ru_yuan*(G224="CNY"))/1.2) * IF(E224&lt;(дата_расчета - 365),1.1,1)</f>
        <v>482.06399999999996</v>
      </c>
      <c r="E224" s="62">
        <v>43966</v>
      </c>
      <c r="F224" s="63" t="s">
        <v>1700</v>
      </c>
      <c r="G224" s="63" t="s">
        <v>1684</v>
      </c>
      <c r="H224" s="64">
        <v>438.23999999999995</v>
      </c>
      <c r="I224" s="64" t="s">
        <v>1782</v>
      </c>
    </row>
    <row r="225" spans="1:9" x14ac:dyDescent="0.25">
      <c r="A225" s="50" t="s">
        <v>401</v>
      </c>
      <c r="B225" s="51" t="s">
        <v>1676</v>
      </c>
      <c r="C225" s="52">
        <v>2</v>
      </c>
      <c r="D225" s="61">
        <f t="shared" si="9"/>
        <v>567.66</v>
      </c>
      <c r="E225" s="62">
        <v>44097</v>
      </c>
      <c r="F225" s="63"/>
      <c r="G225" s="63" t="s">
        <v>1684</v>
      </c>
      <c r="H225" s="64">
        <v>567.66</v>
      </c>
      <c r="I225" s="64"/>
    </row>
    <row r="226" spans="1:9" x14ac:dyDescent="0.25">
      <c r="A226" s="50" t="s">
        <v>1579</v>
      </c>
      <c r="B226" s="51" t="s">
        <v>1676</v>
      </c>
      <c r="C226" s="52">
        <v>16</v>
      </c>
      <c r="D226" s="61">
        <f t="shared" si="9"/>
        <v>309.23640000000006</v>
      </c>
      <c r="E226" s="62">
        <v>43165</v>
      </c>
      <c r="F226" s="63" t="s">
        <v>1689</v>
      </c>
      <c r="G226" s="63" t="s">
        <v>1684</v>
      </c>
      <c r="H226" s="64">
        <v>281.12400000000002</v>
      </c>
      <c r="I226" s="64" t="s">
        <v>1783</v>
      </c>
    </row>
    <row r="227" spans="1:9" x14ac:dyDescent="0.25">
      <c r="A227" s="50" t="s">
        <v>403</v>
      </c>
      <c r="B227" s="51" t="s">
        <v>1676</v>
      </c>
      <c r="C227" s="52">
        <v>8</v>
      </c>
      <c r="D227" s="61">
        <f t="shared" si="9"/>
        <v>159.36000000000001</v>
      </c>
      <c r="E227" s="62">
        <v>44021</v>
      </c>
      <c r="F227" s="63" t="s">
        <v>1784</v>
      </c>
      <c r="G227" s="63" t="s">
        <v>1684</v>
      </c>
      <c r="H227" s="64">
        <v>159.36000000000001</v>
      </c>
      <c r="I227" s="64" t="s">
        <v>403</v>
      </c>
    </row>
    <row r="228" spans="1:9" x14ac:dyDescent="0.25">
      <c r="A228" s="50" t="s">
        <v>404</v>
      </c>
      <c r="B228" s="51" t="s">
        <v>1676</v>
      </c>
      <c r="C228" s="52">
        <v>8</v>
      </c>
      <c r="D228" s="61">
        <f t="shared" si="9"/>
        <v>316.03440000000001</v>
      </c>
      <c r="E228" s="62">
        <v>43826</v>
      </c>
      <c r="F228" s="63" t="s">
        <v>1785</v>
      </c>
      <c r="G228" s="63" t="s">
        <v>1684</v>
      </c>
      <c r="H228" s="64">
        <v>287.30399999999997</v>
      </c>
      <c r="I228" s="64" t="s">
        <v>1786</v>
      </c>
    </row>
    <row r="229" spans="1:9" x14ac:dyDescent="0.25">
      <c r="A229" s="50" t="s">
        <v>405</v>
      </c>
      <c r="B229" s="51" t="s">
        <v>1676</v>
      </c>
      <c r="C229" s="52">
        <v>8</v>
      </c>
      <c r="D229" s="61">
        <f t="shared" si="9"/>
        <v>1554.4199999999998</v>
      </c>
      <c r="E229" s="62">
        <v>44021</v>
      </c>
      <c r="F229" s="63" t="s">
        <v>1784</v>
      </c>
      <c r="G229" s="63" t="s">
        <v>1684</v>
      </c>
      <c r="H229" s="64">
        <v>1554.4199999999998</v>
      </c>
      <c r="I229" s="64" t="s">
        <v>405</v>
      </c>
    </row>
    <row r="230" spans="1:9" x14ac:dyDescent="0.25">
      <c r="A230" s="50" t="s">
        <v>406</v>
      </c>
      <c r="B230" s="51" t="s">
        <v>1676</v>
      </c>
      <c r="C230" s="52">
        <v>9</v>
      </c>
      <c r="D230" s="61">
        <f t="shared" si="9"/>
        <v>3086.1600000000003</v>
      </c>
      <c r="E230" s="62">
        <v>0</v>
      </c>
      <c r="F230" s="63" t="e">
        <v>#VALUE!</v>
      </c>
      <c r="G230" s="69" t="s">
        <v>1684</v>
      </c>
      <c r="H230" s="70">
        <v>2805.6</v>
      </c>
      <c r="I230" s="64" t="s">
        <v>1712</v>
      </c>
    </row>
    <row r="231" spans="1:9" x14ac:dyDescent="0.25">
      <c r="A231" s="50" t="s">
        <v>407</v>
      </c>
      <c r="B231" s="51" t="s">
        <v>1676</v>
      </c>
      <c r="C231" s="52">
        <v>42</v>
      </c>
      <c r="D231" s="61">
        <f t="shared" si="9"/>
        <v>177.99600000000001</v>
      </c>
      <c r="E231" s="62">
        <v>44061</v>
      </c>
      <c r="F231" s="63" t="s">
        <v>1753</v>
      </c>
      <c r="G231" s="63" t="s">
        <v>1684</v>
      </c>
      <c r="H231" s="64">
        <v>177.99600000000001</v>
      </c>
      <c r="I231" s="64" t="s">
        <v>407</v>
      </c>
    </row>
    <row r="232" spans="1:9" x14ac:dyDescent="0.25">
      <c r="A232" s="50" t="s">
        <v>408</v>
      </c>
      <c r="B232" s="51" t="s">
        <v>1676</v>
      </c>
      <c r="C232" s="52">
        <v>38</v>
      </c>
      <c r="D232" s="61">
        <f t="shared" si="9"/>
        <v>163.68</v>
      </c>
      <c r="E232" s="62">
        <v>44097</v>
      </c>
      <c r="F232" s="63"/>
      <c r="G232" s="63" t="s">
        <v>1684</v>
      </c>
      <c r="H232" s="64">
        <v>163.68</v>
      </c>
      <c r="I232" s="64"/>
    </row>
    <row r="233" spans="1:9" x14ac:dyDescent="0.25">
      <c r="A233" s="50" t="s">
        <v>409</v>
      </c>
      <c r="B233" s="51" t="s">
        <v>1676</v>
      </c>
      <c r="C233" s="52">
        <v>8</v>
      </c>
      <c r="D233" s="61">
        <f t="shared" si="9"/>
        <v>15750</v>
      </c>
      <c r="E233" s="62">
        <v>44095</v>
      </c>
      <c r="F233" s="63"/>
      <c r="G233" s="63" t="s">
        <v>1699</v>
      </c>
      <c r="H233" s="64">
        <v>180</v>
      </c>
      <c r="I233" s="64"/>
    </row>
    <row r="234" spans="1:9" ht="26.25" x14ac:dyDescent="0.25">
      <c r="A234" s="50" t="s">
        <v>410</v>
      </c>
      <c r="B234" s="51" t="s">
        <v>1676</v>
      </c>
      <c r="C234" s="52">
        <v>1</v>
      </c>
      <c r="D234" s="61">
        <f t="shared" si="9"/>
        <v>586.08000000000004</v>
      </c>
      <c r="E234" s="62">
        <v>0</v>
      </c>
      <c r="F234" s="63" t="e">
        <v>#VALUE!</v>
      </c>
      <c r="G234" s="69" t="s">
        <v>1684</v>
      </c>
      <c r="H234" s="70">
        <v>532.79999999999995</v>
      </c>
      <c r="I234" s="64" t="s">
        <v>1712</v>
      </c>
    </row>
    <row r="235" spans="1:9" x14ac:dyDescent="0.25">
      <c r="A235" s="50" t="s">
        <v>411</v>
      </c>
      <c r="B235" s="51" t="s">
        <v>1676</v>
      </c>
      <c r="C235" s="52">
        <v>24</v>
      </c>
      <c r="D235" s="61">
        <f t="shared" si="9"/>
        <v>1085.5319999999999</v>
      </c>
      <c r="E235" s="62">
        <v>44036</v>
      </c>
      <c r="F235" s="63" t="s">
        <v>1700</v>
      </c>
      <c r="G235" s="63" t="s">
        <v>1684</v>
      </c>
      <c r="H235" s="64">
        <v>1085.5319999999999</v>
      </c>
      <c r="I235" s="64" t="s">
        <v>411</v>
      </c>
    </row>
    <row r="236" spans="1:9" x14ac:dyDescent="0.25">
      <c r="A236" s="50" t="s">
        <v>412</v>
      </c>
      <c r="B236" s="51" t="s">
        <v>1676</v>
      </c>
      <c r="C236" s="52">
        <v>1</v>
      </c>
      <c r="D236" s="61">
        <f t="shared" si="9"/>
        <v>1320</v>
      </c>
      <c r="E236" s="62">
        <v>0</v>
      </c>
      <c r="F236" s="63" t="e">
        <v>#VALUE!</v>
      </c>
      <c r="G236" s="69" t="s">
        <v>1684</v>
      </c>
      <c r="H236" s="70">
        <v>1200</v>
      </c>
      <c r="I236" s="64" t="s">
        <v>1712</v>
      </c>
    </row>
    <row r="237" spans="1:9" x14ac:dyDescent="0.25">
      <c r="A237" s="50" t="s">
        <v>572</v>
      </c>
      <c r="B237" s="51" t="s">
        <v>1676</v>
      </c>
      <c r="C237" s="52">
        <v>4</v>
      </c>
      <c r="D237" s="61">
        <f t="shared" si="9"/>
        <v>2804.3267999999998</v>
      </c>
      <c r="E237" s="62">
        <v>43245</v>
      </c>
      <c r="F237" s="63" t="s">
        <v>1775</v>
      </c>
      <c r="G237" s="63" t="s">
        <v>1684</v>
      </c>
      <c r="H237" s="64">
        <v>2549.3879999999995</v>
      </c>
      <c r="I237" s="64" t="s">
        <v>1787</v>
      </c>
    </row>
    <row r="238" spans="1:9" x14ac:dyDescent="0.25">
      <c r="A238" s="50" t="s">
        <v>413</v>
      </c>
      <c r="B238" s="51" t="s">
        <v>1676</v>
      </c>
      <c r="C238" s="52">
        <v>2</v>
      </c>
      <c r="D238" s="61">
        <f t="shared" si="9"/>
        <v>1435.9092000000001</v>
      </c>
      <c r="E238" s="62">
        <v>44012</v>
      </c>
      <c r="F238" s="63" t="s">
        <v>1728</v>
      </c>
      <c r="G238" s="63" t="s">
        <v>1684</v>
      </c>
      <c r="H238" s="64">
        <v>1305.3719999999998</v>
      </c>
      <c r="I238" s="64" t="s">
        <v>413</v>
      </c>
    </row>
    <row r="239" spans="1:9" x14ac:dyDescent="0.25">
      <c r="A239" s="50" t="s">
        <v>414</v>
      </c>
      <c r="B239" s="51" t="s">
        <v>1676</v>
      </c>
      <c r="C239" s="52">
        <v>8</v>
      </c>
      <c r="D239" s="61">
        <f t="shared" si="9"/>
        <v>261.61079999999998</v>
      </c>
      <c r="E239" s="62">
        <v>43979</v>
      </c>
      <c r="F239" s="63" t="s">
        <v>1700</v>
      </c>
      <c r="G239" s="63" t="s">
        <v>1684</v>
      </c>
      <c r="H239" s="64">
        <v>237.82799999999997</v>
      </c>
      <c r="I239" s="64" t="s">
        <v>414</v>
      </c>
    </row>
    <row r="240" spans="1:9" x14ac:dyDescent="0.25">
      <c r="A240" s="50" t="s">
        <v>1401</v>
      </c>
      <c r="B240" s="51" t="s">
        <v>1676</v>
      </c>
      <c r="C240" s="52">
        <v>8</v>
      </c>
      <c r="D240" s="61">
        <f t="shared" si="9"/>
        <v>2944.3524000000007</v>
      </c>
      <c r="E240" s="62">
        <v>43493</v>
      </c>
      <c r="F240" s="63" t="s">
        <v>1788</v>
      </c>
      <c r="G240" s="63" t="s">
        <v>1684</v>
      </c>
      <c r="H240" s="64">
        <v>2676.6840000000002</v>
      </c>
      <c r="I240" s="64" t="s">
        <v>73</v>
      </c>
    </row>
    <row r="241" spans="1:9" x14ac:dyDescent="0.25">
      <c r="A241" s="50" t="s">
        <v>1464</v>
      </c>
      <c r="B241" s="51" t="s">
        <v>1676</v>
      </c>
      <c r="C241" s="52">
        <v>1</v>
      </c>
      <c r="D241" s="61">
        <f t="shared" si="9"/>
        <v>4494.7056000000002</v>
      </c>
      <c r="E241" s="62">
        <v>43991</v>
      </c>
      <c r="F241" s="63" t="s">
        <v>1788</v>
      </c>
      <c r="G241" s="63" t="s">
        <v>1684</v>
      </c>
      <c r="H241" s="64">
        <v>4086.0959999999995</v>
      </c>
      <c r="I241" s="64" t="s">
        <v>1464</v>
      </c>
    </row>
    <row r="242" spans="1:9" x14ac:dyDescent="0.25">
      <c r="A242" s="50" t="s">
        <v>415</v>
      </c>
      <c r="B242" s="51" t="s">
        <v>1676</v>
      </c>
      <c r="C242" s="52">
        <v>1</v>
      </c>
      <c r="D242" s="61">
        <f t="shared" si="9"/>
        <v>1020.2940000000001</v>
      </c>
      <c r="E242" s="62">
        <v>43136</v>
      </c>
      <c r="F242" s="63" t="s">
        <v>1689</v>
      </c>
      <c r="G242" s="63" t="s">
        <v>1684</v>
      </c>
      <c r="H242" s="64">
        <v>927.54</v>
      </c>
      <c r="I242" s="64" t="s">
        <v>1789</v>
      </c>
    </row>
    <row r="243" spans="1:9" x14ac:dyDescent="0.25">
      <c r="A243" s="50" t="s">
        <v>74</v>
      </c>
      <c r="B243" s="51" t="s">
        <v>1678</v>
      </c>
      <c r="C243" s="53">
        <v>0.33600000000000002</v>
      </c>
      <c r="D243" s="142">
        <v>100</v>
      </c>
      <c r="E243" s="62">
        <v>0</v>
      </c>
      <c r="F243" s="63" t="e">
        <v>#VALUE!</v>
      </c>
      <c r="G243" s="69" t="s">
        <v>1684</v>
      </c>
      <c r="H243" s="70">
        <v>50</v>
      </c>
      <c r="I243" s="64" t="s">
        <v>1712</v>
      </c>
    </row>
    <row r="244" spans="1:9" x14ac:dyDescent="0.25">
      <c r="A244" s="50" t="s">
        <v>75</v>
      </c>
      <c r="B244" s="51" t="s">
        <v>1678</v>
      </c>
      <c r="C244" s="53">
        <v>6.024</v>
      </c>
      <c r="D244" s="142">
        <v>100</v>
      </c>
      <c r="E244" s="62">
        <v>43381</v>
      </c>
      <c r="F244" s="63" t="s">
        <v>1790</v>
      </c>
      <c r="G244" s="63" t="s">
        <v>1684</v>
      </c>
      <c r="H244" s="64">
        <v>45.48</v>
      </c>
      <c r="I244" s="64" t="s">
        <v>75</v>
      </c>
    </row>
    <row r="245" spans="1:9" x14ac:dyDescent="0.25">
      <c r="A245" s="50" t="s">
        <v>76</v>
      </c>
      <c r="B245" s="51" t="s">
        <v>1678</v>
      </c>
      <c r="C245" s="55">
        <v>8.16</v>
      </c>
      <c r="D245" s="142">
        <v>100</v>
      </c>
      <c r="E245" s="62">
        <v>43860</v>
      </c>
      <c r="F245" s="63" t="s">
        <v>1781</v>
      </c>
      <c r="G245" s="63" t="s">
        <v>1684</v>
      </c>
      <c r="H245" s="64">
        <v>41.195999999999998</v>
      </c>
      <c r="I245" s="64" t="s">
        <v>76</v>
      </c>
    </row>
    <row r="246" spans="1:9" x14ac:dyDescent="0.25">
      <c r="A246" s="50" t="s">
        <v>77</v>
      </c>
      <c r="B246" s="51" t="s">
        <v>1678</v>
      </c>
      <c r="C246" s="53">
        <v>11.742000000000001</v>
      </c>
      <c r="D246" s="142">
        <v>100</v>
      </c>
      <c r="E246" s="62">
        <v>44050</v>
      </c>
      <c r="F246" s="63" t="s">
        <v>1781</v>
      </c>
      <c r="G246" s="63" t="s">
        <v>1684</v>
      </c>
      <c r="H246" s="64">
        <v>42.095999999999997</v>
      </c>
      <c r="I246" s="64" t="s">
        <v>77</v>
      </c>
    </row>
    <row r="247" spans="1:9" x14ac:dyDescent="0.25">
      <c r="A247" s="50" t="s">
        <v>78</v>
      </c>
      <c r="B247" s="51" t="s">
        <v>1678</v>
      </c>
      <c r="C247" s="53">
        <v>12.215999999999999</v>
      </c>
      <c r="D247" s="142">
        <v>100</v>
      </c>
      <c r="E247" s="62">
        <v>43381</v>
      </c>
      <c r="F247" s="63" t="s">
        <v>1790</v>
      </c>
      <c r="G247" s="63" t="s">
        <v>1684</v>
      </c>
      <c r="H247" s="64">
        <v>48.503999999999998</v>
      </c>
      <c r="I247" s="64" t="s">
        <v>78</v>
      </c>
    </row>
    <row r="248" spans="1:9" x14ac:dyDescent="0.25">
      <c r="A248" s="50" t="s">
        <v>79</v>
      </c>
      <c r="B248" s="51" t="s">
        <v>1678</v>
      </c>
      <c r="C248" s="57">
        <v>67.2</v>
      </c>
      <c r="D248" s="142">
        <v>100</v>
      </c>
      <c r="E248" s="62">
        <v>43950</v>
      </c>
      <c r="F248" s="63" t="s">
        <v>1791</v>
      </c>
      <c r="G248" s="63" t="s">
        <v>1684</v>
      </c>
      <c r="H248" s="64">
        <v>46.475999999999992</v>
      </c>
      <c r="I248" s="64" t="s">
        <v>79</v>
      </c>
    </row>
    <row r="249" spans="1:9" x14ac:dyDescent="0.25">
      <c r="A249" s="50" t="s">
        <v>80</v>
      </c>
      <c r="B249" s="51" t="s">
        <v>1678</v>
      </c>
      <c r="C249" s="55">
        <v>104.48</v>
      </c>
      <c r="D249" s="142">
        <v>100</v>
      </c>
      <c r="E249" s="62">
        <v>43461</v>
      </c>
      <c r="F249" s="63" t="s">
        <v>1781</v>
      </c>
      <c r="G249" s="63" t="s">
        <v>1684</v>
      </c>
      <c r="H249" s="64">
        <v>46.368000000000002</v>
      </c>
      <c r="I249" s="64" t="s">
        <v>80</v>
      </c>
    </row>
    <row r="250" spans="1:9" x14ac:dyDescent="0.25">
      <c r="A250" s="50" t="s">
        <v>81</v>
      </c>
      <c r="B250" s="51" t="s">
        <v>1678</v>
      </c>
      <c r="C250" s="53">
        <v>0.33600000000000002</v>
      </c>
      <c r="D250" s="142">
        <v>300</v>
      </c>
      <c r="E250" s="62">
        <v>0</v>
      </c>
      <c r="F250" s="63" t="e">
        <v>#VALUE!</v>
      </c>
      <c r="G250" s="69" t="s">
        <v>1684</v>
      </c>
      <c r="H250" s="70">
        <v>300</v>
      </c>
      <c r="I250" s="64" t="s">
        <v>1712</v>
      </c>
    </row>
    <row r="251" spans="1:9" x14ac:dyDescent="0.25">
      <c r="A251" s="50" t="s">
        <v>82</v>
      </c>
      <c r="B251" s="51" t="s">
        <v>1678</v>
      </c>
      <c r="C251" s="53">
        <v>0.878</v>
      </c>
      <c r="D251" s="142">
        <v>100</v>
      </c>
      <c r="E251" s="62">
        <v>43795</v>
      </c>
      <c r="F251" s="63" t="s">
        <v>1781</v>
      </c>
      <c r="G251" s="63" t="s">
        <v>1684</v>
      </c>
      <c r="H251" s="64">
        <v>42.095999999999997</v>
      </c>
      <c r="I251" s="64" t="s">
        <v>82</v>
      </c>
    </row>
    <row r="252" spans="1:9" x14ac:dyDescent="0.25">
      <c r="A252" s="50" t="s">
        <v>83</v>
      </c>
      <c r="B252" s="51" t="s">
        <v>1678</v>
      </c>
      <c r="C252" s="53">
        <v>12.308</v>
      </c>
      <c r="D252" s="142">
        <v>100</v>
      </c>
      <c r="E252" s="62">
        <v>43950</v>
      </c>
      <c r="F252" s="63" t="s">
        <v>1791</v>
      </c>
      <c r="G252" s="63" t="s">
        <v>1684</v>
      </c>
      <c r="H252" s="64">
        <v>42.984000000000002</v>
      </c>
      <c r="I252" s="64" t="s">
        <v>83</v>
      </c>
    </row>
    <row r="253" spans="1:9" x14ac:dyDescent="0.25">
      <c r="A253" s="50" t="s">
        <v>84</v>
      </c>
      <c r="B253" s="51" t="s">
        <v>1678</v>
      </c>
      <c r="C253" s="53">
        <v>24.925000000000001</v>
      </c>
      <c r="D253" s="142">
        <v>100</v>
      </c>
      <c r="E253" s="62">
        <v>0</v>
      </c>
      <c r="F253" s="63" t="e">
        <v>#VALUE!</v>
      </c>
      <c r="G253" s="69" t="s">
        <v>1684</v>
      </c>
      <c r="H253" s="70">
        <v>50</v>
      </c>
      <c r="I253" s="64" t="s">
        <v>1712</v>
      </c>
    </row>
    <row r="254" spans="1:9" x14ac:dyDescent="0.25">
      <c r="A254" s="50" t="s">
        <v>85</v>
      </c>
      <c r="B254" s="51" t="s">
        <v>1678</v>
      </c>
      <c r="C254" s="53">
        <v>9.3640000000000008</v>
      </c>
      <c r="D254" s="142">
        <v>100</v>
      </c>
      <c r="E254" s="62">
        <v>43367</v>
      </c>
      <c r="F254" s="63" t="s">
        <v>1781</v>
      </c>
      <c r="G254" s="63" t="s">
        <v>1684</v>
      </c>
      <c r="H254" s="64">
        <v>43.427999999999997</v>
      </c>
      <c r="I254" s="64" t="s">
        <v>1792</v>
      </c>
    </row>
    <row r="255" spans="1:9" x14ac:dyDescent="0.25">
      <c r="A255" s="50" t="s">
        <v>86</v>
      </c>
      <c r="B255" s="51" t="s">
        <v>1678</v>
      </c>
      <c r="C255" s="53">
        <v>0.50800000000000001</v>
      </c>
      <c r="D255" s="142">
        <v>100</v>
      </c>
      <c r="E255" s="62">
        <v>44011</v>
      </c>
      <c r="F255" s="63" t="s">
        <v>1791</v>
      </c>
      <c r="G255" s="63" t="s">
        <v>1684</v>
      </c>
      <c r="H255" s="64">
        <v>89.112000000000009</v>
      </c>
      <c r="I255" s="64" t="s">
        <v>86</v>
      </c>
    </row>
    <row r="256" spans="1:9" x14ac:dyDescent="0.25">
      <c r="A256" s="50" t="s">
        <v>87</v>
      </c>
      <c r="B256" s="51" t="s">
        <v>1678</v>
      </c>
      <c r="C256" s="53">
        <v>17.936</v>
      </c>
      <c r="D256" s="142">
        <v>100</v>
      </c>
      <c r="E256" s="62">
        <v>44068</v>
      </c>
      <c r="F256" s="63" t="s">
        <v>1791</v>
      </c>
      <c r="G256" s="63" t="s">
        <v>1684</v>
      </c>
      <c r="H256" s="64">
        <v>44.279999999999994</v>
      </c>
      <c r="I256" s="64" t="s">
        <v>87</v>
      </c>
    </row>
    <row r="257" spans="1:9" x14ac:dyDescent="0.25">
      <c r="A257" s="50" t="s">
        <v>88</v>
      </c>
      <c r="B257" s="51" t="s">
        <v>1678</v>
      </c>
      <c r="C257" s="53">
        <v>1.264</v>
      </c>
      <c r="D257" s="142">
        <v>100</v>
      </c>
      <c r="E257" s="62">
        <v>0</v>
      </c>
      <c r="F257" s="63" t="e">
        <v>#VALUE!</v>
      </c>
      <c r="G257" s="69" t="s">
        <v>1684</v>
      </c>
      <c r="H257" s="70">
        <v>41.16</v>
      </c>
      <c r="I257" s="64" t="s">
        <v>1712</v>
      </c>
    </row>
    <row r="258" spans="1:9" x14ac:dyDescent="0.25">
      <c r="A258" s="50" t="s">
        <v>89</v>
      </c>
      <c r="B258" s="51" t="s">
        <v>1678</v>
      </c>
      <c r="C258" s="55">
        <v>5.04</v>
      </c>
      <c r="D258" s="142">
        <v>100</v>
      </c>
      <c r="E258" s="62">
        <v>0</v>
      </c>
      <c r="F258" s="63" t="e">
        <v>#VALUE!</v>
      </c>
      <c r="G258" s="69" t="s">
        <v>1684</v>
      </c>
      <c r="H258" s="70">
        <v>50</v>
      </c>
      <c r="I258" s="64" t="s">
        <v>1712</v>
      </c>
    </row>
    <row r="259" spans="1:9" x14ac:dyDescent="0.25">
      <c r="A259" s="50" t="s">
        <v>90</v>
      </c>
      <c r="B259" s="51" t="s">
        <v>1678</v>
      </c>
      <c r="C259" s="55">
        <v>3.04</v>
      </c>
      <c r="D259" s="142">
        <v>300</v>
      </c>
      <c r="E259" s="62">
        <v>0</v>
      </c>
      <c r="F259" s="63" t="e">
        <v>#VALUE!</v>
      </c>
      <c r="G259" s="69" t="s">
        <v>1684</v>
      </c>
      <c r="H259" s="70">
        <v>300</v>
      </c>
      <c r="I259" s="64" t="s">
        <v>1712</v>
      </c>
    </row>
    <row r="260" spans="1:9" x14ac:dyDescent="0.25">
      <c r="A260" s="50" t="s">
        <v>91</v>
      </c>
      <c r="B260" s="51" t="s">
        <v>1678</v>
      </c>
      <c r="C260" s="57">
        <v>0.9</v>
      </c>
      <c r="D260" s="142">
        <v>100</v>
      </c>
      <c r="E260" s="62">
        <v>43970</v>
      </c>
      <c r="F260" s="63" t="s">
        <v>1781</v>
      </c>
      <c r="G260" s="63" t="s">
        <v>1684</v>
      </c>
      <c r="H260" s="64">
        <v>40.799999999999997</v>
      </c>
      <c r="I260" s="64" t="s">
        <v>91</v>
      </c>
    </row>
    <row r="261" spans="1:9" x14ac:dyDescent="0.25">
      <c r="A261" s="50" t="s">
        <v>92</v>
      </c>
      <c r="B261" s="51" t="s">
        <v>1678</v>
      </c>
      <c r="C261" s="53">
        <v>11.609</v>
      </c>
      <c r="D261" s="142">
        <v>300</v>
      </c>
      <c r="E261" s="62">
        <v>44014</v>
      </c>
      <c r="F261" s="63" t="s">
        <v>1781</v>
      </c>
      <c r="G261" s="63" t="s">
        <v>1684</v>
      </c>
      <c r="H261" s="64">
        <v>214.596</v>
      </c>
      <c r="I261" s="64" t="s">
        <v>92</v>
      </c>
    </row>
    <row r="262" spans="1:9" x14ac:dyDescent="0.25">
      <c r="A262" s="50" t="s">
        <v>93</v>
      </c>
      <c r="B262" s="51" t="s">
        <v>1678</v>
      </c>
      <c r="C262" s="57">
        <v>0.8</v>
      </c>
      <c r="D262" s="142">
        <v>300</v>
      </c>
      <c r="E262" s="62">
        <v>0</v>
      </c>
      <c r="F262" s="63" t="e">
        <v>#VALUE!</v>
      </c>
      <c r="G262" s="69" t="s">
        <v>1684</v>
      </c>
      <c r="H262" s="70">
        <v>300</v>
      </c>
      <c r="I262" s="64" t="s">
        <v>1712</v>
      </c>
    </row>
    <row r="263" spans="1:9" x14ac:dyDescent="0.25">
      <c r="A263" s="50" t="s">
        <v>94</v>
      </c>
      <c r="B263" s="51" t="s">
        <v>1678</v>
      </c>
      <c r="C263" s="53">
        <v>11.744</v>
      </c>
      <c r="D263" s="142">
        <v>100</v>
      </c>
      <c r="E263" s="62">
        <v>43256</v>
      </c>
      <c r="F263" s="63" t="s">
        <v>1781</v>
      </c>
      <c r="G263" s="63" t="s">
        <v>1684</v>
      </c>
      <c r="H263" s="64">
        <v>49.271999999999998</v>
      </c>
      <c r="I263" s="64" t="s">
        <v>1793</v>
      </c>
    </row>
    <row r="264" spans="1:9" x14ac:dyDescent="0.25">
      <c r="A264" s="50" t="s">
        <v>95</v>
      </c>
      <c r="B264" s="51" t="s">
        <v>1678</v>
      </c>
      <c r="C264" s="53">
        <v>0.17599999999999999</v>
      </c>
      <c r="D264" s="142">
        <v>100</v>
      </c>
      <c r="E264" s="62">
        <v>43248</v>
      </c>
      <c r="F264" s="63" t="s">
        <v>1781</v>
      </c>
      <c r="G264" s="63" t="s">
        <v>1684</v>
      </c>
      <c r="H264" s="64">
        <v>43.727999999999994</v>
      </c>
      <c r="I264" s="64" t="s">
        <v>1794</v>
      </c>
    </row>
    <row r="265" spans="1:9" x14ac:dyDescent="0.25">
      <c r="A265" s="50" t="s">
        <v>96</v>
      </c>
      <c r="B265" s="51" t="s">
        <v>1678</v>
      </c>
      <c r="C265" s="55">
        <v>17.68</v>
      </c>
      <c r="D265" s="142">
        <v>100</v>
      </c>
      <c r="E265" s="62">
        <v>43227</v>
      </c>
      <c r="F265" s="63" t="s">
        <v>1795</v>
      </c>
      <c r="G265" s="63" t="s">
        <v>1684</v>
      </c>
      <c r="H265" s="64">
        <v>94.883999999999986</v>
      </c>
      <c r="I265" s="64" t="s">
        <v>96</v>
      </c>
    </row>
    <row r="266" spans="1:9" x14ac:dyDescent="0.25">
      <c r="A266" s="50" t="s">
        <v>97</v>
      </c>
      <c r="B266" s="51" t="s">
        <v>1678</v>
      </c>
      <c r="C266" s="55">
        <v>8.32</v>
      </c>
      <c r="D266" s="142">
        <v>100</v>
      </c>
      <c r="E266" s="62">
        <v>43371</v>
      </c>
      <c r="F266" s="63" t="s">
        <v>1790</v>
      </c>
      <c r="G266" s="63" t="s">
        <v>1684</v>
      </c>
      <c r="H266" s="64">
        <v>45.395999999999994</v>
      </c>
      <c r="I266" s="64" t="s">
        <v>97</v>
      </c>
    </row>
    <row r="267" spans="1:9" x14ac:dyDescent="0.25">
      <c r="A267" s="50" t="s">
        <v>98</v>
      </c>
      <c r="B267" s="51" t="s">
        <v>1678</v>
      </c>
      <c r="C267" s="55">
        <v>1.62</v>
      </c>
      <c r="D267" s="142">
        <v>100</v>
      </c>
      <c r="E267" s="62">
        <v>0</v>
      </c>
      <c r="F267" s="63" t="e">
        <v>#VALUE!</v>
      </c>
      <c r="G267" s="69" t="s">
        <v>1684</v>
      </c>
      <c r="H267" s="70">
        <v>50</v>
      </c>
      <c r="I267" s="64" t="s">
        <v>1712</v>
      </c>
    </row>
    <row r="268" spans="1:9" x14ac:dyDescent="0.25">
      <c r="A268" s="50" t="s">
        <v>99</v>
      </c>
      <c r="B268" s="51" t="s">
        <v>1678</v>
      </c>
      <c r="C268" s="55">
        <v>0.24</v>
      </c>
      <c r="D268" s="142">
        <v>300</v>
      </c>
      <c r="E268" s="62">
        <v>43256</v>
      </c>
      <c r="F268" s="63" t="s">
        <v>1781</v>
      </c>
      <c r="G268" s="63" t="s">
        <v>1684</v>
      </c>
      <c r="H268" s="64">
        <v>275.59199999999998</v>
      </c>
      <c r="I268" s="64" t="s">
        <v>1796</v>
      </c>
    </row>
    <row r="269" spans="1:9" x14ac:dyDescent="0.25">
      <c r="A269" s="50" t="s">
        <v>100</v>
      </c>
      <c r="B269" s="51" t="s">
        <v>1678</v>
      </c>
      <c r="C269" s="53">
        <v>230.834</v>
      </c>
      <c r="D269" s="142">
        <v>100</v>
      </c>
      <c r="E269" s="62">
        <v>43371</v>
      </c>
      <c r="F269" s="63" t="s">
        <v>1790</v>
      </c>
      <c r="G269" s="63" t="s">
        <v>1684</v>
      </c>
      <c r="H269" s="64">
        <v>49.26</v>
      </c>
      <c r="I269" s="64" t="s">
        <v>100</v>
      </c>
    </row>
    <row r="270" spans="1:9" x14ac:dyDescent="0.25">
      <c r="A270" s="50" t="s">
        <v>101</v>
      </c>
      <c r="B270" s="51" t="s">
        <v>1678</v>
      </c>
      <c r="C270" s="55">
        <v>46.09</v>
      </c>
      <c r="D270" s="142">
        <v>100</v>
      </c>
      <c r="E270" s="62">
        <v>44014</v>
      </c>
      <c r="F270" s="63" t="s">
        <v>1781</v>
      </c>
      <c r="G270" s="63" t="s">
        <v>1684</v>
      </c>
      <c r="H270" s="64">
        <v>38.003999999999998</v>
      </c>
      <c r="I270" s="64" t="s">
        <v>101</v>
      </c>
    </row>
    <row r="271" spans="1:9" x14ac:dyDescent="0.25">
      <c r="A271" s="50" t="s">
        <v>102</v>
      </c>
      <c r="B271" s="51" t="s">
        <v>1678</v>
      </c>
      <c r="C271" s="55">
        <v>0.45</v>
      </c>
      <c r="D271" s="142">
        <v>300</v>
      </c>
      <c r="E271" s="62">
        <v>44000</v>
      </c>
      <c r="F271" s="63" t="s">
        <v>1781</v>
      </c>
      <c r="G271" s="63" t="s">
        <v>1684</v>
      </c>
      <c r="H271" s="64">
        <v>251.00399999999996</v>
      </c>
      <c r="I271" s="64" t="s">
        <v>102</v>
      </c>
    </row>
    <row r="272" spans="1:9" x14ac:dyDescent="0.25">
      <c r="A272" s="50" t="s">
        <v>103</v>
      </c>
      <c r="B272" s="51" t="s">
        <v>1678</v>
      </c>
      <c r="C272" s="53">
        <v>18.936</v>
      </c>
      <c r="D272" s="142">
        <v>100</v>
      </c>
      <c r="E272" s="62">
        <v>0</v>
      </c>
      <c r="F272" s="63" t="e">
        <v>#VALUE!</v>
      </c>
      <c r="G272" s="69" t="s">
        <v>1684</v>
      </c>
      <c r="H272" s="70">
        <v>46.967999999999996</v>
      </c>
      <c r="I272" s="64" t="s">
        <v>1712</v>
      </c>
    </row>
    <row r="273" spans="1:9" x14ac:dyDescent="0.25">
      <c r="A273" s="50" t="s">
        <v>104</v>
      </c>
      <c r="B273" s="51" t="s">
        <v>1678</v>
      </c>
      <c r="C273" s="57">
        <v>0.6</v>
      </c>
      <c r="D273" s="142">
        <v>100</v>
      </c>
      <c r="E273" s="62">
        <v>43258</v>
      </c>
      <c r="F273" s="63" t="s">
        <v>1797</v>
      </c>
      <c r="G273" s="63" t="s">
        <v>1684</v>
      </c>
      <c r="H273" s="64">
        <v>69.084000000000003</v>
      </c>
      <c r="I273" s="64" t="s">
        <v>1798</v>
      </c>
    </row>
    <row r="274" spans="1:9" x14ac:dyDescent="0.25">
      <c r="A274" s="50" t="s">
        <v>105</v>
      </c>
      <c r="B274" s="51" t="s">
        <v>1678</v>
      </c>
      <c r="C274" s="53">
        <v>0.22600000000000001</v>
      </c>
      <c r="D274" s="142">
        <v>100</v>
      </c>
      <c r="E274" s="62">
        <v>0</v>
      </c>
      <c r="F274" s="63" t="e">
        <v>#VALUE!</v>
      </c>
      <c r="G274" s="69" t="s">
        <v>1684</v>
      </c>
      <c r="H274" s="70">
        <v>50</v>
      </c>
      <c r="I274" s="64" t="s">
        <v>1712</v>
      </c>
    </row>
    <row r="275" spans="1:9" x14ac:dyDescent="0.25">
      <c r="A275" s="50" t="s">
        <v>296</v>
      </c>
      <c r="B275" s="51" t="s">
        <v>1678</v>
      </c>
      <c r="C275" s="55">
        <v>1.68</v>
      </c>
      <c r="D275" s="142">
        <v>100</v>
      </c>
      <c r="E275" s="62">
        <v>43132</v>
      </c>
      <c r="F275" s="63" t="s">
        <v>1795</v>
      </c>
      <c r="G275" s="63" t="s">
        <v>1684</v>
      </c>
      <c r="H275" s="64">
        <v>42.155999999999999</v>
      </c>
      <c r="I275" s="64" t="s">
        <v>1799</v>
      </c>
    </row>
    <row r="276" spans="1:9" x14ac:dyDescent="0.25">
      <c r="A276" s="50" t="s">
        <v>416</v>
      </c>
      <c r="B276" s="51" t="s">
        <v>1676</v>
      </c>
      <c r="C276" s="52">
        <v>1</v>
      </c>
      <c r="D276" s="61">
        <f>H276 * IF(G276="руб", 1, 1.4 * (k_ru_dol*(G276="USD")+k_ru_evro*(G276="EUR")+k_ru_yuan*(G276="CNY"))/1.2) * IF(E276&lt;(дата_расчета - 365),1.1,1)</f>
        <v>1876.8750000000002</v>
      </c>
      <c r="E276" s="62">
        <v>43143</v>
      </c>
      <c r="F276" s="63" t="s">
        <v>1742</v>
      </c>
      <c r="G276" s="63" t="s">
        <v>1699</v>
      </c>
      <c r="H276" s="64">
        <v>19.5</v>
      </c>
      <c r="I276" s="64" t="s">
        <v>1800</v>
      </c>
    </row>
    <row r="277" spans="1:9" x14ac:dyDescent="0.25">
      <c r="A277" s="50" t="s">
        <v>417</v>
      </c>
      <c r="B277" s="51" t="s">
        <v>1676</v>
      </c>
      <c r="C277" s="52">
        <v>2</v>
      </c>
      <c r="D277" s="61">
        <f>H277 * IF(G277="руб", 1, 1.4 * (k_ru_dol*(G277="USD")+k_ru_evro*(G277="EUR")+k_ru_yuan*(G277="CNY"))/1.2) * IF(E277&lt;(дата_расчета - 365),1.1,1)</f>
        <v>269.50439999999998</v>
      </c>
      <c r="E277" s="62">
        <v>43959</v>
      </c>
      <c r="F277" s="63" t="s">
        <v>1753</v>
      </c>
      <c r="G277" s="63" t="s">
        <v>1684</v>
      </c>
      <c r="H277" s="64">
        <v>245.00399999999996</v>
      </c>
      <c r="I277" s="64" t="s">
        <v>417</v>
      </c>
    </row>
    <row r="278" spans="1:9" x14ac:dyDescent="0.25">
      <c r="A278" s="50" t="s">
        <v>106</v>
      </c>
      <c r="B278" s="51" t="s">
        <v>1677</v>
      </c>
      <c r="C278" s="52">
        <v>38</v>
      </c>
      <c r="D278" s="61">
        <f>H278 * IF(G278="руб", 1, 1.4 * (k_ru_dol*(G278="USD")+k_ru_evro*(G278="EUR")+k_ru_yuan*(G278="CNY"))/1.2) * IF(E278&lt;(дата_расчета - 365),1.1,1)</f>
        <v>6.1644000000000005</v>
      </c>
      <c r="E278" s="62">
        <v>43966</v>
      </c>
      <c r="F278" s="63" t="s">
        <v>1801</v>
      </c>
      <c r="G278" s="63" t="s">
        <v>1684</v>
      </c>
      <c r="H278" s="64">
        <v>5.6040000000000001</v>
      </c>
      <c r="I278" s="64" t="s">
        <v>106</v>
      </c>
    </row>
    <row r="279" spans="1:9" x14ac:dyDescent="0.25">
      <c r="A279" s="50" t="s">
        <v>107</v>
      </c>
      <c r="B279" s="51" t="s">
        <v>1678</v>
      </c>
      <c r="C279" s="53">
        <v>1.254</v>
      </c>
      <c r="D279" s="142">
        <v>120</v>
      </c>
      <c r="E279" s="62">
        <v>0</v>
      </c>
      <c r="F279" s="63" t="e">
        <v>#VALUE!</v>
      </c>
      <c r="G279" s="69" t="s">
        <v>1684</v>
      </c>
      <c r="H279" s="70">
        <v>50</v>
      </c>
      <c r="I279" s="64" t="s">
        <v>1712</v>
      </c>
    </row>
    <row r="280" spans="1:9" x14ac:dyDescent="0.25">
      <c r="A280" s="50" t="s">
        <v>108</v>
      </c>
      <c r="B280" s="51" t="s">
        <v>1678</v>
      </c>
      <c r="C280" s="55">
        <v>1.76</v>
      </c>
      <c r="D280" s="142">
        <v>300</v>
      </c>
      <c r="E280" s="62">
        <v>0</v>
      </c>
      <c r="F280" s="63" t="e">
        <v>#VALUE!</v>
      </c>
      <c r="G280" s="69" t="s">
        <v>1684</v>
      </c>
      <c r="H280" s="70">
        <v>209</v>
      </c>
      <c r="I280" s="64" t="s">
        <v>1712</v>
      </c>
    </row>
    <row r="281" spans="1:9" x14ac:dyDescent="0.25">
      <c r="A281" s="50" t="s">
        <v>109</v>
      </c>
      <c r="B281" s="51" t="s">
        <v>1678</v>
      </c>
      <c r="C281" s="58">
        <v>379.07747000000001</v>
      </c>
      <c r="D281" s="142">
        <v>120</v>
      </c>
      <c r="E281" s="62">
        <v>43362</v>
      </c>
      <c r="F281" s="63" t="s">
        <v>1790</v>
      </c>
      <c r="G281" s="63" t="s">
        <v>1684</v>
      </c>
      <c r="H281" s="64">
        <v>60.12</v>
      </c>
      <c r="I281" s="64" t="s">
        <v>109</v>
      </c>
    </row>
    <row r="282" spans="1:9" x14ac:dyDescent="0.25">
      <c r="A282" s="50" t="s">
        <v>110</v>
      </c>
      <c r="B282" s="51" t="s">
        <v>1678</v>
      </c>
      <c r="C282" s="53">
        <v>152.828</v>
      </c>
      <c r="D282" s="142">
        <v>120</v>
      </c>
      <c r="E282" s="62">
        <v>44092</v>
      </c>
      <c r="F282" s="63" t="s">
        <v>1790</v>
      </c>
      <c r="G282" s="63" t="s">
        <v>1684</v>
      </c>
      <c r="H282" s="64">
        <v>42.288000000000004</v>
      </c>
      <c r="I282" s="64" t="s">
        <v>110</v>
      </c>
    </row>
    <row r="283" spans="1:9" x14ac:dyDescent="0.25">
      <c r="A283" s="50" t="s">
        <v>111</v>
      </c>
      <c r="B283" s="51" t="s">
        <v>1678</v>
      </c>
      <c r="C283" s="55">
        <v>320.48</v>
      </c>
      <c r="D283" s="142">
        <v>120</v>
      </c>
      <c r="E283" s="62">
        <v>43270</v>
      </c>
      <c r="F283" s="63" t="s">
        <v>1781</v>
      </c>
      <c r="G283" s="63" t="s">
        <v>1684</v>
      </c>
      <c r="H283" s="64">
        <v>49.835999999999999</v>
      </c>
      <c r="I283" s="64" t="s">
        <v>1802</v>
      </c>
    </row>
    <row r="284" spans="1:9" x14ac:dyDescent="0.25">
      <c r="A284" s="50" t="s">
        <v>257</v>
      </c>
      <c r="B284" s="51" t="s">
        <v>1678</v>
      </c>
      <c r="C284" s="58">
        <v>266.58157999999997</v>
      </c>
      <c r="D284" s="142">
        <v>120</v>
      </c>
      <c r="E284" s="62">
        <v>44092</v>
      </c>
      <c r="F284" s="63" t="s">
        <v>1790</v>
      </c>
      <c r="G284" s="63" t="s">
        <v>1684</v>
      </c>
      <c r="H284" s="64">
        <v>41.688000000000002</v>
      </c>
      <c r="I284" s="64" t="s">
        <v>257</v>
      </c>
    </row>
    <row r="285" spans="1:9" x14ac:dyDescent="0.25">
      <c r="A285" s="50" t="s">
        <v>112</v>
      </c>
      <c r="B285" s="51" t="s">
        <v>1678</v>
      </c>
      <c r="C285" s="58">
        <v>38.231520000000003</v>
      </c>
      <c r="D285" s="142">
        <v>300</v>
      </c>
      <c r="E285" s="62">
        <v>43623</v>
      </c>
      <c r="F285" s="63" t="s">
        <v>1781</v>
      </c>
      <c r="G285" s="63" t="s">
        <v>1684</v>
      </c>
      <c r="H285" s="64">
        <v>208.99199999999999</v>
      </c>
      <c r="I285" s="64" t="s">
        <v>112</v>
      </c>
    </row>
    <row r="286" spans="1:9" x14ac:dyDescent="0.25">
      <c r="A286" s="50" t="s">
        <v>113</v>
      </c>
      <c r="B286" s="51" t="s">
        <v>1678</v>
      </c>
      <c r="C286" s="54">
        <v>1561.58024</v>
      </c>
      <c r="D286" s="142">
        <v>120</v>
      </c>
      <c r="E286" s="62">
        <v>44082</v>
      </c>
      <c r="F286" s="63" t="s">
        <v>1781</v>
      </c>
      <c r="G286" s="63" t="s">
        <v>1684</v>
      </c>
      <c r="H286" s="64">
        <v>50.495999999999995</v>
      </c>
      <c r="I286" s="64" t="s">
        <v>113</v>
      </c>
    </row>
    <row r="287" spans="1:9" x14ac:dyDescent="0.25">
      <c r="A287" s="50" t="s">
        <v>114</v>
      </c>
      <c r="B287" s="51" t="s">
        <v>1678</v>
      </c>
      <c r="C287" s="52">
        <v>451</v>
      </c>
      <c r="D287" s="142">
        <v>120</v>
      </c>
      <c r="E287" s="62">
        <v>44092</v>
      </c>
      <c r="F287" s="63" t="s">
        <v>1790</v>
      </c>
      <c r="G287" s="63" t="s">
        <v>1684</v>
      </c>
      <c r="H287" s="64">
        <v>41.988</v>
      </c>
      <c r="I287" s="64" t="s">
        <v>114</v>
      </c>
    </row>
    <row r="288" spans="1:9" x14ac:dyDescent="0.25">
      <c r="A288" s="50" t="s">
        <v>217</v>
      </c>
      <c r="B288" s="51" t="s">
        <v>1678</v>
      </c>
      <c r="C288" s="58">
        <v>43.006340000000002</v>
      </c>
      <c r="D288" s="142">
        <v>120</v>
      </c>
      <c r="E288" s="62">
        <v>44090</v>
      </c>
      <c r="F288" s="63" t="s">
        <v>1781</v>
      </c>
      <c r="G288" s="63" t="s">
        <v>1684</v>
      </c>
      <c r="H288" s="64">
        <v>48.804000000000002</v>
      </c>
      <c r="I288" s="64" t="s">
        <v>217</v>
      </c>
    </row>
    <row r="289" spans="1:9" x14ac:dyDescent="0.25">
      <c r="A289" s="50" t="s">
        <v>115</v>
      </c>
      <c r="B289" s="51" t="s">
        <v>1678</v>
      </c>
      <c r="C289" s="54">
        <v>2087.92778</v>
      </c>
      <c r="D289" s="142">
        <v>120</v>
      </c>
      <c r="E289" s="62">
        <v>44040</v>
      </c>
      <c r="F289" s="63" t="s">
        <v>1781</v>
      </c>
      <c r="G289" s="63" t="s">
        <v>1684</v>
      </c>
      <c r="H289" s="64">
        <v>50.003999999999998</v>
      </c>
      <c r="I289" s="64" t="s">
        <v>115</v>
      </c>
    </row>
    <row r="290" spans="1:9" x14ac:dyDescent="0.25">
      <c r="A290" s="50" t="s">
        <v>559</v>
      </c>
      <c r="B290" s="51" t="s">
        <v>1678</v>
      </c>
      <c r="C290" s="59">
        <v>1936.5</v>
      </c>
      <c r="D290" s="142">
        <v>300</v>
      </c>
      <c r="E290" s="62">
        <v>43350</v>
      </c>
      <c r="F290" s="63" t="s">
        <v>1722</v>
      </c>
      <c r="G290" s="63" t="s">
        <v>1690</v>
      </c>
      <c r="H290" s="64">
        <v>0.88800000000000001</v>
      </c>
      <c r="I290" s="64" t="s">
        <v>1803</v>
      </c>
    </row>
    <row r="291" spans="1:9" x14ac:dyDescent="0.25">
      <c r="A291" s="50" t="s">
        <v>116</v>
      </c>
      <c r="B291" s="51" t="s">
        <v>1678</v>
      </c>
      <c r="C291" s="58">
        <v>426.12644</v>
      </c>
      <c r="D291" s="142">
        <v>120</v>
      </c>
      <c r="E291" s="62">
        <v>44102</v>
      </c>
      <c r="F291" s="63" t="s">
        <v>1781</v>
      </c>
      <c r="G291" s="63" t="s">
        <v>1684</v>
      </c>
      <c r="H291" s="64">
        <v>42.095999999999997</v>
      </c>
      <c r="I291" s="64" t="s">
        <v>116</v>
      </c>
    </row>
    <row r="292" spans="1:9" x14ac:dyDescent="0.25">
      <c r="A292" s="50" t="s">
        <v>117</v>
      </c>
      <c r="B292" s="51" t="s">
        <v>1678</v>
      </c>
      <c r="C292" s="55">
        <v>62.62</v>
      </c>
      <c r="D292" s="142">
        <v>120</v>
      </c>
      <c r="E292" s="62">
        <v>44050</v>
      </c>
      <c r="F292" s="63" t="s">
        <v>1781</v>
      </c>
      <c r="G292" s="63" t="s">
        <v>1684</v>
      </c>
      <c r="H292" s="64">
        <v>45.204000000000001</v>
      </c>
      <c r="I292" s="64" t="s">
        <v>117</v>
      </c>
    </row>
    <row r="293" spans="1:9" x14ac:dyDescent="0.25">
      <c r="A293" s="50" t="s">
        <v>118</v>
      </c>
      <c r="B293" s="51" t="s">
        <v>1678</v>
      </c>
      <c r="C293" s="54">
        <v>1374.1784700000001</v>
      </c>
      <c r="D293" s="142">
        <v>120</v>
      </c>
      <c r="E293" s="62">
        <v>44102</v>
      </c>
      <c r="F293" s="63" t="s">
        <v>1781</v>
      </c>
      <c r="G293" s="63" t="s">
        <v>1684</v>
      </c>
      <c r="H293" s="64">
        <v>42.72</v>
      </c>
      <c r="I293" s="64" t="s">
        <v>118</v>
      </c>
    </row>
    <row r="294" spans="1:9" x14ac:dyDescent="0.25">
      <c r="A294" s="50" t="s">
        <v>119</v>
      </c>
      <c r="B294" s="51" t="s">
        <v>1678</v>
      </c>
      <c r="C294" s="58">
        <v>440.13103999999998</v>
      </c>
      <c r="D294" s="142">
        <v>120</v>
      </c>
      <c r="E294" s="62">
        <v>43362</v>
      </c>
      <c r="F294" s="63" t="s">
        <v>1790</v>
      </c>
      <c r="G294" s="63" t="s">
        <v>1684</v>
      </c>
      <c r="H294" s="64">
        <v>48.731999999999999</v>
      </c>
      <c r="I294" s="64" t="s">
        <v>1804</v>
      </c>
    </row>
    <row r="295" spans="1:9" x14ac:dyDescent="0.25">
      <c r="A295" s="50" t="s">
        <v>120</v>
      </c>
      <c r="B295" s="51" t="s">
        <v>1678</v>
      </c>
      <c r="C295" s="58">
        <v>352.34563000000003</v>
      </c>
      <c r="D295" s="142">
        <v>120</v>
      </c>
      <c r="E295" s="62">
        <v>44097</v>
      </c>
      <c r="F295" s="63" t="s">
        <v>1781</v>
      </c>
      <c r="G295" s="63" t="s">
        <v>1684</v>
      </c>
      <c r="H295" s="64">
        <v>41.904000000000003</v>
      </c>
      <c r="I295" s="64" t="s">
        <v>120</v>
      </c>
    </row>
    <row r="296" spans="1:9" x14ac:dyDescent="0.25">
      <c r="A296" s="50" t="s">
        <v>121</v>
      </c>
      <c r="B296" s="51" t="s">
        <v>1678</v>
      </c>
      <c r="C296" s="57">
        <v>36.799999999999997</v>
      </c>
      <c r="D296" s="142">
        <v>120</v>
      </c>
      <c r="E296" s="62">
        <v>43171</v>
      </c>
      <c r="F296" s="63" t="s">
        <v>1791</v>
      </c>
      <c r="G296" s="63" t="s">
        <v>1684</v>
      </c>
      <c r="H296" s="64">
        <v>46.475999999999992</v>
      </c>
      <c r="I296" s="64" t="s">
        <v>1805</v>
      </c>
    </row>
    <row r="297" spans="1:9" x14ac:dyDescent="0.25">
      <c r="A297" s="50" t="s">
        <v>122</v>
      </c>
      <c r="B297" s="51" t="s">
        <v>1678</v>
      </c>
      <c r="C297" s="58">
        <v>76.122870000000006</v>
      </c>
      <c r="D297" s="142">
        <v>120</v>
      </c>
      <c r="E297" s="62">
        <v>44102</v>
      </c>
      <c r="F297" s="63" t="s">
        <v>1781</v>
      </c>
      <c r="G297" s="63" t="s">
        <v>1684</v>
      </c>
      <c r="H297" s="64">
        <v>42.095999999999997</v>
      </c>
      <c r="I297" s="64" t="s">
        <v>122</v>
      </c>
    </row>
    <row r="298" spans="1:9" x14ac:dyDescent="0.25">
      <c r="A298" s="50" t="s">
        <v>123</v>
      </c>
      <c r="B298" s="51" t="s">
        <v>1678</v>
      </c>
      <c r="C298" s="58">
        <v>7.4569599999999996</v>
      </c>
      <c r="D298" s="142">
        <v>160</v>
      </c>
      <c r="E298" s="62">
        <v>43656</v>
      </c>
      <c r="F298" s="63" t="s">
        <v>1781</v>
      </c>
      <c r="G298" s="63" t="s">
        <v>1684</v>
      </c>
      <c r="H298" s="64">
        <v>66.203999999999994</v>
      </c>
      <c r="I298" s="64" t="s">
        <v>123</v>
      </c>
    </row>
    <row r="299" spans="1:9" x14ac:dyDescent="0.25">
      <c r="A299" s="50" t="s">
        <v>124</v>
      </c>
      <c r="B299" s="51" t="s">
        <v>1678</v>
      </c>
      <c r="C299" s="58">
        <v>372.17279000000002</v>
      </c>
      <c r="D299" s="142">
        <v>160</v>
      </c>
      <c r="E299" s="62">
        <v>0</v>
      </c>
      <c r="F299" s="63" t="e">
        <v>#VALUE!</v>
      </c>
      <c r="G299" s="69" t="s">
        <v>1684</v>
      </c>
      <c r="H299" s="70">
        <v>66</v>
      </c>
      <c r="I299" s="64" t="s">
        <v>1712</v>
      </c>
    </row>
    <row r="300" spans="1:9" x14ac:dyDescent="0.25">
      <c r="A300" s="50" t="s">
        <v>125</v>
      </c>
      <c r="B300" s="51" t="s">
        <v>1678</v>
      </c>
      <c r="C300" s="60">
        <v>598.63080000000002</v>
      </c>
      <c r="D300" s="142">
        <v>250</v>
      </c>
      <c r="E300" s="62">
        <v>44096</v>
      </c>
      <c r="F300" s="63" t="s">
        <v>1781</v>
      </c>
      <c r="G300" s="63" t="s">
        <v>1684</v>
      </c>
      <c r="H300" s="64">
        <v>80.603999999999999</v>
      </c>
      <c r="I300" s="64" t="s">
        <v>125</v>
      </c>
    </row>
    <row r="301" spans="1:9" x14ac:dyDescent="0.25">
      <c r="A301" s="50" t="s">
        <v>126</v>
      </c>
      <c r="B301" s="51" t="s">
        <v>1678</v>
      </c>
      <c r="C301" s="54">
        <v>2593.52664</v>
      </c>
      <c r="D301" s="142">
        <v>250</v>
      </c>
      <c r="E301" s="62">
        <v>43260</v>
      </c>
      <c r="F301" s="63" t="s">
        <v>1781</v>
      </c>
      <c r="G301" s="63" t="s">
        <v>1684</v>
      </c>
      <c r="H301" s="64">
        <v>67.932000000000002</v>
      </c>
      <c r="I301" s="64" t="s">
        <v>1806</v>
      </c>
    </row>
    <row r="302" spans="1:9" x14ac:dyDescent="0.25">
      <c r="A302" s="50" t="s">
        <v>127</v>
      </c>
      <c r="B302" s="51" t="s">
        <v>1678</v>
      </c>
      <c r="C302" s="53">
        <v>194.85599999999999</v>
      </c>
      <c r="D302" s="142">
        <v>250</v>
      </c>
      <c r="E302" s="62">
        <v>44096</v>
      </c>
      <c r="F302" s="63" t="s">
        <v>1781</v>
      </c>
      <c r="G302" s="63" t="s">
        <v>1684</v>
      </c>
      <c r="H302" s="64">
        <v>80.603999999999999</v>
      </c>
      <c r="I302" s="64" t="s">
        <v>127</v>
      </c>
    </row>
    <row r="303" spans="1:9" x14ac:dyDescent="0.25">
      <c r="A303" s="50" t="s">
        <v>128</v>
      </c>
      <c r="B303" s="51" t="s">
        <v>1678</v>
      </c>
      <c r="C303" s="54">
        <v>2083.9998500000002</v>
      </c>
      <c r="D303" s="142">
        <v>160</v>
      </c>
      <c r="E303" s="62">
        <v>43455</v>
      </c>
      <c r="F303" s="63" t="s">
        <v>1790</v>
      </c>
      <c r="G303" s="63" t="s">
        <v>1684</v>
      </c>
      <c r="H303" s="64">
        <v>66.203999999999994</v>
      </c>
      <c r="I303" s="64" t="s">
        <v>128</v>
      </c>
    </row>
    <row r="304" spans="1:9" x14ac:dyDescent="0.25">
      <c r="A304" s="50" t="s">
        <v>129</v>
      </c>
      <c r="B304" s="51" t="s">
        <v>1678</v>
      </c>
      <c r="C304" s="59">
        <v>1401.4</v>
      </c>
      <c r="D304" s="142">
        <v>250</v>
      </c>
      <c r="E304" s="62">
        <v>44096</v>
      </c>
      <c r="F304" s="63" t="s">
        <v>1781</v>
      </c>
      <c r="G304" s="63" t="s">
        <v>1684</v>
      </c>
      <c r="H304" s="64">
        <v>76.595999999999989</v>
      </c>
      <c r="I304" s="64" t="s">
        <v>129</v>
      </c>
    </row>
    <row r="305" spans="1:9" x14ac:dyDescent="0.25">
      <c r="A305" s="50" t="s">
        <v>130</v>
      </c>
      <c r="B305" s="51" t="s">
        <v>1678</v>
      </c>
      <c r="C305" s="54">
        <v>3859.7283499999999</v>
      </c>
      <c r="D305" s="142">
        <v>160</v>
      </c>
      <c r="E305" s="62">
        <v>44097</v>
      </c>
      <c r="F305" s="63" t="s">
        <v>1781</v>
      </c>
      <c r="G305" s="63" t="s">
        <v>1684</v>
      </c>
      <c r="H305" s="64">
        <v>63.695999999999998</v>
      </c>
      <c r="I305" s="64" t="s">
        <v>130</v>
      </c>
    </row>
    <row r="306" spans="1:9" x14ac:dyDescent="0.25">
      <c r="A306" s="50" t="s">
        <v>131</v>
      </c>
      <c r="B306" s="51" t="s">
        <v>1678</v>
      </c>
      <c r="C306" s="54">
        <v>7527.4276799999998</v>
      </c>
      <c r="D306" s="142">
        <v>160</v>
      </c>
      <c r="E306" s="62">
        <v>44098</v>
      </c>
      <c r="F306" s="63" t="s">
        <v>1781</v>
      </c>
      <c r="G306" s="63" t="s">
        <v>1684</v>
      </c>
      <c r="H306" s="64">
        <v>62.003999999999998</v>
      </c>
      <c r="I306" s="64" t="s">
        <v>131</v>
      </c>
    </row>
    <row r="307" spans="1:9" x14ac:dyDescent="0.25">
      <c r="A307" s="50" t="s">
        <v>132</v>
      </c>
      <c r="B307" s="51" t="s">
        <v>1678</v>
      </c>
      <c r="C307" s="58">
        <v>18.190639999999998</v>
      </c>
      <c r="D307" s="142">
        <v>250</v>
      </c>
      <c r="E307" s="62">
        <v>44085</v>
      </c>
      <c r="F307" s="63" t="s">
        <v>1781</v>
      </c>
      <c r="G307" s="63" t="s">
        <v>1684</v>
      </c>
      <c r="H307" s="64">
        <v>76.2</v>
      </c>
      <c r="I307" s="64" t="s">
        <v>132</v>
      </c>
    </row>
    <row r="308" spans="1:9" x14ac:dyDescent="0.25">
      <c r="A308" s="50" t="s">
        <v>133</v>
      </c>
      <c r="B308" s="51" t="s">
        <v>1678</v>
      </c>
      <c r="C308" s="53">
        <v>0.35499999999999998</v>
      </c>
      <c r="D308" s="61">
        <f t="shared" ref="D308:D320" si="10">H308 * IF(G308="руб", 1, 1.4 * (k_ru_dol*(G308="USD")+k_ru_evro*(G308="EUR")+k_ru_yuan*(G308="CNY"))/1.2) * IF(E308&lt;(дата_расчета - 365),1.1,1)</f>
        <v>240</v>
      </c>
      <c r="E308" s="62">
        <v>44092</v>
      </c>
      <c r="F308" s="63" t="s">
        <v>1807</v>
      </c>
      <c r="G308" s="63" t="s">
        <v>1684</v>
      </c>
      <c r="H308" s="64">
        <v>240</v>
      </c>
      <c r="I308" s="64" t="s">
        <v>133</v>
      </c>
    </row>
    <row r="309" spans="1:9" x14ac:dyDescent="0.25">
      <c r="A309" s="50" t="s">
        <v>134</v>
      </c>
      <c r="B309" s="51" t="s">
        <v>1676</v>
      </c>
      <c r="C309" s="52">
        <v>8</v>
      </c>
      <c r="D309" s="61">
        <f t="shared" si="10"/>
        <v>97020.000000000015</v>
      </c>
      <c r="E309" s="62">
        <v>43985</v>
      </c>
      <c r="F309" s="63" t="s">
        <v>1808</v>
      </c>
      <c r="G309" s="63" t="s">
        <v>1699</v>
      </c>
      <c r="H309" s="64">
        <v>1008</v>
      </c>
      <c r="I309" s="64" t="s">
        <v>134</v>
      </c>
    </row>
    <row r="310" spans="1:9" x14ac:dyDescent="0.25">
      <c r="A310" s="50" t="s">
        <v>1608</v>
      </c>
      <c r="B310" s="51" t="s">
        <v>1676</v>
      </c>
      <c r="C310" s="52">
        <v>42</v>
      </c>
      <c r="D310" s="61">
        <f t="shared" si="10"/>
        <v>292.80239999999998</v>
      </c>
      <c r="E310" s="62">
        <v>43966</v>
      </c>
      <c r="F310" s="63" t="s">
        <v>1700</v>
      </c>
      <c r="G310" s="63" t="s">
        <v>1684</v>
      </c>
      <c r="H310" s="64">
        <v>266.18399999999997</v>
      </c>
      <c r="I310" s="64" t="s">
        <v>1809</v>
      </c>
    </row>
    <row r="311" spans="1:9" x14ac:dyDescent="0.25">
      <c r="A311" s="50" t="s">
        <v>1609</v>
      </c>
      <c r="B311" s="51" t="s">
        <v>1676</v>
      </c>
      <c r="C311" s="52">
        <v>7</v>
      </c>
      <c r="D311" s="61">
        <f t="shared" si="10"/>
        <v>292.9212</v>
      </c>
      <c r="E311" s="62">
        <v>43165</v>
      </c>
      <c r="F311" s="63" t="s">
        <v>1700</v>
      </c>
      <c r="G311" s="63" t="s">
        <v>1684</v>
      </c>
      <c r="H311" s="64">
        <v>266.29199999999997</v>
      </c>
      <c r="I311" s="64" t="s">
        <v>1810</v>
      </c>
    </row>
    <row r="312" spans="1:9" x14ac:dyDescent="0.25">
      <c r="A312" s="50" t="s">
        <v>420</v>
      </c>
      <c r="B312" s="51" t="s">
        <v>1677</v>
      </c>
      <c r="C312" s="55">
        <v>109.81</v>
      </c>
      <c r="D312" s="61">
        <f t="shared" si="10"/>
        <v>506.964</v>
      </c>
      <c r="E312" s="62">
        <v>44046</v>
      </c>
      <c r="F312" s="63" t="s">
        <v>1700</v>
      </c>
      <c r="G312" s="63" t="s">
        <v>1684</v>
      </c>
      <c r="H312" s="64">
        <v>506.964</v>
      </c>
      <c r="I312" s="64" t="s">
        <v>420</v>
      </c>
    </row>
    <row r="313" spans="1:9" x14ac:dyDescent="0.25">
      <c r="A313" s="50" t="s">
        <v>421</v>
      </c>
      <c r="B313" s="51" t="s">
        <v>1677</v>
      </c>
      <c r="C313" s="57">
        <v>23.6</v>
      </c>
      <c r="D313" s="61">
        <f t="shared" si="10"/>
        <v>579.09720000000004</v>
      </c>
      <c r="E313" s="62">
        <v>43501</v>
      </c>
      <c r="F313" s="63" t="s">
        <v>1700</v>
      </c>
      <c r="G313" s="63" t="s">
        <v>1684</v>
      </c>
      <c r="H313" s="64">
        <v>526.452</v>
      </c>
      <c r="I313" s="64" t="s">
        <v>1811</v>
      </c>
    </row>
    <row r="314" spans="1:9" x14ac:dyDescent="0.25">
      <c r="A314" s="50" t="s">
        <v>566</v>
      </c>
      <c r="B314" s="51" t="s">
        <v>1677</v>
      </c>
      <c r="C314" s="57">
        <v>39.700000000000003</v>
      </c>
      <c r="D314" s="61">
        <f t="shared" si="10"/>
        <v>978</v>
      </c>
      <c r="E314" s="62">
        <v>44041</v>
      </c>
      <c r="F314" s="63" t="s">
        <v>1753</v>
      </c>
      <c r="G314" s="63" t="s">
        <v>1684</v>
      </c>
      <c r="H314" s="64">
        <v>978</v>
      </c>
      <c r="I314" s="64" t="s">
        <v>566</v>
      </c>
    </row>
    <row r="315" spans="1:9" x14ac:dyDescent="0.25">
      <c r="A315" s="50" t="s">
        <v>422</v>
      </c>
      <c r="B315" s="51" t="s">
        <v>1677</v>
      </c>
      <c r="C315" s="57">
        <v>27.4</v>
      </c>
      <c r="D315" s="61">
        <f t="shared" si="10"/>
        <v>1455.0360000000001</v>
      </c>
      <c r="E315" s="62">
        <v>43678</v>
      </c>
      <c r="F315" s="63" t="s">
        <v>1775</v>
      </c>
      <c r="G315" s="63" t="s">
        <v>1684</v>
      </c>
      <c r="H315" s="64">
        <v>1322.76</v>
      </c>
      <c r="I315" s="64" t="s">
        <v>1812</v>
      </c>
    </row>
    <row r="316" spans="1:9" x14ac:dyDescent="0.25">
      <c r="A316" s="50" t="s">
        <v>423</v>
      </c>
      <c r="B316" s="51" t="s">
        <v>1677</v>
      </c>
      <c r="C316" s="52">
        <v>6</v>
      </c>
      <c r="D316" s="61">
        <f t="shared" si="10"/>
        <v>1905.1164000000001</v>
      </c>
      <c r="E316" s="62">
        <v>43280</v>
      </c>
      <c r="F316" s="63" t="s">
        <v>1775</v>
      </c>
      <c r="G316" s="63" t="s">
        <v>1684</v>
      </c>
      <c r="H316" s="64">
        <v>1731.924</v>
      </c>
      <c r="I316" s="64" t="s">
        <v>1813</v>
      </c>
    </row>
    <row r="317" spans="1:9" ht="26.25" x14ac:dyDescent="0.25">
      <c r="A317" s="50" t="s">
        <v>424</v>
      </c>
      <c r="B317" s="51" t="s">
        <v>1676</v>
      </c>
      <c r="C317" s="52">
        <v>17</v>
      </c>
      <c r="D317" s="61">
        <f t="shared" si="10"/>
        <v>489.53520000000003</v>
      </c>
      <c r="E317" s="62">
        <v>43804</v>
      </c>
      <c r="F317" s="63" t="s">
        <v>1700</v>
      </c>
      <c r="G317" s="63" t="s">
        <v>1684</v>
      </c>
      <c r="H317" s="64">
        <v>445.03199999999998</v>
      </c>
      <c r="I317" s="64" t="s">
        <v>1814</v>
      </c>
    </row>
    <row r="318" spans="1:9" x14ac:dyDescent="0.25">
      <c r="A318" s="50" t="s">
        <v>1580</v>
      </c>
      <c r="B318" s="51" t="s">
        <v>1676</v>
      </c>
      <c r="C318" s="52">
        <v>8</v>
      </c>
      <c r="D318" s="61">
        <f t="shared" si="10"/>
        <v>98.495999999999995</v>
      </c>
      <c r="E318" s="62">
        <v>44083</v>
      </c>
      <c r="F318" s="63" t="s">
        <v>1753</v>
      </c>
      <c r="G318" s="63" t="s">
        <v>1684</v>
      </c>
      <c r="H318" s="64">
        <v>98.495999999999995</v>
      </c>
      <c r="I318" s="64" t="s">
        <v>1580</v>
      </c>
    </row>
    <row r="319" spans="1:9" x14ac:dyDescent="0.25">
      <c r="A319" s="50" t="s">
        <v>1581</v>
      </c>
      <c r="B319" s="51" t="s">
        <v>1676</v>
      </c>
      <c r="C319" s="52">
        <v>1</v>
      </c>
      <c r="D319" s="61">
        <f t="shared" si="10"/>
        <v>79.16040000000001</v>
      </c>
      <c r="E319" s="62">
        <v>43144</v>
      </c>
      <c r="F319" s="63" t="s">
        <v>1700</v>
      </c>
      <c r="G319" s="63" t="s">
        <v>1684</v>
      </c>
      <c r="H319" s="64">
        <v>71.963999999999999</v>
      </c>
      <c r="I319" s="64" t="s">
        <v>1815</v>
      </c>
    </row>
    <row r="320" spans="1:9" ht="26.25" x14ac:dyDescent="0.25">
      <c r="A320" s="50" t="s">
        <v>427</v>
      </c>
      <c r="B320" s="51" t="s">
        <v>1676</v>
      </c>
      <c r="C320" s="52">
        <v>1</v>
      </c>
      <c r="D320" s="61">
        <f t="shared" si="10"/>
        <v>18869.914799999999</v>
      </c>
      <c r="E320" s="62">
        <v>43152</v>
      </c>
      <c r="F320" s="63" t="s">
        <v>1816</v>
      </c>
      <c r="G320" s="63" t="s">
        <v>1684</v>
      </c>
      <c r="H320" s="64">
        <v>17154.467999999997</v>
      </c>
      <c r="I320" s="64" t="s">
        <v>1817</v>
      </c>
    </row>
    <row r="321" spans="1:9" ht="26.25" x14ac:dyDescent="0.25">
      <c r="A321" s="50" t="s">
        <v>428</v>
      </c>
      <c r="B321" s="51" t="s">
        <v>1676</v>
      </c>
      <c r="C321" s="52">
        <v>1</v>
      </c>
      <c r="D321" s="61">
        <f>H321 * IF(G321="руб", 1, (k_ru_dol*(G321="USD")+k_ru_evro*(G321="EUR")+k_ru_yuan*(G321="CNY"))) * IF(E321&lt;(дата_расчета - 365),1.1,1)</f>
        <v>26138.143680000001</v>
      </c>
      <c r="E321" s="62">
        <v>43948</v>
      </c>
      <c r="F321" s="63" t="s">
        <v>1818</v>
      </c>
      <c r="G321" s="63" t="s">
        <v>1690</v>
      </c>
      <c r="H321" s="64">
        <v>261.98399999999998</v>
      </c>
      <c r="I321" s="64" t="s">
        <v>428</v>
      </c>
    </row>
    <row r="322" spans="1:9" x14ac:dyDescent="0.25">
      <c r="A322" s="50" t="s">
        <v>429</v>
      </c>
      <c r="B322" s="51" t="s">
        <v>1676</v>
      </c>
      <c r="C322" s="52">
        <v>17</v>
      </c>
      <c r="D322" s="61">
        <f t="shared" ref="D322:D353" si="11">H322 * IF(G322="руб", 1, 1.4 * (k_ru_dol*(G322="USD")+k_ru_evro*(G322="EUR")+k_ru_yuan*(G322="CNY"))/1.2) * IF(E322&lt;(дата_расчета - 365),1.1,1)</f>
        <v>330</v>
      </c>
      <c r="E322" s="62">
        <v>0</v>
      </c>
      <c r="F322" s="63" t="e">
        <v>#VALUE!</v>
      </c>
      <c r="G322" s="69" t="s">
        <v>1684</v>
      </c>
      <c r="H322" s="70">
        <v>300</v>
      </c>
      <c r="I322" s="64" t="s">
        <v>1712</v>
      </c>
    </row>
    <row r="323" spans="1:9" x14ac:dyDescent="0.25">
      <c r="A323" s="50" t="s">
        <v>430</v>
      </c>
      <c r="B323" s="51" t="s">
        <v>1676</v>
      </c>
      <c r="C323" s="52">
        <v>4</v>
      </c>
      <c r="D323" s="61">
        <f t="shared" si="11"/>
        <v>547.80000000000007</v>
      </c>
      <c r="E323" s="62">
        <v>0</v>
      </c>
      <c r="F323" s="63" t="e">
        <v>#VALUE!</v>
      </c>
      <c r="G323" s="69" t="s">
        <v>1684</v>
      </c>
      <c r="H323" s="70">
        <v>498</v>
      </c>
      <c r="I323" s="64" t="s">
        <v>1712</v>
      </c>
    </row>
    <row r="324" spans="1:9" x14ac:dyDescent="0.25">
      <c r="A324" s="50" t="s">
        <v>431</v>
      </c>
      <c r="B324" s="51" t="s">
        <v>1676</v>
      </c>
      <c r="C324" s="52">
        <v>1</v>
      </c>
      <c r="D324" s="61">
        <f t="shared" si="11"/>
        <v>548.02440000000001</v>
      </c>
      <c r="E324" s="62">
        <v>43600</v>
      </c>
      <c r="F324" s="63" t="s">
        <v>1700</v>
      </c>
      <c r="G324" s="63" t="s">
        <v>1684</v>
      </c>
      <c r="H324" s="64">
        <v>498.20400000000001</v>
      </c>
      <c r="I324" s="64" t="s">
        <v>1819</v>
      </c>
    </row>
    <row r="325" spans="1:9" x14ac:dyDescent="0.25">
      <c r="A325" s="50" t="s">
        <v>432</v>
      </c>
      <c r="B325" s="51" t="s">
        <v>1676</v>
      </c>
      <c r="C325" s="52">
        <v>4</v>
      </c>
      <c r="D325" s="61">
        <f t="shared" si="11"/>
        <v>405.45120000000009</v>
      </c>
      <c r="E325" s="62">
        <v>43574</v>
      </c>
      <c r="F325" s="63" t="s">
        <v>1689</v>
      </c>
      <c r="G325" s="63" t="s">
        <v>1684</v>
      </c>
      <c r="H325" s="64">
        <v>368.59200000000004</v>
      </c>
      <c r="I325" s="64" t="s">
        <v>1820</v>
      </c>
    </row>
    <row r="326" spans="1:9" x14ac:dyDescent="0.25">
      <c r="A326" s="50" t="s">
        <v>433</v>
      </c>
      <c r="B326" s="51" t="s">
        <v>1676</v>
      </c>
      <c r="C326" s="52">
        <v>1</v>
      </c>
      <c r="D326" s="61">
        <f t="shared" si="11"/>
        <v>1095.6000000000001</v>
      </c>
      <c r="E326" s="62">
        <v>0</v>
      </c>
      <c r="F326" s="63" t="e">
        <v>#VALUE!</v>
      </c>
      <c r="G326" s="69" t="s">
        <v>1684</v>
      </c>
      <c r="H326" s="70">
        <v>996</v>
      </c>
      <c r="I326" s="64" t="s">
        <v>1712</v>
      </c>
    </row>
    <row r="327" spans="1:9" x14ac:dyDescent="0.25">
      <c r="A327" s="50" t="s">
        <v>434</v>
      </c>
      <c r="B327" s="51" t="s">
        <v>1676</v>
      </c>
      <c r="C327" s="52">
        <v>1</v>
      </c>
      <c r="D327" s="61">
        <f t="shared" si="11"/>
        <v>2609.3892000000001</v>
      </c>
      <c r="E327" s="62">
        <v>43574</v>
      </c>
      <c r="F327" s="63" t="s">
        <v>1689</v>
      </c>
      <c r="G327" s="63" t="s">
        <v>1684</v>
      </c>
      <c r="H327" s="64">
        <v>2372.172</v>
      </c>
      <c r="I327" s="64" t="s">
        <v>1821</v>
      </c>
    </row>
    <row r="328" spans="1:9" x14ac:dyDescent="0.25">
      <c r="A328" s="50" t="s">
        <v>435</v>
      </c>
      <c r="B328" s="51" t="s">
        <v>1676</v>
      </c>
      <c r="C328" s="52">
        <v>52</v>
      </c>
      <c r="D328" s="61">
        <f t="shared" si="11"/>
        <v>75.345600000000005</v>
      </c>
      <c r="E328" s="62">
        <v>43938</v>
      </c>
      <c r="F328" s="63" t="s">
        <v>1753</v>
      </c>
      <c r="G328" s="63" t="s">
        <v>1684</v>
      </c>
      <c r="H328" s="64">
        <v>68.495999999999995</v>
      </c>
      <c r="I328" s="64" t="s">
        <v>435</v>
      </c>
    </row>
    <row r="329" spans="1:9" x14ac:dyDescent="0.25">
      <c r="A329" s="50" t="s">
        <v>436</v>
      </c>
      <c r="B329" s="51" t="s">
        <v>1676</v>
      </c>
      <c r="C329" s="52">
        <v>9</v>
      </c>
      <c r="D329" s="61">
        <f t="shared" si="11"/>
        <v>118.80000000000001</v>
      </c>
      <c r="E329" s="62">
        <v>0</v>
      </c>
      <c r="F329" s="63" t="e">
        <v>#VALUE!</v>
      </c>
      <c r="G329" s="69" t="s">
        <v>1684</v>
      </c>
      <c r="H329" s="70">
        <v>108</v>
      </c>
      <c r="I329" s="64" t="s">
        <v>1712</v>
      </c>
    </row>
    <row r="330" spans="1:9" x14ac:dyDescent="0.25">
      <c r="A330" s="50" t="s">
        <v>135</v>
      </c>
      <c r="B330" s="51" t="s">
        <v>1676</v>
      </c>
      <c r="C330" s="52">
        <v>12</v>
      </c>
      <c r="D330" s="61">
        <f t="shared" si="11"/>
        <v>111.80400000000002</v>
      </c>
      <c r="E330" s="62">
        <v>43287</v>
      </c>
      <c r="F330" s="63" t="s">
        <v>1730</v>
      </c>
      <c r="G330" s="63" t="s">
        <v>1684</v>
      </c>
      <c r="H330" s="64">
        <v>101.64</v>
      </c>
      <c r="I330" s="64" t="s">
        <v>135</v>
      </c>
    </row>
    <row r="331" spans="1:9" x14ac:dyDescent="0.25">
      <c r="A331" s="50" t="s">
        <v>136</v>
      </c>
      <c r="B331" s="51" t="s">
        <v>1676</v>
      </c>
      <c r="C331" s="52">
        <v>14</v>
      </c>
      <c r="D331" s="61">
        <f t="shared" si="11"/>
        <v>127.05599999999998</v>
      </c>
      <c r="E331" s="62">
        <v>44085</v>
      </c>
      <c r="F331" s="63" t="s">
        <v>1730</v>
      </c>
      <c r="G331" s="63" t="s">
        <v>1684</v>
      </c>
      <c r="H331" s="64">
        <v>127.05599999999998</v>
      </c>
      <c r="I331" s="64" t="s">
        <v>136</v>
      </c>
    </row>
    <row r="332" spans="1:9" x14ac:dyDescent="0.25">
      <c r="A332" s="50" t="s">
        <v>137</v>
      </c>
      <c r="B332" s="51" t="s">
        <v>1676</v>
      </c>
      <c r="C332" s="52">
        <v>9</v>
      </c>
      <c r="D332" s="61">
        <f t="shared" si="11"/>
        <v>110.00000000000001</v>
      </c>
      <c r="E332" s="62">
        <v>0</v>
      </c>
      <c r="F332" s="63" t="e">
        <v>#VALUE!</v>
      </c>
      <c r="G332" s="69" t="s">
        <v>1684</v>
      </c>
      <c r="H332" s="70">
        <v>100</v>
      </c>
      <c r="I332" s="64" t="s">
        <v>1712</v>
      </c>
    </row>
    <row r="333" spans="1:9" x14ac:dyDescent="0.25">
      <c r="A333" s="50" t="s">
        <v>138</v>
      </c>
      <c r="B333" s="51" t="s">
        <v>1676</v>
      </c>
      <c r="C333" s="52">
        <v>9</v>
      </c>
      <c r="D333" s="61">
        <f t="shared" si="11"/>
        <v>110.00000000000001</v>
      </c>
      <c r="E333" s="62">
        <v>0</v>
      </c>
      <c r="F333" s="63" t="e">
        <v>#VALUE!</v>
      </c>
      <c r="G333" s="69" t="s">
        <v>1684</v>
      </c>
      <c r="H333" s="70">
        <v>100</v>
      </c>
      <c r="I333" s="64" t="s">
        <v>1712</v>
      </c>
    </row>
    <row r="334" spans="1:9" x14ac:dyDescent="0.25">
      <c r="A334" s="50" t="s">
        <v>437</v>
      </c>
      <c r="B334" s="51" t="s">
        <v>1676</v>
      </c>
      <c r="C334" s="52">
        <v>21</v>
      </c>
      <c r="D334" s="61">
        <f t="shared" si="11"/>
        <v>715.22879999999998</v>
      </c>
      <c r="E334" s="62">
        <v>44012</v>
      </c>
      <c r="F334" s="63" t="s">
        <v>1728</v>
      </c>
      <c r="G334" s="63" t="s">
        <v>1684</v>
      </c>
      <c r="H334" s="64">
        <v>650.20799999999997</v>
      </c>
      <c r="I334" s="64" t="s">
        <v>437</v>
      </c>
    </row>
    <row r="335" spans="1:9" x14ac:dyDescent="0.25">
      <c r="A335" s="50" t="s">
        <v>438</v>
      </c>
      <c r="B335" s="51" t="s">
        <v>1676</v>
      </c>
      <c r="C335" s="52">
        <v>4</v>
      </c>
      <c r="D335" s="61">
        <f t="shared" si="11"/>
        <v>686.07600000000002</v>
      </c>
      <c r="E335" s="62">
        <v>44021</v>
      </c>
      <c r="F335" s="63" t="s">
        <v>1700</v>
      </c>
      <c r="G335" s="63" t="s">
        <v>1684</v>
      </c>
      <c r="H335" s="64">
        <v>686.07600000000002</v>
      </c>
      <c r="I335" s="64" t="s">
        <v>438</v>
      </c>
    </row>
    <row r="336" spans="1:9" x14ac:dyDescent="0.25">
      <c r="A336" s="50" t="s">
        <v>545</v>
      </c>
      <c r="B336" s="51" t="s">
        <v>1676</v>
      </c>
      <c r="C336" s="52">
        <v>1</v>
      </c>
      <c r="D336" s="61">
        <f t="shared" si="11"/>
        <v>770.00000000000011</v>
      </c>
      <c r="E336" s="62">
        <v>0</v>
      </c>
      <c r="F336" s="63" t="e">
        <v>#VALUE!</v>
      </c>
      <c r="G336" s="69" t="s">
        <v>1684</v>
      </c>
      <c r="H336" s="70">
        <v>700</v>
      </c>
      <c r="I336" s="64" t="s">
        <v>1712</v>
      </c>
    </row>
    <row r="337" spans="1:9" ht="26.25" x14ac:dyDescent="0.25">
      <c r="A337" s="50" t="s">
        <v>439</v>
      </c>
      <c r="B337" s="51" t="s">
        <v>1676</v>
      </c>
      <c r="C337" s="52">
        <v>41</v>
      </c>
      <c r="D337" s="61">
        <f t="shared" si="11"/>
        <v>708.52319999999997</v>
      </c>
      <c r="E337" s="62">
        <v>43979</v>
      </c>
      <c r="F337" s="63" t="s">
        <v>1700</v>
      </c>
      <c r="G337" s="63" t="s">
        <v>1684</v>
      </c>
      <c r="H337" s="64">
        <v>644.11199999999997</v>
      </c>
      <c r="I337" s="64" t="s">
        <v>439</v>
      </c>
    </row>
    <row r="338" spans="1:9" ht="26.25" x14ac:dyDescent="0.25">
      <c r="A338" s="50" t="s">
        <v>440</v>
      </c>
      <c r="B338" s="51" t="s">
        <v>1676</v>
      </c>
      <c r="C338" s="52">
        <v>3</v>
      </c>
      <c r="D338" s="61">
        <f t="shared" si="11"/>
        <v>770.00000000000011</v>
      </c>
      <c r="E338" s="62">
        <v>0</v>
      </c>
      <c r="F338" s="63" t="e">
        <v>#VALUE!</v>
      </c>
      <c r="G338" s="69" t="s">
        <v>1684</v>
      </c>
      <c r="H338" s="70">
        <v>700</v>
      </c>
      <c r="I338" s="64" t="s">
        <v>1712</v>
      </c>
    </row>
    <row r="339" spans="1:9" ht="26.25" x14ac:dyDescent="0.25">
      <c r="A339" s="50" t="s">
        <v>573</v>
      </c>
      <c r="B339" s="51" t="s">
        <v>1676</v>
      </c>
      <c r="C339" s="52">
        <v>4</v>
      </c>
      <c r="D339" s="61">
        <f t="shared" si="11"/>
        <v>2244</v>
      </c>
      <c r="E339" s="62">
        <v>0</v>
      </c>
      <c r="F339" s="63" t="e">
        <v>#VALUE!</v>
      </c>
      <c r="G339" s="69" t="s">
        <v>1684</v>
      </c>
      <c r="H339" s="70">
        <v>2040</v>
      </c>
      <c r="I339" s="64" t="s">
        <v>1712</v>
      </c>
    </row>
    <row r="340" spans="1:9" x14ac:dyDescent="0.25">
      <c r="A340" s="50" t="s">
        <v>441</v>
      </c>
      <c r="B340" s="51" t="s">
        <v>1676</v>
      </c>
      <c r="C340" s="52">
        <v>72</v>
      </c>
      <c r="D340" s="61">
        <f t="shared" si="11"/>
        <v>401.29200000000003</v>
      </c>
      <c r="E340" s="62">
        <v>44041</v>
      </c>
      <c r="F340" s="63" t="s">
        <v>1700</v>
      </c>
      <c r="G340" s="63" t="s">
        <v>1684</v>
      </c>
      <c r="H340" s="64">
        <v>401.29200000000003</v>
      </c>
      <c r="I340" s="64" t="s">
        <v>441</v>
      </c>
    </row>
    <row r="341" spans="1:9" x14ac:dyDescent="0.25">
      <c r="A341" s="50" t="s">
        <v>442</v>
      </c>
      <c r="B341" s="51" t="s">
        <v>1676</v>
      </c>
      <c r="C341" s="52">
        <v>7</v>
      </c>
      <c r="D341" s="61">
        <f t="shared" si="11"/>
        <v>424.4196</v>
      </c>
      <c r="E341" s="62">
        <v>43501</v>
      </c>
      <c r="F341" s="63" t="s">
        <v>1700</v>
      </c>
      <c r="G341" s="63" t="s">
        <v>1684</v>
      </c>
      <c r="H341" s="64">
        <v>385.83599999999996</v>
      </c>
      <c r="I341" s="64" t="s">
        <v>1822</v>
      </c>
    </row>
    <row r="342" spans="1:9" x14ac:dyDescent="0.25">
      <c r="A342" s="50" t="s">
        <v>578</v>
      </c>
      <c r="B342" s="51" t="s">
        <v>1676</v>
      </c>
      <c r="C342" s="52">
        <v>3</v>
      </c>
      <c r="D342" s="61">
        <f t="shared" si="11"/>
        <v>550</v>
      </c>
      <c r="E342" s="62">
        <v>0</v>
      </c>
      <c r="F342" s="63" t="e">
        <v>#VALUE!</v>
      </c>
      <c r="G342" s="69" t="s">
        <v>1684</v>
      </c>
      <c r="H342" s="70">
        <v>500</v>
      </c>
      <c r="I342" s="64" t="s">
        <v>1712</v>
      </c>
    </row>
    <row r="343" spans="1:9" x14ac:dyDescent="0.25">
      <c r="A343" s="50" t="s">
        <v>567</v>
      </c>
      <c r="B343" s="51" t="s">
        <v>1676</v>
      </c>
      <c r="C343" s="52">
        <v>5</v>
      </c>
      <c r="D343" s="61">
        <f t="shared" si="11"/>
        <v>950.14919999999995</v>
      </c>
      <c r="E343" s="62">
        <v>43245</v>
      </c>
      <c r="F343" s="63" t="s">
        <v>1775</v>
      </c>
      <c r="G343" s="63" t="s">
        <v>1684</v>
      </c>
      <c r="H343" s="64">
        <v>863.77199999999993</v>
      </c>
      <c r="I343" s="64" t="s">
        <v>1823</v>
      </c>
    </row>
    <row r="344" spans="1:9" x14ac:dyDescent="0.25">
      <c r="A344" s="50" t="s">
        <v>1615</v>
      </c>
      <c r="B344" s="51" t="s">
        <v>1676</v>
      </c>
      <c r="C344" s="52">
        <v>3</v>
      </c>
      <c r="D344" s="61">
        <f t="shared" si="11"/>
        <v>627.50160000000005</v>
      </c>
      <c r="E344" s="62">
        <v>43214</v>
      </c>
      <c r="F344" s="63" t="s">
        <v>1775</v>
      </c>
      <c r="G344" s="63" t="s">
        <v>1684</v>
      </c>
      <c r="H344" s="64">
        <v>570.45600000000002</v>
      </c>
      <c r="I344" s="64" t="s">
        <v>1824</v>
      </c>
    </row>
    <row r="345" spans="1:9" x14ac:dyDescent="0.25">
      <c r="A345" s="50" t="s">
        <v>574</v>
      </c>
      <c r="B345" s="51" t="s">
        <v>1676</v>
      </c>
      <c r="C345" s="52">
        <v>12</v>
      </c>
      <c r="D345" s="61">
        <f t="shared" si="11"/>
        <v>1588.6310000000001</v>
      </c>
      <c r="E345" s="62">
        <v>43678</v>
      </c>
      <c r="F345" s="63" t="s">
        <v>1775</v>
      </c>
      <c r="G345" s="63" t="s">
        <v>1684</v>
      </c>
      <c r="H345" s="64">
        <v>1444.21</v>
      </c>
      <c r="I345" s="64" t="s">
        <v>1825</v>
      </c>
    </row>
    <row r="346" spans="1:9" x14ac:dyDescent="0.25">
      <c r="A346" s="50" t="s">
        <v>443</v>
      </c>
      <c r="B346" s="51" t="s">
        <v>1676</v>
      </c>
      <c r="C346" s="52">
        <v>1</v>
      </c>
      <c r="D346" s="61">
        <f t="shared" si="11"/>
        <v>3133.8516000000004</v>
      </c>
      <c r="E346" s="62">
        <v>43245</v>
      </c>
      <c r="F346" s="63" t="s">
        <v>1775</v>
      </c>
      <c r="G346" s="63" t="s">
        <v>1684</v>
      </c>
      <c r="H346" s="64">
        <v>2848.9560000000001</v>
      </c>
      <c r="I346" s="64" t="s">
        <v>1826</v>
      </c>
    </row>
    <row r="347" spans="1:9" x14ac:dyDescent="0.25">
      <c r="A347" s="50" t="s">
        <v>444</v>
      </c>
      <c r="B347" s="51" t="s">
        <v>1676</v>
      </c>
      <c r="C347" s="52">
        <v>10</v>
      </c>
      <c r="D347" s="61">
        <f t="shared" si="11"/>
        <v>563.41199999999992</v>
      </c>
      <c r="E347" s="62">
        <v>44050</v>
      </c>
      <c r="F347" s="63" t="s">
        <v>1700</v>
      </c>
      <c r="G347" s="63" t="s">
        <v>1684</v>
      </c>
      <c r="H347" s="64">
        <v>563.41199999999992</v>
      </c>
      <c r="I347" s="64" t="s">
        <v>444</v>
      </c>
    </row>
    <row r="348" spans="1:9" x14ac:dyDescent="0.25">
      <c r="A348" s="50" t="s">
        <v>445</v>
      </c>
      <c r="B348" s="51" t="s">
        <v>1676</v>
      </c>
      <c r="C348" s="52">
        <v>14</v>
      </c>
      <c r="D348" s="61">
        <f t="shared" si="11"/>
        <v>389.59200000000004</v>
      </c>
      <c r="E348" s="62">
        <v>44036</v>
      </c>
      <c r="F348" s="63" t="s">
        <v>1700</v>
      </c>
      <c r="G348" s="63" t="s">
        <v>1684</v>
      </c>
      <c r="H348" s="64">
        <v>389.59200000000004</v>
      </c>
      <c r="I348" s="64" t="s">
        <v>445</v>
      </c>
    </row>
    <row r="349" spans="1:9" x14ac:dyDescent="0.25">
      <c r="A349" s="50" t="s">
        <v>446</v>
      </c>
      <c r="B349" s="51" t="s">
        <v>1676</v>
      </c>
      <c r="C349" s="52">
        <v>18</v>
      </c>
      <c r="D349" s="61">
        <f t="shared" si="11"/>
        <v>459.53160000000003</v>
      </c>
      <c r="E349" s="62">
        <v>43907</v>
      </c>
      <c r="F349" s="63" t="s">
        <v>1700</v>
      </c>
      <c r="G349" s="63" t="s">
        <v>1684</v>
      </c>
      <c r="H349" s="64">
        <v>417.75599999999997</v>
      </c>
      <c r="I349" s="64" t="s">
        <v>446</v>
      </c>
    </row>
    <row r="350" spans="1:9" x14ac:dyDescent="0.25">
      <c r="A350" s="50" t="s">
        <v>447</v>
      </c>
      <c r="B350" s="51" t="s">
        <v>1676</v>
      </c>
      <c r="C350" s="52">
        <v>6</v>
      </c>
      <c r="D350" s="61">
        <f t="shared" si="11"/>
        <v>652.54200000000003</v>
      </c>
      <c r="E350" s="62">
        <v>43734</v>
      </c>
      <c r="F350" s="63" t="s">
        <v>1695</v>
      </c>
      <c r="G350" s="63" t="s">
        <v>1684</v>
      </c>
      <c r="H350" s="64">
        <v>593.22</v>
      </c>
      <c r="I350" s="64" t="s">
        <v>1827</v>
      </c>
    </row>
    <row r="351" spans="1:9" x14ac:dyDescent="0.25">
      <c r="A351" s="50" t="s">
        <v>448</v>
      </c>
      <c r="B351" s="51" t="s">
        <v>1676</v>
      </c>
      <c r="C351" s="52">
        <v>2</v>
      </c>
      <c r="D351" s="61">
        <f t="shared" si="11"/>
        <v>4062.96</v>
      </c>
      <c r="E351" s="62">
        <v>43852</v>
      </c>
      <c r="F351" s="63" t="s">
        <v>1700</v>
      </c>
      <c r="G351" s="63" t="s">
        <v>1684</v>
      </c>
      <c r="H351" s="64">
        <v>3693.6</v>
      </c>
      <c r="I351" s="64" t="s">
        <v>1828</v>
      </c>
    </row>
    <row r="352" spans="1:9" x14ac:dyDescent="0.25">
      <c r="A352" s="50" t="s">
        <v>449</v>
      </c>
      <c r="B352" s="51" t="s">
        <v>1676</v>
      </c>
      <c r="C352" s="52">
        <v>42</v>
      </c>
      <c r="D352" s="61">
        <f t="shared" si="11"/>
        <v>2.1480000000000001</v>
      </c>
      <c r="E352" s="62">
        <v>44097</v>
      </c>
      <c r="F352" s="63" t="s">
        <v>1700</v>
      </c>
      <c r="G352" s="63" t="s">
        <v>1684</v>
      </c>
      <c r="H352" s="64">
        <v>2.1480000000000001</v>
      </c>
      <c r="I352" s="64" t="s">
        <v>449</v>
      </c>
    </row>
    <row r="353" spans="1:9" x14ac:dyDescent="0.25">
      <c r="A353" s="50" t="s">
        <v>450</v>
      </c>
      <c r="B353" s="51" t="s">
        <v>1676</v>
      </c>
      <c r="C353" s="56">
        <v>2350</v>
      </c>
      <c r="D353" s="61">
        <f t="shared" si="11"/>
        <v>2.0460000000000003</v>
      </c>
      <c r="E353" s="62">
        <v>43861</v>
      </c>
      <c r="F353" s="63" t="s">
        <v>1700</v>
      </c>
      <c r="G353" s="63" t="s">
        <v>1684</v>
      </c>
      <c r="H353" s="64">
        <v>1.86</v>
      </c>
      <c r="I353" s="64" t="s">
        <v>1829</v>
      </c>
    </row>
    <row r="354" spans="1:9" x14ac:dyDescent="0.25">
      <c r="A354" s="50" t="s">
        <v>451</v>
      </c>
      <c r="B354" s="51" t="s">
        <v>1676</v>
      </c>
      <c r="C354" s="52">
        <v>35</v>
      </c>
      <c r="D354" s="61">
        <f t="shared" ref="D354:D385" si="12">H354 * IF(G354="руб", 1, 1.4 * (k_ru_dol*(G354="USD")+k_ru_evro*(G354="EUR")+k_ru_yuan*(G354="CNY"))/1.2) * IF(E354&lt;(дата_расчета - 365),1.1,1)</f>
        <v>1.0296000000000001</v>
      </c>
      <c r="E354" s="62">
        <v>43938</v>
      </c>
      <c r="F354" s="63" t="s">
        <v>1753</v>
      </c>
      <c r="G354" s="63" t="s">
        <v>1684</v>
      </c>
      <c r="H354" s="64">
        <v>0.93599999999999994</v>
      </c>
      <c r="I354" s="64" t="s">
        <v>451</v>
      </c>
    </row>
    <row r="355" spans="1:9" x14ac:dyDescent="0.25">
      <c r="A355" s="50" t="s">
        <v>452</v>
      </c>
      <c r="B355" s="51" t="s">
        <v>1676</v>
      </c>
      <c r="C355" s="52">
        <v>48</v>
      </c>
      <c r="D355" s="61">
        <f t="shared" si="12"/>
        <v>1.1000000000000001</v>
      </c>
      <c r="E355" s="62">
        <v>0</v>
      </c>
      <c r="F355" s="63" t="e">
        <v>#VALUE!</v>
      </c>
      <c r="G355" s="69" t="s">
        <v>1684</v>
      </c>
      <c r="H355" s="70">
        <v>1</v>
      </c>
      <c r="I355" s="64" t="s">
        <v>1712</v>
      </c>
    </row>
    <row r="356" spans="1:9" x14ac:dyDescent="0.25">
      <c r="A356" s="50" t="s">
        <v>453</v>
      </c>
      <c r="B356" s="51" t="s">
        <v>1676</v>
      </c>
      <c r="C356" s="52">
        <v>30</v>
      </c>
      <c r="D356" s="61">
        <f t="shared" si="12"/>
        <v>1.51464</v>
      </c>
      <c r="E356" s="62">
        <v>44097</v>
      </c>
      <c r="F356" s="63" t="s">
        <v>1700</v>
      </c>
      <c r="G356" s="63" t="s">
        <v>1684</v>
      </c>
      <c r="H356" s="64">
        <v>1.51464</v>
      </c>
      <c r="I356" s="64" t="s">
        <v>1830</v>
      </c>
    </row>
    <row r="357" spans="1:9" x14ac:dyDescent="0.25">
      <c r="A357" s="50" t="s">
        <v>454</v>
      </c>
      <c r="B357" s="51" t="s">
        <v>1676</v>
      </c>
      <c r="C357" s="52">
        <v>24</v>
      </c>
      <c r="D357" s="61">
        <f t="shared" si="12"/>
        <v>2.2000000000000002</v>
      </c>
      <c r="E357" s="62">
        <v>0</v>
      </c>
      <c r="F357" s="63" t="e">
        <v>#VALUE!</v>
      </c>
      <c r="G357" s="69" t="s">
        <v>1684</v>
      </c>
      <c r="H357" s="70">
        <v>2</v>
      </c>
      <c r="I357" s="64" t="s">
        <v>1712</v>
      </c>
    </row>
    <row r="358" spans="1:9" ht="26.25" x14ac:dyDescent="0.25">
      <c r="A358" s="50" t="s">
        <v>455</v>
      </c>
      <c r="B358" s="51" t="s">
        <v>1676</v>
      </c>
      <c r="C358" s="52">
        <v>13</v>
      </c>
      <c r="D358" s="61">
        <f t="shared" si="12"/>
        <v>3.2039999999999997</v>
      </c>
      <c r="E358" s="62">
        <v>44021</v>
      </c>
      <c r="F358" s="63" t="s">
        <v>1700</v>
      </c>
      <c r="G358" s="63" t="s">
        <v>1684</v>
      </c>
      <c r="H358" s="64">
        <v>3.2039999999999997</v>
      </c>
      <c r="I358" s="64" t="s">
        <v>455</v>
      </c>
    </row>
    <row r="359" spans="1:9" ht="26.25" x14ac:dyDescent="0.25">
      <c r="A359" s="50" t="s">
        <v>456</v>
      </c>
      <c r="B359" s="51" t="s">
        <v>1676</v>
      </c>
      <c r="C359" s="52">
        <v>1</v>
      </c>
      <c r="D359" s="61">
        <f t="shared" si="12"/>
        <v>10175</v>
      </c>
      <c r="E359" s="62">
        <v>43621</v>
      </c>
      <c r="F359" s="63" t="s">
        <v>1775</v>
      </c>
      <c r="G359" s="63" t="s">
        <v>1684</v>
      </c>
      <c r="H359" s="64">
        <v>9250</v>
      </c>
      <c r="I359" s="64" t="s">
        <v>1831</v>
      </c>
    </row>
    <row r="360" spans="1:9" x14ac:dyDescent="0.25">
      <c r="A360" s="50" t="s">
        <v>139</v>
      </c>
      <c r="B360" s="51" t="s">
        <v>1678</v>
      </c>
      <c r="C360" s="55">
        <v>3.04</v>
      </c>
      <c r="D360" s="61">
        <f t="shared" si="12"/>
        <v>171.87720000000002</v>
      </c>
      <c r="E360" s="62">
        <v>43997</v>
      </c>
      <c r="F360" s="63" t="s">
        <v>1832</v>
      </c>
      <c r="G360" s="63" t="s">
        <v>1684</v>
      </c>
      <c r="H360" s="64">
        <v>156.25200000000001</v>
      </c>
      <c r="I360" s="64" t="s">
        <v>139</v>
      </c>
    </row>
    <row r="361" spans="1:9" x14ac:dyDescent="0.25">
      <c r="A361" s="50" t="s">
        <v>457</v>
      </c>
      <c r="B361" s="51" t="s">
        <v>1676</v>
      </c>
      <c r="C361" s="52">
        <v>1</v>
      </c>
      <c r="D361" s="61">
        <f t="shared" si="12"/>
        <v>2954.82</v>
      </c>
      <c r="E361" s="62">
        <v>43124</v>
      </c>
      <c r="F361" s="63" t="s">
        <v>1689</v>
      </c>
      <c r="G361" s="63" t="s">
        <v>1684</v>
      </c>
      <c r="H361" s="64">
        <v>2686.2</v>
      </c>
      <c r="I361" s="64" t="s">
        <v>1833</v>
      </c>
    </row>
    <row r="362" spans="1:9" x14ac:dyDescent="0.25">
      <c r="A362" s="50" t="s">
        <v>140</v>
      </c>
      <c r="B362" s="51" t="s">
        <v>1676</v>
      </c>
      <c r="C362" s="52">
        <v>32</v>
      </c>
      <c r="D362" s="61">
        <f t="shared" si="12"/>
        <v>42.451199999999993</v>
      </c>
      <c r="E362" s="62">
        <v>43208</v>
      </c>
      <c r="F362" s="63" t="s">
        <v>1730</v>
      </c>
      <c r="G362" s="63" t="s">
        <v>1684</v>
      </c>
      <c r="H362" s="64">
        <v>38.591999999999992</v>
      </c>
      <c r="I362" s="64" t="s">
        <v>1834</v>
      </c>
    </row>
    <row r="363" spans="1:9" x14ac:dyDescent="0.25">
      <c r="A363" s="50" t="s">
        <v>458</v>
      </c>
      <c r="B363" s="51" t="s">
        <v>1676</v>
      </c>
      <c r="C363" s="52">
        <v>2</v>
      </c>
      <c r="D363" s="61">
        <f t="shared" si="12"/>
        <v>465.53760000000005</v>
      </c>
      <c r="E363" s="62">
        <v>43643</v>
      </c>
      <c r="F363" s="63" t="s">
        <v>1695</v>
      </c>
      <c r="G363" s="63" t="s">
        <v>1684</v>
      </c>
      <c r="H363" s="64">
        <v>423.21600000000001</v>
      </c>
      <c r="I363" s="64" t="s">
        <v>1835</v>
      </c>
    </row>
    <row r="364" spans="1:9" x14ac:dyDescent="0.25">
      <c r="A364" s="50" t="s">
        <v>459</v>
      </c>
      <c r="B364" s="51" t="s">
        <v>1676</v>
      </c>
      <c r="C364" s="52">
        <v>1</v>
      </c>
      <c r="D364" s="61">
        <f t="shared" si="12"/>
        <v>990.76560000000006</v>
      </c>
      <c r="E364" s="62">
        <v>43165</v>
      </c>
      <c r="F364" s="63" t="s">
        <v>1689</v>
      </c>
      <c r="G364" s="63" t="s">
        <v>1684</v>
      </c>
      <c r="H364" s="64">
        <v>900.69600000000003</v>
      </c>
      <c r="I364" s="64" t="s">
        <v>1836</v>
      </c>
    </row>
    <row r="365" spans="1:9" ht="26.25" x14ac:dyDescent="0.25">
      <c r="A365" s="50" t="s">
        <v>460</v>
      </c>
      <c r="B365" s="51" t="s">
        <v>1676</v>
      </c>
      <c r="C365" s="52">
        <v>8</v>
      </c>
      <c r="D365" s="61">
        <f t="shared" si="12"/>
        <v>982.72800000000007</v>
      </c>
      <c r="E365" s="62">
        <v>44103</v>
      </c>
      <c r="F365" s="63" t="s">
        <v>1700</v>
      </c>
      <c r="G365" s="63" t="s">
        <v>1684</v>
      </c>
      <c r="H365" s="64">
        <v>982.72800000000007</v>
      </c>
      <c r="I365" s="64" t="s">
        <v>460</v>
      </c>
    </row>
    <row r="366" spans="1:9" ht="26.25" x14ac:dyDescent="0.25">
      <c r="A366" s="50" t="s">
        <v>1582</v>
      </c>
      <c r="B366" s="51" t="s">
        <v>1676</v>
      </c>
      <c r="C366" s="52">
        <v>1</v>
      </c>
      <c r="D366" s="61">
        <f t="shared" si="12"/>
        <v>972.2328</v>
      </c>
      <c r="E366" s="62">
        <v>43979</v>
      </c>
      <c r="F366" s="63" t="s">
        <v>1700</v>
      </c>
      <c r="G366" s="63" t="s">
        <v>1684</v>
      </c>
      <c r="H366" s="64">
        <v>883.84799999999996</v>
      </c>
      <c r="I366" s="64" t="s">
        <v>1582</v>
      </c>
    </row>
    <row r="367" spans="1:9" ht="26.25" x14ac:dyDescent="0.25">
      <c r="A367" s="50" t="s">
        <v>461</v>
      </c>
      <c r="B367" s="51" t="s">
        <v>1676</v>
      </c>
      <c r="C367" s="52">
        <v>10</v>
      </c>
      <c r="D367" s="61">
        <f t="shared" si="12"/>
        <v>785.76959999999997</v>
      </c>
      <c r="E367" s="62">
        <v>43136</v>
      </c>
      <c r="F367" s="63" t="s">
        <v>1689</v>
      </c>
      <c r="G367" s="63" t="s">
        <v>1684</v>
      </c>
      <c r="H367" s="64">
        <v>714.3359999999999</v>
      </c>
      <c r="I367" s="64" t="s">
        <v>1837</v>
      </c>
    </row>
    <row r="368" spans="1:9" ht="26.25" x14ac:dyDescent="0.25">
      <c r="A368" s="50" t="s">
        <v>462</v>
      </c>
      <c r="B368" s="51" t="s">
        <v>1676</v>
      </c>
      <c r="C368" s="52">
        <v>9</v>
      </c>
      <c r="D368" s="61">
        <f t="shared" si="12"/>
        <v>785.76959999999997</v>
      </c>
      <c r="E368" s="62">
        <v>43136</v>
      </c>
      <c r="F368" s="63" t="s">
        <v>1689</v>
      </c>
      <c r="G368" s="63" t="s">
        <v>1684</v>
      </c>
      <c r="H368" s="64">
        <v>714.3359999999999</v>
      </c>
      <c r="I368" s="64" t="s">
        <v>1838</v>
      </c>
    </row>
    <row r="369" spans="1:9" x14ac:dyDescent="0.25">
      <c r="A369" s="50" t="s">
        <v>463</v>
      </c>
      <c r="B369" s="51" t="s">
        <v>1676</v>
      </c>
      <c r="C369" s="52">
        <v>41</v>
      </c>
      <c r="D369" s="61">
        <f t="shared" si="12"/>
        <v>41.3292</v>
      </c>
      <c r="E369" s="62">
        <v>43966</v>
      </c>
      <c r="F369" s="63" t="s">
        <v>1700</v>
      </c>
      <c r="G369" s="63" t="s">
        <v>1684</v>
      </c>
      <c r="H369" s="64">
        <v>37.571999999999996</v>
      </c>
      <c r="I369" s="64" t="s">
        <v>463</v>
      </c>
    </row>
    <row r="370" spans="1:9" x14ac:dyDescent="0.25">
      <c r="A370" s="50" t="s">
        <v>464</v>
      </c>
      <c r="B370" s="51" t="s">
        <v>1676</v>
      </c>
      <c r="C370" s="52">
        <v>3</v>
      </c>
      <c r="D370" s="61">
        <f t="shared" si="12"/>
        <v>184.36439999999999</v>
      </c>
      <c r="E370" s="62">
        <v>43501</v>
      </c>
      <c r="F370" s="63" t="s">
        <v>1700</v>
      </c>
      <c r="G370" s="63" t="s">
        <v>1684</v>
      </c>
      <c r="H370" s="64">
        <v>167.60399999999998</v>
      </c>
      <c r="I370" s="64" t="s">
        <v>1839</v>
      </c>
    </row>
    <row r="371" spans="1:9" x14ac:dyDescent="0.25">
      <c r="A371" s="50" t="s">
        <v>465</v>
      </c>
      <c r="B371" s="51" t="s">
        <v>1676</v>
      </c>
      <c r="C371" s="52">
        <v>3</v>
      </c>
      <c r="D371" s="61">
        <f t="shared" si="12"/>
        <v>319.67759999999998</v>
      </c>
      <c r="E371" s="62">
        <v>43852</v>
      </c>
      <c r="F371" s="63" t="s">
        <v>1700</v>
      </c>
      <c r="G371" s="63" t="s">
        <v>1684</v>
      </c>
      <c r="H371" s="64">
        <v>290.61599999999999</v>
      </c>
      <c r="I371" s="64" t="s">
        <v>1840</v>
      </c>
    </row>
    <row r="372" spans="1:9" x14ac:dyDescent="0.25">
      <c r="A372" s="50" t="s">
        <v>466</v>
      </c>
      <c r="B372" s="51" t="s">
        <v>1677</v>
      </c>
      <c r="C372" s="57">
        <v>21.8</v>
      </c>
      <c r="D372" s="61">
        <f t="shared" si="12"/>
        <v>149.1996</v>
      </c>
      <c r="E372" s="62">
        <v>43852</v>
      </c>
      <c r="F372" s="63" t="s">
        <v>1700</v>
      </c>
      <c r="G372" s="63" t="s">
        <v>1684</v>
      </c>
      <c r="H372" s="64">
        <v>135.636</v>
      </c>
      <c r="I372" s="64" t="s">
        <v>1841</v>
      </c>
    </row>
    <row r="373" spans="1:9" x14ac:dyDescent="0.25">
      <c r="A373" s="50" t="s">
        <v>467</v>
      </c>
      <c r="B373" s="51" t="s">
        <v>1677</v>
      </c>
      <c r="C373" s="57">
        <v>5.6</v>
      </c>
      <c r="D373" s="61">
        <f t="shared" si="12"/>
        <v>180.57599999999999</v>
      </c>
      <c r="E373" s="62">
        <v>44097</v>
      </c>
      <c r="F373" s="63" t="s">
        <v>1700</v>
      </c>
      <c r="G373" s="63" t="s">
        <v>1684</v>
      </c>
      <c r="H373" s="64">
        <v>180.57599999999999</v>
      </c>
      <c r="I373" s="64" t="s">
        <v>467</v>
      </c>
    </row>
    <row r="374" spans="1:9" x14ac:dyDescent="0.25">
      <c r="A374" s="50" t="s">
        <v>468</v>
      </c>
      <c r="B374" s="51" t="s">
        <v>1676</v>
      </c>
      <c r="C374" s="52">
        <v>1</v>
      </c>
      <c r="D374" s="61">
        <f t="shared" si="12"/>
        <v>7499.0039999999999</v>
      </c>
      <c r="E374" s="62">
        <v>44063</v>
      </c>
      <c r="F374" s="63" t="s">
        <v>1842</v>
      </c>
      <c r="G374" s="63" t="s">
        <v>1684</v>
      </c>
      <c r="H374" s="64">
        <v>7499.0039999999999</v>
      </c>
      <c r="I374" s="64" t="s">
        <v>1843</v>
      </c>
    </row>
    <row r="375" spans="1:9" x14ac:dyDescent="0.25">
      <c r="A375" s="50" t="s">
        <v>469</v>
      </c>
      <c r="B375" s="51" t="s">
        <v>1676</v>
      </c>
      <c r="C375" s="52">
        <v>1</v>
      </c>
      <c r="D375" s="61">
        <f t="shared" si="12"/>
        <v>3365.3399999999997</v>
      </c>
      <c r="E375" s="62">
        <v>44029</v>
      </c>
      <c r="F375" s="63" t="s">
        <v>1700</v>
      </c>
      <c r="G375" s="63" t="s">
        <v>1684</v>
      </c>
      <c r="H375" s="64">
        <v>3365.3399999999997</v>
      </c>
      <c r="I375" s="64" t="s">
        <v>1844</v>
      </c>
    </row>
    <row r="376" spans="1:9" x14ac:dyDescent="0.25">
      <c r="A376" s="50" t="s">
        <v>470</v>
      </c>
      <c r="B376" s="51" t="s">
        <v>1676</v>
      </c>
      <c r="C376" s="52">
        <v>110</v>
      </c>
      <c r="D376" s="61">
        <f t="shared" si="12"/>
        <v>2.013528</v>
      </c>
      <c r="E376" s="62">
        <v>43354</v>
      </c>
      <c r="F376" s="63" t="s">
        <v>1845</v>
      </c>
      <c r="G376" s="63" t="s">
        <v>1684</v>
      </c>
      <c r="H376" s="64">
        <v>1.8304799999999997</v>
      </c>
      <c r="I376" s="64" t="s">
        <v>1846</v>
      </c>
    </row>
    <row r="377" spans="1:9" x14ac:dyDescent="0.25">
      <c r="A377" s="50" t="s">
        <v>560</v>
      </c>
      <c r="B377" s="51" t="s">
        <v>1676</v>
      </c>
      <c r="C377" s="52">
        <v>20</v>
      </c>
      <c r="D377" s="61">
        <f t="shared" si="12"/>
        <v>60.495599999999996</v>
      </c>
      <c r="E377" s="62">
        <v>43922</v>
      </c>
      <c r="F377" s="63" t="s">
        <v>1847</v>
      </c>
      <c r="G377" s="63" t="s">
        <v>1684</v>
      </c>
      <c r="H377" s="64">
        <v>54.995999999999995</v>
      </c>
      <c r="I377" s="64" t="s">
        <v>560</v>
      </c>
    </row>
    <row r="378" spans="1:9" x14ac:dyDescent="0.25">
      <c r="A378" s="50" t="s">
        <v>471</v>
      </c>
      <c r="B378" s="51" t="s">
        <v>1676</v>
      </c>
      <c r="C378" s="52">
        <v>16</v>
      </c>
      <c r="D378" s="61">
        <f t="shared" si="12"/>
        <v>1544.412</v>
      </c>
      <c r="E378" s="62">
        <v>44036</v>
      </c>
      <c r="F378" s="63" t="s">
        <v>1700</v>
      </c>
      <c r="G378" s="63" t="s">
        <v>1684</v>
      </c>
      <c r="H378" s="64">
        <v>1544.412</v>
      </c>
      <c r="I378" s="64" t="s">
        <v>471</v>
      </c>
    </row>
    <row r="379" spans="1:9" x14ac:dyDescent="0.25">
      <c r="A379" s="50" t="s">
        <v>472</v>
      </c>
      <c r="B379" s="51" t="s">
        <v>1676</v>
      </c>
      <c r="C379" s="52">
        <v>8</v>
      </c>
      <c r="D379" s="61">
        <f t="shared" si="12"/>
        <v>1451.8152</v>
      </c>
      <c r="E379" s="62">
        <v>43245</v>
      </c>
      <c r="F379" s="63" t="s">
        <v>1775</v>
      </c>
      <c r="G379" s="63" t="s">
        <v>1684</v>
      </c>
      <c r="H379" s="64">
        <v>1319.8319999999999</v>
      </c>
      <c r="I379" s="64" t="s">
        <v>1848</v>
      </c>
    </row>
    <row r="380" spans="1:9" x14ac:dyDescent="0.25">
      <c r="A380" s="50" t="s">
        <v>1616</v>
      </c>
      <c r="B380" s="51" t="s">
        <v>1676</v>
      </c>
      <c r="C380" s="52">
        <v>3</v>
      </c>
      <c r="D380" s="61">
        <f t="shared" si="12"/>
        <v>2469.4428000000003</v>
      </c>
      <c r="E380" s="62">
        <v>43950</v>
      </c>
      <c r="F380" s="63" t="s">
        <v>1700</v>
      </c>
      <c r="G380" s="63" t="s">
        <v>1684</v>
      </c>
      <c r="H380" s="64">
        <v>2244.9479999999999</v>
      </c>
      <c r="I380" s="64" t="s">
        <v>1616</v>
      </c>
    </row>
    <row r="381" spans="1:9" x14ac:dyDescent="0.25">
      <c r="A381" s="50" t="s">
        <v>141</v>
      </c>
      <c r="B381" s="51" t="s">
        <v>1676</v>
      </c>
      <c r="C381" s="52">
        <v>1</v>
      </c>
      <c r="D381" s="61">
        <f t="shared" si="12"/>
        <v>165.44880000000001</v>
      </c>
      <c r="E381" s="62">
        <v>43189</v>
      </c>
      <c r="F381" s="63" t="s">
        <v>1849</v>
      </c>
      <c r="G381" s="63" t="s">
        <v>1684</v>
      </c>
      <c r="H381" s="64">
        <v>150.40799999999999</v>
      </c>
      <c r="I381" s="64" t="s">
        <v>141</v>
      </c>
    </row>
    <row r="382" spans="1:9" ht="26.25" x14ac:dyDescent="0.25">
      <c r="A382" s="50" t="s">
        <v>142</v>
      </c>
      <c r="B382" s="51" t="s">
        <v>1678</v>
      </c>
      <c r="C382" s="57">
        <v>0.3</v>
      </c>
      <c r="D382" s="61">
        <f t="shared" si="12"/>
        <v>220.00000000000003</v>
      </c>
      <c r="E382" s="62">
        <v>0</v>
      </c>
      <c r="F382" s="63" t="e">
        <v>#VALUE!</v>
      </c>
      <c r="G382" s="69" t="s">
        <v>1684</v>
      </c>
      <c r="H382" s="70">
        <v>200</v>
      </c>
      <c r="I382" s="64" t="s">
        <v>1712</v>
      </c>
    </row>
    <row r="383" spans="1:9" x14ac:dyDescent="0.25">
      <c r="A383" s="50" t="s">
        <v>473</v>
      </c>
      <c r="B383" s="51" t="s">
        <v>1677</v>
      </c>
      <c r="C383" s="52">
        <v>6</v>
      </c>
      <c r="D383" s="61">
        <f t="shared" si="12"/>
        <v>46.2</v>
      </c>
      <c r="E383" s="62">
        <v>43494</v>
      </c>
      <c r="F383" s="63" t="s">
        <v>1850</v>
      </c>
      <c r="G383" s="63" t="s">
        <v>1684</v>
      </c>
      <c r="H383" s="64">
        <v>42</v>
      </c>
      <c r="I383" s="64" t="s">
        <v>1851</v>
      </c>
    </row>
    <row r="384" spans="1:9" x14ac:dyDescent="0.25">
      <c r="A384" s="50" t="s">
        <v>143</v>
      </c>
      <c r="B384" s="51" t="s">
        <v>1678</v>
      </c>
      <c r="C384" s="53">
        <v>4.4459999999999997</v>
      </c>
      <c r="D384" s="61">
        <f t="shared" si="12"/>
        <v>690.01199999999994</v>
      </c>
      <c r="E384" s="62">
        <v>44026</v>
      </c>
      <c r="F384" s="63" t="s">
        <v>1852</v>
      </c>
      <c r="G384" s="63" t="s">
        <v>1684</v>
      </c>
      <c r="H384" s="64">
        <v>690.01199999999994</v>
      </c>
      <c r="I384" s="64" t="s">
        <v>143</v>
      </c>
    </row>
    <row r="385" spans="1:9" x14ac:dyDescent="0.25">
      <c r="A385" s="50" t="s">
        <v>144</v>
      </c>
      <c r="B385" s="51" t="s">
        <v>1678</v>
      </c>
      <c r="C385" s="53">
        <v>4.6040000000000001</v>
      </c>
      <c r="D385" s="61">
        <f t="shared" si="12"/>
        <v>680.18400000000008</v>
      </c>
      <c r="E385" s="62">
        <v>44095</v>
      </c>
      <c r="F385" s="63" t="s">
        <v>1852</v>
      </c>
      <c r="G385" s="63" t="s">
        <v>1684</v>
      </c>
      <c r="H385" s="64">
        <v>680.18400000000008</v>
      </c>
      <c r="I385" s="64" t="s">
        <v>144</v>
      </c>
    </row>
    <row r="386" spans="1:9" x14ac:dyDescent="0.25">
      <c r="A386" s="50" t="s">
        <v>1610</v>
      </c>
      <c r="B386" s="51" t="s">
        <v>1676</v>
      </c>
      <c r="C386" s="52">
        <v>1</v>
      </c>
      <c r="D386" s="61">
        <f t="shared" ref="D386:D417" si="13">H386 * IF(G386="руб", 1, 1.4 * (k_ru_dol*(G386="USD")+k_ru_evro*(G386="EUR")+k_ru_yuan*(G386="CNY"))/1.2) * IF(E386&lt;(дата_расчета - 365),1.1,1)</f>
        <v>4125</v>
      </c>
      <c r="E386" s="62">
        <v>43829</v>
      </c>
      <c r="F386" s="63" t="s">
        <v>1853</v>
      </c>
      <c r="G386" s="63" t="s">
        <v>1684</v>
      </c>
      <c r="H386" s="64">
        <v>3750</v>
      </c>
      <c r="I386" s="64" t="s">
        <v>1854</v>
      </c>
    </row>
    <row r="387" spans="1:9" x14ac:dyDescent="0.25">
      <c r="A387" s="50" t="s">
        <v>474</v>
      </c>
      <c r="B387" s="51" t="s">
        <v>1676</v>
      </c>
      <c r="C387" s="52">
        <v>1</v>
      </c>
      <c r="D387" s="61">
        <f t="shared" si="13"/>
        <v>16315.2</v>
      </c>
      <c r="E387" s="62">
        <v>43273</v>
      </c>
      <c r="F387" s="63" t="s">
        <v>1709</v>
      </c>
      <c r="G387" s="63" t="s">
        <v>1684</v>
      </c>
      <c r="H387" s="64">
        <v>14832</v>
      </c>
      <c r="I387" s="64" t="s">
        <v>1855</v>
      </c>
    </row>
    <row r="388" spans="1:9" x14ac:dyDescent="0.25">
      <c r="A388" s="50" t="s">
        <v>145</v>
      </c>
      <c r="B388" s="51" t="s">
        <v>1676</v>
      </c>
      <c r="C388" s="52">
        <v>16</v>
      </c>
      <c r="D388" s="61">
        <f t="shared" si="13"/>
        <v>23.179200000000002</v>
      </c>
      <c r="E388" s="62">
        <v>43463</v>
      </c>
      <c r="F388" s="63" t="s">
        <v>1856</v>
      </c>
      <c r="G388" s="63" t="s">
        <v>1684</v>
      </c>
      <c r="H388" s="64">
        <v>21.071999999999999</v>
      </c>
      <c r="I388" s="64" t="s">
        <v>145</v>
      </c>
    </row>
    <row r="389" spans="1:9" x14ac:dyDescent="0.25">
      <c r="A389" s="50" t="s">
        <v>561</v>
      </c>
      <c r="B389" s="51" t="s">
        <v>1676</v>
      </c>
      <c r="C389" s="52">
        <v>1</v>
      </c>
      <c r="D389" s="61">
        <f t="shared" si="13"/>
        <v>163.3236</v>
      </c>
      <c r="E389" s="62">
        <v>43332</v>
      </c>
      <c r="F389" s="63" t="s">
        <v>1857</v>
      </c>
      <c r="G389" s="63" t="s">
        <v>1684</v>
      </c>
      <c r="H389" s="64">
        <v>148.476</v>
      </c>
      <c r="I389" s="64" t="s">
        <v>561</v>
      </c>
    </row>
    <row r="390" spans="1:9" x14ac:dyDescent="0.25">
      <c r="A390" s="50" t="s">
        <v>475</v>
      </c>
      <c r="B390" s="51" t="s">
        <v>1677</v>
      </c>
      <c r="C390" s="52">
        <v>20</v>
      </c>
      <c r="D390" s="61">
        <f t="shared" si="13"/>
        <v>19.667999999999999</v>
      </c>
      <c r="E390" s="62">
        <v>43320</v>
      </c>
      <c r="F390" s="63" t="s">
        <v>1858</v>
      </c>
      <c r="G390" s="63" t="s">
        <v>1684</v>
      </c>
      <c r="H390" s="64">
        <v>17.88</v>
      </c>
      <c r="I390" s="64" t="s">
        <v>1859</v>
      </c>
    </row>
    <row r="391" spans="1:9" x14ac:dyDescent="0.25">
      <c r="A391" s="50" t="s">
        <v>476</v>
      </c>
      <c r="B391" s="51" t="s">
        <v>1677</v>
      </c>
      <c r="C391" s="52">
        <v>73</v>
      </c>
      <c r="D391" s="61">
        <f t="shared" si="13"/>
        <v>5.9840000000000009</v>
      </c>
      <c r="E391" s="62">
        <v>43574</v>
      </c>
      <c r="F391" s="63" t="s">
        <v>1775</v>
      </c>
      <c r="G391" s="63" t="s">
        <v>1684</v>
      </c>
      <c r="H391" s="64">
        <v>5.44</v>
      </c>
      <c r="I391" s="64" t="s">
        <v>476</v>
      </c>
    </row>
    <row r="392" spans="1:9" x14ac:dyDescent="0.25">
      <c r="A392" s="50" t="s">
        <v>477</v>
      </c>
      <c r="B392" s="51" t="s">
        <v>1677</v>
      </c>
      <c r="C392" s="52">
        <v>298</v>
      </c>
      <c r="D392" s="61">
        <f t="shared" si="13"/>
        <v>5.5440000000000005</v>
      </c>
      <c r="E392" s="62">
        <v>43658</v>
      </c>
      <c r="F392" s="63" t="s">
        <v>1700</v>
      </c>
      <c r="G392" s="63" t="s">
        <v>1684</v>
      </c>
      <c r="H392" s="64">
        <v>5.04</v>
      </c>
      <c r="I392" s="64" t="s">
        <v>477</v>
      </c>
    </row>
    <row r="393" spans="1:9" x14ac:dyDescent="0.25">
      <c r="A393" s="50" t="s">
        <v>478</v>
      </c>
      <c r="B393" s="51" t="s">
        <v>1677</v>
      </c>
      <c r="C393" s="52">
        <v>75</v>
      </c>
      <c r="D393" s="61">
        <f t="shared" si="13"/>
        <v>6.6360000000000001</v>
      </c>
      <c r="E393" s="62">
        <v>44097</v>
      </c>
      <c r="F393" s="63" t="s">
        <v>1700</v>
      </c>
      <c r="G393" s="63" t="s">
        <v>1684</v>
      </c>
      <c r="H393" s="64">
        <v>6.6360000000000001</v>
      </c>
      <c r="I393" s="64" t="s">
        <v>478</v>
      </c>
    </row>
    <row r="394" spans="1:9" x14ac:dyDescent="0.25">
      <c r="A394" s="50" t="s">
        <v>479</v>
      </c>
      <c r="B394" s="51" t="s">
        <v>1677</v>
      </c>
      <c r="C394" s="52">
        <v>93</v>
      </c>
      <c r="D394" s="61">
        <f t="shared" si="13"/>
        <v>6.8280000000000003</v>
      </c>
      <c r="E394" s="62">
        <v>44097</v>
      </c>
      <c r="F394" s="63" t="s">
        <v>1700</v>
      </c>
      <c r="G394" s="63" t="s">
        <v>1684</v>
      </c>
      <c r="H394" s="64">
        <v>6.8280000000000003</v>
      </c>
      <c r="I394" s="64" t="s">
        <v>479</v>
      </c>
    </row>
    <row r="395" spans="1:9" x14ac:dyDescent="0.25">
      <c r="A395" s="50" t="s">
        <v>480</v>
      </c>
      <c r="B395" s="51" t="s">
        <v>1677</v>
      </c>
      <c r="C395" s="52">
        <v>40</v>
      </c>
      <c r="D395" s="61">
        <f t="shared" si="13"/>
        <v>6.8280000000000003</v>
      </c>
      <c r="E395" s="62">
        <v>44097</v>
      </c>
      <c r="F395" s="63" t="s">
        <v>1700</v>
      </c>
      <c r="G395" s="63" t="s">
        <v>1684</v>
      </c>
      <c r="H395" s="64">
        <v>6.8280000000000003</v>
      </c>
      <c r="I395" s="64" t="s">
        <v>480</v>
      </c>
    </row>
    <row r="396" spans="1:9" x14ac:dyDescent="0.25">
      <c r="A396" s="50" t="s">
        <v>481</v>
      </c>
      <c r="B396" s="51" t="s">
        <v>1677</v>
      </c>
      <c r="C396" s="56">
        <v>2803</v>
      </c>
      <c r="D396" s="61">
        <f t="shared" si="13"/>
        <v>6.2519999999999998</v>
      </c>
      <c r="E396" s="62">
        <v>44102</v>
      </c>
      <c r="F396" s="63" t="s">
        <v>1728</v>
      </c>
      <c r="G396" s="63" t="s">
        <v>1684</v>
      </c>
      <c r="H396" s="64">
        <v>6.2519999999999998</v>
      </c>
      <c r="I396" s="64" t="s">
        <v>481</v>
      </c>
    </row>
    <row r="397" spans="1:9" x14ac:dyDescent="0.25">
      <c r="A397" s="50" t="s">
        <v>482</v>
      </c>
      <c r="B397" s="51" t="s">
        <v>1677</v>
      </c>
      <c r="C397" s="52">
        <v>276</v>
      </c>
      <c r="D397" s="61">
        <f t="shared" si="13"/>
        <v>12.54</v>
      </c>
      <c r="E397" s="62">
        <v>44097</v>
      </c>
      <c r="F397" s="63" t="s">
        <v>1700</v>
      </c>
      <c r="G397" s="63" t="s">
        <v>1684</v>
      </c>
      <c r="H397" s="64">
        <v>12.54</v>
      </c>
      <c r="I397" s="64" t="s">
        <v>482</v>
      </c>
    </row>
    <row r="398" spans="1:9" x14ac:dyDescent="0.25">
      <c r="A398" s="50" t="s">
        <v>483</v>
      </c>
      <c r="B398" s="51" t="s">
        <v>1677</v>
      </c>
      <c r="C398" s="52">
        <v>191</v>
      </c>
      <c r="D398" s="61">
        <f t="shared" si="13"/>
        <v>11.076000000000001</v>
      </c>
      <c r="E398" s="62">
        <v>44097</v>
      </c>
      <c r="F398" s="63" t="s">
        <v>1700</v>
      </c>
      <c r="G398" s="63" t="s">
        <v>1684</v>
      </c>
      <c r="H398" s="64">
        <v>11.076000000000001</v>
      </c>
      <c r="I398" s="64" t="s">
        <v>483</v>
      </c>
    </row>
    <row r="399" spans="1:9" x14ac:dyDescent="0.25">
      <c r="A399" s="50" t="s">
        <v>568</v>
      </c>
      <c r="B399" s="51" t="s">
        <v>1677</v>
      </c>
      <c r="C399" s="52">
        <v>47</v>
      </c>
      <c r="D399" s="61">
        <f t="shared" si="13"/>
        <v>59.967600000000004</v>
      </c>
      <c r="E399" s="62">
        <v>43651</v>
      </c>
      <c r="F399" s="63" t="s">
        <v>1700</v>
      </c>
      <c r="G399" s="63" t="s">
        <v>1684</v>
      </c>
      <c r="H399" s="64">
        <v>54.515999999999998</v>
      </c>
      <c r="I399" s="64" t="s">
        <v>568</v>
      </c>
    </row>
    <row r="400" spans="1:9" x14ac:dyDescent="0.25">
      <c r="A400" s="50" t="s">
        <v>569</v>
      </c>
      <c r="B400" s="51" t="s">
        <v>1677</v>
      </c>
      <c r="C400" s="52">
        <v>144</v>
      </c>
      <c r="D400" s="61">
        <f t="shared" si="13"/>
        <v>59.967600000000004</v>
      </c>
      <c r="E400" s="62">
        <v>43668</v>
      </c>
      <c r="F400" s="63" t="s">
        <v>1700</v>
      </c>
      <c r="G400" s="63" t="s">
        <v>1684</v>
      </c>
      <c r="H400" s="64">
        <v>54.515999999999998</v>
      </c>
      <c r="I400" s="64" t="s">
        <v>569</v>
      </c>
    </row>
    <row r="401" spans="1:9" x14ac:dyDescent="0.25">
      <c r="A401" s="50" t="s">
        <v>484</v>
      </c>
      <c r="B401" s="51" t="s">
        <v>1677</v>
      </c>
      <c r="C401" s="52">
        <v>6</v>
      </c>
      <c r="D401" s="61">
        <f t="shared" si="13"/>
        <v>24.204000000000001</v>
      </c>
      <c r="E401" s="62">
        <v>44064</v>
      </c>
      <c r="F401" s="63" t="s">
        <v>1753</v>
      </c>
      <c r="G401" s="63" t="s">
        <v>1684</v>
      </c>
      <c r="H401" s="64">
        <v>24.204000000000001</v>
      </c>
      <c r="I401" s="64" t="s">
        <v>484</v>
      </c>
    </row>
    <row r="402" spans="1:9" x14ac:dyDescent="0.25">
      <c r="A402" s="50" t="s">
        <v>485</v>
      </c>
      <c r="B402" s="51" t="s">
        <v>1677</v>
      </c>
      <c r="C402" s="52">
        <v>6</v>
      </c>
      <c r="D402" s="61">
        <f t="shared" si="13"/>
        <v>23.759999999999998</v>
      </c>
      <c r="E402" s="62">
        <v>43861</v>
      </c>
      <c r="F402" s="63" t="s">
        <v>1700</v>
      </c>
      <c r="G402" s="63" t="s">
        <v>1684</v>
      </c>
      <c r="H402" s="64">
        <v>21.599999999999998</v>
      </c>
      <c r="I402" s="64" t="s">
        <v>485</v>
      </c>
    </row>
    <row r="403" spans="1:9" x14ac:dyDescent="0.25">
      <c r="A403" s="50" t="s">
        <v>486</v>
      </c>
      <c r="B403" s="51" t="s">
        <v>1677</v>
      </c>
      <c r="C403" s="52">
        <v>26</v>
      </c>
      <c r="D403" s="61">
        <f t="shared" si="13"/>
        <v>25.895999999999997</v>
      </c>
      <c r="E403" s="62">
        <v>44021</v>
      </c>
      <c r="F403" s="63" t="s">
        <v>1700</v>
      </c>
      <c r="G403" s="63" t="s">
        <v>1684</v>
      </c>
      <c r="H403" s="64">
        <v>25.895999999999997</v>
      </c>
      <c r="I403" s="64" t="s">
        <v>486</v>
      </c>
    </row>
    <row r="404" spans="1:9" x14ac:dyDescent="0.25">
      <c r="A404" s="50" t="s">
        <v>487</v>
      </c>
      <c r="B404" s="51" t="s">
        <v>1677</v>
      </c>
      <c r="C404" s="52">
        <v>16</v>
      </c>
      <c r="D404" s="61">
        <f t="shared" si="13"/>
        <v>37.619999999999997</v>
      </c>
      <c r="E404" s="62">
        <v>43903</v>
      </c>
      <c r="F404" s="63" t="s">
        <v>1700</v>
      </c>
      <c r="G404" s="63" t="s">
        <v>1684</v>
      </c>
      <c r="H404" s="64">
        <v>34.199999999999996</v>
      </c>
      <c r="I404" s="64" t="s">
        <v>487</v>
      </c>
    </row>
    <row r="405" spans="1:9" x14ac:dyDescent="0.25">
      <c r="A405" s="50" t="s">
        <v>488</v>
      </c>
      <c r="B405" s="51" t="s">
        <v>1677</v>
      </c>
      <c r="C405" s="52">
        <v>69</v>
      </c>
      <c r="D405" s="61">
        <f t="shared" si="13"/>
        <v>42.359999999999992</v>
      </c>
      <c r="E405" s="62">
        <v>44097</v>
      </c>
      <c r="F405" s="63" t="s">
        <v>1700</v>
      </c>
      <c r="G405" s="63" t="s">
        <v>1684</v>
      </c>
      <c r="H405" s="64">
        <v>42.359999999999992</v>
      </c>
      <c r="I405" s="64" t="s">
        <v>488</v>
      </c>
    </row>
    <row r="406" spans="1:9" x14ac:dyDescent="0.25">
      <c r="A406" s="50" t="s">
        <v>146</v>
      </c>
      <c r="B406" s="51" t="s">
        <v>1678</v>
      </c>
      <c r="C406" s="53">
        <v>80.522999999999996</v>
      </c>
      <c r="D406" s="61">
        <f t="shared" si="13"/>
        <v>105.996</v>
      </c>
      <c r="E406" s="62">
        <v>44077</v>
      </c>
      <c r="F406" s="63" t="s">
        <v>1860</v>
      </c>
      <c r="G406" s="63" t="s">
        <v>1684</v>
      </c>
      <c r="H406" s="64">
        <v>105.996</v>
      </c>
      <c r="I406" s="64" t="s">
        <v>146</v>
      </c>
    </row>
    <row r="407" spans="1:9" x14ac:dyDescent="0.25">
      <c r="A407" s="50" t="s">
        <v>147</v>
      </c>
      <c r="B407" s="51" t="s">
        <v>1678</v>
      </c>
      <c r="C407" s="53">
        <v>2.1459999999999999</v>
      </c>
      <c r="D407" s="61">
        <f t="shared" si="13"/>
        <v>741.24599999999998</v>
      </c>
      <c r="E407" s="62">
        <v>43265</v>
      </c>
      <c r="F407" s="63" t="s">
        <v>1860</v>
      </c>
      <c r="G407" s="63" t="s">
        <v>1684</v>
      </c>
      <c r="H407" s="64">
        <v>673.8599999999999</v>
      </c>
      <c r="I407" s="64" t="s">
        <v>1861</v>
      </c>
    </row>
    <row r="408" spans="1:9" ht="26.25" x14ac:dyDescent="0.25">
      <c r="A408" s="50" t="s">
        <v>489</v>
      </c>
      <c r="B408" s="51" t="s">
        <v>1676</v>
      </c>
      <c r="C408" s="52">
        <v>1</v>
      </c>
      <c r="D408" s="61">
        <f t="shared" si="13"/>
        <v>21864.6384</v>
      </c>
      <c r="E408" s="62">
        <v>43152</v>
      </c>
      <c r="F408" s="63" t="s">
        <v>1816</v>
      </c>
      <c r="G408" s="63" t="s">
        <v>1684</v>
      </c>
      <c r="H408" s="64">
        <v>19876.944</v>
      </c>
      <c r="I408" s="64" t="s">
        <v>1862</v>
      </c>
    </row>
    <row r="409" spans="1:9" x14ac:dyDescent="0.25">
      <c r="A409" s="50" t="s">
        <v>778</v>
      </c>
      <c r="B409" s="51" t="s">
        <v>1676</v>
      </c>
      <c r="C409" s="52">
        <v>4</v>
      </c>
      <c r="D409" s="61">
        <f t="shared" si="13"/>
        <v>21.012</v>
      </c>
      <c r="E409" s="62">
        <v>44102</v>
      </c>
      <c r="F409" s="63" t="s">
        <v>1728</v>
      </c>
      <c r="G409" s="63" t="s">
        <v>1684</v>
      </c>
      <c r="H409" s="64">
        <v>21.012</v>
      </c>
      <c r="I409" s="64" t="s">
        <v>778</v>
      </c>
    </row>
    <row r="410" spans="1:9" x14ac:dyDescent="0.25">
      <c r="A410" s="50" t="s">
        <v>490</v>
      </c>
      <c r="B410" s="51" t="s">
        <v>1676</v>
      </c>
      <c r="C410" s="52">
        <v>152</v>
      </c>
      <c r="D410" s="61">
        <f t="shared" si="13"/>
        <v>28.104000000000003</v>
      </c>
      <c r="E410" s="62">
        <v>44036</v>
      </c>
      <c r="F410" s="63" t="s">
        <v>1700</v>
      </c>
      <c r="G410" s="63" t="s">
        <v>1684</v>
      </c>
      <c r="H410" s="64">
        <v>28.104000000000003</v>
      </c>
      <c r="I410" s="64" t="s">
        <v>490</v>
      </c>
    </row>
    <row r="411" spans="1:9" x14ac:dyDescent="0.25">
      <c r="A411" s="50" t="s">
        <v>491</v>
      </c>
      <c r="B411" s="51" t="s">
        <v>1676</v>
      </c>
      <c r="C411" s="52">
        <v>25</v>
      </c>
      <c r="D411" s="61">
        <f t="shared" si="13"/>
        <v>27.508800000000001</v>
      </c>
      <c r="E411" s="62">
        <v>43214</v>
      </c>
      <c r="F411" s="63" t="s">
        <v>1775</v>
      </c>
      <c r="G411" s="63" t="s">
        <v>1684</v>
      </c>
      <c r="H411" s="64">
        <v>25.007999999999999</v>
      </c>
      <c r="I411" s="64" t="s">
        <v>1863</v>
      </c>
    </row>
    <row r="412" spans="1:9" x14ac:dyDescent="0.25">
      <c r="A412" s="50" t="s">
        <v>570</v>
      </c>
      <c r="B412" s="51" t="s">
        <v>1676</v>
      </c>
      <c r="C412" s="52">
        <v>11</v>
      </c>
      <c r="D412" s="61">
        <f t="shared" si="13"/>
        <v>31.204800000000002</v>
      </c>
      <c r="E412" s="62">
        <v>43214</v>
      </c>
      <c r="F412" s="63" t="s">
        <v>1775</v>
      </c>
      <c r="G412" s="63" t="s">
        <v>1684</v>
      </c>
      <c r="H412" s="64">
        <v>28.367999999999999</v>
      </c>
      <c r="I412" s="64" t="s">
        <v>1864</v>
      </c>
    </row>
    <row r="413" spans="1:9" x14ac:dyDescent="0.25">
      <c r="A413" s="50" t="s">
        <v>492</v>
      </c>
      <c r="B413" s="51" t="s">
        <v>1676</v>
      </c>
      <c r="C413" s="52">
        <v>16</v>
      </c>
      <c r="D413" s="61">
        <f t="shared" si="13"/>
        <v>52.800000000000004</v>
      </c>
      <c r="E413" s="62">
        <v>0</v>
      </c>
      <c r="F413" s="63" t="e">
        <v>#VALUE!</v>
      </c>
      <c r="G413" s="69" t="s">
        <v>1684</v>
      </c>
      <c r="H413" s="70">
        <v>48</v>
      </c>
      <c r="I413" s="64" t="s">
        <v>1712</v>
      </c>
    </row>
    <row r="414" spans="1:9" x14ac:dyDescent="0.25">
      <c r="A414" s="50" t="s">
        <v>575</v>
      </c>
      <c r="B414" s="51" t="s">
        <v>1676</v>
      </c>
      <c r="C414" s="52">
        <v>4</v>
      </c>
      <c r="D414" s="61">
        <f t="shared" si="13"/>
        <v>71.544000000000011</v>
      </c>
      <c r="E414" s="62">
        <v>43214</v>
      </c>
      <c r="F414" s="63" t="s">
        <v>1775</v>
      </c>
      <c r="G414" s="63" t="s">
        <v>1684</v>
      </c>
      <c r="H414" s="64">
        <v>65.040000000000006</v>
      </c>
      <c r="I414" s="64" t="s">
        <v>1865</v>
      </c>
    </row>
    <row r="415" spans="1:9" x14ac:dyDescent="0.25">
      <c r="A415" s="50" t="s">
        <v>493</v>
      </c>
      <c r="B415" s="51" t="s">
        <v>1676</v>
      </c>
      <c r="C415" s="52">
        <v>1</v>
      </c>
      <c r="D415" s="61">
        <f t="shared" si="13"/>
        <v>121.11</v>
      </c>
      <c r="E415" s="62">
        <v>43214</v>
      </c>
      <c r="F415" s="63" t="s">
        <v>1775</v>
      </c>
      <c r="G415" s="63" t="s">
        <v>1684</v>
      </c>
      <c r="H415" s="64">
        <v>110.1</v>
      </c>
      <c r="I415" s="64" t="s">
        <v>1866</v>
      </c>
    </row>
    <row r="416" spans="1:9" x14ac:dyDescent="0.25">
      <c r="A416" s="50" t="s">
        <v>148</v>
      </c>
      <c r="B416" s="51" t="s">
        <v>1680</v>
      </c>
      <c r="C416" s="55">
        <v>22.88</v>
      </c>
      <c r="D416" s="61">
        <f t="shared" si="13"/>
        <v>65.004000000000005</v>
      </c>
      <c r="E416" s="62">
        <v>44054</v>
      </c>
      <c r="F416" s="63" t="s">
        <v>1867</v>
      </c>
      <c r="G416" s="63" t="s">
        <v>1684</v>
      </c>
      <c r="H416" s="64">
        <v>65.004000000000005</v>
      </c>
      <c r="I416" s="64" t="s">
        <v>148</v>
      </c>
    </row>
    <row r="417" spans="1:9" x14ac:dyDescent="0.25">
      <c r="A417" s="50" t="s">
        <v>149</v>
      </c>
      <c r="B417" s="51" t="s">
        <v>1676</v>
      </c>
      <c r="C417" s="52">
        <v>1</v>
      </c>
      <c r="D417" s="61">
        <f t="shared" si="13"/>
        <v>55.000000000000007</v>
      </c>
      <c r="E417" s="62">
        <v>0</v>
      </c>
      <c r="F417" s="63" t="e">
        <v>#VALUE!</v>
      </c>
      <c r="G417" s="69" t="s">
        <v>1684</v>
      </c>
      <c r="H417" s="70">
        <v>50</v>
      </c>
      <c r="I417" s="64" t="s">
        <v>1712</v>
      </c>
    </row>
    <row r="418" spans="1:9" x14ac:dyDescent="0.25">
      <c r="A418" s="50" t="s">
        <v>150</v>
      </c>
      <c r="B418" s="51" t="s">
        <v>1678</v>
      </c>
      <c r="C418" s="53">
        <v>1.0860000000000001</v>
      </c>
      <c r="D418" s="137">
        <f>H418 * IF(G418="руб", 1, 1.4 * (k_ru_dol*(G418="USD")+k_ru_evro*(G418="EUR")+k_ru_yuan*(G418="CNY"))/1.2) * IF(E418&lt;(дата_расчета - 365),1.1,1)   *2</f>
        <v>1357.4087999999999</v>
      </c>
      <c r="E418" s="62">
        <v>43574</v>
      </c>
      <c r="F418" s="63" t="s">
        <v>1868</v>
      </c>
      <c r="G418" s="63" t="s">
        <v>1684</v>
      </c>
      <c r="H418" s="64">
        <v>617.00399999999991</v>
      </c>
      <c r="I418" s="64" t="s">
        <v>150</v>
      </c>
    </row>
    <row r="419" spans="1:9" x14ac:dyDescent="0.25">
      <c r="A419" s="50" t="s">
        <v>151</v>
      </c>
      <c r="B419" s="51" t="s">
        <v>1678</v>
      </c>
      <c r="C419" s="53">
        <v>0.41599999999999998</v>
      </c>
      <c r="D419" s="137">
        <f>H419 * IF(G419="руб", 1, 1.4 * (k_ru_dol*(G419="USD")+k_ru_evro*(G419="EUR")+k_ru_yuan*(G419="CNY"))/1.2) * IF(E419&lt;(дата_расчета - 365),1.1,1)   *2</f>
        <v>715.96799999999996</v>
      </c>
      <c r="E419" s="62">
        <v>44041</v>
      </c>
      <c r="F419" s="63" t="s">
        <v>1781</v>
      </c>
      <c r="G419" s="63" t="s">
        <v>1684</v>
      </c>
      <c r="H419" s="64">
        <v>357.98399999999998</v>
      </c>
      <c r="I419" s="64" t="s">
        <v>151</v>
      </c>
    </row>
    <row r="420" spans="1:9" x14ac:dyDescent="0.25">
      <c r="A420" s="50" t="s">
        <v>152</v>
      </c>
      <c r="B420" s="51" t="s">
        <v>1678</v>
      </c>
      <c r="C420" s="53">
        <v>2.6720000000000002</v>
      </c>
      <c r="D420" s="137">
        <f>H420 * IF(G420="руб", 1, 1.4 * (k_ru_dol*(G420="USD")+k_ru_evro*(G420="EUR")+k_ru_yuan*(G420="CNY"))/1.2) * IF(E420&lt;(дата_расчета - 365),1.1,1)   *2</f>
        <v>1117.992</v>
      </c>
      <c r="E420" s="62">
        <v>44041</v>
      </c>
      <c r="F420" s="63" t="s">
        <v>1781</v>
      </c>
      <c r="G420" s="63" t="s">
        <v>1684</v>
      </c>
      <c r="H420" s="64">
        <v>558.99599999999998</v>
      </c>
      <c r="I420" s="64" t="s">
        <v>152</v>
      </c>
    </row>
    <row r="421" spans="1:9" x14ac:dyDescent="0.25">
      <c r="A421" s="50" t="s">
        <v>153</v>
      </c>
      <c r="B421" s="51" t="s">
        <v>1678</v>
      </c>
      <c r="C421" s="53">
        <v>0.432</v>
      </c>
      <c r="D421" s="137">
        <f>H421 * IF(G421="руб", 1, 1.4 * (k_ru_dol*(G421="USD")+k_ru_evro*(G421="EUR")+k_ru_yuan*(G421="CNY"))/1.2) * IF(E421&lt;(дата_расчета - 365),1.1,1)   *2</f>
        <v>888.80000000000007</v>
      </c>
      <c r="E421" s="62">
        <v>0</v>
      </c>
      <c r="F421" s="63" t="e">
        <v>#VALUE!</v>
      </c>
      <c r="G421" s="69" t="s">
        <v>1684</v>
      </c>
      <c r="H421" s="70">
        <v>404</v>
      </c>
      <c r="I421" s="64" t="s">
        <v>1712</v>
      </c>
    </row>
    <row r="422" spans="1:9" x14ac:dyDescent="0.25">
      <c r="A422" s="50" t="s">
        <v>154</v>
      </c>
      <c r="B422" s="51" t="s">
        <v>1678</v>
      </c>
      <c r="C422" s="53">
        <v>0.91800000000000004</v>
      </c>
      <c r="D422" s="137">
        <f>H422 * IF(G422="руб", 1, 1.4 * (k_ru_dol*(G422="USD")+k_ru_evro*(G422="EUR")+k_ru_yuan*(G422="CNY"))/1.2) * IF(E422&lt;(дата_расчета - 365),1.1,1)   *2</f>
        <v>973.20960000000002</v>
      </c>
      <c r="E422" s="62">
        <v>43223</v>
      </c>
      <c r="F422" s="63" t="s">
        <v>1795</v>
      </c>
      <c r="G422" s="63" t="s">
        <v>1684</v>
      </c>
      <c r="H422" s="64">
        <v>442.36799999999999</v>
      </c>
      <c r="I422" s="64" t="s">
        <v>1869</v>
      </c>
    </row>
    <row r="423" spans="1:9" x14ac:dyDescent="0.25">
      <c r="A423" s="50" t="s">
        <v>155</v>
      </c>
      <c r="B423" s="51" t="s">
        <v>1678</v>
      </c>
      <c r="C423" s="55">
        <v>20.86</v>
      </c>
      <c r="D423" s="61">
        <f t="shared" ref="D423:D449" si="14">H423 * IF(G423="руб", 1, 1.4 * (k_ru_dol*(G423="USD")+k_ru_evro*(G423="EUR")+k_ru_yuan*(G423="CNY"))/1.2) * IF(E423&lt;(дата_расчета - 365),1.1,1)</f>
        <v>218.28</v>
      </c>
      <c r="E423" s="62">
        <v>44053</v>
      </c>
      <c r="F423" s="63" t="s">
        <v>1768</v>
      </c>
      <c r="G423" s="63" t="s">
        <v>1684</v>
      </c>
      <c r="H423" s="64">
        <v>218.28</v>
      </c>
      <c r="I423" s="64" t="s">
        <v>155</v>
      </c>
    </row>
    <row r="424" spans="1:9" x14ac:dyDescent="0.25">
      <c r="A424" s="50" t="s">
        <v>494</v>
      </c>
      <c r="B424" s="51" t="s">
        <v>1676</v>
      </c>
      <c r="C424" s="52">
        <v>1</v>
      </c>
      <c r="D424" s="61">
        <f t="shared" si="14"/>
        <v>33000</v>
      </c>
      <c r="E424" s="62">
        <v>0</v>
      </c>
      <c r="F424" s="63" t="e">
        <v>#VALUE!</v>
      </c>
      <c r="G424" s="72" t="s">
        <v>1684</v>
      </c>
      <c r="H424" s="73">
        <v>30000</v>
      </c>
      <c r="I424" s="64" t="s">
        <v>1712</v>
      </c>
    </row>
    <row r="425" spans="1:9" x14ac:dyDescent="0.25">
      <c r="A425" s="50" t="s">
        <v>495</v>
      </c>
      <c r="B425" s="51" t="s">
        <v>1676</v>
      </c>
      <c r="C425" s="52">
        <v>1</v>
      </c>
      <c r="D425" s="61">
        <f t="shared" si="14"/>
        <v>1106.0016000000001</v>
      </c>
      <c r="E425" s="62">
        <v>43119</v>
      </c>
      <c r="F425" s="63" t="s">
        <v>1771</v>
      </c>
      <c r="G425" s="63" t="s">
        <v>1684</v>
      </c>
      <c r="H425" s="64">
        <v>1005.4559999999999</v>
      </c>
      <c r="I425" s="64" t="s">
        <v>1870</v>
      </c>
    </row>
    <row r="426" spans="1:9" x14ac:dyDescent="0.25">
      <c r="A426" s="50" t="s">
        <v>496</v>
      </c>
      <c r="B426" s="51" t="s">
        <v>1676</v>
      </c>
      <c r="C426" s="52">
        <v>2</v>
      </c>
      <c r="D426" s="61">
        <f t="shared" si="14"/>
        <v>7.3919999999999995</v>
      </c>
      <c r="E426" s="62">
        <v>44036</v>
      </c>
      <c r="F426" s="63" t="s">
        <v>1753</v>
      </c>
      <c r="G426" s="63" t="s">
        <v>1684</v>
      </c>
      <c r="H426" s="64">
        <v>7.3919999999999995</v>
      </c>
      <c r="I426" s="64" t="s">
        <v>496</v>
      </c>
    </row>
    <row r="427" spans="1:9" x14ac:dyDescent="0.25">
      <c r="A427" s="50" t="s">
        <v>156</v>
      </c>
      <c r="B427" s="51" t="s">
        <v>1678</v>
      </c>
      <c r="C427" s="55">
        <v>35.369999999999997</v>
      </c>
      <c r="D427" s="61">
        <f t="shared" si="14"/>
        <v>155.53200000000001</v>
      </c>
      <c r="E427" s="62">
        <v>44102</v>
      </c>
      <c r="F427" s="63" t="s">
        <v>1871</v>
      </c>
      <c r="G427" s="63" t="s">
        <v>1684</v>
      </c>
      <c r="H427" s="64">
        <v>155.53200000000001</v>
      </c>
      <c r="I427" s="64" t="s">
        <v>156</v>
      </c>
    </row>
    <row r="428" spans="1:9" x14ac:dyDescent="0.25">
      <c r="A428" s="50" t="s">
        <v>157</v>
      </c>
      <c r="B428" s="51" t="s">
        <v>1678</v>
      </c>
      <c r="C428" s="53">
        <v>4.7869999999999999</v>
      </c>
      <c r="D428" s="61">
        <f t="shared" si="14"/>
        <v>138.756</v>
      </c>
      <c r="E428" s="62">
        <v>44102</v>
      </c>
      <c r="F428" s="63" t="s">
        <v>1871</v>
      </c>
      <c r="G428" s="63" t="s">
        <v>1684</v>
      </c>
      <c r="H428" s="64">
        <v>138.756</v>
      </c>
      <c r="I428" s="64" t="s">
        <v>157</v>
      </c>
    </row>
    <row r="429" spans="1:9" x14ac:dyDescent="0.25">
      <c r="A429" s="50" t="s">
        <v>158</v>
      </c>
      <c r="B429" s="51" t="s">
        <v>1676</v>
      </c>
      <c r="C429" s="52">
        <v>1</v>
      </c>
      <c r="D429" s="61">
        <f t="shared" si="14"/>
        <v>4224</v>
      </c>
      <c r="E429" s="62">
        <v>44012</v>
      </c>
      <c r="F429" s="63" t="s">
        <v>1872</v>
      </c>
      <c r="G429" s="63" t="s">
        <v>1684</v>
      </c>
      <c r="H429" s="64">
        <v>3840</v>
      </c>
      <c r="I429" s="64" t="s">
        <v>158</v>
      </c>
    </row>
    <row r="430" spans="1:9" x14ac:dyDescent="0.25">
      <c r="A430" s="50" t="s">
        <v>159</v>
      </c>
      <c r="B430" s="51" t="s">
        <v>1676</v>
      </c>
      <c r="C430" s="52">
        <v>6</v>
      </c>
      <c r="D430" s="61">
        <f t="shared" si="14"/>
        <v>110.004</v>
      </c>
      <c r="E430" s="62">
        <v>44054</v>
      </c>
      <c r="F430" s="63" t="s">
        <v>1873</v>
      </c>
      <c r="G430" s="63" t="s">
        <v>1684</v>
      </c>
      <c r="H430" s="64">
        <v>110.004</v>
      </c>
      <c r="I430" s="64" t="s">
        <v>159</v>
      </c>
    </row>
    <row r="431" spans="1:9" x14ac:dyDescent="0.25">
      <c r="A431" s="50" t="s">
        <v>497</v>
      </c>
      <c r="B431" s="51" t="s">
        <v>1676</v>
      </c>
      <c r="C431" s="52">
        <v>2</v>
      </c>
      <c r="D431" s="61">
        <f t="shared" si="14"/>
        <v>1100</v>
      </c>
      <c r="E431" s="62">
        <v>0</v>
      </c>
      <c r="F431" s="63" t="e">
        <v>#VALUE!</v>
      </c>
      <c r="G431" s="69" t="s">
        <v>1684</v>
      </c>
      <c r="H431" s="70">
        <v>1000</v>
      </c>
      <c r="I431" s="64" t="s">
        <v>1712</v>
      </c>
    </row>
    <row r="432" spans="1:9" x14ac:dyDescent="0.25">
      <c r="A432" s="50" t="s">
        <v>498</v>
      </c>
      <c r="B432" s="51" t="s">
        <v>1676</v>
      </c>
      <c r="C432" s="52">
        <v>17</v>
      </c>
      <c r="D432" s="61">
        <f t="shared" si="14"/>
        <v>330</v>
      </c>
      <c r="E432" s="62">
        <v>0</v>
      </c>
      <c r="F432" s="63" t="e">
        <v>#VALUE!</v>
      </c>
      <c r="G432" s="69" t="s">
        <v>1684</v>
      </c>
      <c r="H432" s="70">
        <v>300</v>
      </c>
      <c r="I432" s="64" t="s">
        <v>1712</v>
      </c>
    </row>
    <row r="433" spans="1:9" x14ac:dyDescent="0.25">
      <c r="A433" s="50" t="s">
        <v>160</v>
      </c>
      <c r="B433" s="51" t="s">
        <v>1676</v>
      </c>
      <c r="C433" s="52">
        <v>19</v>
      </c>
      <c r="D433" s="61">
        <f t="shared" si="14"/>
        <v>140.00399999999999</v>
      </c>
      <c r="E433" s="62">
        <v>44035</v>
      </c>
      <c r="F433" s="63" t="s">
        <v>1852</v>
      </c>
      <c r="G433" s="63" t="s">
        <v>1684</v>
      </c>
      <c r="H433" s="64">
        <v>140.00399999999999</v>
      </c>
      <c r="I433" s="64" t="s">
        <v>160</v>
      </c>
    </row>
    <row r="434" spans="1:9" x14ac:dyDescent="0.25">
      <c r="A434" s="50" t="s">
        <v>499</v>
      </c>
      <c r="B434" s="51" t="s">
        <v>1676</v>
      </c>
      <c r="C434" s="52">
        <v>44</v>
      </c>
      <c r="D434" s="61">
        <f t="shared" si="14"/>
        <v>13.956000000000001</v>
      </c>
      <c r="E434" s="62">
        <v>44097</v>
      </c>
      <c r="F434" s="63" t="s">
        <v>1700</v>
      </c>
      <c r="G434" s="63" t="s">
        <v>1684</v>
      </c>
      <c r="H434" s="64">
        <v>13.956000000000001</v>
      </c>
      <c r="I434" s="64" t="s">
        <v>499</v>
      </c>
    </row>
    <row r="435" spans="1:9" x14ac:dyDescent="0.25">
      <c r="A435" s="50" t="s">
        <v>500</v>
      </c>
      <c r="B435" s="51" t="s">
        <v>1676</v>
      </c>
      <c r="C435" s="52">
        <v>3</v>
      </c>
      <c r="D435" s="61">
        <f t="shared" si="14"/>
        <v>104.48399999999999</v>
      </c>
      <c r="E435" s="62">
        <v>44097</v>
      </c>
      <c r="F435" s="63" t="s">
        <v>1700</v>
      </c>
      <c r="G435" s="63" t="s">
        <v>1684</v>
      </c>
      <c r="H435" s="64">
        <v>104.48399999999999</v>
      </c>
      <c r="I435" s="64" t="s">
        <v>500</v>
      </c>
    </row>
    <row r="436" spans="1:9" x14ac:dyDescent="0.25">
      <c r="A436" s="50" t="s">
        <v>501</v>
      </c>
      <c r="B436" s="51" t="s">
        <v>1676</v>
      </c>
      <c r="C436" s="52">
        <v>445</v>
      </c>
      <c r="D436" s="61">
        <f t="shared" si="14"/>
        <v>1.1352000000000002</v>
      </c>
      <c r="E436" s="62">
        <v>43871</v>
      </c>
      <c r="F436" s="63" t="s">
        <v>1730</v>
      </c>
      <c r="G436" s="63" t="s">
        <v>1684</v>
      </c>
      <c r="H436" s="64">
        <v>1.032</v>
      </c>
      <c r="I436" s="64" t="s">
        <v>501</v>
      </c>
    </row>
    <row r="437" spans="1:9" x14ac:dyDescent="0.25">
      <c r="A437" s="50" t="s">
        <v>502</v>
      </c>
      <c r="B437" s="51" t="s">
        <v>1676</v>
      </c>
      <c r="C437" s="52">
        <v>16</v>
      </c>
      <c r="D437" s="61">
        <f t="shared" si="14"/>
        <v>1.6500000000000001</v>
      </c>
      <c r="E437" s="62">
        <v>0</v>
      </c>
      <c r="F437" s="63" t="e">
        <v>#VALUE!</v>
      </c>
      <c r="G437" s="69" t="s">
        <v>1684</v>
      </c>
      <c r="H437" s="70">
        <v>1.5</v>
      </c>
      <c r="I437" s="64" t="s">
        <v>1712</v>
      </c>
    </row>
    <row r="438" spans="1:9" ht="26.25" x14ac:dyDescent="0.25">
      <c r="A438" s="50" t="s">
        <v>503</v>
      </c>
      <c r="B438" s="51" t="s">
        <v>1676</v>
      </c>
      <c r="C438" s="52">
        <v>1</v>
      </c>
      <c r="D438" s="61">
        <f t="shared" si="14"/>
        <v>2058.5136000000002</v>
      </c>
      <c r="E438" s="62">
        <v>43124</v>
      </c>
      <c r="F438" s="63" t="s">
        <v>1689</v>
      </c>
      <c r="G438" s="63" t="s">
        <v>1684</v>
      </c>
      <c r="H438" s="64">
        <v>1871.376</v>
      </c>
      <c r="I438" s="64" t="s">
        <v>1874</v>
      </c>
    </row>
    <row r="439" spans="1:9" ht="26.25" x14ac:dyDescent="0.25">
      <c r="A439" s="50" t="s">
        <v>504</v>
      </c>
      <c r="B439" s="51" t="s">
        <v>1676</v>
      </c>
      <c r="C439" s="52">
        <v>1</v>
      </c>
      <c r="D439" s="61">
        <f t="shared" si="14"/>
        <v>2058.5136000000002</v>
      </c>
      <c r="E439" s="62">
        <v>43124</v>
      </c>
      <c r="F439" s="63" t="s">
        <v>1689</v>
      </c>
      <c r="G439" s="63" t="s">
        <v>1684</v>
      </c>
      <c r="H439" s="64">
        <v>1871.376</v>
      </c>
      <c r="I439" s="64" t="s">
        <v>1875</v>
      </c>
    </row>
    <row r="440" spans="1:9" x14ac:dyDescent="0.25">
      <c r="A440" s="50" t="s">
        <v>505</v>
      </c>
      <c r="B440" s="51" t="s">
        <v>1676</v>
      </c>
      <c r="C440" s="52">
        <v>8</v>
      </c>
      <c r="D440" s="61">
        <f t="shared" si="14"/>
        <v>523.2084000000001</v>
      </c>
      <c r="E440" s="62">
        <v>43979</v>
      </c>
      <c r="F440" s="63" t="s">
        <v>1700</v>
      </c>
      <c r="G440" s="63" t="s">
        <v>1684</v>
      </c>
      <c r="H440" s="64">
        <v>475.64400000000001</v>
      </c>
      <c r="I440" s="64" t="s">
        <v>505</v>
      </c>
    </row>
    <row r="441" spans="1:9" x14ac:dyDescent="0.25">
      <c r="A441" s="50" t="s">
        <v>506</v>
      </c>
      <c r="B441" s="51" t="s">
        <v>1676</v>
      </c>
      <c r="C441" s="52">
        <v>28</v>
      </c>
      <c r="D441" s="61">
        <f t="shared" si="14"/>
        <v>485.25599999999997</v>
      </c>
      <c r="E441" s="62">
        <v>44029</v>
      </c>
      <c r="F441" s="63" t="s">
        <v>1700</v>
      </c>
      <c r="G441" s="63" t="s">
        <v>1684</v>
      </c>
      <c r="H441" s="64">
        <v>485.25599999999997</v>
      </c>
      <c r="I441" s="64" t="s">
        <v>506</v>
      </c>
    </row>
    <row r="442" spans="1:9" x14ac:dyDescent="0.25">
      <c r="A442" s="50" t="s">
        <v>507</v>
      </c>
      <c r="B442" s="51" t="s">
        <v>1676</v>
      </c>
      <c r="C442" s="52">
        <v>16</v>
      </c>
      <c r="D442" s="61">
        <f t="shared" si="14"/>
        <v>485.25599999999997</v>
      </c>
      <c r="E442" s="62">
        <v>44029</v>
      </c>
      <c r="F442" s="63" t="s">
        <v>1700</v>
      </c>
      <c r="G442" s="63" t="s">
        <v>1684</v>
      </c>
      <c r="H442" s="64">
        <v>485.25599999999997</v>
      </c>
      <c r="I442" s="64" t="s">
        <v>507</v>
      </c>
    </row>
    <row r="443" spans="1:9" x14ac:dyDescent="0.25">
      <c r="A443" s="50" t="s">
        <v>508</v>
      </c>
      <c r="B443" s="51" t="s">
        <v>1676</v>
      </c>
      <c r="C443" s="52">
        <v>1</v>
      </c>
      <c r="D443" s="61">
        <f t="shared" si="14"/>
        <v>34588.923600000002</v>
      </c>
      <c r="E443" s="62">
        <v>43130</v>
      </c>
      <c r="F443" s="63" t="s">
        <v>1876</v>
      </c>
      <c r="G443" s="63" t="s">
        <v>1684</v>
      </c>
      <c r="H443" s="64">
        <v>31444.475999999999</v>
      </c>
      <c r="I443" s="64" t="s">
        <v>1877</v>
      </c>
    </row>
    <row r="444" spans="1:9" x14ac:dyDescent="0.25">
      <c r="A444" s="50" t="s">
        <v>509</v>
      </c>
      <c r="B444" s="51" t="s">
        <v>1676</v>
      </c>
      <c r="C444" s="52">
        <v>2</v>
      </c>
      <c r="D444" s="61">
        <f t="shared" si="14"/>
        <v>728.64</v>
      </c>
      <c r="E444" s="62">
        <v>0</v>
      </c>
      <c r="F444" s="63" t="e">
        <v>#VALUE!</v>
      </c>
      <c r="G444" s="69" t="s">
        <v>1684</v>
      </c>
      <c r="H444" s="70">
        <v>662.4</v>
      </c>
      <c r="I444" s="64" t="s">
        <v>1712</v>
      </c>
    </row>
    <row r="445" spans="1:9" x14ac:dyDescent="0.25">
      <c r="A445" s="50" t="s">
        <v>510</v>
      </c>
      <c r="B445" s="51" t="s">
        <v>1676</v>
      </c>
      <c r="C445" s="52">
        <v>2</v>
      </c>
      <c r="D445" s="61">
        <f t="shared" si="14"/>
        <v>308.39160000000004</v>
      </c>
      <c r="E445" s="62">
        <v>43643</v>
      </c>
      <c r="F445" s="63" t="s">
        <v>1695</v>
      </c>
      <c r="G445" s="63" t="s">
        <v>1684</v>
      </c>
      <c r="H445" s="64">
        <v>280.35599999999999</v>
      </c>
      <c r="I445" s="64" t="s">
        <v>1878</v>
      </c>
    </row>
    <row r="446" spans="1:9" x14ac:dyDescent="0.25">
      <c r="A446" s="50" t="s">
        <v>161</v>
      </c>
      <c r="B446" s="51" t="s">
        <v>1678</v>
      </c>
      <c r="C446" s="57">
        <v>0.8</v>
      </c>
      <c r="D446" s="61">
        <f t="shared" si="14"/>
        <v>4121.9639999999999</v>
      </c>
      <c r="E446" s="62">
        <v>43244</v>
      </c>
      <c r="F446" s="63" t="s">
        <v>1879</v>
      </c>
      <c r="G446" s="63" t="s">
        <v>1684</v>
      </c>
      <c r="H446" s="64">
        <v>3747.24</v>
      </c>
      <c r="I446" s="64" t="s">
        <v>161</v>
      </c>
    </row>
    <row r="447" spans="1:9" x14ac:dyDescent="0.25">
      <c r="A447" s="50" t="s">
        <v>162</v>
      </c>
      <c r="B447" s="51" t="s">
        <v>1678</v>
      </c>
      <c r="C447" s="55">
        <v>0.04</v>
      </c>
      <c r="D447" s="61">
        <f t="shared" si="14"/>
        <v>165</v>
      </c>
      <c r="E447" s="62">
        <v>43948</v>
      </c>
      <c r="F447" s="63" t="s">
        <v>1880</v>
      </c>
      <c r="G447" s="63" t="s">
        <v>1684</v>
      </c>
      <c r="H447" s="64">
        <v>150</v>
      </c>
      <c r="I447" s="64" t="s">
        <v>162</v>
      </c>
    </row>
    <row r="448" spans="1:9" x14ac:dyDescent="0.25">
      <c r="A448" s="50" t="s">
        <v>163</v>
      </c>
      <c r="B448" s="51" t="s">
        <v>1676</v>
      </c>
      <c r="C448" s="52">
        <v>11</v>
      </c>
      <c r="D448" s="61">
        <f t="shared" si="14"/>
        <v>421.47600000000006</v>
      </c>
      <c r="E448" s="62">
        <v>43464</v>
      </c>
      <c r="F448" s="63" t="s">
        <v>1881</v>
      </c>
      <c r="G448" s="63" t="s">
        <v>1684</v>
      </c>
      <c r="H448" s="64">
        <v>383.16</v>
      </c>
      <c r="I448" s="64" t="s">
        <v>163</v>
      </c>
    </row>
    <row r="449" spans="1:9" x14ac:dyDescent="0.25">
      <c r="A449" s="50" t="s">
        <v>164</v>
      </c>
      <c r="B449" s="51" t="s">
        <v>1677</v>
      </c>
      <c r="C449" s="53">
        <v>6.9640000000000004</v>
      </c>
      <c r="D449" s="61">
        <f t="shared" si="14"/>
        <v>3143.3952000000004</v>
      </c>
      <c r="E449" s="62">
        <v>43339</v>
      </c>
      <c r="F449" s="63" t="s">
        <v>1882</v>
      </c>
      <c r="G449" s="63" t="s">
        <v>1684</v>
      </c>
      <c r="H449" s="64">
        <v>2857.6320000000001</v>
      </c>
      <c r="I449" s="64" t="s">
        <v>164</v>
      </c>
    </row>
    <row r="450" spans="1:9" x14ac:dyDescent="0.25">
      <c r="A450" s="50" t="s">
        <v>165</v>
      </c>
      <c r="B450" s="51" t="s">
        <v>1680</v>
      </c>
      <c r="C450" s="53">
        <v>5.6000000000000001E-2</v>
      </c>
      <c r="D450" s="137">
        <f>H450 * IF(G450="руб", 1, 1.4 * (k_ru_dol*(G450="USD")+k_ru_evro*(G450="EUR")+k_ru_yuan*(G450="CNY"))/1.2) * IF(E450&lt;(дата_расчета - 365),1.1,1)   *2</f>
        <v>770.00000000000011</v>
      </c>
      <c r="E450" s="62">
        <v>0</v>
      </c>
      <c r="F450" s="63" t="e">
        <v>#VALUE!</v>
      </c>
      <c r="G450" s="69" t="s">
        <v>1684</v>
      </c>
      <c r="H450" s="70">
        <v>350</v>
      </c>
      <c r="I450" s="64" t="s">
        <v>1712</v>
      </c>
    </row>
    <row r="451" spans="1:9" x14ac:dyDescent="0.25">
      <c r="A451" s="50" t="s">
        <v>166</v>
      </c>
      <c r="B451" s="51" t="s">
        <v>1680</v>
      </c>
      <c r="C451" s="53">
        <v>1.6379999999999999</v>
      </c>
      <c r="D451" s="137">
        <f>H451 * IF(G451="руб", 1, 1.4 * (k_ru_dol*(G451="USD")+k_ru_evro*(G451="EUR")+k_ru_yuan*(G451="CNY"))/1.2) * IF(E451&lt;(дата_расчета - 365),1.1,1)   *2</f>
        <v>1474.7304000000001</v>
      </c>
      <c r="E451" s="62">
        <v>43887</v>
      </c>
      <c r="F451" s="63" t="s">
        <v>1883</v>
      </c>
      <c r="G451" s="63" t="s">
        <v>1684</v>
      </c>
      <c r="H451" s="64">
        <v>670.33199999999999</v>
      </c>
      <c r="I451" s="64" t="s">
        <v>166</v>
      </c>
    </row>
    <row r="452" spans="1:9" x14ac:dyDescent="0.25">
      <c r="A452" s="50" t="s">
        <v>167</v>
      </c>
      <c r="B452" s="51" t="s">
        <v>1680</v>
      </c>
      <c r="C452" s="53">
        <v>0.13600000000000001</v>
      </c>
      <c r="D452" s="137">
        <f>H452 * IF(G452="руб", 1, 1.4 * (k_ru_dol*(G452="USD")+k_ru_evro*(G452="EUR")+k_ru_yuan*(G452="CNY"))/1.2) * IF(E452&lt;(дата_расчета - 365),1.1,1)   *2</f>
        <v>665.78399999999999</v>
      </c>
      <c r="E452" s="62">
        <v>44054</v>
      </c>
      <c r="F452" s="63" t="s">
        <v>1883</v>
      </c>
      <c r="G452" s="63" t="s">
        <v>1684</v>
      </c>
      <c r="H452" s="64">
        <v>332.892</v>
      </c>
      <c r="I452" s="64" t="s">
        <v>167</v>
      </c>
    </row>
    <row r="453" spans="1:9" x14ac:dyDescent="0.25">
      <c r="A453" s="50" t="s">
        <v>168</v>
      </c>
      <c r="B453" s="51" t="s">
        <v>1678</v>
      </c>
      <c r="C453" s="55">
        <v>4.05</v>
      </c>
      <c r="D453" s="61">
        <f t="shared" ref="D453:D483" si="15">H453 * IF(G453="руб", 1, 1.4 * (k_ru_dol*(G453="USD")+k_ru_evro*(G453="EUR")+k_ru_yuan*(G453="CNY"))/1.2) * IF(E453&lt;(дата_расчета - 365),1.1,1)</f>
        <v>1474.0044000000003</v>
      </c>
      <c r="E453" s="62">
        <v>44008</v>
      </c>
      <c r="F453" s="63" t="s">
        <v>1832</v>
      </c>
      <c r="G453" s="63" t="s">
        <v>1684</v>
      </c>
      <c r="H453" s="64">
        <v>1340.0040000000001</v>
      </c>
      <c r="I453" s="64" t="s">
        <v>168</v>
      </c>
    </row>
    <row r="454" spans="1:9" x14ac:dyDescent="0.25">
      <c r="A454" s="50" t="s">
        <v>169</v>
      </c>
      <c r="B454" s="51" t="s">
        <v>1676</v>
      </c>
      <c r="C454" s="52">
        <v>16</v>
      </c>
      <c r="D454" s="61">
        <f t="shared" si="15"/>
        <v>1.32</v>
      </c>
      <c r="E454" s="62">
        <v>43419</v>
      </c>
      <c r="F454" s="63" t="s">
        <v>1884</v>
      </c>
      <c r="G454" s="63" t="s">
        <v>1684</v>
      </c>
      <c r="H454" s="64">
        <v>1.2</v>
      </c>
      <c r="I454" s="64" t="s">
        <v>169</v>
      </c>
    </row>
    <row r="455" spans="1:9" x14ac:dyDescent="0.25">
      <c r="A455" s="50" t="s">
        <v>511</v>
      </c>
      <c r="B455" s="51" t="s">
        <v>1676</v>
      </c>
      <c r="C455" s="56">
        <v>1200</v>
      </c>
      <c r="D455" s="61">
        <f t="shared" si="15"/>
        <v>1.183908</v>
      </c>
      <c r="E455" s="62">
        <v>43531</v>
      </c>
      <c r="F455" s="63" t="s">
        <v>1885</v>
      </c>
      <c r="G455" s="63" t="s">
        <v>1684</v>
      </c>
      <c r="H455" s="64">
        <v>1.0762799999999999</v>
      </c>
      <c r="I455" s="64" t="s">
        <v>1886</v>
      </c>
    </row>
    <row r="456" spans="1:9" x14ac:dyDescent="0.25">
      <c r="A456" s="50" t="s">
        <v>1583</v>
      </c>
      <c r="B456" s="51" t="s">
        <v>1676</v>
      </c>
      <c r="C456" s="52">
        <v>1</v>
      </c>
      <c r="D456" s="61">
        <f t="shared" si="15"/>
        <v>220.00000000000003</v>
      </c>
      <c r="E456" s="62">
        <v>0</v>
      </c>
      <c r="F456" s="63" t="e">
        <v>#VALUE!</v>
      </c>
      <c r="G456" s="69" t="s">
        <v>1684</v>
      </c>
      <c r="H456" s="70">
        <v>200</v>
      </c>
      <c r="I456" s="64" t="s">
        <v>1712</v>
      </c>
    </row>
    <row r="457" spans="1:9" x14ac:dyDescent="0.25">
      <c r="A457" s="50" t="s">
        <v>512</v>
      </c>
      <c r="B457" s="51" t="s">
        <v>1676</v>
      </c>
      <c r="C457" s="52">
        <v>1</v>
      </c>
      <c r="D457" s="61">
        <f t="shared" si="15"/>
        <v>212.78399999999999</v>
      </c>
      <c r="E457" s="62">
        <v>43965</v>
      </c>
      <c r="F457" s="63" t="s">
        <v>1887</v>
      </c>
      <c r="G457" s="63" t="s">
        <v>1684</v>
      </c>
      <c r="H457" s="64">
        <v>193.43999999999997</v>
      </c>
      <c r="I457" s="64" t="s">
        <v>512</v>
      </c>
    </row>
    <row r="458" spans="1:9" x14ac:dyDescent="0.25">
      <c r="A458" s="50" t="s">
        <v>513</v>
      </c>
      <c r="B458" s="51" t="s">
        <v>1676</v>
      </c>
      <c r="C458" s="52">
        <v>8</v>
      </c>
      <c r="D458" s="61">
        <f t="shared" si="15"/>
        <v>76.401600000000016</v>
      </c>
      <c r="E458" s="62">
        <v>43965</v>
      </c>
      <c r="F458" s="63" t="s">
        <v>1887</v>
      </c>
      <c r="G458" s="63" t="s">
        <v>1684</v>
      </c>
      <c r="H458" s="64">
        <v>69.456000000000003</v>
      </c>
      <c r="I458" s="64" t="s">
        <v>513</v>
      </c>
    </row>
    <row r="459" spans="1:9" x14ac:dyDescent="0.25">
      <c r="A459" s="50" t="s">
        <v>342</v>
      </c>
      <c r="B459" s="51" t="s">
        <v>1676</v>
      </c>
      <c r="C459" s="52">
        <v>1</v>
      </c>
      <c r="D459" s="61">
        <f t="shared" si="15"/>
        <v>144.31560000000002</v>
      </c>
      <c r="E459" s="62">
        <v>43216</v>
      </c>
      <c r="F459" s="63" t="s">
        <v>1888</v>
      </c>
      <c r="G459" s="63" t="s">
        <v>1684</v>
      </c>
      <c r="H459" s="64">
        <v>131.196</v>
      </c>
      <c r="I459" s="64" t="s">
        <v>342</v>
      </c>
    </row>
    <row r="460" spans="1:9" x14ac:dyDescent="0.25">
      <c r="A460" s="50" t="s">
        <v>514</v>
      </c>
      <c r="B460" s="51" t="s">
        <v>1676</v>
      </c>
      <c r="C460" s="52">
        <v>1</v>
      </c>
      <c r="D460" s="61">
        <f t="shared" si="15"/>
        <v>8084.9999999999991</v>
      </c>
      <c r="E460" s="62">
        <v>44095</v>
      </c>
      <c r="F460" s="63" t="s">
        <v>1808</v>
      </c>
      <c r="G460" s="63" t="s">
        <v>1699</v>
      </c>
      <c r="H460" s="64">
        <v>92.399999999999991</v>
      </c>
      <c r="I460" s="64" t="s">
        <v>514</v>
      </c>
    </row>
    <row r="461" spans="1:9" x14ac:dyDescent="0.25">
      <c r="A461" s="50" t="s">
        <v>515</v>
      </c>
      <c r="B461" s="51" t="s">
        <v>1676</v>
      </c>
      <c r="C461" s="52">
        <v>1</v>
      </c>
      <c r="D461" s="61">
        <f t="shared" si="15"/>
        <v>3828.0000000000005</v>
      </c>
      <c r="E461" s="62">
        <v>43192</v>
      </c>
      <c r="F461" s="63" t="s">
        <v>1709</v>
      </c>
      <c r="G461" s="63" t="s">
        <v>1684</v>
      </c>
      <c r="H461" s="64">
        <v>3480</v>
      </c>
      <c r="I461" s="64" t="s">
        <v>1889</v>
      </c>
    </row>
    <row r="462" spans="1:9" x14ac:dyDescent="0.25">
      <c r="A462" s="50" t="s">
        <v>516</v>
      </c>
      <c r="B462" s="51" t="s">
        <v>1676</v>
      </c>
      <c r="C462" s="52">
        <v>8</v>
      </c>
      <c r="D462" s="61">
        <f t="shared" si="15"/>
        <v>47985</v>
      </c>
      <c r="E462" s="62">
        <v>44102</v>
      </c>
      <c r="F462" s="63" t="s">
        <v>1808</v>
      </c>
      <c r="G462" s="63" t="s">
        <v>1699</v>
      </c>
      <c r="H462" s="64">
        <v>548.4</v>
      </c>
      <c r="I462" s="64" t="s">
        <v>516</v>
      </c>
    </row>
    <row r="463" spans="1:9" x14ac:dyDescent="0.25">
      <c r="A463" s="50" t="s">
        <v>517</v>
      </c>
      <c r="B463" s="51" t="s">
        <v>1676</v>
      </c>
      <c r="C463" s="52">
        <v>8</v>
      </c>
      <c r="D463" s="61">
        <f t="shared" si="15"/>
        <v>2804.0760000000005</v>
      </c>
      <c r="E463" s="62">
        <v>43963</v>
      </c>
      <c r="F463" s="63" t="s">
        <v>1773</v>
      </c>
      <c r="G463" s="63" t="s">
        <v>1684</v>
      </c>
      <c r="H463" s="64">
        <v>2549.1600000000003</v>
      </c>
      <c r="I463" s="64" t="s">
        <v>517</v>
      </c>
    </row>
    <row r="464" spans="1:9" x14ac:dyDescent="0.25">
      <c r="A464" s="50" t="s">
        <v>518</v>
      </c>
      <c r="B464" s="51" t="s">
        <v>1677</v>
      </c>
      <c r="C464" s="57">
        <v>2.4</v>
      </c>
      <c r="D464" s="61">
        <f t="shared" si="15"/>
        <v>10.1904</v>
      </c>
      <c r="E464" s="62">
        <v>0</v>
      </c>
      <c r="F464" s="63" t="e">
        <v>#VALUE!</v>
      </c>
      <c r="G464" s="69" t="s">
        <v>1684</v>
      </c>
      <c r="H464" s="70">
        <v>9.2639999999999993</v>
      </c>
      <c r="I464" s="64" t="s">
        <v>1712</v>
      </c>
    </row>
    <row r="465" spans="1:9" x14ac:dyDescent="0.25">
      <c r="A465" s="50" t="s">
        <v>519</v>
      </c>
      <c r="B465" s="51" t="s">
        <v>1677</v>
      </c>
      <c r="C465" s="52">
        <v>2</v>
      </c>
      <c r="D465" s="61">
        <f t="shared" si="15"/>
        <v>9.0156000000000009</v>
      </c>
      <c r="E465" s="62">
        <v>43909</v>
      </c>
      <c r="F465" s="63" t="s">
        <v>1700</v>
      </c>
      <c r="G465" s="63" t="s">
        <v>1684</v>
      </c>
      <c r="H465" s="64">
        <v>8.1959999999999997</v>
      </c>
      <c r="I465" s="64" t="s">
        <v>519</v>
      </c>
    </row>
    <row r="466" spans="1:9" x14ac:dyDescent="0.25">
      <c r="A466" s="50" t="s">
        <v>520</v>
      </c>
      <c r="B466" s="51" t="s">
        <v>1677</v>
      </c>
      <c r="C466" s="52">
        <v>2</v>
      </c>
      <c r="D466" s="61">
        <f t="shared" si="15"/>
        <v>10.1904</v>
      </c>
      <c r="E466" s="62">
        <v>43889</v>
      </c>
      <c r="F466" s="63" t="s">
        <v>1700</v>
      </c>
      <c r="G466" s="63" t="s">
        <v>1684</v>
      </c>
      <c r="H466" s="64">
        <v>9.2639999999999993</v>
      </c>
      <c r="I466" s="64" t="s">
        <v>1890</v>
      </c>
    </row>
    <row r="467" spans="1:9" x14ac:dyDescent="0.25">
      <c r="A467" s="50" t="s">
        <v>521</v>
      </c>
      <c r="B467" s="51" t="s">
        <v>1677</v>
      </c>
      <c r="C467" s="52">
        <v>2</v>
      </c>
      <c r="D467" s="61">
        <f t="shared" si="15"/>
        <v>10.1904</v>
      </c>
      <c r="E467" s="62">
        <v>43889</v>
      </c>
      <c r="F467" s="63" t="s">
        <v>1700</v>
      </c>
      <c r="G467" s="63" t="s">
        <v>1684</v>
      </c>
      <c r="H467" s="64">
        <v>9.2639999999999993</v>
      </c>
      <c r="I467" s="64" t="s">
        <v>1891</v>
      </c>
    </row>
    <row r="468" spans="1:9" x14ac:dyDescent="0.25">
      <c r="A468" s="50" t="s">
        <v>311</v>
      </c>
      <c r="B468" s="51" t="s">
        <v>1676</v>
      </c>
      <c r="C468" s="52">
        <v>8</v>
      </c>
      <c r="D468" s="61">
        <f t="shared" si="15"/>
        <v>1085.5919999999999</v>
      </c>
      <c r="E468" s="62">
        <v>44096</v>
      </c>
      <c r="F468" s="63" t="s">
        <v>1773</v>
      </c>
      <c r="G468" s="63" t="s">
        <v>1684</v>
      </c>
      <c r="H468" s="64">
        <v>1085.5919999999999</v>
      </c>
      <c r="I468" s="64" t="s">
        <v>311</v>
      </c>
    </row>
    <row r="469" spans="1:9" x14ac:dyDescent="0.25">
      <c r="A469" s="50" t="s">
        <v>522</v>
      </c>
      <c r="B469" s="51" t="s">
        <v>1676</v>
      </c>
      <c r="C469" s="52">
        <v>1</v>
      </c>
      <c r="D469" s="61">
        <f t="shared" si="15"/>
        <v>22.334400000000006</v>
      </c>
      <c r="E469" s="62">
        <v>43887</v>
      </c>
      <c r="F469" s="63" t="s">
        <v>1700</v>
      </c>
      <c r="G469" s="63" t="s">
        <v>1684</v>
      </c>
      <c r="H469" s="64">
        <v>20.304000000000002</v>
      </c>
      <c r="I469" s="64" t="s">
        <v>1892</v>
      </c>
    </row>
    <row r="470" spans="1:9" x14ac:dyDescent="0.25">
      <c r="A470" s="50" t="s">
        <v>523</v>
      </c>
      <c r="B470" s="51" t="s">
        <v>1676</v>
      </c>
      <c r="C470" s="52">
        <v>60</v>
      </c>
      <c r="D470" s="61">
        <f t="shared" si="15"/>
        <v>30.804000000000002</v>
      </c>
      <c r="E470" s="62">
        <v>44081</v>
      </c>
      <c r="F470" s="63" t="s">
        <v>1700</v>
      </c>
      <c r="G470" s="63" t="s">
        <v>1684</v>
      </c>
      <c r="H470" s="64">
        <v>30.804000000000002</v>
      </c>
      <c r="I470" s="64" t="s">
        <v>523</v>
      </c>
    </row>
    <row r="471" spans="1:9" x14ac:dyDescent="0.25">
      <c r="A471" s="50" t="s">
        <v>524</v>
      </c>
      <c r="B471" s="51" t="s">
        <v>1676</v>
      </c>
      <c r="C471" s="52">
        <v>2</v>
      </c>
      <c r="D471" s="61">
        <f t="shared" si="15"/>
        <v>16.896000000000001</v>
      </c>
      <c r="E471" s="62">
        <v>44041</v>
      </c>
      <c r="F471" s="63" t="s">
        <v>1700</v>
      </c>
      <c r="G471" s="63" t="s">
        <v>1684</v>
      </c>
      <c r="H471" s="64">
        <v>16.896000000000001</v>
      </c>
      <c r="I471" s="64" t="s">
        <v>524</v>
      </c>
    </row>
    <row r="472" spans="1:9" x14ac:dyDescent="0.25">
      <c r="A472" s="50" t="s">
        <v>525</v>
      </c>
      <c r="B472" s="51" t="s">
        <v>1676</v>
      </c>
      <c r="C472" s="52">
        <v>126</v>
      </c>
      <c r="D472" s="61">
        <f t="shared" si="15"/>
        <v>44.304000000000002</v>
      </c>
      <c r="E472" s="62">
        <v>44081</v>
      </c>
      <c r="F472" s="63" t="s">
        <v>1700</v>
      </c>
      <c r="G472" s="63" t="s">
        <v>1684</v>
      </c>
      <c r="H472" s="64">
        <v>44.304000000000002</v>
      </c>
      <c r="I472" s="64" t="s">
        <v>525</v>
      </c>
    </row>
    <row r="473" spans="1:9" x14ac:dyDescent="0.25">
      <c r="A473" s="50" t="s">
        <v>526</v>
      </c>
      <c r="B473" s="51" t="s">
        <v>1676</v>
      </c>
      <c r="C473" s="52">
        <v>1</v>
      </c>
      <c r="D473" s="61">
        <f t="shared" si="15"/>
        <v>1299</v>
      </c>
      <c r="E473" s="62">
        <v>44063</v>
      </c>
      <c r="F473" s="63" t="s">
        <v>1842</v>
      </c>
      <c r="G473" s="63" t="s">
        <v>1684</v>
      </c>
      <c r="H473" s="64">
        <v>1299</v>
      </c>
      <c r="I473" s="64" t="s">
        <v>1893</v>
      </c>
    </row>
    <row r="474" spans="1:9" x14ac:dyDescent="0.25">
      <c r="A474" s="50" t="s">
        <v>527</v>
      </c>
      <c r="B474" s="51" t="s">
        <v>1676</v>
      </c>
      <c r="C474" s="52">
        <v>1</v>
      </c>
      <c r="D474" s="61">
        <f t="shared" si="15"/>
        <v>2083.5804000000003</v>
      </c>
      <c r="E474" s="62">
        <v>43124</v>
      </c>
      <c r="F474" s="63" t="s">
        <v>1689</v>
      </c>
      <c r="G474" s="63" t="s">
        <v>1684</v>
      </c>
      <c r="H474" s="64">
        <v>1894.164</v>
      </c>
      <c r="I474" s="64" t="s">
        <v>1894</v>
      </c>
    </row>
    <row r="475" spans="1:9" x14ac:dyDescent="0.25">
      <c r="A475" s="50" t="s">
        <v>528</v>
      </c>
      <c r="B475" s="51" t="s">
        <v>1676</v>
      </c>
      <c r="C475" s="52">
        <v>2</v>
      </c>
      <c r="D475" s="61">
        <f t="shared" si="15"/>
        <v>3678.8040000000001</v>
      </c>
      <c r="E475" s="62">
        <v>44036</v>
      </c>
      <c r="F475" s="63" t="s">
        <v>1700</v>
      </c>
      <c r="G475" s="63" t="s">
        <v>1684</v>
      </c>
      <c r="H475" s="64">
        <v>3678.8040000000001</v>
      </c>
      <c r="I475" s="64" t="s">
        <v>528</v>
      </c>
    </row>
    <row r="476" spans="1:9" x14ac:dyDescent="0.25">
      <c r="A476" s="50" t="s">
        <v>529</v>
      </c>
      <c r="B476" s="51" t="s">
        <v>1676</v>
      </c>
      <c r="C476" s="52">
        <v>1</v>
      </c>
      <c r="D476" s="61">
        <f t="shared" si="15"/>
        <v>5674.9835999999996</v>
      </c>
      <c r="E476" s="62">
        <v>43124</v>
      </c>
      <c r="F476" s="63" t="s">
        <v>1689</v>
      </c>
      <c r="G476" s="63" t="s">
        <v>1684</v>
      </c>
      <c r="H476" s="64">
        <v>5159.0759999999991</v>
      </c>
      <c r="I476" s="64" t="s">
        <v>1895</v>
      </c>
    </row>
    <row r="477" spans="1:9" x14ac:dyDescent="0.25">
      <c r="A477" s="50" t="s">
        <v>579</v>
      </c>
      <c r="B477" s="51" t="s">
        <v>1676</v>
      </c>
      <c r="C477" s="52">
        <v>5</v>
      </c>
      <c r="D477" s="61">
        <f t="shared" si="15"/>
        <v>7739.927999999999</v>
      </c>
      <c r="E477" s="62">
        <v>44029</v>
      </c>
      <c r="F477" s="63" t="s">
        <v>1700</v>
      </c>
      <c r="G477" s="63" t="s">
        <v>1684</v>
      </c>
      <c r="H477" s="64">
        <v>7739.927999999999</v>
      </c>
      <c r="I477" s="64" t="s">
        <v>579</v>
      </c>
    </row>
    <row r="478" spans="1:9" x14ac:dyDescent="0.25">
      <c r="A478" s="50" t="s">
        <v>530</v>
      </c>
      <c r="B478" s="51" t="s">
        <v>1676</v>
      </c>
      <c r="C478" s="52">
        <v>4</v>
      </c>
      <c r="D478" s="61">
        <f t="shared" si="15"/>
        <v>1656.8772000000001</v>
      </c>
      <c r="E478" s="62">
        <v>43979</v>
      </c>
      <c r="F478" s="63" t="s">
        <v>1700</v>
      </c>
      <c r="G478" s="63" t="s">
        <v>1684</v>
      </c>
      <c r="H478" s="64">
        <v>1506.252</v>
      </c>
      <c r="I478" s="64" t="s">
        <v>530</v>
      </c>
    </row>
    <row r="479" spans="1:9" x14ac:dyDescent="0.25">
      <c r="A479" s="50" t="s">
        <v>170</v>
      </c>
      <c r="B479" s="51" t="s">
        <v>1676</v>
      </c>
      <c r="C479" s="52">
        <v>24</v>
      </c>
      <c r="D479" s="61">
        <f t="shared" si="15"/>
        <v>38.319600000000001</v>
      </c>
      <c r="E479" s="62">
        <v>43463</v>
      </c>
      <c r="F479" s="63" t="s">
        <v>1856</v>
      </c>
      <c r="G479" s="63" t="s">
        <v>1684</v>
      </c>
      <c r="H479" s="64">
        <v>34.835999999999999</v>
      </c>
      <c r="I479" s="64" t="s">
        <v>170</v>
      </c>
    </row>
    <row r="480" spans="1:9" x14ac:dyDescent="0.25">
      <c r="A480" s="50" t="s">
        <v>171</v>
      </c>
      <c r="B480" s="51" t="s">
        <v>1676</v>
      </c>
      <c r="C480" s="52">
        <v>8</v>
      </c>
      <c r="D480" s="61">
        <f t="shared" si="15"/>
        <v>258.68399999999997</v>
      </c>
      <c r="E480" s="62">
        <v>44032</v>
      </c>
      <c r="F480" s="63" t="s">
        <v>1763</v>
      </c>
      <c r="G480" s="63" t="s">
        <v>1684</v>
      </c>
      <c r="H480" s="64">
        <v>258.68399999999997</v>
      </c>
      <c r="I480" s="64" t="s">
        <v>171</v>
      </c>
    </row>
    <row r="481" spans="1:9" x14ac:dyDescent="0.25">
      <c r="A481" s="50" t="s">
        <v>172</v>
      </c>
      <c r="B481" s="51" t="s">
        <v>1676</v>
      </c>
      <c r="C481" s="52">
        <v>24</v>
      </c>
      <c r="D481" s="61">
        <f t="shared" si="15"/>
        <v>146.8236</v>
      </c>
      <c r="E481" s="62">
        <v>43463</v>
      </c>
      <c r="F481" s="63" t="s">
        <v>1856</v>
      </c>
      <c r="G481" s="63" t="s">
        <v>1684</v>
      </c>
      <c r="H481" s="64">
        <v>133.476</v>
      </c>
      <c r="I481" s="64" t="s">
        <v>172</v>
      </c>
    </row>
    <row r="482" spans="1:9" x14ac:dyDescent="0.25">
      <c r="A482" s="50" t="s">
        <v>562</v>
      </c>
      <c r="B482" s="51" t="s">
        <v>1676</v>
      </c>
      <c r="C482" s="52">
        <v>1</v>
      </c>
      <c r="D482" s="61">
        <f t="shared" si="15"/>
        <v>234.9204</v>
      </c>
      <c r="E482" s="62">
        <v>43399</v>
      </c>
      <c r="F482" s="63" t="s">
        <v>1896</v>
      </c>
      <c r="G482" s="63" t="s">
        <v>1684</v>
      </c>
      <c r="H482" s="64">
        <v>213.56399999999999</v>
      </c>
      <c r="I482" s="64" t="s">
        <v>562</v>
      </c>
    </row>
    <row r="483" spans="1:9" x14ac:dyDescent="0.25">
      <c r="A483" s="50" t="s">
        <v>563</v>
      </c>
      <c r="B483" s="51" t="s">
        <v>1676</v>
      </c>
      <c r="C483" s="52">
        <v>8</v>
      </c>
      <c r="D483" s="61">
        <f t="shared" si="15"/>
        <v>382.23599999999993</v>
      </c>
      <c r="E483" s="62">
        <v>44035</v>
      </c>
      <c r="F483" s="63" t="s">
        <v>1856</v>
      </c>
      <c r="G483" s="63" t="s">
        <v>1684</v>
      </c>
      <c r="H483" s="64">
        <v>382.23599999999993</v>
      </c>
      <c r="I483" s="64" t="s">
        <v>563</v>
      </c>
    </row>
    <row r="484" spans="1:9" x14ac:dyDescent="0.25">
      <c r="A484" s="50" t="s">
        <v>173</v>
      </c>
      <c r="B484" s="51" t="s">
        <v>1678</v>
      </c>
      <c r="C484" s="57">
        <v>473.4</v>
      </c>
      <c r="D484" s="142">
        <v>120</v>
      </c>
      <c r="E484" s="62">
        <v>0</v>
      </c>
      <c r="F484" s="63" t="e">
        <v>#VALUE!</v>
      </c>
      <c r="G484" s="69" t="s">
        <v>1684</v>
      </c>
      <c r="H484" s="70">
        <v>45.384</v>
      </c>
      <c r="I484" s="64" t="s">
        <v>1712</v>
      </c>
    </row>
    <row r="485" spans="1:9" x14ac:dyDescent="0.25">
      <c r="A485" s="50" t="s">
        <v>174</v>
      </c>
      <c r="B485" s="51" t="s">
        <v>1678</v>
      </c>
      <c r="C485" s="53">
        <v>0.253</v>
      </c>
      <c r="D485" s="142">
        <v>120</v>
      </c>
      <c r="E485" s="62">
        <v>44098</v>
      </c>
      <c r="F485" s="63" t="s">
        <v>1790</v>
      </c>
      <c r="G485" s="63" t="s">
        <v>1684</v>
      </c>
      <c r="H485" s="64">
        <v>49.835999999999999</v>
      </c>
      <c r="I485" s="64" t="s">
        <v>174</v>
      </c>
    </row>
    <row r="486" spans="1:9" x14ac:dyDescent="0.25">
      <c r="A486" s="50" t="s">
        <v>175</v>
      </c>
      <c r="B486" s="51" t="s">
        <v>1678</v>
      </c>
      <c r="C486" s="53">
        <v>96.254999999999995</v>
      </c>
      <c r="D486" s="142">
        <v>120</v>
      </c>
      <c r="E486" s="62">
        <v>44092</v>
      </c>
      <c r="F486" s="63" t="s">
        <v>1790</v>
      </c>
      <c r="G486" s="63" t="s">
        <v>1684</v>
      </c>
      <c r="H486" s="64">
        <v>43.188000000000002</v>
      </c>
      <c r="I486" s="64" t="s">
        <v>175</v>
      </c>
    </row>
    <row r="487" spans="1:9" x14ac:dyDescent="0.25">
      <c r="A487" s="50" t="s">
        <v>176</v>
      </c>
      <c r="B487" s="51" t="s">
        <v>1678</v>
      </c>
      <c r="C487" s="55">
        <v>0.15</v>
      </c>
      <c r="D487" s="142">
        <v>120</v>
      </c>
      <c r="E487" s="62">
        <v>44041</v>
      </c>
      <c r="F487" s="63" t="s">
        <v>1781</v>
      </c>
      <c r="G487" s="63" t="s">
        <v>1684</v>
      </c>
      <c r="H487" s="64">
        <v>125.496</v>
      </c>
      <c r="I487" s="64" t="s">
        <v>176</v>
      </c>
    </row>
    <row r="488" spans="1:9" x14ac:dyDescent="0.25">
      <c r="A488" s="50" t="s">
        <v>177</v>
      </c>
      <c r="B488" s="51" t="s">
        <v>1678</v>
      </c>
      <c r="C488" s="57">
        <v>14.4</v>
      </c>
      <c r="D488" s="142">
        <v>120</v>
      </c>
      <c r="E488" s="62">
        <v>43314</v>
      </c>
      <c r="F488" s="63" t="s">
        <v>1790</v>
      </c>
      <c r="G488" s="63" t="s">
        <v>1684</v>
      </c>
      <c r="H488" s="64">
        <v>124.36799999999999</v>
      </c>
      <c r="I488" s="64" t="s">
        <v>1897</v>
      </c>
    </row>
    <row r="489" spans="1:9" x14ac:dyDescent="0.25">
      <c r="A489" s="50" t="s">
        <v>178</v>
      </c>
      <c r="B489" s="51" t="s">
        <v>1678</v>
      </c>
      <c r="C489" s="55">
        <v>22.56</v>
      </c>
      <c r="D489" s="142">
        <v>120</v>
      </c>
      <c r="E489" s="62">
        <v>0</v>
      </c>
      <c r="F489" s="63" t="e">
        <v>#VALUE!</v>
      </c>
      <c r="G489" s="72" t="s">
        <v>1684</v>
      </c>
      <c r="H489" s="73">
        <v>134.4</v>
      </c>
      <c r="I489" s="64" t="s">
        <v>1712</v>
      </c>
    </row>
    <row r="490" spans="1:9" x14ac:dyDescent="0.25">
      <c r="A490" s="50" t="s">
        <v>179</v>
      </c>
      <c r="B490" s="51" t="s">
        <v>1678</v>
      </c>
      <c r="C490" s="53">
        <v>62.006</v>
      </c>
      <c r="D490" s="142">
        <v>120</v>
      </c>
      <c r="E490" s="62">
        <v>44029</v>
      </c>
      <c r="F490" s="63" t="s">
        <v>1781</v>
      </c>
      <c r="G490" s="63" t="s">
        <v>1684</v>
      </c>
      <c r="H490" s="64">
        <v>125.496</v>
      </c>
      <c r="I490" s="64" t="s">
        <v>179</v>
      </c>
    </row>
    <row r="491" spans="1:9" x14ac:dyDescent="0.25">
      <c r="A491" s="50" t="s">
        <v>180</v>
      </c>
      <c r="B491" s="51" t="s">
        <v>1678</v>
      </c>
      <c r="C491" s="55">
        <v>7.52</v>
      </c>
      <c r="D491" s="142">
        <v>120</v>
      </c>
      <c r="E491" s="62">
        <v>43371</v>
      </c>
      <c r="F491" s="63" t="s">
        <v>1790</v>
      </c>
      <c r="G491" s="63" t="s">
        <v>1684</v>
      </c>
      <c r="H491" s="64">
        <v>110.28</v>
      </c>
      <c r="I491" s="64" t="s">
        <v>1898</v>
      </c>
    </row>
    <row r="492" spans="1:9" x14ac:dyDescent="0.25">
      <c r="A492" s="50" t="s">
        <v>181</v>
      </c>
      <c r="B492" s="51" t="s">
        <v>1678</v>
      </c>
      <c r="C492" s="57">
        <v>0.4</v>
      </c>
      <c r="D492" s="142">
        <v>120</v>
      </c>
      <c r="E492" s="62">
        <v>0</v>
      </c>
      <c r="F492" s="63" t="e">
        <v>#VALUE!</v>
      </c>
      <c r="G492" s="69" t="s">
        <v>1684</v>
      </c>
      <c r="H492" s="70">
        <v>110</v>
      </c>
      <c r="I492" s="64" t="s">
        <v>1712</v>
      </c>
    </row>
    <row r="493" spans="1:9" x14ac:dyDescent="0.25">
      <c r="A493" s="50" t="s">
        <v>182</v>
      </c>
      <c r="B493" s="51" t="s">
        <v>1678</v>
      </c>
      <c r="C493" s="53">
        <v>96.298000000000002</v>
      </c>
      <c r="D493" s="142">
        <v>120</v>
      </c>
      <c r="E493" s="62">
        <v>44029</v>
      </c>
      <c r="F493" s="63" t="s">
        <v>1781</v>
      </c>
      <c r="G493" s="63" t="s">
        <v>1684</v>
      </c>
      <c r="H493" s="64">
        <v>102.3</v>
      </c>
      <c r="I493" s="64" t="s">
        <v>182</v>
      </c>
    </row>
    <row r="494" spans="1:9" x14ac:dyDescent="0.25">
      <c r="A494" s="50" t="s">
        <v>183</v>
      </c>
      <c r="B494" s="51" t="s">
        <v>1678</v>
      </c>
      <c r="C494" s="57">
        <v>12.8</v>
      </c>
      <c r="D494" s="142">
        <v>120</v>
      </c>
      <c r="E494" s="62">
        <v>43381</v>
      </c>
      <c r="F494" s="63" t="s">
        <v>1790</v>
      </c>
      <c r="G494" s="63" t="s">
        <v>1684</v>
      </c>
      <c r="H494" s="64">
        <v>82.763999999999996</v>
      </c>
      <c r="I494" s="64" t="s">
        <v>183</v>
      </c>
    </row>
    <row r="495" spans="1:9" x14ac:dyDescent="0.25">
      <c r="A495" s="50" t="s">
        <v>184</v>
      </c>
      <c r="B495" s="51" t="s">
        <v>1678</v>
      </c>
      <c r="C495" s="53">
        <v>73.844999999999999</v>
      </c>
      <c r="D495" s="142">
        <v>120</v>
      </c>
      <c r="E495" s="62">
        <v>43314</v>
      </c>
      <c r="F495" s="63" t="s">
        <v>1790</v>
      </c>
      <c r="G495" s="63" t="s">
        <v>1684</v>
      </c>
      <c r="H495" s="64">
        <v>79.823999999999998</v>
      </c>
      <c r="I495" s="64" t="s">
        <v>1899</v>
      </c>
    </row>
    <row r="496" spans="1:9" x14ac:dyDescent="0.25">
      <c r="A496" s="50" t="s">
        <v>531</v>
      </c>
      <c r="B496" s="51" t="s">
        <v>1680</v>
      </c>
      <c r="C496" s="57">
        <v>4.8</v>
      </c>
      <c r="D496" s="137">
        <f>H496 * IF(G496="руб", 1, 1.4 * (k_ru_dol*(G496="USD")+k_ru_evro*(G496="EUR")+k_ru_yuan*(G496="CNY"))/1.2) * IF(E496&lt;(дата_расчета - 365),1.1,1)   *2</f>
        <v>120</v>
      </c>
      <c r="E496" s="62">
        <v>44063</v>
      </c>
      <c r="F496" s="63" t="s">
        <v>1832</v>
      </c>
      <c r="G496" s="63" t="s">
        <v>1684</v>
      </c>
      <c r="H496" s="64">
        <v>60</v>
      </c>
      <c r="I496" s="64" t="s">
        <v>531</v>
      </c>
    </row>
    <row r="497" spans="1:9" x14ac:dyDescent="0.25">
      <c r="A497" s="50" t="s">
        <v>185</v>
      </c>
      <c r="B497" s="51" t="s">
        <v>1678</v>
      </c>
      <c r="C497" s="57">
        <v>1.2</v>
      </c>
      <c r="D497" s="137">
        <f>H497 * IF(G497="руб", 1, 1.4 * (k_ru_dol*(G497="USD")+k_ru_evro*(G497="EUR")+k_ru_yuan*(G497="CNY"))/1.2) * IF(E497&lt;(дата_расчета - 365),1.1,1)   *2</f>
        <v>1653.3000000000002</v>
      </c>
      <c r="E497" s="62">
        <v>43901</v>
      </c>
      <c r="F497" s="63" t="s">
        <v>1900</v>
      </c>
      <c r="G497" s="63" t="s">
        <v>1684</v>
      </c>
      <c r="H497" s="64">
        <v>751.5</v>
      </c>
      <c r="I497" s="64" t="s">
        <v>185</v>
      </c>
    </row>
    <row r="498" spans="1:9" x14ac:dyDescent="0.25">
      <c r="A498" s="50" t="s">
        <v>532</v>
      </c>
      <c r="B498" s="51" t="s">
        <v>1677</v>
      </c>
      <c r="C498" s="55">
        <v>41.58</v>
      </c>
      <c r="D498" s="137">
        <f>H498 * IF(G498="руб", 1, 1.4 * (k_ru_dol*(G498="USD")+k_ru_evro*(G498="EUR")+k_ru_yuan*(G498="CNY"))/1.2) * IF(E498&lt;(дата_расчета - 365),1.1,1)   *2</f>
        <v>349.96799999999996</v>
      </c>
      <c r="E498" s="62">
        <v>44103</v>
      </c>
      <c r="F498" s="63" t="s">
        <v>1753</v>
      </c>
      <c r="G498" s="63" t="s">
        <v>1684</v>
      </c>
      <c r="H498" s="64">
        <v>174.98399999999998</v>
      </c>
      <c r="I498" s="64" t="s">
        <v>532</v>
      </c>
    </row>
    <row r="499" spans="1:9" x14ac:dyDescent="0.25">
      <c r="A499" s="50" t="s">
        <v>186</v>
      </c>
      <c r="B499" s="51" t="s">
        <v>1678</v>
      </c>
      <c r="C499" s="55">
        <v>12.64</v>
      </c>
      <c r="D499" s="142">
        <v>100</v>
      </c>
      <c r="E499" s="62">
        <v>44081</v>
      </c>
      <c r="F499" s="63" t="s">
        <v>1791</v>
      </c>
      <c r="G499" s="63" t="s">
        <v>1684</v>
      </c>
      <c r="H499" s="64">
        <v>50.795999999999999</v>
      </c>
      <c r="I499" s="64" t="s">
        <v>186</v>
      </c>
    </row>
    <row r="500" spans="1:9" x14ac:dyDescent="0.25">
      <c r="A500" s="50" t="s">
        <v>187</v>
      </c>
      <c r="B500" s="51" t="s">
        <v>1678</v>
      </c>
      <c r="C500" s="53">
        <v>4.6319999999999997</v>
      </c>
      <c r="D500" s="142">
        <v>100</v>
      </c>
      <c r="E500" s="62">
        <v>44050</v>
      </c>
      <c r="F500" s="63" t="s">
        <v>1781</v>
      </c>
      <c r="G500" s="63" t="s">
        <v>1684</v>
      </c>
      <c r="H500" s="64">
        <v>45.6</v>
      </c>
      <c r="I500" s="64" t="s">
        <v>187</v>
      </c>
    </row>
    <row r="501" spans="1:9" x14ac:dyDescent="0.25">
      <c r="A501" s="50" t="s">
        <v>188</v>
      </c>
      <c r="B501" s="51" t="s">
        <v>1678</v>
      </c>
      <c r="C501" s="53">
        <v>13.503</v>
      </c>
      <c r="D501" s="142">
        <v>100</v>
      </c>
      <c r="E501" s="62">
        <v>44092</v>
      </c>
      <c r="F501" s="63" t="s">
        <v>1790</v>
      </c>
      <c r="G501" s="63" t="s">
        <v>1684</v>
      </c>
      <c r="H501" s="64">
        <v>43.788000000000004</v>
      </c>
      <c r="I501" s="64" t="s">
        <v>188</v>
      </c>
    </row>
    <row r="502" spans="1:9" x14ac:dyDescent="0.25">
      <c r="A502" s="50" t="s">
        <v>189</v>
      </c>
      <c r="B502" s="51" t="s">
        <v>1678</v>
      </c>
      <c r="C502" s="53">
        <v>6.968</v>
      </c>
      <c r="D502" s="142">
        <v>100</v>
      </c>
      <c r="E502" s="62">
        <v>43235</v>
      </c>
      <c r="F502" s="63" t="s">
        <v>1795</v>
      </c>
      <c r="G502" s="63" t="s">
        <v>1684</v>
      </c>
      <c r="H502" s="64">
        <v>50.795999999999999</v>
      </c>
      <c r="I502" s="64" t="s">
        <v>189</v>
      </c>
    </row>
    <row r="503" spans="1:9" x14ac:dyDescent="0.25">
      <c r="A503" s="50" t="s">
        <v>190</v>
      </c>
      <c r="B503" s="51" t="s">
        <v>1678</v>
      </c>
      <c r="C503" s="57">
        <v>8.8000000000000007</v>
      </c>
      <c r="D503" s="142">
        <v>100</v>
      </c>
      <c r="E503" s="62">
        <v>43371</v>
      </c>
      <c r="F503" s="63" t="s">
        <v>1790</v>
      </c>
      <c r="G503" s="63" t="s">
        <v>1684</v>
      </c>
      <c r="H503" s="64">
        <v>44.832000000000001</v>
      </c>
      <c r="I503" s="64" t="s">
        <v>190</v>
      </c>
    </row>
    <row r="504" spans="1:9" x14ac:dyDescent="0.25">
      <c r="A504" s="50" t="s">
        <v>191</v>
      </c>
      <c r="B504" s="51" t="s">
        <v>1678</v>
      </c>
      <c r="C504" s="53">
        <v>680.58399999999995</v>
      </c>
      <c r="D504" s="142">
        <v>100</v>
      </c>
      <c r="E504" s="62">
        <v>44092</v>
      </c>
      <c r="F504" s="63" t="s">
        <v>1790</v>
      </c>
      <c r="G504" s="63" t="s">
        <v>1684</v>
      </c>
      <c r="H504" s="64">
        <v>40.488</v>
      </c>
      <c r="I504" s="64" t="s">
        <v>191</v>
      </c>
    </row>
    <row r="505" spans="1:9" x14ac:dyDescent="0.25">
      <c r="A505" s="50" t="s">
        <v>192</v>
      </c>
      <c r="B505" s="51" t="s">
        <v>1678</v>
      </c>
      <c r="C505" s="55">
        <v>12.44</v>
      </c>
      <c r="D505" s="142">
        <v>100</v>
      </c>
      <c r="E505" s="62">
        <v>43363</v>
      </c>
      <c r="F505" s="63" t="s">
        <v>1901</v>
      </c>
      <c r="G505" s="63" t="s">
        <v>1684</v>
      </c>
      <c r="H505" s="64">
        <v>44.231999999999999</v>
      </c>
      <c r="I505" s="64" t="s">
        <v>192</v>
      </c>
    </row>
    <row r="506" spans="1:9" x14ac:dyDescent="0.25">
      <c r="A506" s="50" t="s">
        <v>193</v>
      </c>
      <c r="B506" s="51" t="s">
        <v>1676</v>
      </c>
      <c r="C506" s="52">
        <v>33</v>
      </c>
      <c r="D506" s="61">
        <f t="shared" ref="D506:D547" si="16">H506 * IF(G506="руб", 1, 1.4 * (k_ru_dol*(G506="USD")+k_ru_evro*(G506="EUR")+k_ru_yuan*(G506="CNY"))/1.2) * IF(E506&lt;(дата_расчета - 365),1.1,1)</f>
        <v>43.98</v>
      </c>
      <c r="E506" s="62">
        <v>44032</v>
      </c>
      <c r="F506" s="63" t="s">
        <v>1763</v>
      </c>
      <c r="G506" s="63" t="s">
        <v>1684</v>
      </c>
      <c r="H506" s="64">
        <v>43.98</v>
      </c>
      <c r="I506" s="64" t="s">
        <v>193</v>
      </c>
    </row>
    <row r="507" spans="1:9" x14ac:dyDescent="0.25">
      <c r="A507" s="50" t="s">
        <v>194</v>
      </c>
      <c r="B507" s="51" t="s">
        <v>1676</v>
      </c>
      <c r="C507" s="52">
        <v>16</v>
      </c>
      <c r="D507" s="61">
        <f t="shared" si="16"/>
        <v>81.49199999999999</v>
      </c>
      <c r="E507" s="62">
        <v>44032</v>
      </c>
      <c r="F507" s="63" t="s">
        <v>1763</v>
      </c>
      <c r="G507" s="63" t="s">
        <v>1684</v>
      </c>
      <c r="H507" s="64">
        <v>81.49199999999999</v>
      </c>
      <c r="I507" s="64" t="s">
        <v>194</v>
      </c>
    </row>
    <row r="508" spans="1:9" x14ac:dyDescent="0.25">
      <c r="A508" s="50" t="s">
        <v>195</v>
      </c>
      <c r="B508" s="51" t="s">
        <v>1676</v>
      </c>
      <c r="C508" s="52">
        <v>24</v>
      </c>
      <c r="D508" s="61">
        <f t="shared" si="16"/>
        <v>123.85199999999999</v>
      </c>
      <c r="E508" s="62">
        <v>44035</v>
      </c>
      <c r="F508" s="63" t="s">
        <v>1856</v>
      </c>
      <c r="G508" s="63" t="s">
        <v>1684</v>
      </c>
      <c r="H508" s="64">
        <v>123.85199999999999</v>
      </c>
      <c r="I508" s="64" t="s">
        <v>195</v>
      </c>
    </row>
    <row r="509" spans="1:9" x14ac:dyDescent="0.25">
      <c r="A509" s="50" t="s">
        <v>196</v>
      </c>
      <c r="B509" s="51" t="s">
        <v>1676</v>
      </c>
      <c r="C509" s="52">
        <v>1</v>
      </c>
      <c r="D509" s="61">
        <f t="shared" si="16"/>
        <v>327.22800000000001</v>
      </c>
      <c r="E509" s="62">
        <v>44032</v>
      </c>
      <c r="F509" s="63" t="s">
        <v>1763</v>
      </c>
      <c r="G509" s="63" t="s">
        <v>1684</v>
      </c>
      <c r="H509" s="64">
        <v>327.22800000000001</v>
      </c>
      <c r="I509" s="64" t="s">
        <v>196</v>
      </c>
    </row>
    <row r="510" spans="1:9" x14ac:dyDescent="0.25">
      <c r="A510" s="50" t="s">
        <v>533</v>
      </c>
      <c r="B510" s="51" t="s">
        <v>1677</v>
      </c>
      <c r="C510" s="52">
        <v>4</v>
      </c>
      <c r="D510" s="61">
        <f t="shared" si="16"/>
        <v>25.502400000000002</v>
      </c>
      <c r="E510" s="62">
        <v>43878</v>
      </c>
      <c r="F510" s="63" t="s">
        <v>1753</v>
      </c>
      <c r="G510" s="63" t="s">
        <v>1684</v>
      </c>
      <c r="H510" s="64">
        <v>23.184000000000001</v>
      </c>
      <c r="I510" s="64" t="s">
        <v>1902</v>
      </c>
    </row>
    <row r="511" spans="1:9" x14ac:dyDescent="0.25">
      <c r="A511" s="50" t="s">
        <v>534</v>
      </c>
      <c r="B511" s="51" t="s">
        <v>1676</v>
      </c>
      <c r="C511" s="52">
        <v>1</v>
      </c>
      <c r="D511" s="61">
        <f t="shared" si="16"/>
        <v>36.432000000000002</v>
      </c>
      <c r="E511" s="62">
        <v>43139</v>
      </c>
      <c r="F511" s="63" t="s">
        <v>1903</v>
      </c>
      <c r="G511" s="63" t="s">
        <v>1684</v>
      </c>
      <c r="H511" s="64">
        <v>33.119999999999997</v>
      </c>
      <c r="I511" s="64" t="s">
        <v>1904</v>
      </c>
    </row>
    <row r="512" spans="1:9" x14ac:dyDescent="0.25">
      <c r="A512" s="50" t="s">
        <v>197</v>
      </c>
      <c r="B512" s="51" t="s">
        <v>1676</v>
      </c>
      <c r="C512" s="52">
        <v>9</v>
      </c>
      <c r="D512" s="61">
        <f t="shared" si="16"/>
        <v>230.39999999999998</v>
      </c>
      <c r="E512" s="62">
        <v>44046</v>
      </c>
      <c r="F512" s="63" t="s">
        <v>1905</v>
      </c>
      <c r="G512" s="63" t="s">
        <v>1684</v>
      </c>
      <c r="H512" s="64">
        <v>230.39999999999998</v>
      </c>
      <c r="I512" s="64" t="s">
        <v>197</v>
      </c>
    </row>
    <row r="513" spans="1:9" x14ac:dyDescent="0.25">
      <c r="A513" s="50" t="s">
        <v>535</v>
      </c>
      <c r="B513" s="51" t="s">
        <v>1676</v>
      </c>
      <c r="C513" s="52">
        <v>8</v>
      </c>
      <c r="D513" s="61">
        <f t="shared" si="16"/>
        <v>53.460000000000008</v>
      </c>
      <c r="E513" s="62">
        <v>43494</v>
      </c>
      <c r="F513" s="63" t="s">
        <v>1850</v>
      </c>
      <c r="G513" s="63" t="s">
        <v>1684</v>
      </c>
      <c r="H513" s="64">
        <v>48.6</v>
      </c>
      <c r="I513" s="64" t="s">
        <v>1906</v>
      </c>
    </row>
    <row r="514" spans="1:9" x14ac:dyDescent="0.25">
      <c r="A514" s="50" t="s">
        <v>536</v>
      </c>
      <c r="B514" s="51" t="s">
        <v>1676</v>
      </c>
      <c r="C514" s="52">
        <v>8</v>
      </c>
      <c r="D514" s="61">
        <f t="shared" si="16"/>
        <v>194.04000000000002</v>
      </c>
      <c r="E514" s="62">
        <v>43494</v>
      </c>
      <c r="F514" s="63" t="s">
        <v>1850</v>
      </c>
      <c r="G514" s="63" t="s">
        <v>1684</v>
      </c>
      <c r="H514" s="64">
        <v>176.4</v>
      </c>
      <c r="I514" s="64" t="s">
        <v>1907</v>
      </c>
    </row>
    <row r="515" spans="1:9" x14ac:dyDescent="0.25">
      <c r="A515" s="50" t="s">
        <v>537</v>
      </c>
      <c r="B515" s="51" t="s">
        <v>1676</v>
      </c>
      <c r="C515" s="52">
        <v>8</v>
      </c>
      <c r="D515" s="61">
        <f t="shared" si="16"/>
        <v>72.600000000000009</v>
      </c>
      <c r="E515" s="62">
        <v>43494</v>
      </c>
      <c r="F515" s="63" t="s">
        <v>1850</v>
      </c>
      <c r="G515" s="63" t="s">
        <v>1684</v>
      </c>
      <c r="H515" s="64">
        <v>66</v>
      </c>
      <c r="I515" s="64" t="s">
        <v>1908</v>
      </c>
    </row>
    <row r="516" spans="1:9" x14ac:dyDescent="0.25">
      <c r="A516" s="50" t="s">
        <v>198</v>
      </c>
      <c r="B516" s="51" t="s">
        <v>1676</v>
      </c>
      <c r="C516" s="52">
        <v>9</v>
      </c>
      <c r="D516" s="61">
        <f t="shared" si="16"/>
        <v>102.35280000000002</v>
      </c>
      <c r="E516" s="62">
        <v>43462</v>
      </c>
      <c r="F516" s="63" t="s">
        <v>1909</v>
      </c>
      <c r="G516" s="63" t="s">
        <v>1684</v>
      </c>
      <c r="H516" s="64">
        <v>93.048000000000002</v>
      </c>
      <c r="I516" s="64" t="s">
        <v>198</v>
      </c>
    </row>
    <row r="517" spans="1:9" x14ac:dyDescent="0.25">
      <c r="A517" s="50" t="s">
        <v>199</v>
      </c>
      <c r="B517" s="51" t="s">
        <v>1676</v>
      </c>
      <c r="C517" s="52">
        <v>16</v>
      </c>
      <c r="D517" s="61">
        <f t="shared" si="16"/>
        <v>47.704800000000006</v>
      </c>
      <c r="E517" s="62">
        <v>43463</v>
      </c>
      <c r="F517" s="63" t="s">
        <v>1856</v>
      </c>
      <c r="G517" s="63" t="s">
        <v>1684</v>
      </c>
      <c r="H517" s="64">
        <v>43.368000000000002</v>
      </c>
      <c r="I517" s="64" t="s">
        <v>199</v>
      </c>
    </row>
    <row r="518" spans="1:9" x14ac:dyDescent="0.25">
      <c r="A518" s="50" t="s">
        <v>200</v>
      </c>
      <c r="B518" s="51" t="s">
        <v>1678</v>
      </c>
      <c r="C518" s="53">
        <v>40.661999999999999</v>
      </c>
      <c r="D518" s="61">
        <f t="shared" si="16"/>
        <v>270</v>
      </c>
      <c r="E518" s="62">
        <v>44022</v>
      </c>
      <c r="F518" s="63" t="s">
        <v>1910</v>
      </c>
      <c r="G518" s="63" t="s">
        <v>1684</v>
      </c>
      <c r="H518" s="64">
        <v>270</v>
      </c>
      <c r="I518" s="64" t="s">
        <v>200</v>
      </c>
    </row>
    <row r="519" spans="1:9" x14ac:dyDescent="0.25">
      <c r="A519" s="50" t="s">
        <v>538</v>
      </c>
      <c r="B519" s="51" t="s">
        <v>1676</v>
      </c>
      <c r="C519" s="52">
        <v>16</v>
      </c>
      <c r="D519" s="61">
        <f t="shared" si="16"/>
        <v>28.704000000000001</v>
      </c>
      <c r="E519" s="62">
        <v>44041</v>
      </c>
      <c r="F519" s="63" t="s">
        <v>1753</v>
      </c>
      <c r="G519" s="63" t="s">
        <v>1684</v>
      </c>
      <c r="H519" s="64">
        <v>28.704000000000001</v>
      </c>
      <c r="I519" s="64" t="s">
        <v>538</v>
      </c>
    </row>
    <row r="520" spans="1:9" x14ac:dyDescent="0.25">
      <c r="A520" s="50" t="s">
        <v>201</v>
      </c>
      <c r="B520" s="51" t="s">
        <v>1677</v>
      </c>
      <c r="C520" s="57">
        <v>4.2</v>
      </c>
      <c r="D520" s="61">
        <f t="shared" si="16"/>
        <v>129.36000000000001</v>
      </c>
      <c r="E520" s="62">
        <v>43412</v>
      </c>
      <c r="F520" s="63" t="s">
        <v>1777</v>
      </c>
      <c r="G520" s="63" t="s">
        <v>1684</v>
      </c>
      <c r="H520" s="64">
        <v>117.6</v>
      </c>
      <c r="I520" s="64" t="s">
        <v>201</v>
      </c>
    </row>
    <row r="521" spans="1:9" x14ac:dyDescent="0.25">
      <c r="A521" s="50" t="s">
        <v>202</v>
      </c>
      <c r="B521" s="51" t="s">
        <v>1678</v>
      </c>
      <c r="C521" s="53">
        <v>17.375</v>
      </c>
      <c r="D521" s="61">
        <f t="shared" si="16"/>
        <v>462.99599999999998</v>
      </c>
      <c r="E521" s="62">
        <v>44091</v>
      </c>
      <c r="F521" s="63" t="s">
        <v>1766</v>
      </c>
      <c r="G521" s="63" t="s">
        <v>1684</v>
      </c>
      <c r="H521" s="64">
        <v>462.99599999999998</v>
      </c>
      <c r="I521" s="64" t="s">
        <v>202</v>
      </c>
    </row>
    <row r="522" spans="1:9" x14ac:dyDescent="0.25">
      <c r="A522" s="50" t="s">
        <v>249</v>
      </c>
      <c r="B522" s="51" t="s">
        <v>1676</v>
      </c>
      <c r="C522" s="52">
        <v>180</v>
      </c>
      <c r="D522" s="61">
        <f t="shared" si="16"/>
        <v>1.6500000000000001</v>
      </c>
      <c r="E522" s="62">
        <v>0</v>
      </c>
      <c r="F522" s="63" t="e">
        <v>#VALUE!</v>
      </c>
      <c r="G522" s="69" t="s">
        <v>1684</v>
      </c>
      <c r="H522" s="70">
        <v>1.5</v>
      </c>
      <c r="I522" s="64" t="s">
        <v>1712</v>
      </c>
    </row>
    <row r="523" spans="1:9" x14ac:dyDescent="0.25">
      <c r="A523" s="50" t="s">
        <v>264</v>
      </c>
      <c r="B523" s="51" t="s">
        <v>1676</v>
      </c>
      <c r="C523" s="52">
        <v>81</v>
      </c>
      <c r="D523" s="61">
        <f t="shared" si="16"/>
        <v>1.5973680000000001</v>
      </c>
      <c r="E523" s="62">
        <v>44088</v>
      </c>
      <c r="F523" s="63" t="s">
        <v>1730</v>
      </c>
      <c r="G523" s="63" t="s">
        <v>1684</v>
      </c>
      <c r="H523" s="64">
        <v>1.5973680000000001</v>
      </c>
      <c r="I523" s="64" t="s">
        <v>264</v>
      </c>
    </row>
    <row r="524" spans="1:9" x14ac:dyDescent="0.25">
      <c r="A524" s="50" t="s">
        <v>232</v>
      </c>
      <c r="B524" s="51" t="s">
        <v>1676</v>
      </c>
      <c r="C524" s="52">
        <v>36</v>
      </c>
      <c r="D524" s="61">
        <f t="shared" si="16"/>
        <v>1.788</v>
      </c>
      <c r="E524" s="62">
        <v>44054</v>
      </c>
      <c r="F524" s="63" t="s">
        <v>1730</v>
      </c>
      <c r="G524" s="63" t="s">
        <v>1684</v>
      </c>
      <c r="H524" s="64">
        <v>1.788</v>
      </c>
      <c r="I524" s="64" t="s">
        <v>232</v>
      </c>
    </row>
    <row r="525" spans="1:9" x14ac:dyDescent="0.25">
      <c r="A525" s="50" t="s">
        <v>260</v>
      </c>
      <c r="B525" s="51" t="s">
        <v>1676</v>
      </c>
      <c r="C525" s="52">
        <v>202</v>
      </c>
      <c r="D525" s="61">
        <f t="shared" si="16"/>
        <v>1.9345375522388062</v>
      </c>
      <c r="E525" s="62">
        <v>44088</v>
      </c>
      <c r="F525" s="63" t="s">
        <v>1730</v>
      </c>
      <c r="G525" s="63" t="s">
        <v>1684</v>
      </c>
      <c r="H525" s="64">
        <v>1.9345375522388062</v>
      </c>
      <c r="I525" s="64" t="s">
        <v>260</v>
      </c>
    </row>
    <row r="526" spans="1:9" x14ac:dyDescent="0.25">
      <c r="A526" s="50" t="s">
        <v>314</v>
      </c>
      <c r="B526" s="51" t="s">
        <v>1676</v>
      </c>
      <c r="C526" s="52">
        <v>32</v>
      </c>
      <c r="D526" s="61">
        <f t="shared" si="16"/>
        <v>4.620000000000001</v>
      </c>
      <c r="E526" s="62">
        <v>43599</v>
      </c>
      <c r="F526" s="63" t="s">
        <v>1730</v>
      </c>
      <c r="G526" s="63" t="s">
        <v>1684</v>
      </c>
      <c r="H526" s="64">
        <v>4.2</v>
      </c>
      <c r="I526" s="64" t="s">
        <v>314</v>
      </c>
    </row>
    <row r="527" spans="1:9" x14ac:dyDescent="0.25">
      <c r="A527" s="50" t="s">
        <v>241</v>
      </c>
      <c r="B527" s="51" t="s">
        <v>1676</v>
      </c>
      <c r="C527" s="52">
        <v>36</v>
      </c>
      <c r="D527" s="61">
        <f t="shared" si="16"/>
        <v>5.5</v>
      </c>
      <c r="E527" s="62">
        <v>0</v>
      </c>
      <c r="F527" s="63" t="e">
        <v>#VALUE!</v>
      </c>
      <c r="G527" s="69" t="s">
        <v>1684</v>
      </c>
      <c r="H527" s="70">
        <v>5</v>
      </c>
      <c r="I527" s="64" t="s">
        <v>1712</v>
      </c>
    </row>
    <row r="528" spans="1:9" x14ac:dyDescent="0.25">
      <c r="A528" s="50" t="s">
        <v>272</v>
      </c>
      <c r="B528" s="51" t="s">
        <v>1676</v>
      </c>
      <c r="C528" s="52">
        <v>144</v>
      </c>
      <c r="D528" s="61">
        <f t="shared" si="16"/>
        <v>1.1000000000000001</v>
      </c>
      <c r="E528" s="62">
        <v>0</v>
      </c>
      <c r="F528" s="63" t="e">
        <v>#VALUE!</v>
      </c>
      <c r="G528" s="69" t="s">
        <v>1684</v>
      </c>
      <c r="H528" s="70">
        <v>1</v>
      </c>
      <c r="I528" s="64" t="s">
        <v>1712</v>
      </c>
    </row>
    <row r="529" spans="1:9" x14ac:dyDescent="0.25">
      <c r="A529" s="50" t="s">
        <v>313</v>
      </c>
      <c r="B529" s="51" t="s">
        <v>1676</v>
      </c>
      <c r="C529" s="52">
        <v>16</v>
      </c>
      <c r="D529" s="61">
        <f t="shared" si="16"/>
        <v>0.96048000000000022</v>
      </c>
      <c r="E529" s="62">
        <v>44054</v>
      </c>
      <c r="F529" s="63" t="s">
        <v>1730</v>
      </c>
      <c r="G529" s="63" t="s">
        <v>1684</v>
      </c>
      <c r="H529" s="64">
        <v>0.96048000000000022</v>
      </c>
      <c r="I529" s="64" t="s">
        <v>313</v>
      </c>
    </row>
    <row r="530" spans="1:9" x14ac:dyDescent="0.25">
      <c r="A530" s="50" t="s">
        <v>228</v>
      </c>
      <c r="B530" s="51" t="s">
        <v>1676</v>
      </c>
      <c r="C530" s="52">
        <v>52</v>
      </c>
      <c r="D530" s="61">
        <f t="shared" si="16"/>
        <v>1.6033970526315791</v>
      </c>
      <c r="E530" s="62">
        <v>44102</v>
      </c>
      <c r="F530" s="63" t="s">
        <v>1730</v>
      </c>
      <c r="G530" s="63" t="s">
        <v>1684</v>
      </c>
      <c r="H530" s="64">
        <v>1.6033970526315791</v>
      </c>
      <c r="I530" s="64" t="s">
        <v>228</v>
      </c>
    </row>
    <row r="531" spans="1:9" x14ac:dyDescent="0.25">
      <c r="A531" s="50" t="s">
        <v>295</v>
      </c>
      <c r="B531" s="51" t="s">
        <v>1676</v>
      </c>
      <c r="C531" s="52">
        <v>36</v>
      </c>
      <c r="D531" s="61">
        <f t="shared" si="16"/>
        <v>5.0688000000000004</v>
      </c>
      <c r="E531" s="62">
        <v>43606</v>
      </c>
      <c r="F531" s="63" t="s">
        <v>1730</v>
      </c>
      <c r="G531" s="63" t="s">
        <v>1684</v>
      </c>
      <c r="H531" s="64">
        <v>4.6079999999999997</v>
      </c>
      <c r="I531" s="64" t="s">
        <v>295</v>
      </c>
    </row>
    <row r="532" spans="1:9" x14ac:dyDescent="0.25">
      <c r="A532" s="50" t="s">
        <v>307</v>
      </c>
      <c r="B532" s="51" t="s">
        <v>1676</v>
      </c>
      <c r="C532" s="52">
        <v>4</v>
      </c>
      <c r="D532" s="61">
        <f t="shared" si="16"/>
        <v>5.8080000000000007</v>
      </c>
      <c r="E532" s="62">
        <v>43371</v>
      </c>
      <c r="F532" s="63" t="s">
        <v>1730</v>
      </c>
      <c r="G532" s="63" t="s">
        <v>1684</v>
      </c>
      <c r="H532" s="64">
        <v>5.28</v>
      </c>
      <c r="I532" s="64" t="s">
        <v>1911</v>
      </c>
    </row>
    <row r="533" spans="1:9" x14ac:dyDescent="0.25">
      <c r="A533" s="50" t="s">
        <v>564</v>
      </c>
      <c r="B533" s="51" t="s">
        <v>1676</v>
      </c>
      <c r="C533" s="52">
        <v>20</v>
      </c>
      <c r="D533" s="61">
        <f t="shared" si="16"/>
        <v>5.6348160000000016</v>
      </c>
      <c r="E533" s="62">
        <v>43153</v>
      </c>
      <c r="F533" s="63" t="s">
        <v>1730</v>
      </c>
      <c r="G533" s="63" t="s">
        <v>1684</v>
      </c>
      <c r="H533" s="64">
        <v>5.1225600000000009</v>
      </c>
      <c r="I533" s="64" t="s">
        <v>1912</v>
      </c>
    </row>
    <row r="534" spans="1:9" x14ac:dyDescent="0.25">
      <c r="A534" s="50" t="s">
        <v>297</v>
      </c>
      <c r="B534" s="51" t="s">
        <v>1676</v>
      </c>
      <c r="C534" s="52">
        <v>32</v>
      </c>
      <c r="D534" s="61">
        <f t="shared" si="16"/>
        <v>12.038399999999999</v>
      </c>
      <c r="E534" s="62">
        <v>43371</v>
      </c>
      <c r="F534" s="63" t="s">
        <v>1730</v>
      </c>
      <c r="G534" s="63" t="s">
        <v>1684</v>
      </c>
      <c r="H534" s="64">
        <v>10.943999999999999</v>
      </c>
      <c r="I534" s="64" t="s">
        <v>1913</v>
      </c>
    </row>
    <row r="535" spans="1:9" x14ac:dyDescent="0.25">
      <c r="A535" s="50" t="s">
        <v>310</v>
      </c>
      <c r="B535" s="51" t="s">
        <v>1676</v>
      </c>
      <c r="C535" s="52">
        <v>8</v>
      </c>
      <c r="D535" s="61">
        <f t="shared" si="16"/>
        <v>1.1000000000000001</v>
      </c>
      <c r="E535" s="62">
        <v>0</v>
      </c>
      <c r="F535" s="63" t="e">
        <v>#VALUE!</v>
      </c>
      <c r="G535" s="69" t="s">
        <v>1684</v>
      </c>
      <c r="H535" s="70">
        <v>1</v>
      </c>
      <c r="I535" s="64" t="s">
        <v>1712</v>
      </c>
    </row>
    <row r="536" spans="1:9" x14ac:dyDescent="0.25">
      <c r="A536" s="50" t="s">
        <v>344</v>
      </c>
      <c r="B536" s="51" t="s">
        <v>1676</v>
      </c>
      <c r="C536" s="52">
        <v>12</v>
      </c>
      <c r="D536" s="61">
        <f t="shared" si="16"/>
        <v>1.1879999999999999</v>
      </c>
      <c r="E536" s="62">
        <v>44098</v>
      </c>
      <c r="F536" s="63" t="s">
        <v>1730</v>
      </c>
      <c r="G536" s="63" t="s">
        <v>1684</v>
      </c>
      <c r="H536" s="64">
        <v>1.1879999999999999</v>
      </c>
      <c r="I536" s="64" t="s">
        <v>344</v>
      </c>
    </row>
    <row r="537" spans="1:9" x14ac:dyDescent="0.25">
      <c r="A537" s="50" t="s">
        <v>244</v>
      </c>
      <c r="B537" s="51" t="s">
        <v>1676</v>
      </c>
      <c r="C537" s="52">
        <v>292</v>
      </c>
      <c r="D537" s="61">
        <f t="shared" si="16"/>
        <v>2.8559999999999999</v>
      </c>
      <c r="E537" s="62">
        <v>44082</v>
      </c>
      <c r="F537" s="63" t="s">
        <v>1730</v>
      </c>
      <c r="G537" s="63" t="s">
        <v>1684</v>
      </c>
      <c r="H537" s="64">
        <v>2.8559999999999999</v>
      </c>
      <c r="I537" s="64" t="s">
        <v>244</v>
      </c>
    </row>
    <row r="538" spans="1:9" x14ac:dyDescent="0.25">
      <c r="A538" s="50" t="s">
        <v>248</v>
      </c>
      <c r="B538" s="51" t="s">
        <v>1676</v>
      </c>
      <c r="C538" s="52">
        <v>188</v>
      </c>
      <c r="D538" s="61">
        <f t="shared" si="16"/>
        <v>1.68</v>
      </c>
      <c r="E538" s="62">
        <v>44098</v>
      </c>
      <c r="F538" s="63" t="s">
        <v>1730</v>
      </c>
      <c r="G538" s="63" t="s">
        <v>1684</v>
      </c>
      <c r="H538" s="64">
        <v>1.68</v>
      </c>
      <c r="I538" s="64" t="s">
        <v>248</v>
      </c>
    </row>
    <row r="539" spans="1:9" x14ac:dyDescent="0.25">
      <c r="A539" s="50" t="s">
        <v>265</v>
      </c>
      <c r="B539" s="51" t="s">
        <v>1676</v>
      </c>
      <c r="C539" s="52">
        <v>12</v>
      </c>
      <c r="D539" s="61">
        <f t="shared" si="16"/>
        <v>2.2000000000000002</v>
      </c>
      <c r="E539" s="62">
        <v>0</v>
      </c>
      <c r="F539" s="63" t="e">
        <v>#VALUE!</v>
      </c>
      <c r="G539" s="69" t="s">
        <v>1684</v>
      </c>
      <c r="H539" s="70">
        <v>2</v>
      </c>
      <c r="I539" s="64" t="s">
        <v>1712</v>
      </c>
    </row>
    <row r="540" spans="1:9" x14ac:dyDescent="0.25">
      <c r="A540" s="50" t="s">
        <v>233</v>
      </c>
      <c r="B540" s="51" t="s">
        <v>1676</v>
      </c>
      <c r="C540" s="52">
        <v>32</v>
      </c>
      <c r="D540" s="61">
        <f t="shared" si="16"/>
        <v>1.8787588085106388</v>
      </c>
      <c r="E540" s="62">
        <v>44098</v>
      </c>
      <c r="F540" s="63" t="s">
        <v>1730</v>
      </c>
      <c r="G540" s="63" t="s">
        <v>1684</v>
      </c>
      <c r="H540" s="64">
        <v>1.8787588085106388</v>
      </c>
      <c r="I540" s="64" t="s">
        <v>233</v>
      </c>
    </row>
    <row r="541" spans="1:9" x14ac:dyDescent="0.25">
      <c r="A541" s="50" t="s">
        <v>221</v>
      </c>
      <c r="B541" s="51" t="s">
        <v>1676</v>
      </c>
      <c r="C541" s="52">
        <v>230</v>
      </c>
      <c r="D541" s="61">
        <f t="shared" si="16"/>
        <v>1.713367999999998</v>
      </c>
      <c r="E541" s="62">
        <v>44088</v>
      </c>
      <c r="F541" s="63" t="s">
        <v>1730</v>
      </c>
      <c r="G541" s="63" t="s">
        <v>1684</v>
      </c>
      <c r="H541" s="64">
        <v>1.713367999999998</v>
      </c>
      <c r="I541" s="64" t="s">
        <v>221</v>
      </c>
    </row>
    <row r="542" spans="1:9" x14ac:dyDescent="0.25">
      <c r="A542" s="50" t="s">
        <v>239</v>
      </c>
      <c r="B542" s="51" t="s">
        <v>1676</v>
      </c>
      <c r="C542" s="52">
        <v>48</v>
      </c>
      <c r="D542" s="61">
        <f t="shared" si="16"/>
        <v>2.8467119999999975</v>
      </c>
      <c r="E542" s="62">
        <v>44098</v>
      </c>
      <c r="F542" s="63" t="s">
        <v>1730</v>
      </c>
      <c r="G542" s="63" t="s">
        <v>1684</v>
      </c>
      <c r="H542" s="64">
        <v>2.8467119999999975</v>
      </c>
      <c r="I542" s="64" t="s">
        <v>239</v>
      </c>
    </row>
    <row r="543" spans="1:9" x14ac:dyDescent="0.25">
      <c r="A543" s="50" t="s">
        <v>229</v>
      </c>
      <c r="B543" s="51" t="s">
        <v>1676</v>
      </c>
      <c r="C543" s="52">
        <v>4</v>
      </c>
      <c r="D543" s="61">
        <f t="shared" si="16"/>
        <v>6.4529899999999989</v>
      </c>
      <c r="E543" s="62">
        <v>44102</v>
      </c>
      <c r="F543" s="63" t="s">
        <v>1730</v>
      </c>
      <c r="G543" s="63" t="s">
        <v>1684</v>
      </c>
      <c r="H543" s="64">
        <v>6.4529899999999989</v>
      </c>
      <c r="I543" s="64" t="s">
        <v>229</v>
      </c>
    </row>
    <row r="544" spans="1:9" x14ac:dyDescent="0.25">
      <c r="A544" s="50" t="s">
        <v>309</v>
      </c>
      <c r="B544" s="51" t="s">
        <v>1676</v>
      </c>
      <c r="C544" s="52">
        <v>32</v>
      </c>
      <c r="D544" s="61">
        <f t="shared" si="16"/>
        <v>0.55000000000000004</v>
      </c>
      <c r="E544" s="62">
        <v>0</v>
      </c>
      <c r="F544" s="63" t="e">
        <v>#VALUE!</v>
      </c>
      <c r="G544" s="69" t="s">
        <v>1684</v>
      </c>
      <c r="H544" s="70">
        <v>0.5</v>
      </c>
      <c r="I544" s="64" t="s">
        <v>1712</v>
      </c>
    </row>
    <row r="545" spans="1:9" x14ac:dyDescent="0.25">
      <c r="A545" s="50" t="s">
        <v>280</v>
      </c>
      <c r="B545" s="51" t="s">
        <v>1676</v>
      </c>
      <c r="C545" s="52">
        <v>32</v>
      </c>
      <c r="D545" s="61">
        <f t="shared" si="16"/>
        <v>0.82500000000000007</v>
      </c>
      <c r="E545" s="62">
        <v>0</v>
      </c>
      <c r="F545" s="63" t="e">
        <v>#VALUE!</v>
      </c>
      <c r="G545" s="69" t="s">
        <v>1684</v>
      </c>
      <c r="H545" s="70">
        <v>0.75</v>
      </c>
      <c r="I545" s="64" t="s">
        <v>1712</v>
      </c>
    </row>
    <row r="546" spans="1:9" x14ac:dyDescent="0.25">
      <c r="A546" s="50" t="s">
        <v>312</v>
      </c>
      <c r="B546" s="51" t="s">
        <v>1676</v>
      </c>
      <c r="C546" s="52">
        <v>80</v>
      </c>
      <c r="D546" s="61">
        <f t="shared" si="16"/>
        <v>1.1000000000000001</v>
      </c>
      <c r="E546" s="62">
        <v>0</v>
      </c>
      <c r="F546" s="63" t="e">
        <v>#VALUE!</v>
      </c>
      <c r="G546" s="69" t="s">
        <v>1684</v>
      </c>
      <c r="H546" s="70">
        <v>1</v>
      </c>
      <c r="I546" s="64" t="s">
        <v>1712</v>
      </c>
    </row>
    <row r="547" spans="1:9" x14ac:dyDescent="0.25">
      <c r="A547" s="50" t="s">
        <v>240</v>
      </c>
      <c r="B547" s="51" t="s">
        <v>1676</v>
      </c>
      <c r="C547" s="52">
        <v>76</v>
      </c>
      <c r="D547" s="61">
        <f t="shared" si="16"/>
        <v>1.0415213493975914</v>
      </c>
      <c r="E547" s="62">
        <v>44098</v>
      </c>
      <c r="F547" s="63" t="s">
        <v>1730</v>
      </c>
      <c r="G547" s="63" t="s">
        <v>1684</v>
      </c>
      <c r="H547" s="64">
        <v>1.0415213493975914</v>
      </c>
      <c r="I547" s="64" t="s">
        <v>240</v>
      </c>
    </row>
    <row r="548" spans="1:9" x14ac:dyDescent="0.25">
      <c r="A548" s="50" t="s">
        <v>203</v>
      </c>
      <c r="B548" s="51" t="s">
        <v>1678</v>
      </c>
      <c r="C548" s="55">
        <v>3.85</v>
      </c>
      <c r="D548" s="142">
        <v>100</v>
      </c>
      <c r="E548" s="62">
        <v>44014</v>
      </c>
      <c r="F548" s="63" t="s">
        <v>1781</v>
      </c>
      <c r="G548" s="63" t="s">
        <v>1684</v>
      </c>
      <c r="H548" s="64">
        <v>41.904000000000003</v>
      </c>
      <c r="I548" s="64" t="s">
        <v>203</v>
      </c>
    </row>
    <row r="549" spans="1:9" x14ac:dyDescent="0.25">
      <c r="A549" s="50" t="s">
        <v>204</v>
      </c>
      <c r="B549" s="51" t="s">
        <v>1678</v>
      </c>
      <c r="C549" s="57">
        <v>39.4</v>
      </c>
      <c r="D549" s="142">
        <v>100</v>
      </c>
      <c r="E549" s="62">
        <v>44092</v>
      </c>
      <c r="F549" s="63" t="s">
        <v>1790</v>
      </c>
      <c r="G549" s="63" t="s">
        <v>1684</v>
      </c>
      <c r="H549" s="64">
        <v>47.988</v>
      </c>
      <c r="I549" s="64" t="s">
        <v>204</v>
      </c>
    </row>
    <row r="550" spans="1:9" x14ac:dyDescent="0.25">
      <c r="A550" s="50" t="s">
        <v>205</v>
      </c>
      <c r="B550" s="51" t="s">
        <v>1678</v>
      </c>
      <c r="C550" s="57">
        <v>14.4</v>
      </c>
      <c r="D550" s="142">
        <v>100</v>
      </c>
      <c r="E550" s="62">
        <v>43364</v>
      </c>
      <c r="F550" s="63" t="s">
        <v>1790</v>
      </c>
      <c r="G550" s="63" t="s">
        <v>1684</v>
      </c>
      <c r="H550" s="64">
        <v>50.832000000000001</v>
      </c>
      <c r="I550" s="64" t="s">
        <v>205</v>
      </c>
    </row>
    <row r="551" spans="1:9" x14ac:dyDescent="0.25">
      <c r="A551" s="50" t="s">
        <v>206</v>
      </c>
      <c r="B551" s="51" t="s">
        <v>1678</v>
      </c>
      <c r="C551" s="53">
        <v>92.495999999999995</v>
      </c>
      <c r="D551" s="142">
        <v>100</v>
      </c>
      <c r="E551" s="62">
        <v>44092</v>
      </c>
      <c r="F551" s="63" t="s">
        <v>1790</v>
      </c>
      <c r="G551" s="63" t="s">
        <v>1684</v>
      </c>
      <c r="H551" s="64">
        <v>48.791999999999994</v>
      </c>
      <c r="I551" s="64" t="s">
        <v>206</v>
      </c>
    </row>
    <row r="552" spans="1:9" x14ac:dyDescent="0.25">
      <c r="A552" s="50" t="s">
        <v>207</v>
      </c>
      <c r="B552" s="51" t="s">
        <v>1678</v>
      </c>
      <c r="C552" s="53">
        <v>4.2649999999999997</v>
      </c>
      <c r="D552" s="142">
        <v>100</v>
      </c>
      <c r="E552" s="62">
        <v>43243</v>
      </c>
      <c r="F552" s="63" t="s">
        <v>1791</v>
      </c>
      <c r="G552" s="63" t="s">
        <v>1684</v>
      </c>
      <c r="H552" s="64">
        <v>56.22</v>
      </c>
      <c r="I552" s="64" t="s">
        <v>207</v>
      </c>
    </row>
    <row r="553" spans="1:9" x14ac:dyDescent="0.25">
      <c r="A553" s="50" t="s">
        <v>208</v>
      </c>
      <c r="B553" s="51" t="s">
        <v>1678</v>
      </c>
      <c r="C553" s="53">
        <v>18.584</v>
      </c>
      <c r="D553" s="137">
        <f>H553 * IF(G553="руб", 1, 1.4 * (k_ru_dol*(G553="USD")+k_ru_evro*(G553="EUR")+k_ru_yuan*(G553="CNY"))/1.2) * IF(E553&lt;(дата_расчета - 365),1.1,1)   *2</f>
        <v>117.38399999999999</v>
      </c>
      <c r="E553" s="62">
        <v>44043</v>
      </c>
      <c r="F553" s="63" t="s">
        <v>1791</v>
      </c>
      <c r="G553" s="63" t="s">
        <v>1684</v>
      </c>
      <c r="H553" s="64">
        <v>58.691999999999993</v>
      </c>
      <c r="I553" s="64" t="s">
        <v>208</v>
      </c>
    </row>
    <row r="554" spans="1:9" x14ac:dyDescent="0.25">
      <c r="A554" s="50" t="s">
        <v>209</v>
      </c>
      <c r="B554" s="51" t="s">
        <v>1678</v>
      </c>
      <c r="C554" s="53">
        <v>2.8479999999999999</v>
      </c>
      <c r="D554" s="137">
        <f>H554 * IF(G554="руб", 1, 1.4 * (k_ru_dol*(G554="USD")+k_ru_evro*(G554="EUR")+k_ru_yuan*(G554="CNY"))/1.2) * IF(E554&lt;(дата_расчета - 365),1.1,1)   *2</f>
        <v>118.5624</v>
      </c>
      <c r="E554" s="62">
        <v>43592</v>
      </c>
      <c r="F554" s="63" t="s">
        <v>1790</v>
      </c>
      <c r="G554" s="63" t="s">
        <v>1684</v>
      </c>
      <c r="H554" s="64">
        <v>53.891999999999996</v>
      </c>
      <c r="I554" s="64" t="s">
        <v>209</v>
      </c>
    </row>
    <row r="555" spans="1:9" ht="26.25" x14ac:dyDescent="0.25">
      <c r="A555" s="50" t="s">
        <v>539</v>
      </c>
      <c r="B555" s="51" t="s">
        <v>1676</v>
      </c>
      <c r="C555" s="52">
        <v>2</v>
      </c>
      <c r="D555" s="61">
        <f t="shared" ref="D555:D567" si="17">H555 * IF(G555="руб", 1, 1.4 * (k_ru_dol*(G555="USD")+k_ru_evro*(G555="EUR")+k_ru_yuan*(G555="CNY"))/1.2) * IF(E555&lt;(дата_расчета - 365),1.1,1)</f>
        <v>95.607600000000019</v>
      </c>
      <c r="E555" s="62">
        <v>43124</v>
      </c>
      <c r="F555" s="63" t="s">
        <v>1689</v>
      </c>
      <c r="G555" s="63" t="s">
        <v>1684</v>
      </c>
      <c r="H555" s="64">
        <v>86.916000000000011</v>
      </c>
      <c r="I555" s="64" t="s">
        <v>1914</v>
      </c>
    </row>
    <row r="556" spans="1:9" x14ac:dyDescent="0.25">
      <c r="A556" s="50" t="s">
        <v>210</v>
      </c>
      <c r="B556" s="51" t="s">
        <v>1678</v>
      </c>
      <c r="C556" s="53">
        <v>246.31399999999999</v>
      </c>
      <c r="D556" s="61">
        <f t="shared" si="17"/>
        <v>246.10079999999999</v>
      </c>
      <c r="E556" s="62">
        <v>43206</v>
      </c>
      <c r="F556" s="63" t="s">
        <v>1915</v>
      </c>
      <c r="G556" s="63" t="s">
        <v>1684</v>
      </c>
      <c r="H556" s="64">
        <v>223.72799999999998</v>
      </c>
      <c r="I556" s="64" t="s">
        <v>1916</v>
      </c>
    </row>
    <row r="557" spans="1:9" x14ac:dyDescent="0.25">
      <c r="A557" s="50" t="s">
        <v>540</v>
      </c>
      <c r="B557" s="51" t="s">
        <v>1677</v>
      </c>
      <c r="C557" s="57">
        <v>1.3</v>
      </c>
      <c r="D557" s="61">
        <f t="shared" si="17"/>
        <v>792.00000000000011</v>
      </c>
      <c r="E557" s="62">
        <v>0</v>
      </c>
      <c r="F557" s="63" t="e">
        <v>#VALUE!</v>
      </c>
      <c r="G557" s="69" t="s">
        <v>1684</v>
      </c>
      <c r="H557" s="70">
        <v>720</v>
      </c>
      <c r="I557" s="64" t="s">
        <v>1712</v>
      </c>
    </row>
    <row r="558" spans="1:9" x14ac:dyDescent="0.25">
      <c r="A558" s="50" t="s">
        <v>541</v>
      </c>
      <c r="B558" s="51" t="s">
        <v>1676</v>
      </c>
      <c r="C558" s="52">
        <v>1</v>
      </c>
      <c r="D558" s="61">
        <f t="shared" si="17"/>
        <v>13770.834000000003</v>
      </c>
      <c r="E558" s="62">
        <v>43643</v>
      </c>
      <c r="F558" s="63" t="s">
        <v>1695</v>
      </c>
      <c r="G558" s="63" t="s">
        <v>1684</v>
      </c>
      <c r="H558" s="64">
        <v>12518.94</v>
      </c>
      <c r="I558" s="64" t="s">
        <v>1917</v>
      </c>
    </row>
    <row r="559" spans="1:9" x14ac:dyDescent="0.25">
      <c r="A559" s="50" t="s">
        <v>542</v>
      </c>
      <c r="B559" s="51" t="s">
        <v>1676</v>
      </c>
      <c r="C559" s="52">
        <v>6</v>
      </c>
      <c r="D559" s="61">
        <f t="shared" si="17"/>
        <v>6252.4440000000004</v>
      </c>
      <c r="E559" s="62">
        <v>43935</v>
      </c>
      <c r="F559" s="63" t="s">
        <v>1695</v>
      </c>
      <c r="G559" s="63" t="s">
        <v>1684</v>
      </c>
      <c r="H559" s="64">
        <v>5684.04</v>
      </c>
      <c r="I559" s="64" t="s">
        <v>1918</v>
      </c>
    </row>
    <row r="560" spans="1:9" x14ac:dyDescent="0.25">
      <c r="A560" s="50" t="s">
        <v>306</v>
      </c>
      <c r="B560" s="51" t="s">
        <v>1676</v>
      </c>
      <c r="C560" s="52">
        <v>4</v>
      </c>
      <c r="D560" s="61">
        <f t="shared" si="17"/>
        <v>287.88</v>
      </c>
      <c r="E560" s="62">
        <v>44061</v>
      </c>
      <c r="F560" s="63" t="s">
        <v>1730</v>
      </c>
      <c r="G560" s="63" t="s">
        <v>1684</v>
      </c>
      <c r="H560" s="64">
        <v>287.88</v>
      </c>
      <c r="I560" s="64" t="s">
        <v>306</v>
      </c>
    </row>
    <row r="561" spans="1:9" x14ac:dyDescent="0.25">
      <c r="A561" s="50" t="s">
        <v>211</v>
      </c>
      <c r="B561" s="51" t="s">
        <v>1676</v>
      </c>
      <c r="C561" s="55">
        <v>0.67</v>
      </c>
      <c r="D561" s="61">
        <f t="shared" si="17"/>
        <v>388.37999999999994</v>
      </c>
      <c r="E561" s="62">
        <v>44098</v>
      </c>
      <c r="F561" s="63" t="s">
        <v>1730</v>
      </c>
      <c r="G561" s="63" t="s">
        <v>1684</v>
      </c>
      <c r="H561" s="64">
        <v>388.37999999999994</v>
      </c>
      <c r="I561" s="64" t="s">
        <v>211</v>
      </c>
    </row>
    <row r="562" spans="1:9" x14ac:dyDescent="0.25">
      <c r="A562" s="50" t="s">
        <v>212</v>
      </c>
      <c r="B562" s="51" t="s">
        <v>1676</v>
      </c>
      <c r="C562" s="52">
        <v>32</v>
      </c>
      <c r="D562" s="61">
        <f t="shared" si="17"/>
        <v>3.48</v>
      </c>
      <c r="E562" s="62">
        <v>44054</v>
      </c>
      <c r="F562" s="63" t="s">
        <v>1730</v>
      </c>
      <c r="G562" s="63" t="s">
        <v>1684</v>
      </c>
      <c r="H562" s="64">
        <v>3.48</v>
      </c>
      <c r="I562" s="64" t="s">
        <v>212</v>
      </c>
    </row>
    <row r="563" spans="1:9" x14ac:dyDescent="0.25">
      <c r="A563" s="50" t="s">
        <v>213</v>
      </c>
      <c r="B563" s="51" t="s">
        <v>1676</v>
      </c>
      <c r="C563" s="52">
        <v>14</v>
      </c>
      <c r="D563" s="61">
        <f t="shared" si="17"/>
        <v>1.8348</v>
      </c>
      <c r="E563" s="62">
        <v>43901</v>
      </c>
      <c r="F563" s="63" t="s">
        <v>1730</v>
      </c>
      <c r="G563" s="63" t="s">
        <v>1684</v>
      </c>
      <c r="H563" s="64">
        <v>1.6679999999999999</v>
      </c>
      <c r="I563" s="64" t="s">
        <v>213</v>
      </c>
    </row>
    <row r="564" spans="1:9" x14ac:dyDescent="0.25">
      <c r="A564" s="50" t="s">
        <v>214</v>
      </c>
      <c r="B564" s="51" t="s">
        <v>1676</v>
      </c>
      <c r="C564" s="52">
        <v>38</v>
      </c>
      <c r="D564" s="61">
        <f t="shared" si="17"/>
        <v>1.32</v>
      </c>
      <c r="E564" s="62">
        <v>44088</v>
      </c>
      <c r="F564" s="63" t="s">
        <v>1730</v>
      </c>
      <c r="G564" s="63" t="s">
        <v>1684</v>
      </c>
      <c r="H564" s="64">
        <v>1.32</v>
      </c>
      <c r="I564" s="64" t="s">
        <v>214</v>
      </c>
    </row>
    <row r="565" spans="1:9" x14ac:dyDescent="0.25">
      <c r="A565" s="50" t="s">
        <v>543</v>
      </c>
      <c r="B565" s="51" t="s">
        <v>1676</v>
      </c>
      <c r="C565" s="52">
        <v>8</v>
      </c>
      <c r="D565" s="61">
        <f t="shared" si="17"/>
        <v>180.40440000000001</v>
      </c>
      <c r="E565" s="62">
        <v>43930</v>
      </c>
      <c r="F565" s="63" t="s">
        <v>1807</v>
      </c>
      <c r="G565" s="63" t="s">
        <v>1684</v>
      </c>
      <c r="H565" s="64">
        <v>164.00399999999999</v>
      </c>
      <c r="I565" s="64" t="s">
        <v>1919</v>
      </c>
    </row>
    <row r="566" spans="1:9" x14ac:dyDescent="0.25">
      <c r="A566" s="50" t="s">
        <v>544</v>
      </c>
      <c r="B566" s="51" t="s">
        <v>1676</v>
      </c>
      <c r="C566" s="52">
        <v>1</v>
      </c>
      <c r="D566" s="61">
        <f t="shared" si="17"/>
        <v>730.8</v>
      </c>
      <c r="E566" s="62">
        <v>44097</v>
      </c>
      <c r="F566" s="63" t="s">
        <v>1700</v>
      </c>
      <c r="G566" s="63" t="s">
        <v>1684</v>
      </c>
      <c r="H566" s="64">
        <v>730.8</v>
      </c>
      <c r="I566" s="64" t="s">
        <v>544</v>
      </c>
    </row>
    <row r="567" spans="1:9" x14ac:dyDescent="0.25">
      <c r="A567" s="50" t="s">
        <v>215</v>
      </c>
      <c r="B567" s="51" t="s">
        <v>1678</v>
      </c>
      <c r="C567" s="53">
        <v>99.885999999999996</v>
      </c>
      <c r="D567" s="61">
        <f t="shared" si="17"/>
        <v>405.74399999999997</v>
      </c>
      <c r="E567" s="62">
        <v>44039</v>
      </c>
      <c r="F567" s="63" t="s">
        <v>1768</v>
      </c>
      <c r="G567" s="63" t="s">
        <v>1684</v>
      </c>
      <c r="H567" s="64">
        <v>405.74399999999997</v>
      </c>
      <c r="I567" s="64" t="s">
        <v>215</v>
      </c>
    </row>
  </sheetData>
  <sortState ref="A5:I577">
    <sortCondition ref="A555"/>
  </sortState>
  <dataConsolidate/>
  <conditionalFormatting sqref="E5:E1000">
    <cfRule type="colorScale" priority="150">
      <colorScale>
        <cfvo type="formula" val="TODAY()-371"/>
        <cfvo type="formula" val="TODAY()"/>
        <color theme="1" tint="0.499984740745262"/>
        <color rgb="FF00FF00"/>
      </colorScale>
    </cfRule>
  </conditionalFormatting>
  <conditionalFormatting sqref="I5:I1000">
    <cfRule type="expression" dxfId="0" priority="149">
      <formula>I5&lt;&gt;A5</formula>
    </cfRule>
  </conditionalFormatting>
  <dataValidations count="1">
    <dataValidation type="list" allowBlank="1" showInputMessage="1" showErrorMessage="1" sqref="I184">
      <formula1>$K$30:$AZ$30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3756"/>
  <sheetViews>
    <sheetView workbookViewId="0">
      <pane ySplit="3" topLeftCell="A4" activePane="bottomLeft" state="frozenSplit"/>
      <selection pane="bottomLeft" activeCell="B4" sqref="B4"/>
    </sheetView>
  </sheetViews>
  <sheetFormatPr defaultRowHeight="15" x14ac:dyDescent="0.25"/>
  <cols>
    <col min="1" max="1" width="16.5703125" customWidth="1"/>
    <col min="2" max="2" width="55.5703125" customWidth="1"/>
    <col min="3" max="3" width="54.7109375" customWidth="1"/>
    <col min="4" max="4" width="52.7109375" customWidth="1"/>
    <col min="5" max="5" width="9.5703125" customWidth="1"/>
    <col min="6" max="6" width="10.28515625" customWidth="1"/>
    <col min="7" max="7" width="11.140625" customWidth="1"/>
  </cols>
  <sheetData>
    <row r="1" spans="1:7" ht="15.75" x14ac:dyDescent="0.25">
      <c r="A1" s="16" t="s">
        <v>580</v>
      </c>
    </row>
    <row r="3" spans="1:7" ht="25.5" x14ac:dyDescent="0.25">
      <c r="A3" s="19" t="s">
        <v>354</v>
      </c>
      <c r="B3" s="19" t="s">
        <v>0</v>
      </c>
      <c r="C3" s="19" t="s">
        <v>216</v>
      </c>
      <c r="D3" s="19" t="s">
        <v>2</v>
      </c>
      <c r="E3" s="19" t="s">
        <v>331</v>
      </c>
      <c r="F3" s="19" t="s">
        <v>355</v>
      </c>
      <c r="G3" s="19" t="s">
        <v>1</v>
      </c>
    </row>
    <row r="4" spans="1:7" x14ac:dyDescent="0.25">
      <c r="A4" s="20" t="s">
        <v>585</v>
      </c>
      <c r="B4" s="20" t="s">
        <v>1937</v>
      </c>
      <c r="C4" s="20" t="s">
        <v>1937</v>
      </c>
      <c r="D4" s="20"/>
      <c r="E4" s="21">
        <v>1</v>
      </c>
      <c r="F4" s="21">
        <v>1</v>
      </c>
      <c r="G4" s="22"/>
    </row>
    <row r="5" spans="1:7" x14ac:dyDescent="0.25">
      <c r="A5" s="20" t="s">
        <v>588</v>
      </c>
      <c r="B5" s="20" t="s">
        <v>71</v>
      </c>
      <c r="C5" s="20" t="s">
        <v>71</v>
      </c>
      <c r="D5" s="20" t="s">
        <v>589</v>
      </c>
      <c r="E5" s="24">
        <v>0.36299999999999999</v>
      </c>
      <c r="F5" s="24">
        <v>0.36299999999999999</v>
      </c>
      <c r="G5" s="22"/>
    </row>
    <row r="6" spans="1:7" x14ac:dyDescent="0.25">
      <c r="A6" s="20" t="s">
        <v>588</v>
      </c>
      <c r="B6" s="20" t="s">
        <v>101</v>
      </c>
      <c r="C6" s="20" t="s">
        <v>101</v>
      </c>
      <c r="D6" s="20" t="s">
        <v>590</v>
      </c>
      <c r="E6" s="25">
        <v>10.23</v>
      </c>
      <c r="F6" s="25">
        <v>10.23</v>
      </c>
      <c r="G6" s="22"/>
    </row>
    <row r="7" spans="1:7" x14ac:dyDescent="0.25">
      <c r="A7" s="20" t="s">
        <v>588</v>
      </c>
      <c r="B7" s="20" t="s">
        <v>101</v>
      </c>
      <c r="C7" s="20" t="s">
        <v>101</v>
      </c>
      <c r="D7" s="20" t="s">
        <v>591</v>
      </c>
      <c r="E7" s="24">
        <v>14.756</v>
      </c>
      <c r="F7" s="24">
        <v>14.756</v>
      </c>
      <c r="G7" s="22"/>
    </row>
    <row r="8" spans="1:7" x14ac:dyDescent="0.25">
      <c r="A8" s="20" t="s">
        <v>588</v>
      </c>
      <c r="B8" s="20" t="s">
        <v>592</v>
      </c>
      <c r="C8" s="20" t="s">
        <v>217</v>
      </c>
      <c r="D8" s="20" t="s">
        <v>593</v>
      </c>
      <c r="E8" s="26">
        <v>21.503170000000001</v>
      </c>
      <c r="F8" s="26">
        <v>43.006340000000002</v>
      </c>
      <c r="G8" s="22"/>
    </row>
    <row r="9" spans="1:7" x14ac:dyDescent="0.25">
      <c r="A9" s="20" t="s">
        <v>588</v>
      </c>
      <c r="B9" s="20" t="s">
        <v>77</v>
      </c>
      <c r="C9" s="20" t="s">
        <v>77</v>
      </c>
      <c r="D9" s="20" t="s">
        <v>594</v>
      </c>
      <c r="E9" s="24">
        <v>5.8710000000000004</v>
      </c>
      <c r="F9" s="24">
        <v>11.742000000000001</v>
      </c>
      <c r="G9" s="22"/>
    </row>
    <row r="10" spans="1:7" x14ac:dyDescent="0.25">
      <c r="A10" s="20" t="s">
        <v>595</v>
      </c>
      <c r="B10" s="20" t="s">
        <v>593</v>
      </c>
      <c r="C10" s="20" t="s">
        <v>593</v>
      </c>
      <c r="D10" s="20" t="s">
        <v>596</v>
      </c>
      <c r="E10" s="27">
        <v>1</v>
      </c>
      <c r="F10" s="27">
        <v>2</v>
      </c>
      <c r="G10" s="28">
        <v>10.563599999999999</v>
      </c>
    </row>
    <row r="11" spans="1:7" x14ac:dyDescent="0.25">
      <c r="A11" s="20" t="s">
        <v>595</v>
      </c>
      <c r="B11" s="20" t="s">
        <v>594</v>
      </c>
      <c r="C11" s="20" t="s">
        <v>594</v>
      </c>
      <c r="D11" s="20" t="s">
        <v>596</v>
      </c>
      <c r="E11" s="27">
        <v>1</v>
      </c>
      <c r="F11" s="27">
        <v>2</v>
      </c>
      <c r="G11" s="29">
        <v>3.0743299999999998</v>
      </c>
    </row>
    <row r="12" spans="1:7" x14ac:dyDescent="0.25">
      <c r="A12" s="20" t="s">
        <v>588</v>
      </c>
      <c r="B12" s="20" t="s">
        <v>67</v>
      </c>
      <c r="C12" s="20" t="s">
        <v>67</v>
      </c>
      <c r="D12" s="20" t="s">
        <v>596</v>
      </c>
      <c r="E12" s="24">
        <v>0.11899999999999999</v>
      </c>
      <c r="F12" s="24">
        <v>0.23799999999999999</v>
      </c>
      <c r="G12" s="22"/>
    </row>
    <row r="13" spans="1:7" x14ac:dyDescent="0.25">
      <c r="A13" s="20" t="s">
        <v>588</v>
      </c>
      <c r="B13" s="20" t="s">
        <v>146</v>
      </c>
      <c r="C13" s="20" t="s">
        <v>146</v>
      </c>
      <c r="D13" s="20" t="s">
        <v>596</v>
      </c>
      <c r="E13" s="25">
        <v>7.0000000000000007E-2</v>
      </c>
      <c r="F13" s="25">
        <v>0.14000000000000001</v>
      </c>
      <c r="G13" s="22"/>
    </row>
    <row r="14" spans="1:7" x14ac:dyDescent="0.25">
      <c r="A14" s="20" t="s">
        <v>597</v>
      </c>
      <c r="B14" s="20" t="s">
        <v>366</v>
      </c>
      <c r="C14" s="20" t="s">
        <v>366</v>
      </c>
      <c r="D14" s="20" t="s">
        <v>598</v>
      </c>
      <c r="E14" s="27">
        <v>1</v>
      </c>
      <c r="F14" s="27">
        <v>1</v>
      </c>
      <c r="G14" s="22"/>
    </row>
    <row r="15" spans="1:7" ht="22.5" x14ac:dyDescent="0.25">
      <c r="A15" s="20" t="s">
        <v>597</v>
      </c>
      <c r="B15" s="20" t="s">
        <v>367</v>
      </c>
      <c r="C15" s="20" t="s">
        <v>367</v>
      </c>
      <c r="D15" s="20" t="s">
        <v>598</v>
      </c>
      <c r="E15" s="27">
        <v>1</v>
      </c>
      <c r="F15" s="27">
        <v>1</v>
      </c>
      <c r="G15" s="22"/>
    </row>
    <row r="16" spans="1:7" ht="22.5" x14ac:dyDescent="0.25">
      <c r="A16" s="20" t="s">
        <v>597</v>
      </c>
      <c r="B16" s="20" t="s">
        <v>430</v>
      </c>
      <c r="C16" s="20" t="s">
        <v>430</v>
      </c>
      <c r="D16" s="20" t="s">
        <v>598</v>
      </c>
      <c r="E16" s="27">
        <v>1</v>
      </c>
      <c r="F16" s="27">
        <v>1</v>
      </c>
      <c r="G16" s="29">
        <v>0.56821999999999995</v>
      </c>
    </row>
    <row r="17" spans="1:7" x14ac:dyDescent="0.25">
      <c r="A17" s="20" t="s">
        <v>597</v>
      </c>
      <c r="B17" s="20" t="s">
        <v>468</v>
      </c>
      <c r="C17" s="20" t="s">
        <v>468</v>
      </c>
      <c r="D17" s="20" t="s">
        <v>598</v>
      </c>
      <c r="E17" s="27">
        <v>1</v>
      </c>
      <c r="F17" s="27">
        <v>1</v>
      </c>
      <c r="G17" s="22"/>
    </row>
    <row r="18" spans="1:7" x14ac:dyDescent="0.25">
      <c r="A18" s="20" t="s">
        <v>597</v>
      </c>
      <c r="B18" s="20" t="s">
        <v>526</v>
      </c>
      <c r="C18" s="20" t="s">
        <v>526</v>
      </c>
      <c r="D18" s="20" t="s">
        <v>598</v>
      </c>
      <c r="E18" s="27">
        <v>1</v>
      </c>
      <c r="F18" s="27">
        <v>1</v>
      </c>
      <c r="G18" s="22"/>
    </row>
    <row r="19" spans="1:7" x14ac:dyDescent="0.25">
      <c r="A19" s="20" t="s">
        <v>597</v>
      </c>
      <c r="B19" s="20" t="s">
        <v>534</v>
      </c>
      <c r="C19" s="20" t="s">
        <v>534</v>
      </c>
      <c r="D19" s="20" t="s">
        <v>598</v>
      </c>
      <c r="E19" s="27">
        <v>1</v>
      </c>
      <c r="F19" s="27">
        <v>1</v>
      </c>
      <c r="G19" s="22"/>
    </row>
    <row r="20" spans="1:7" x14ac:dyDescent="0.25">
      <c r="A20" s="20" t="s">
        <v>597</v>
      </c>
      <c r="B20" s="20" t="s">
        <v>544</v>
      </c>
      <c r="C20" s="20" t="s">
        <v>544</v>
      </c>
      <c r="D20" s="20" t="s">
        <v>598</v>
      </c>
      <c r="E20" s="27">
        <v>1</v>
      </c>
      <c r="F20" s="27">
        <v>1</v>
      </c>
      <c r="G20" s="22"/>
    </row>
    <row r="21" spans="1:7" x14ac:dyDescent="0.25">
      <c r="A21" s="20" t="s">
        <v>585</v>
      </c>
      <c r="B21" s="20" t="s">
        <v>599</v>
      </c>
      <c r="C21" s="20" t="s">
        <v>599</v>
      </c>
      <c r="D21" s="20" t="s">
        <v>600</v>
      </c>
      <c r="E21" s="27">
        <v>2</v>
      </c>
      <c r="F21" s="27">
        <v>2</v>
      </c>
      <c r="G21" s="28">
        <v>2.6271</v>
      </c>
    </row>
    <row r="22" spans="1:7" x14ac:dyDescent="0.25">
      <c r="A22" s="20" t="s">
        <v>585</v>
      </c>
      <c r="B22" s="20" t="s">
        <v>601</v>
      </c>
      <c r="C22" s="20" t="s">
        <v>601</v>
      </c>
      <c r="D22" s="20" t="s">
        <v>600</v>
      </c>
      <c r="E22" s="27">
        <v>4</v>
      </c>
      <c r="F22" s="27">
        <v>4</v>
      </c>
      <c r="G22" s="29">
        <v>82.16807</v>
      </c>
    </row>
    <row r="23" spans="1:7" x14ac:dyDescent="0.25">
      <c r="A23" s="20" t="s">
        <v>585</v>
      </c>
      <c r="B23" s="20" t="s">
        <v>602</v>
      </c>
      <c r="C23" s="20" t="s">
        <v>602</v>
      </c>
      <c r="D23" s="20" t="s">
        <v>600</v>
      </c>
      <c r="E23" s="27">
        <v>10</v>
      </c>
      <c r="F23" s="27">
        <v>10</v>
      </c>
      <c r="G23" s="29">
        <v>26.333829999999999</v>
      </c>
    </row>
    <row r="24" spans="1:7" x14ac:dyDescent="0.25">
      <c r="A24" s="20" t="s">
        <v>585</v>
      </c>
      <c r="B24" s="20" t="s">
        <v>603</v>
      </c>
      <c r="C24" s="20" t="s">
        <v>603</v>
      </c>
      <c r="D24" s="20" t="s">
        <v>600</v>
      </c>
      <c r="E24" s="27">
        <v>50</v>
      </c>
      <c r="F24" s="27">
        <v>50</v>
      </c>
      <c r="G24" s="29">
        <v>28.042619999999999</v>
      </c>
    </row>
    <row r="25" spans="1:7" x14ac:dyDescent="0.25">
      <c r="A25" s="20" t="s">
        <v>585</v>
      </c>
      <c r="B25" s="20" t="s">
        <v>604</v>
      </c>
      <c r="C25" s="20" t="s">
        <v>604</v>
      </c>
      <c r="D25" s="20" t="s">
        <v>600</v>
      </c>
      <c r="E25" s="27">
        <v>4</v>
      </c>
      <c r="F25" s="27">
        <v>4</v>
      </c>
      <c r="G25" s="29">
        <v>4.9579300000000002</v>
      </c>
    </row>
    <row r="26" spans="1:7" x14ac:dyDescent="0.25">
      <c r="A26" s="20" t="s">
        <v>595</v>
      </c>
      <c r="B26" s="20" t="s">
        <v>605</v>
      </c>
      <c r="C26" s="20" t="s">
        <v>605</v>
      </c>
      <c r="D26" s="20" t="s">
        <v>600</v>
      </c>
      <c r="E26" s="27">
        <v>11</v>
      </c>
      <c r="F26" s="27">
        <v>11</v>
      </c>
      <c r="G26" s="29">
        <v>1.0809800000000001</v>
      </c>
    </row>
    <row r="27" spans="1:7" x14ac:dyDescent="0.25">
      <c r="A27" s="20" t="s">
        <v>595</v>
      </c>
      <c r="B27" s="20" t="s">
        <v>606</v>
      </c>
      <c r="C27" s="20" t="s">
        <v>606</v>
      </c>
      <c r="D27" s="20" t="s">
        <v>600</v>
      </c>
      <c r="E27" s="27">
        <v>11</v>
      </c>
      <c r="F27" s="27">
        <v>11</v>
      </c>
      <c r="G27" s="29">
        <v>1.0809800000000001</v>
      </c>
    </row>
    <row r="28" spans="1:7" x14ac:dyDescent="0.25">
      <c r="A28" s="20" t="s">
        <v>595</v>
      </c>
      <c r="B28" s="20" t="s">
        <v>607</v>
      </c>
      <c r="C28" s="20" t="s">
        <v>607</v>
      </c>
      <c r="D28" s="20" t="s">
        <v>600</v>
      </c>
      <c r="E28" s="27">
        <v>8</v>
      </c>
      <c r="F28" s="27">
        <v>8</v>
      </c>
      <c r="G28" s="29">
        <v>1.40137</v>
      </c>
    </row>
    <row r="29" spans="1:7" x14ac:dyDescent="0.25">
      <c r="A29" s="20" t="s">
        <v>595</v>
      </c>
      <c r="B29" s="20" t="s">
        <v>608</v>
      </c>
      <c r="C29" s="20" t="s">
        <v>608</v>
      </c>
      <c r="D29" s="20" t="s">
        <v>600</v>
      </c>
      <c r="E29" s="27">
        <v>10</v>
      </c>
      <c r="F29" s="27">
        <v>10</v>
      </c>
      <c r="G29" s="29">
        <v>6.0740000000000002E-2</v>
      </c>
    </row>
    <row r="30" spans="1:7" x14ac:dyDescent="0.25">
      <c r="A30" s="20" t="s">
        <v>595</v>
      </c>
      <c r="B30" s="20" t="s">
        <v>609</v>
      </c>
      <c r="C30" s="20" t="s">
        <v>609</v>
      </c>
      <c r="D30" s="20" t="s">
        <v>600</v>
      </c>
      <c r="E30" s="27">
        <v>10</v>
      </c>
      <c r="F30" s="27">
        <v>10</v>
      </c>
      <c r="G30" s="29">
        <v>3.703E-2</v>
      </c>
    </row>
    <row r="31" spans="1:7" x14ac:dyDescent="0.25">
      <c r="A31" s="20" t="s">
        <v>595</v>
      </c>
      <c r="B31" s="20" t="s">
        <v>610</v>
      </c>
      <c r="C31" s="20" t="s">
        <v>610</v>
      </c>
      <c r="D31" s="20" t="s">
        <v>600</v>
      </c>
      <c r="E31" s="27">
        <v>80</v>
      </c>
      <c r="F31" s="27">
        <v>80</v>
      </c>
      <c r="G31" s="29">
        <v>0.86478999999999995</v>
      </c>
    </row>
    <row r="32" spans="1:7" x14ac:dyDescent="0.25">
      <c r="A32" s="20" t="s">
        <v>595</v>
      </c>
      <c r="B32" s="20" t="s">
        <v>611</v>
      </c>
      <c r="C32" s="20" t="s">
        <v>611</v>
      </c>
      <c r="D32" s="20" t="s">
        <v>600</v>
      </c>
      <c r="E32" s="27">
        <v>48</v>
      </c>
      <c r="F32" s="27">
        <v>48</v>
      </c>
      <c r="G32" s="29">
        <v>1.487E-2</v>
      </c>
    </row>
    <row r="33" spans="1:7" x14ac:dyDescent="0.25">
      <c r="A33" s="20" t="s">
        <v>595</v>
      </c>
      <c r="B33" s="20" t="s">
        <v>612</v>
      </c>
      <c r="C33" s="20" t="s">
        <v>612</v>
      </c>
      <c r="D33" s="20" t="s">
        <v>600</v>
      </c>
      <c r="E33" s="27">
        <v>6</v>
      </c>
      <c r="F33" s="27">
        <v>6</v>
      </c>
      <c r="G33" s="29">
        <v>0.27456999999999998</v>
      </c>
    </row>
    <row r="34" spans="1:7" x14ac:dyDescent="0.25">
      <c r="A34" s="20" t="s">
        <v>595</v>
      </c>
      <c r="B34" s="20" t="s">
        <v>613</v>
      </c>
      <c r="C34" s="20" t="s">
        <v>613</v>
      </c>
      <c r="D34" s="20" t="s">
        <v>600</v>
      </c>
      <c r="E34" s="27">
        <v>10</v>
      </c>
      <c r="F34" s="27">
        <v>10</v>
      </c>
      <c r="G34" s="29">
        <v>2.8542700000000001</v>
      </c>
    </row>
    <row r="35" spans="1:7" x14ac:dyDescent="0.25">
      <c r="A35" s="20" t="s">
        <v>595</v>
      </c>
      <c r="B35" s="20" t="s">
        <v>614</v>
      </c>
      <c r="C35" s="20" t="s">
        <v>614</v>
      </c>
      <c r="D35" s="20" t="s">
        <v>600</v>
      </c>
      <c r="E35" s="27">
        <v>24</v>
      </c>
      <c r="F35" s="27">
        <v>24</v>
      </c>
      <c r="G35" s="29">
        <v>2.2780000000000002E-2</v>
      </c>
    </row>
    <row r="36" spans="1:7" x14ac:dyDescent="0.25">
      <c r="A36" s="20" t="s">
        <v>595</v>
      </c>
      <c r="B36" s="20" t="s">
        <v>615</v>
      </c>
      <c r="C36" s="20" t="s">
        <v>615</v>
      </c>
      <c r="D36" s="20" t="s">
        <v>600</v>
      </c>
      <c r="E36" s="27">
        <v>12</v>
      </c>
      <c r="F36" s="27">
        <v>12</v>
      </c>
      <c r="G36" s="29">
        <v>0.32214999999999999</v>
      </c>
    </row>
    <row r="37" spans="1:7" x14ac:dyDescent="0.25">
      <c r="A37" s="20" t="s">
        <v>595</v>
      </c>
      <c r="B37" s="20" t="s">
        <v>616</v>
      </c>
      <c r="C37" s="20" t="s">
        <v>616</v>
      </c>
      <c r="D37" s="20" t="s">
        <v>600</v>
      </c>
      <c r="E37" s="27">
        <v>12</v>
      </c>
      <c r="F37" s="27">
        <v>12</v>
      </c>
      <c r="G37" s="29">
        <v>6.9110000000000005E-2</v>
      </c>
    </row>
    <row r="38" spans="1:7" x14ac:dyDescent="0.25">
      <c r="A38" s="20" t="s">
        <v>595</v>
      </c>
      <c r="B38" s="20" t="s">
        <v>617</v>
      </c>
      <c r="C38" s="20" t="s">
        <v>617</v>
      </c>
      <c r="D38" s="20" t="s">
        <v>600</v>
      </c>
      <c r="E38" s="27">
        <v>1</v>
      </c>
      <c r="F38" s="27">
        <v>1</v>
      </c>
      <c r="G38" s="29">
        <v>18.75817</v>
      </c>
    </row>
    <row r="39" spans="1:7" x14ac:dyDescent="0.25">
      <c r="A39" s="20" t="s">
        <v>595</v>
      </c>
      <c r="B39" s="20" t="s">
        <v>618</v>
      </c>
      <c r="C39" s="20" t="s">
        <v>618</v>
      </c>
      <c r="D39" s="20" t="s">
        <v>600</v>
      </c>
      <c r="E39" s="27">
        <v>1</v>
      </c>
      <c r="F39" s="27">
        <v>1</v>
      </c>
      <c r="G39" s="29">
        <v>1.1409899999999999</v>
      </c>
    </row>
    <row r="40" spans="1:7" x14ac:dyDescent="0.25">
      <c r="A40" s="20" t="s">
        <v>595</v>
      </c>
      <c r="B40" s="20" t="s">
        <v>619</v>
      </c>
      <c r="C40" s="20" t="s">
        <v>619</v>
      </c>
      <c r="D40" s="20" t="s">
        <v>600</v>
      </c>
      <c r="E40" s="27">
        <v>1</v>
      </c>
      <c r="F40" s="27">
        <v>1</v>
      </c>
      <c r="G40" s="29">
        <v>6.9165400000000004</v>
      </c>
    </row>
    <row r="41" spans="1:7" ht="22.5" x14ac:dyDescent="0.25">
      <c r="A41" s="20" t="s">
        <v>620</v>
      </c>
      <c r="B41" s="20" t="s">
        <v>621</v>
      </c>
      <c r="C41" s="20" t="s">
        <v>552</v>
      </c>
      <c r="D41" s="20" t="s">
        <v>600</v>
      </c>
      <c r="E41" s="30">
        <v>1350</v>
      </c>
      <c r="F41" s="30">
        <v>1350</v>
      </c>
      <c r="G41" s="28">
        <v>4.6600000000000003E-2</v>
      </c>
    </row>
    <row r="42" spans="1:7" ht="22.5" x14ac:dyDescent="0.25">
      <c r="A42" s="20" t="s">
        <v>620</v>
      </c>
      <c r="B42" s="20" t="s">
        <v>622</v>
      </c>
      <c r="C42" s="20" t="s">
        <v>256</v>
      </c>
      <c r="D42" s="20" t="s">
        <v>600</v>
      </c>
      <c r="E42" s="27">
        <v>64</v>
      </c>
      <c r="F42" s="27">
        <v>64</v>
      </c>
      <c r="G42" s="28">
        <v>1.52E-2</v>
      </c>
    </row>
    <row r="43" spans="1:7" ht="22.5" x14ac:dyDescent="0.25">
      <c r="A43" s="20" t="s">
        <v>620</v>
      </c>
      <c r="B43" s="20" t="s">
        <v>623</v>
      </c>
      <c r="C43" s="20" t="s">
        <v>285</v>
      </c>
      <c r="D43" s="20" t="s">
        <v>600</v>
      </c>
      <c r="E43" s="30">
        <v>1200</v>
      </c>
      <c r="F43" s="30">
        <v>1200</v>
      </c>
      <c r="G43" s="28">
        <v>1.67E-2</v>
      </c>
    </row>
    <row r="44" spans="1:7" ht="22.5" x14ac:dyDescent="0.25">
      <c r="A44" s="20" t="s">
        <v>620</v>
      </c>
      <c r="B44" s="20" t="s">
        <v>624</v>
      </c>
      <c r="C44" s="20" t="s">
        <v>557</v>
      </c>
      <c r="D44" s="20" t="s">
        <v>600</v>
      </c>
      <c r="E44" s="30">
        <v>1350</v>
      </c>
      <c r="F44" s="30">
        <v>1350</v>
      </c>
      <c r="G44" s="28">
        <v>1.9900000000000001E-2</v>
      </c>
    </row>
    <row r="45" spans="1:7" ht="22.5" x14ac:dyDescent="0.25">
      <c r="A45" s="20" t="s">
        <v>620</v>
      </c>
      <c r="B45" s="20" t="s">
        <v>625</v>
      </c>
      <c r="C45" s="20" t="s">
        <v>219</v>
      </c>
      <c r="D45" s="20" t="s">
        <v>600</v>
      </c>
      <c r="E45" s="30">
        <v>1264</v>
      </c>
      <c r="F45" s="30">
        <v>1264</v>
      </c>
      <c r="G45" s="29">
        <v>7.1399999999999996E-3</v>
      </c>
    </row>
    <row r="46" spans="1:7" x14ac:dyDescent="0.25">
      <c r="A46" s="20" t="s">
        <v>595</v>
      </c>
      <c r="B46" s="20" t="s">
        <v>626</v>
      </c>
      <c r="C46" s="20" t="s">
        <v>626</v>
      </c>
      <c r="D46" s="20" t="s">
        <v>627</v>
      </c>
      <c r="E46" s="27">
        <v>6</v>
      </c>
      <c r="F46" s="27">
        <v>6</v>
      </c>
      <c r="G46" s="29">
        <v>6.9958099999999996</v>
      </c>
    </row>
    <row r="47" spans="1:7" x14ac:dyDescent="0.25">
      <c r="A47" s="20" t="s">
        <v>595</v>
      </c>
      <c r="B47" s="20" t="s">
        <v>628</v>
      </c>
      <c r="C47" s="20" t="s">
        <v>628</v>
      </c>
      <c r="D47" s="20" t="s">
        <v>627</v>
      </c>
      <c r="E47" s="27">
        <v>24</v>
      </c>
      <c r="F47" s="27">
        <v>24</v>
      </c>
      <c r="G47" s="29">
        <v>6.52644</v>
      </c>
    </row>
    <row r="48" spans="1:7" x14ac:dyDescent="0.25">
      <c r="A48" s="20" t="s">
        <v>595</v>
      </c>
      <c r="B48" s="20" t="s">
        <v>629</v>
      </c>
      <c r="C48" s="20" t="s">
        <v>629</v>
      </c>
      <c r="D48" s="20" t="s">
        <v>627</v>
      </c>
      <c r="E48" s="27">
        <v>24</v>
      </c>
      <c r="F48" s="27">
        <v>24</v>
      </c>
      <c r="G48" s="28">
        <v>6.6043000000000003</v>
      </c>
    </row>
    <row r="49" spans="1:7" x14ac:dyDescent="0.25">
      <c r="A49" s="20" t="s">
        <v>595</v>
      </c>
      <c r="B49" s="20" t="s">
        <v>630</v>
      </c>
      <c r="C49" s="20" t="s">
        <v>630</v>
      </c>
      <c r="D49" s="20" t="s">
        <v>631</v>
      </c>
      <c r="E49" s="27">
        <v>48</v>
      </c>
      <c r="F49" s="27">
        <v>48</v>
      </c>
      <c r="G49" s="29">
        <v>8.64696</v>
      </c>
    </row>
    <row r="50" spans="1:7" x14ac:dyDescent="0.25">
      <c r="A50" s="20" t="s">
        <v>595</v>
      </c>
      <c r="B50" s="20" t="s">
        <v>632</v>
      </c>
      <c r="C50" s="20" t="s">
        <v>632</v>
      </c>
      <c r="D50" s="20" t="s">
        <v>631</v>
      </c>
      <c r="E50" s="27">
        <v>48</v>
      </c>
      <c r="F50" s="27">
        <v>48</v>
      </c>
      <c r="G50" s="29">
        <v>8.6505899999999993</v>
      </c>
    </row>
    <row r="51" spans="1:7" x14ac:dyDescent="0.25">
      <c r="A51" s="20" t="s">
        <v>595</v>
      </c>
      <c r="B51" s="20" t="s">
        <v>633</v>
      </c>
      <c r="C51" s="20" t="s">
        <v>633</v>
      </c>
      <c r="D51" s="20" t="s">
        <v>634</v>
      </c>
      <c r="E51" s="27">
        <v>24</v>
      </c>
      <c r="F51" s="27">
        <v>24</v>
      </c>
      <c r="G51" s="29">
        <v>8.4798799999999996</v>
      </c>
    </row>
    <row r="52" spans="1:7" x14ac:dyDescent="0.25">
      <c r="A52" s="20" t="s">
        <v>595</v>
      </c>
      <c r="B52" s="20" t="s">
        <v>630</v>
      </c>
      <c r="C52" s="20" t="s">
        <v>630</v>
      </c>
      <c r="D52" s="20" t="s">
        <v>634</v>
      </c>
      <c r="E52" s="27">
        <v>24</v>
      </c>
      <c r="F52" s="27">
        <v>24</v>
      </c>
      <c r="G52" s="29">
        <v>8.64696</v>
      </c>
    </row>
    <row r="53" spans="1:7" x14ac:dyDescent="0.25">
      <c r="A53" s="20" t="s">
        <v>595</v>
      </c>
      <c r="B53" s="20" t="s">
        <v>635</v>
      </c>
      <c r="C53" s="20" t="s">
        <v>635</v>
      </c>
      <c r="D53" s="20" t="s">
        <v>634</v>
      </c>
      <c r="E53" s="27">
        <v>48</v>
      </c>
      <c r="F53" s="27">
        <v>48</v>
      </c>
      <c r="G53" s="29">
        <v>8.1093799999999998</v>
      </c>
    </row>
    <row r="54" spans="1:7" x14ac:dyDescent="0.25">
      <c r="A54" s="20" t="s">
        <v>595</v>
      </c>
      <c r="B54" s="20" t="s">
        <v>636</v>
      </c>
      <c r="C54" s="20" t="s">
        <v>636</v>
      </c>
      <c r="D54" s="20" t="s">
        <v>634</v>
      </c>
      <c r="E54" s="27">
        <v>24</v>
      </c>
      <c r="F54" s="27">
        <v>24</v>
      </c>
      <c r="G54" s="29">
        <v>0.42026000000000002</v>
      </c>
    </row>
    <row r="55" spans="1:7" x14ac:dyDescent="0.25">
      <c r="A55" s="20" t="s">
        <v>595</v>
      </c>
      <c r="B55" s="20" t="s">
        <v>630</v>
      </c>
      <c r="C55" s="20" t="s">
        <v>630</v>
      </c>
      <c r="D55" s="20" t="s">
        <v>637</v>
      </c>
      <c r="E55" s="27">
        <v>48</v>
      </c>
      <c r="F55" s="27">
        <v>192</v>
      </c>
      <c r="G55" s="29">
        <v>8.64696</v>
      </c>
    </row>
    <row r="56" spans="1:7" x14ac:dyDescent="0.25">
      <c r="A56" s="20" t="s">
        <v>595</v>
      </c>
      <c r="B56" s="20" t="s">
        <v>632</v>
      </c>
      <c r="C56" s="20" t="s">
        <v>632</v>
      </c>
      <c r="D56" s="20" t="s">
        <v>637</v>
      </c>
      <c r="E56" s="27">
        <v>48</v>
      </c>
      <c r="F56" s="27">
        <v>192</v>
      </c>
      <c r="G56" s="29">
        <v>8.6505899999999993</v>
      </c>
    </row>
    <row r="57" spans="1:7" x14ac:dyDescent="0.25">
      <c r="A57" s="20" t="s">
        <v>595</v>
      </c>
      <c r="B57" s="20" t="s">
        <v>638</v>
      </c>
      <c r="C57" s="20" t="s">
        <v>638</v>
      </c>
      <c r="D57" s="20" t="s">
        <v>639</v>
      </c>
      <c r="E57" s="27">
        <v>24</v>
      </c>
      <c r="F57" s="27">
        <v>24</v>
      </c>
      <c r="G57" s="28">
        <v>3.7465000000000002</v>
      </c>
    </row>
    <row r="58" spans="1:7" x14ac:dyDescent="0.25">
      <c r="A58" s="20" t="s">
        <v>595</v>
      </c>
      <c r="B58" s="20" t="s">
        <v>640</v>
      </c>
      <c r="C58" s="20" t="s">
        <v>640</v>
      </c>
      <c r="D58" s="20" t="s">
        <v>639</v>
      </c>
      <c r="E58" s="27">
        <v>48</v>
      </c>
      <c r="F58" s="27">
        <v>48</v>
      </c>
      <c r="G58" s="29">
        <v>3.1250399999999998</v>
      </c>
    </row>
    <row r="59" spans="1:7" x14ac:dyDescent="0.25">
      <c r="A59" s="20" t="s">
        <v>597</v>
      </c>
      <c r="B59" s="20" t="s">
        <v>369</v>
      </c>
      <c r="C59" s="20" t="s">
        <v>369</v>
      </c>
      <c r="D59" s="20" t="s">
        <v>641</v>
      </c>
      <c r="E59" s="27">
        <v>1</v>
      </c>
      <c r="F59" s="27">
        <v>1</v>
      </c>
      <c r="G59" s="22"/>
    </row>
    <row r="60" spans="1:7" x14ac:dyDescent="0.25">
      <c r="A60" s="20" t="s">
        <v>597</v>
      </c>
      <c r="B60" s="20" t="s">
        <v>642</v>
      </c>
      <c r="C60" s="20" t="s">
        <v>372</v>
      </c>
      <c r="D60" s="20" t="s">
        <v>641</v>
      </c>
      <c r="E60" s="27">
        <v>1</v>
      </c>
      <c r="F60" s="27">
        <v>1</v>
      </c>
      <c r="G60" s="29">
        <v>3.3949400000000001</v>
      </c>
    </row>
    <row r="61" spans="1:7" x14ac:dyDescent="0.25">
      <c r="A61" s="20" t="s">
        <v>597</v>
      </c>
      <c r="B61" s="20" t="s">
        <v>643</v>
      </c>
      <c r="C61" s="20" t="s">
        <v>379</v>
      </c>
      <c r="D61" s="20" t="s">
        <v>641</v>
      </c>
      <c r="E61" s="27">
        <v>8</v>
      </c>
      <c r="F61" s="27">
        <v>8</v>
      </c>
      <c r="G61" s="31">
        <v>0.12</v>
      </c>
    </row>
    <row r="62" spans="1:7" x14ac:dyDescent="0.25">
      <c r="A62" s="20" t="s">
        <v>597</v>
      </c>
      <c r="B62" s="20" t="s">
        <v>384</v>
      </c>
      <c r="C62" s="20" t="s">
        <v>384</v>
      </c>
      <c r="D62" s="20" t="s">
        <v>641</v>
      </c>
      <c r="E62" s="27">
        <v>1</v>
      </c>
      <c r="F62" s="27">
        <v>1</v>
      </c>
      <c r="G62" s="22"/>
    </row>
    <row r="63" spans="1:7" x14ac:dyDescent="0.25">
      <c r="A63" s="20" t="s">
        <v>597</v>
      </c>
      <c r="B63" s="20" t="s">
        <v>644</v>
      </c>
      <c r="C63" s="20" t="s">
        <v>385</v>
      </c>
      <c r="D63" s="20" t="s">
        <v>641</v>
      </c>
      <c r="E63" s="27">
        <v>4</v>
      </c>
      <c r="F63" s="27">
        <v>4</v>
      </c>
      <c r="G63" s="29">
        <v>0.76934999999999998</v>
      </c>
    </row>
    <row r="64" spans="1:7" x14ac:dyDescent="0.25">
      <c r="A64" s="20" t="s">
        <v>597</v>
      </c>
      <c r="B64" s="20" t="s">
        <v>386</v>
      </c>
      <c r="C64" s="20" t="s">
        <v>386</v>
      </c>
      <c r="D64" s="20" t="s">
        <v>641</v>
      </c>
      <c r="E64" s="27">
        <v>1</v>
      </c>
      <c r="F64" s="27">
        <v>1</v>
      </c>
      <c r="G64" s="22"/>
    </row>
    <row r="65" spans="1:7" x14ac:dyDescent="0.25">
      <c r="A65" s="20" t="s">
        <v>597</v>
      </c>
      <c r="B65" s="20" t="s">
        <v>416</v>
      </c>
      <c r="C65" s="20" t="s">
        <v>416</v>
      </c>
      <c r="D65" s="20" t="s">
        <v>641</v>
      </c>
      <c r="E65" s="27">
        <v>1</v>
      </c>
      <c r="F65" s="27">
        <v>1</v>
      </c>
      <c r="G65" s="22"/>
    </row>
    <row r="66" spans="1:7" x14ac:dyDescent="0.25">
      <c r="A66" s="20" t="s">
        <v>597</v>
      </c>
      <c r="B66" s="20" t="s">
        <v>494</v>
      </c>
      <c r="C66" s="20" t="s">
        <v>494</v>
      </c>
      <c r="D66" s="20" t="s">
        <v>641</v>
      </c>
      <c r="E66" s="27">
        <v>1</v>
      </c>
      <c r="F66" s="27">
        <v>1</v>
      </c>
      <c r="G66" s="22"/>
    </row>
    <row r="67" spans="1:7" x14ac:dyDescent="0.25">
      <c r="A67" s="20" t="s">
        <v>597</v>
      </c>
      <c r="B67" s="20" t="s">
        <v>495</v>
      </c>
      <c r="C67" s="20" t="s">
        <v>495</v>
      </c>
      <c r="D67" s="20" t="s">
        <v>641</v>
      </c>
      <c r="E67" s="27">
        <v>1</v>
      </c>
      <c r="F67" s="27">
        <v>1</v>
      </c>
      <c r="G67" s="22"/>
    </row>
    <row r="68" spans="1:7" x14ac:dyDescent="0.25">
      <c r="A68" s="20" t="s">
        <v>597</v>
      </c>
      <c r="B68" s="20" t="s">
        <v>517</v>
      </c>
      <c r="C68" s="20" t="s">
        <v>517</v>
      </c>
      <c r="D68" s="20" t="s">
        <v>641</v>
      </c>
      <c r="E68" s="27">
        <v>8</v>
      </c>
      <c r="F68" s="27">
        <v>8</v>
      </c>
      <c r="G68" s="29">
        <v>3.8969999999999998E-2</v>
      </c>
    </row>
    <row r="69" spans="1:7" x14ac:dyDescent="0.25">
      <c r="A69" s="20" t="s">
        <v>595</v>
      </c>
      <c r="B69" s="20" t="s">
        <v>645</v>
      </c>
      <c r="C69" s="20" t="s">
        <v>645</v>
      </c>
      <c r="D69" s="20" t="s">
        <v>646</v>
      </c>
      <c r="E69" s="27">
        <v>1</v>
      </c>
      <c r="F69" s="27">
        <v>1</v>
      </c>
      <c r="G69" s="29">
        <v>4.21028</v>
      </c>
    </row>
    <row r="70" spans="1:7" x14ac:dyDescent="0.25">
      <c r="A70" s="20" t="s">
        <v>595</v>
      </c>
      <c r="B70" s="20" t="s">
        <v>647</v>
      </c>
      <c r="C70" s="20" t="s">
        <v>647</v>
      </c>
      <c r="D70" s="20" t="s">
        <v>646</v>
      </c>
      <c r="E70" s="27">
        <v>2</v>
      </c>
      <c r="F70" s="27">
        <v>2</v>
      </c>
      <c r="G70" s="28">
        <v>0.36120000000000002</v>
      </c>
    </row>
    <row r="71" spans="1:7" ht="22.5" x14ac:dyDescent="0.25">
      <c r="A71" s="20" t="s">
        <v>620</v>
      </c>
      <c r="B71" s="20" t="s">
        <v>648</v>
      </c>
      <c r="C71" s="20" t="s">
        <v>218</v>
      </c>
      <c r="D71" s="20" t="s">
        <v>646</v>
      </c>
      <c r="E71" s="27">
        <v>8</v>
      </c>
      <c r="F71" s="27">
        <v>8</v>
      </c>
      <c r="G71" s="29">
        <v>1.325E-2</v>
      </c>
    </row>
    <row r="72" spans="1:7" ht="22.5" x14ac:dyDescent="0.25">
      <c r="A72" s="20" t="s">
        <v>620</v>
      </c>
      <c r="B72" s="20" t="s">
        <v>625</v>
      </c>
      <c r="C72" s="20" t="s">
        <v>219</v>
      </c>
      <c r="D72" s="20" t="s">
        <v>646</v>
      </c>
      <c r="E72" s="27">
        <v>8</v>
      </c>
      <c r="F72" s="27">
        <v>8</v>
      </c>
      <c r="G72" s="29">
        <v>7.1399999999999996E-3</v>
      </c>
    </row>
    <row r="73" spans="1:7" x14ac:dyDescent="0.25">
      <c r="A73" s="20" t="s">
        <v>588</v>
      </c>
      <c r="B73" s="20" t="s">
        <v>128</v>
      </c>
      <c r="C73" s="20" t="s">
        <v>128</v>
      </c>
      <c r="D73" s="20" t="s">
        <v>645</v>
      </c>
      <c r="E73" s="26">
        <v>6.6764299999999999</v>
      </c>
      <c r="F73" s="26">
        <v>6.6764299999999999</v>
      </c>
      <c r="G73" s="22"/>
    </row>
    <row r="74" spans="1:7" x14ac:dyDescent="0.25">
      <c r="A74" s="20" t="s">
        <v>588</v>
      </c>
      <c r="B74" s="20" t="s">
        <v>128</v>
      </c>
      <c r="C74" s="20" t="s">
        <v>128</v>
      </c>
      <c r="D74" s="20" t="s">
        <v>647</v>
      </c>
      <c r="E74" s="26">
        <v>0.43718000000000001</v>
      </c>
      <c r="F74" s="26">
        <v>0.87436000000000003</v>
      </c>
      <c r="G74" s="22"/>
    </row>
    <row r="75" spans="1:7" x14ac:dyDescent="0.25">
      <c r="A75" s="20" t="s">
        <v>588</v>
      </c>
      <c r="B75" s="20" t="s">
        <v>44</v>
      </c>
      <c r="C75" s="20" t="s">
        <v>44</v>
      </c>
      <c r="D75" s="20" t="s">
        <v>649</v>
      </c>
      <c r="E75" s="24">
        <v>6.5000000000000002E-2</v>
      </c>
      <c r="F75" s="24">
        <v>6.5000000000000002E-2</v>
      </c>
      <c r="G75" s="22"/>
    </row>
    <row r="76" spans="1:7" x14ac:dyDescent="0.25">
      <c r="A76" s="20" t="s">
        <v>588</v>
      </c>
      <c r="B76" s="20" t="s">
        <v>139</v>
      </c>
      <c r="C76" s="20" t="s">
        <v>139</v>
      </c>
      <c r="D76" s="20" t="s">
        <v>649</v>
      </c>
      <c r="E76" s="24">
        <v>7.0000000000000001E-3</v>
      </c>
      <c r="F76" s="24">
        <v>7.0000000000000001E-3</v>
      </c>
      <c r="G76" s="22"/>
    </row>
    <row r="77" spans="1:7" x14ac:dyDescent="0.25">
      <c r="A77" s="20" t="s">
        <v>588</v>
      </c>
      <c r="B77" s="20" t="s">
        <v>156</v>
      </c>
      <c r="C77" s="20" t="s">
        <v>156</v>
      </c>
      <c r="D77" s="20" t="s">
        <v>649</v>
      </c>
      <c r="E77" s="25">
        <v>0.02</v>
      </c>
      <c r="F77" s="25">
        <v>0.02</v>
      </c>
      <c r="G77" s="22"/>
    </row>
    <row r="78" spans="1:7" x14ac:dyDescent="0.25">
      <c r="A78" s="20" t="s">
        <v>588</v>
      </c>
      <c r="B78" s="20" t="s">
        <v>200</v>
      </c>
      <c r="C78" s="20" t="s">
        <v>200</v>
      </c>
      <c r="D78" s="20" t="s">
        <v>649</v>
      </c>
      <c r="E78" s="25">
        <v>0.02</v>
      </c>
      <c r="F78" s="25">
        <v>0.02</v>
      </c>
      <c r="G78" s="22"/>
    </row>
    <row r="79" spans="1:7" x14ac:dyDescent="0.25">
      <c r="A79" s="20" t="s">
        <v>588</v>
      </c>
      <c r="B79" s="20" t="s">
        <v>202</v>
      </c>
      <c r="C79" s="20" t="s">
        <v>202</v>
      </c>
      <c r="D79" s="20" t="s">
        <v>649</v>
      </c>
      <c r="E79" s="24">
        <v>4.4999999999999998E-2</v>
      </c>
      <c r="F79" s="24">
        <v>4.4999999999999998E-2</v>
      </c>
      <c r="G79" s="22"/>
    </row>
    <row r="80" spans="1:7" x14ac:dyDescent="0.25">
      <c r="A80" s="20" t="s">
        <v>588</v>
      </c>
      <c r="B80" s="20" t="s">
        <v>207</v>
      </c>
      <c r="C80" s="20" t="s">
        <v>207</v>
      </c>
      <c r="D80" s="20" t="s">
        <v>649</v>
      </c>
      <c r="E80" s="24">
        <v>4.2649999999999997</v>
      </c>
      <c r="F80" s="24">
        <v>4.2649999999999997</v>
      </c>
      <c r="G80" s="22"/>
    </row>
    <row r="81" spans="1:7" x14ac:dyDescent="0.25">
      <c r="A81" s="20" t="s">
        <v>588</v>
      </c>
      <c r="B81" s="20" t="s">
        <v>44</v>
      </c>
      <c r="C81" s="20" t="s">
        <v>44</v>
      </c>
      <c r="D81" s="20" t="s">
        <v>650</v>
      </c>
      <c r="E81" s="24">
        <v>3.0000000000000001E-3</v>
      </c>
      <c r="F81" s="24">
        <v>6.0000000000000001E-3</v>
      </c>
      <c r="G81" s="22"/>
    </row>
    <row r="82" spans="1:7" x14ac:dyDescent="0.25">
      <c r="A82" s="20" t="s">
        <v>588</v>
      </c>
      <c r="B82" s="20" t="s">
        <v>75</v>
      </c>
      <c r="C82" s="20" t="s">
        <v>75</v>
      </c>
      <c r="D82" s="20" t="s">
        <v>650</v>
      </c>
      <c r="E82" s="24">
        <v>0.17199999999999999</v>
      </c>
      <c r="F82" s="24">
        <v>0.34399999999999997</v>
      </c>
      <c r="G82" s="22"/>
    </row>
    <row r="83" spans="1:7" x14ac:dyDescent="0.25">
      <c r="A83" s="20" t="s">
        <v>588</v>
      </c>
      <c r="B83" s="20" t="s">
        <v>139</v>
      </c>
      <c r="C83" s="20" t="s">
        <v>139</v>
      </c>
      <c r="D83" s="20" t="s">
        <v>650</v>
      </c>
      <c r="E83" s="24">
        <v>1E-3</v>
      </c>
      <c r="F83" s="24">
        <v>2E-3</v>
      </c>
      <c r="G83" s="22"/>
    </row>
    <row r="84" spans="1:7" x14ac:dyDescent="0.25">
      <c r="A84" s="20" t="s">
        <v>588</v>
      </c>
      <c r="B84" s="20" t="s">
        <v>156</v>
      </c>
      <c r="C84" s="20" t="s">
        <v>156</v>
      </c>
      <c r="D84" s="20" t="s">
        <v>650</v>
      </c>
      <c r="E84" s="24">
        <v>1E-3</v>
      </c>
      <c r="F84" s="24">
        <v>2E-3</v>
      </c>
      <c r="G84" s="22"/>
    </row>
    <row r="85" spans="1:7" x14ac:dyDescent="0.25">
      <c r="A85" s="20" t="s">
        <v>588</v>
      </c>
      <c r="B85" s="20" t="s">
        <v>202</v>
      </c>
      <c r="C85" s="20" t="s">
        <v>202</v>
      </c>
      <c r="D85" s="20" t="s">
        <v>650</v>
      </c>
      <c r="E85" s="24">
        <v>2E-3</v>
      </c>
      <c r="F85" s="24">
        <v>4.0000000000000001E-3</v>
      </c>
      <c r="G85" s="22"/>
    </row>
    <row r="86" spans="1:7" x14ac:dyDescent="0.25">
      <c r="A86" s="20" t="s">
        <v>588</v>
      </c>
      <c r="B86" s="20" t="s">
        <v>130</v>
      </c>
      <c r="C86" s="20" t="s">
        <v>130</v>
      </c>
      <c r="D86" s="20" t="s">
        <v>651</v>
      </c>
      <c r="E86" s="25">
        <v>0.06</v>
      </c>
      <c r="F86" s="25">
        <v>0.06</v>
      </c>
      <c r="G86" s="22"/>
    </row>
    <row r="87" spans="1:7" x14ac:dyDescent="0.25">
      <c r="A87" s="20" t="s">
        <v>588</v>
      </c>
      <c r="B87" s="20" t="s">
        <v>128</v>
      </c>
      <c r="C87" s="20" t="s">
        <v>128</v>
      </c>
      <c r="D87" s="20" t="s">
        <v>652</v>
      </c>
      <c r="E87" s="26">
        <v>6.6838800000000003</v>
      </c>
      <c r="F87" s="26">
        <v>6.6838800000000003</v>
      </c>
      <c r="G87" s="22"/>
    </row>
    <row r="88" spans="1:7" x14ac:dyDescent="0.25">
      <c r="A88" s="20" t="s">
        <v>588</v>
      </c>
      <c r="B88" s="20" t="s">
        <v>653</v>
      </c>
      <c r="C88" s="20" t="s">
        <v>220</v>
      </c>
      <c r="D88" s="20" t="s">
        <v>654</v>
      </c>
      <c r="E88" s="27">
        <v>1</v>
      </c>
      <c r="F88" s="27">
        <v>2</v>
      </c>
      <c r="G88" s="22"/>
    </row>
    <row r="89" spans="1:7" x14ac:dyDescent="0.25">
      <c r="A89" s="20" t="s">
        <v>588</v>
      </c>
      <c r="B89" s="20" t="s">
        <v>110</v>
      </c>
      <c r="C89" s="20" t="s">
        <v>110</v>
      </c>
      <c r="D89" s="20" t="s">
        <v>655</v>
      </c>
      <c r="E89" s="24">
        <v>0.94199999999999995</v>
      </c>
      <c r="F89" s="24">
        <v>3.7679999999999998</v>
      </c>
      <c r="G89" s="22"/>
    </row>
    <row r="90" spans="1:7" x14ac:dyDescent="0.25">
      <c r="A90" s="20" t="s">
        <v>588</v>
      </c>
      <c r="B90" s="20" t="s">
        <v>110</v>
      </c>
      <c r="C90" s="20" t="s">
        <v>110</v>
      </c>
      <c r="D90" s="20" t="s">
        <v>656</v>
      </c>
      <c r="E90" s="24">
        <v>0.42399999999999999</v>
      </c>
      <c r="F90" s="24">
        <v>3.3919999999999999</v>
      </c>
      <c r="G90" s="22"/>
    </row>
    <row r="91" spans="1:7" x14ac:dyDescent="0.25">
      <c r="A91" s="20" t="s">
        <v>595</v>
      </c>
      <c r="B91" s="20" t="s">
        <v>657</v>
      </c>
      <c r="C91" s="20" t="s">
        <v>657</v>
      </c>
      <c r="D91" s="20" t="s">
        <v>658</v>
      </c>
      <c r="E91" s="27">
        <v>1</v>
      </c>
      <c r="F91" s="27">
        <v>2</v>
      </c>
      <c r="G91" s="29">
        <v>1.1704699999999999</v>
      </c>
    </row>
    <row r="92" spans="1:7" ht="22.5" x14ac:dyDescent="0.25">
      <c r="A92" s="20" t="s">
        <v>620</v>
      </c>
      <c r="B92" s="20" t="s">
        <v>653</v>
      </c>
      <c r="C92" s="20" t="s">
        <v>220</v>
      </c>
      <c r="D92" s="20" t="s">
        <v>658</v>
      </c>
      <c r="E92" s="27">
        <v>1</v>
      </c>
      <c r="F92" s="27">
        <v>2</v>
      </c>
      <c r="G92" s="29">
        <v>0.12286999999999999</v>
      </c>
    </row>
    <row r="93" spans="1:7" x14ac:dyDescent="0.25">
      <c r="A93" s="20" t="s">
        <v>588</v>
      </c>
      <c r="B93" s="20" t="s">
        <v>67</v>
      </c>
      <c r="C93" s="20" t="s">
        <v>67</v>
      </c>
      <c r="D93" s="20" t="s">
        <v>658</v>
      </c>
      <c r="E93" s="24">
        <v>4.1000000000000002E-2</v>
      </c>
      <c r="F93" s="24">
        <v>8.2000000000000003E-2</v>
      </c>
      <c r="G93" s="22"/>
    </row>
    <row r="94" spans="1:7" x14ac:dyDescent="0.25">
      <c r="A94" s="20" t="s">
        <v>588</v>
      </c>
      <c r="B94" s="20" t="s">
        <v>146</v>
      </c>
      <c r="C94" s="20" t="s">
        <v>146</v>
      </c>
      <c r="D94" s="20" t="s">
        <v>658</v>
      </c>
      <c r="E94" s="24">
        <v>2.4E-2</v>
      </c>
      <c r="F94" s="24">
        <v>4.8000000000000001E-2</v>
      </c>
      <c r="G94" s="22"/>
    </row>
    <row r="95" spans="1:7" x14ac:dyDescent="0.25">
      <c r="A95" s="20" t="s">
        <v>588</v>
      </c>
      <c r="B95" s="20" t="s">
        <v>211</v>
      </c>
      <c r="C95" s="20" t="s">
        <v>211</v>
      </c>
      <c r="D95" s="20" t="s">
        <v>657</v>
      </c>
      <c r="E95" s="24">
        <v>0.33500000000000002</v>
      </c>
      <c r="F95" s="25">
        <v>0.67</v>
      </c>
      <c r="G95" s="22"/>
    </row>
    <row r="96" spans="1:7" x14ac:dyDescent="0.25">
      <c r="A96" s="20" t="s">
        <v>588</v>
      </c>
      <c r="B96" s="20" t="s">
        <v>132</v>
      </c>
      <c r="C96" s="20" t="s">
        <v>132</v>
      </c>
      <c r="D96" s="20" t="s">
        <v>659</v>
      </c>
      <c r="E96" s="32">
        <v>1.2717000000000001</v>
      </c>
      <c r="F96" s="32">
        <v>5.0868000000000002</v>
      </c>
      <c r="G96" s="22"/>
    </row>
    <row r="97" spans="1:7" x14ac:dyDescent="0.25">
      <c r="A97" s="20" t="s">
        <v>595</v>
      </c>
      <c r="B97" s="20" t="s">
        <v>660</v>
      </c>
      <c r="C97" s="20" t="s">
        <v>660</v>
      </c>
      <c r="D97" s="20" t="s">
        <v>661</v>
      </c>
      <c r="E97" s="27">
        <v>1</v>
      </c>
      <c r="F97" s="27">
        <v>19</v>
      </c>
      <c r="G97" s="29">
        <v>0.34733999999999998</v>
      </c>
    </row>
    <row r="98" spans="1:7" ht="22.5" x14ac:dyDescent="0.25">
      <c r="A98" s="20" t="s">
        <v>620</v>
      </c>
      <c r="B98" s="20" t="s">
        <v>662</v>
      </c>
      <c r="C98" s="20" t="s">
        <v>221</v>
      </c>
      <c r="D98" s="20" t="s">
        <v>661</v>
      </c>
      <c r="E98" s="27">
        <v>2</v>
      </c>
      <c r="F98" s="27">
        <v>38</v>
      </c>
      <c r="G98" s="29">
        <v>1.098E-2</v>
      </c>
    </row>
    <row r="99" spans="1:7" ht="22.5" x14ac:dyDescent="0.25">
      <c r="A99" s="20" t="s">
        <v>620</v>
      </c>
      <c r="B99" s="20" t="s">
        <v>214</v>
      </c>
      <c r="C99" s="20" t="s">
        <v>214</v>
      </c>
      <c r="D99" s="20" t="s">
        <v>661</v>
      </c>
      <c r="E99" s="27">
        <v>2</v>
      </c>
      <c r="F99" s="27">
        <v>38</v>
      </c>
      <c r="G99" s="29">
        <v>4.9300000000000004E-3</v>
      </c>
    </row>
    <row r="100" spans="1:7" x14ac:dyDescent="0.25">
      <c r="A100" s="20" t="s">
        <v>597</v>
      </c>
      <c r="B100" s="20" t="s">
        <v>160</v>
      </c>
      <c r="C100" s="20" t="s">
        <v>160</v>
      </c>
      <c r="D100" s="20" t="s">
        <v>661</v>
      </c>
      <c r="E100" s="27">
        <v>1</v>
      </c>
      <c r="F100" s="27">
        <v>19</v>
      </c>
      <c r="G100" s="29">
        <v>0.15828999999999999</v>
      </c>
    </row>
    <row r="101" spans="1:7" x14ac:dyDescent="0.25">
      <c r="A101" s="20" t="s">
        <v>588</v>
      </c>
      <c r="B101" s="20" t="s">
        <v>83</v>
      </c>
      <c r="C101" s="20" t="s">
        <v>83</v>
      </c>
      <c r="D101" s="20" t="s">
        <v>660</v>
      </c>
      <c r="E101" s="24">
        <v>0.378</v>
      </c>
      <c r="F101" s="24">
        <v>7.1820000000000004</v>
      </c>
      <c r="G101" s="22"/>
    </row>
    <row r="102" spans="1:7" x14ac:dyDescent="0.25">
      <c r="A102" s="20" t="s">
        <v>588</v>
      </c>
      <c r="B102" s="20" t="s">
        <v>44</v>
      </c>
      <c r="C102" s="20" t="s">
        <v>44</v>
      </c>
      <c r="D102" s="20" t="s">
        <v>663</v>
      </c>
      <c r="E102" s="33">
        <v>0.1</v>
      </c>
      <c r="F102" s="33">
        <v>0.1</v>
      </c>
      <c r="G102" s="22"/>
    </row>
    <row r="103" spans="1:7" x14ac:dyDescent="0.25">
      <c r="A103" s="20" t="s">
        <v>588</v>
      </c>
      <c r="B103" s="20" t="s">
        <v>122</v>
      </c>
      <c r="C103" s="20" t="s">
        <v>122</v>
      </c>
      <c r="D103" s="20" t="s">
        <v>663</v>
      </c>
      <c r="E103" s="26">
        <v>12.88204</v>
      </c>
      <c r="F103" s="26">
        <v>12.88204</v>
      </c>
      <c r="G103" s="22"/>
    </row>
    <row r="104" spans="1:7" x14ac:dyDescent="0.25">
      <c r="A104" s="20" t="s">
        <v>588</v>
      </c>
      <c r="B104" s="20" t="s">
        <v>139</v>
      </c>
      <c r="C104" s="20" t="s">
        <v>139</v>
      </c>
      <c r="D104" s="20" t="s">
        <v>663</v>
      </c>
      <c r="E104" s="24">
        <v>7.0000000000000001E-3</v>
      </c>
      <c r="F104" s="24">
        <v>7.0000000000000001E-3</v>
      </c>
      <c r="G104" s="22"/>
    </row>
    <row r="105" spans="1:7" x14ac:dyDescent="0.25">
      <c r="A105" s="20" t="s">
        <v>588</v>
      </c>
      <c r="B105" s="20" t="s">
        <v>156</v>
      </c>
      <c r="C105" s="20" t="s">
        <v>156</v>
      </c>
      <c r="D105" s="20" t="s">
        <v>663</v>
      </c>
      <c r="E105" s="25">
        <v>7.0000000000000007E-2</v>
      </c>
      <c r="F105" s="25">
        <v>7.0000000000000007E-2</v>
      </c>
      <c r="G105" s="22"/>
    </row>
    <row r="106" spans="1:7" x14ac:dyDescent="0.25">
      <c r="A106" s="20" t="s">
        <v>588</v>
      </c>
      <c r="B106" s="20" t="s">
        <v>200</v>
      </c>
      <c r="C106" s="20" t="s">
        <v>200</v>
      </c>
      <c r="D106" s="20" t="s">
        <v>663</v>
      </c>
      <c r="E106" s="24">
        <v>5.0000000000000001E-3</v>
      </c>
      <c r="F106" s="24">
        <v>5.0000000000000001E-3</v>
      </c>
      <c r="G106" s="22"/>
    </row>
    <row r="107" spans="1:7" x14ac:dyDescent="0.25">
      <c r="A107" s="20" t="s">
        <v>588</v>
      </c>
      <c r="B107" s="20" t="s">
        <v>202</v>
      </c>
      <c r="C107" s="20" t="s">
        <v>202</v>
      </c>
      <c r="D107" s="20" t="s">
        <v>663</v>
      </c>
      <c r="E107" s="24">
        <v>6.8000000000000005E-2</v>
      </c>
      <c r="F107" s="24">
        <v>6.8000000000000005E-2</v>
      </c>
      <c r="G107" s="22"/>
    </row>
    <row r="108" spans="1:7" x14ac:dyDescent="0.25">
      <c r="A108" s="20" t="s">
        <v>588</v>
      </c>
      <c r="B108" s="20" t="s">
        <v>44</v>
      </c>
      <c r="C108" s="20" t="s">
        <v>44</v>
      </c>
      <c r="D108" s="20" t="s">
        <v>664</v>
      </c>
      <c r="E108" s="25">
        <v>0.11</v>
      </c>
      <c r="F108" s="25">
        <v>0.11</v>
      </c>
      <c r="G108" s="22"/>
    </row>
    <row r="109" spans="1:7" x14ac:dyDescent="0.25">
      <c r="A109" s="20" t="s">
        <v>588</v>
      </c>
      <c r="B109" s="20" t="s">
        <v>120</v>
      </c>
      <c r="C109" s="20" t="s">
        <v>120</v>
      </c>
      <c r="D109" s="20" t="s">
        <v>664</v>
      </c>
      <c r="E109" s="26">
        <v>10.09221</v>
      </c>
      <c r="F109" s="26">
        <v>10.09221</v>
      </c>
      <c r="G109" s="22"/>
    </row>
    <row r="110" spans="1:7" x14ac:dyDescent="0.25">
      <c r="A110" s="20" t="s">
        <v>588</v>
      </c>
      <c r="B110" s="20" t="s">
        <v>139</v>
      </c>
      <c r="C110" s="20" t="s">
        <v>139</v>
      </c>
      <c r="D110" s="20" t="s">
        <v>664</v>
      </c>
      <c r="E110" s="24">
        <v>7.0000000000000001E-3</v>
      </c>
      <c r="F110" s="24">
        <v>7.0000000000000001E-3</v>
      </c>
      <c r="G110" s="22"/>
    </row>
    <row r="111" spans="1:7" x14ac:dyDescent="0.25">
      <c r="A111" s="20" t="s">
        <v>588</v>
      </c>
      <c r="B111" s="20" t="s">
        <v>156</v>
      </c>
      <c r="C111" s="20" t="s">
        <v>156</v>
      </c>
      <c r="D111" s="20" t="s">
        <v>664</v>
      </c>
      <c r="E111" s="24">
        <v>3.5999999999999997E-2</v>
      </c>
      <c r="F111" s="24">
        <v>3.5999999999999997E-2</v>
      </c>
      <c r="G111" s="22"/>
    </row>
    <row r="112" spans="1:7" x14ac:dyDescent="0.25">
      <c r="A112" s="20" t="s">
        <v>588</v>
      </c>
      <c r="B112" s="20" t="s">
        <v>200</v>
      </c>
      <c r="C112" s="20" t="s">
        <v>200</v>
      </c>
      <c r="D112" s="20" t="s">
        <v>664</v>
      </c>
      <c r="E112" s="24">
        <v>5.0000000000000001E-3</v>
      </c>
      <c r="F112" s="24">
        <v>5.0000000000000001E-3</v>
      </c>
      <c r="G112" s="22"/>
    </row>
    <row r="113" spans="1:7" x14ac:dyDescent="0.25">
      <c r="A113" s="20" t="s">
        <v>588</v>
      </c>
      <c r="B113" s="20" t="s">
        <v>202</v>
      </c>
      <c r="C113" s="20" t="s">
        <v>202</v>
      </c>
      <c r="D113" s="20" t="s">
        <v>664</v>
      </c>
      <c r="E113" s="24">
        <v>7.1999999999999995E-2</v>
      </c>
      <c r="F113" s="24">
        <v>7.1999999999999995E-2</v>
      </c>
      <c r="G113" s="22"/>
    </row>
    <row r="114" spans="1:7" x14ac:dyDescent="0.25">
      <c r="A114" s="20" t="s">
        <v>588</v>
      </c>
      <c r="B114" s="20" t="s">
        <v>44</v>
      </c>
      <c r="C114" s="20" t="s">
        <v>44</v>
      </c>
      <c r="D114" s="20" t="s">
        <v>665</v>
      </c>
      <c r="E114" s="24">
        <v>3.5000000000000003E-2</v>
      </c>
      <c r="F114" s="24">
        <v>3.5000000000000003E-2</v>
      </c>
      <c r="G114" s="22"/>
    </row>
    <row r="115" spans="1:7" x14ac:dyDescent="0.25">
      <c r="A115" s="20" t="s">
        <v>588</v>
      </c>
      <c r="B115" s="20" t="s">
        <v>120</v>
      </c>
      <c r="C115" s="20" t="s">
        <v>120</v>
      </c>
      <c r="D115" s="20" t="s">
        <v>665</v>
      </c>
      <c r="E115" s="26">
        <v>7.1771399999999996</v>
      </c>
      <c r="F115" s="26">
        <v>7.1771399999999996</v>
      </c>
      <c r="G115" s="22"/>
    </row>
    <row r="116" spans="1:7" x14ac:dyDescent="0.25">
      <c r="A116" s="20" t="s">
        <v>588</v>
      </c>
      <c r="B116" s="20" t="s">
        <v>139</v>
      </c>
      <c r="C116" s="20" t="s">
        <v>139</v>
      </c>
      <c r="D116" s="20" t="s">
        <v>665</v>
      </c>
      <c r="E116" s="24">
        <v>4.0000000000000001E-3</v>
      </c>
      <c r="F116" s="24">
        <v>4.0000000000000001E-3</v>
      </c>
      <c r="G116" s="22"/>
    </row>
    <row r="117" spans="1:7" x14ac:dyDescent="0.25">
      <c r="A117" s="20" t="s">
        <v>588</v>
      </c>
      <c r="B117" s="20" t="s">
        <v>156</v>
      </c>
      <c r="C117" s="20" t="s">
        <v>156</v>
      </c>
      <c r="D117" s="20" t="s">
        <v>665</v>
      </c>
      <c r="E117" s="24">
        <v>1.2999999999999999E-2</v>
      </c>
      <c r="F117" s="24">
        <v>1.2999999999999999E-2</v>
      </c>
      <c r="G117" s="22"/>
    </row>
    <row r="118" spans="1:7" x14ac:dyDescent="0.25">
      <c r="A118" s="20" t="s">
        <v>588</v>
      </c>
      <c r="B118" s="20" t="s">
        <v>200</v>
      </c>
      <c r="C118" s="20" t="s">
        <v>200</v>
      </c>
      <c r="D118" s="20" t="s">
        <v>665</v>
      </c>
      <c r="E118" s="24">
        <v>5.0000000000000001E-3</v>
      </c>
      <c r="F118" s="24">
        <v>5.0000000000000001E-3</v>
      </c>
      <c r="G118" s="22"/>
    </row>
    <row r="119" spans="1:7" x14ac:dyDescent="0.25">
      <c r="A119" s="20" t="s">
        <v>588</v>
      </c>
      <c r="B119" s="20" t="s">
        <v>202</v>
      </c>
      <c r="C119" s="20" t="s">
        <v>202</v>
      </c>
      <c r="D119" s="20" t="s">
        <v>665</v>
      </c>
      <c r="E119" s="24">
        <v>2.9000000000000001E-2</v>
      </c>
      <c r="F119" s="24">
        <v>2.9000000000000001E-2</v>
      </c>
      <c r="G119" s="22"/>
    </row>
    <row r="120" spans="1:7" x14ac:dyDescent="0.25">
      <c r="A120" s="20" t="s">
        <v>588</v>
      </c>
      <c r="B120" s="20" t="s">
        <v>44</v>
      </c>
      <c r="C120" s="20" t="s">
        <v>44</v>
      </c>
      <c r="D120" s="20" t="s">
        <v>666</v>
      </c>
      <c r="E120" s="24">
        <v>3.5999999999999997E-2</v>
      </c>
      <c r="F120" s="24">
        <v>3.5999999999999997E-2</v>
      </c>
      <c r="G120" s="22"/>
    </row>
    <row r="121" spans="1:7" x14ac:dyDescent="0.25">
      <c r="A121" s="20" t="s">
        <v>588</v>
      </c>
      <c r="B121" s="20" t="s">
        <v>120</v>
      </c>
      <c r="C121" s="20" t="s">
        <v>120</v>
      </c>
      <c r="D121" s="20" t="s">
        <v>666</v>
      </c>
      <c r="E121" s="26">
        <v>7.1771399999999996</v>
      </c>
      <c r="F121" s="26">
        <v>7.1771399999999996</v>
      </c>
      <c r="G121" s="22"/>
    </row>
    <row r="122" spans="1:7" x14ac:dyDescent="0.25">
      <c r="A122" s="20" t="s">
        <v>588</v>
      </c>
      <c r="B122" s="20" t="s">
        <v>139</v>
      </c>
      <c r="C122" s="20" t="s">
        <v>139</v>
      </c>
      <c r="D122" s="20" t="s">
        <v>666</v>
      </c>
      <c r="E122" s="24">
        <v>2E-3</v>
      </c>
      <c r="F122" s="24">
        <v>2E-3</v>
      </c>
      <c r="G122" s="22"/>
    </row>
    <row r="123" spans="1:7" x14ac:dyDescent="0.25">
      <c r="A123" s="20" t="s">
        <v>588</v>
      </c>
      <c r="B123" s="20" t="s">
        <v>156</v>
      </c>
      <c r="C123" s="20" t="s">
        <v>156</v>
      </c>
      <c r="D123" s="20" t="s">
        <v>666</v>
      </c>
      <c r="E123" s="24">
        <v>1.7999999999999999E-2</v>
      </c>
      <c r="F123" s="24">
        <v>1.7999999999999999E-2</v>
      </c>
      <c r="G123" s="22"/>
    </row>
    <row r="124" spans="1:7" x14ac:dyDescent="0.25">
      <c r="A124" s="20" t="s">
        <v>588</v>
      </c>
      <c r="B124" s="20" t="s">
        <v>200</v>
      </c>
      <c r="C124" s="20" t="s">
        <v>200</v>
      </c>
      <c r="D124" s="20" t="s">
        <v>666</v>
      </c>
      <c r="E124" s="24">
        <v>5.0000000000000001E-3</v>
      </c>
      <c r="F124" s="24">
        <v>5.0000000000000001E-3</v>
      </c>
      <c r="G124" s="22"/>
    </row>
    <row r="125" spans="1:7" x14ac:dyDescent="0.25">
      <c r="A125" s="20" t="s">
        <v>588</v>
      </c>
      <c r="B125" s="20" t="s">
        <v>202</v>
      </c>
      <c r="C125" s="20" t="s">
        <v>202</v>
      </c>
      <c r="D125" s="20" t="s">
        <v>666</v>
      </c>
      <c r="E125" s="24">
        <v>2.4E-2</v>
      </c>
      <c r="F125" s="24">
        <v>2.4E-2</v>
      </c>
      <c r="G125" s="22"/>
    </row>
    <row r="126" spans="1:7" x14ac:dyDescent="0.25">
      <c r="A126" s="20" t="s">
        <v>588</v>
      </c>
      <c r="B126" s="20" t="s">
        <v>131</v>
      </c>
      <c r="C126" s="20" t="s">
        <v>131</v>
      </c>
      <c r="D126" s="20" t="s">
        <v>667</v>
      </c>
      <c r="E126" s="24">
        <v>1.873</v>
      </c>
      <c r="F126" s="24">
        <v>3.746</v>
      </c>
      <c r="G126" s="22"/>
    </row>
    <row r="127" spans="1:7" x14ac:dyDescent="0.25">
      <c r="A127" s="20" t="s">
        <v>585</v>
      </c>
      <c r="B127" s="20" t="s">
        <v>668</v>
      </c>
      <c r="C127" s="20" t="s">
        <v>668</v>
      </c>
      <c r="D127" s="20" t="s">
        <v>669</v>
      </c>
      <c r="E127" s="27">
        <v>1</v>
      </c>
      <c r="F127" s="27">
        <v>1</v>
      </c>
      <c r="G127" s="22"/>
    </row>
    <row r="128" spans="1:7" x14ac:dyDescent="0.25">
      <c r="A128" s="20" t="s">
        <v>595</v>
      </c>
      <c r="B128" s="20" t="s">
        <v>670</v>
      </c>
      <c r="C128" s="20" t="s">
        <v>670</v>
      </c>
      <c r="D128" s="20" t="s">
        <v>669</v>
      </c>
      <c r="E128" s="27">
        <v>78</v>
      </c>
      <c r="F128" s="27">
        <v>78</v>
      </c>
      <c r="G128" s="29">
        <v>3.5619999999999999E-2</v>
      </c>
    </row>
    <row r="129" spans="1:7" ht="22.5" x14ac:dyDescent="0.25">
      <c r="A129" s="20" t="s">
        <v>620</v>
      </c>
      <c r="B129" s="20" t="s">
        <v>671</v>
      </c>
      <c r="C129" s="20" t="s">
        <v>223</v>
      </c>
      <c r="D129" s="20" t="s">
        <v>669</v>
      </c>
      <c r="E129" s="27">
        <v>156</v>
      </c>
      <c r="F129" s="27">
        <v>156</v>
      </c>
      <c r="G129" s="28">
        <v>1.5699999999999999E-2</v>
      </c>
    </row>
    <row r="130" spans="1:7" ht="22.5" x14ac:dyDescent="0.25">
      <c r="A130" s="20" t="s">
        <v>620</v>
      </c>
      <c r="B130" s="20" t="s">
        <v>672</v>
      </c>
      <c r="C130" s="20" t="s">
        <v>222</v>
      </c>
      <c r="D130" s="20" t="s">
        <v>669</v>
      </c>
      <c r="E130" s="27">
        <v>156</v>
      </c>
      <c r="F130" s="27">
        <v>156</v>
      </c>
      <c r="G130" s="28">
        <v>5.1000000000000004E-3</v>
      </c>
    </row>
    <row r="131" spans="1:7" x14ac:dyDescent="0.25">
      <c r="A131" s="20" t="s">
        <v>588</v>
      </c>
      <c r="B131" s="20" t="s">
        <v>143</v>
      </c>
      <c r="C131" s="20" t="s">
        <v>143</v>
      </c>
      <c r="D131" s="20" t="s">
        <v>670</v>
      </c>
      <c r="E131" s="24">
        <v>5.7000000000000002E-2</v>
      </c>
      <c r="F131" s="24">
        <v>4.4459999999999997</v>
      </c>
      <c r="G131" s="22"/>
    </row>
    <row r="132" spans="1:7" x14ac:dyDescent="0.25">
      <c r="A132" s="20" t="s">
        <v>595</v>
      </c>
      <c r="B132" s="20" t="s">
        <v>673</v>
      </c>
      <c r="C132" s="20" t="s">
        <v>673</v>
      </c>
      <c r="D132" s="20" t="s">
        <v>668</v>
      </c>
      <c r="E132" s="27">
        <v>156</v>
      </c>
      <c r="F132" s="27">
        <v>156</v>
      </c>
      <c r="G132" s="29">
        <v>6.9529999999999995E-2</v>
      </c>
    </row>
    <row r="133" spans="1:7" x14ac:dyDescent="0.25">
      <c r="A133" s="20" t="s">
        <v>597</v>
      </c>
      <c r="B133" s="20" t="s">
        <v>9</v>
      </c>
      <c r="C133" s="20" t="s">
        <v>9</v>
      </c>
      <c r="D133" s="20" t="s">
        <v>668</v>
      </c>
      <c r="E133" s="27">
        <v>20</v>
      </c>
      <c r="F133" s="27">
        <v>20</v>
      </c>
      <c r="G133" s="29">
        <v>0.54632999999999998</v>
      </c>
    </row>
    <row r="134" spans="1:7" x14ac:dyDescent="0.25">
      <c r="A134" s="20" t="s">
        <v>588</v>
      </c>
      <c r="B134" s="20" t="s">
        <v>67</v>
      </c>
      <c r="C134" s="20" t="s">
        <v>67</v>
      </c>
      <c r="D134" s="20" t="s">
        <v>668</v>
      </c>
      <c r="E134" s="24">
        <v>0.374</v>
      </c>
      <c r="F134" s="24">
        <v>0.374</v>
      </c>
      <c r="G134" s="22"/>
    </row>
    <row r="135" spans="1:7" x14ac:dyDescent="0.25">
      <c r="A135" s="20" t="s">
        <v>588</v>
      </c>
      <c r="B135" s="20" t="s">
        <v>146</v>
      </c>
      <c r="C135" s="20" t="s">
        <v>146</v>
      </c>
      <c r="D135" s="20" t="s">
        <v>668</v>
      </c>
      <c r="E135" s="25">
        <v>0.22</v>
      </c>
      <c r="F135" s="25">
        <v>0.22</v>
      </c>
      <c r="G135" s="22"/>
    </row>
    <row r="136" spans="1:7" x14ac:dyDescent="0.25">
      <c r="A136" s="20" t="s">
        <v>588</v>
      </c>
      <c r="B136" s="20" t="s">
        <v>120</v>
      </c>
      <c r="C136" s="20" t="s">
        <v>120</v>
      </c>
      <c r="D136" s="20" t="s">
        <v>673</v>
      </c>
      <c r="E136" s="26">
        <v>0.10456</v>
      </c>
      <c r="F136" s="26">
        <v>16.311360000000001</v>
      </c>
      <c r="G136" s="22"/>
    </row>
    <row r="137" spans="1:7" x14ac:dyDescent="0.25">
      <c r="A137" s="20" t="s">
        <v>588</v>
      </c>
      <c r="B137" s="20" t="s">
        <v>85</v>
      </c>
      <c r="C137" s="20" t="s">
        <v>85</v>
      </c>
      <c r="D137" s="20" t="s">
        <v>674</v>
      </c>
      <c r="E137" s="24">
        <v>0.625</v>
      </c>
      <c r="F137" s="25">
        <v>3.75</v>
      </c>
      <c r="G137" s="22"/>
    </row>
    <row r="138" spans="1:7" x14ac:dyDescent="0.25">
      <c r="A138" s="20" t="s">
        <v>588</v>
      </c>
      <c r="B138" s="20" t="s">
        <v>128</v>
      </c>
      <c r="C138" s="20" t="s">
        <v>128</v>
      </c>
      <c r="D138" s="20" t="s">
        <v>675</v>
      </c>
      <c r="E138" s="26">
        <v>0.20771000000000001</v>
      </c>
      <c r="F138" s="26">
        <v>0.20771000000000001</v>
      </c>
      <c r="G138" s="22"/>
    </row>
    <row r="139" spans="1:7" x14ac:dyDescent="0.25">
      <c r="A139" s="20" t="s">
        <v>588</v>
      </c>
      <c r="B139" s="20" t="s">
        <v>131</v>
      </c>
      <c r="C139" s="20" t="s">
        <v>131</v>
      </c>
      <c r="D139" s="20" t="s">
        <v>676</v>
      </c>
      <c r="E139" s="26">
        <v>0.87482000000000004</v>
      </c>
      <c r="F139" s="26">
        <v>0.87482000000000004</v>
      </c>
      <c r="G139" s="22"/>
    </row>
    <row r="140" spans="1:7" x14ac:dyDescent="0.25">
      <c r="A140" s="20" t="s">
        <v>588</v>
      </c>
      <c r="B140" s="20" t="s">
        <v>130</v>
      </c>
      <c r="C140" s="20" t="s">
        <v>130</v>
      </c>
      <c r="D140" s="20" t="s">
        <v>677</v>
      </c>
      <c r="E140" s="26">
        <v>5.1810000000000002E-2</v>
      </c>
      <c r="F140" s="26">
        <v>0.10362</v>
      </c>
      <c r="G140" s="22"/>
    </row>
    <row r="141" spans="1:7" x14ac:dyDescent="0.25">
      <c r="A141" s="20" t="s">
        <v>588</v>
      </c>
      <c r="B141" s="20" t="s">
        <v>174</v>
      </c>
      <c r="C141" s="20" t="s">
        <v>174</v>
      </c>
      <c r="D141" s="20" t="s">
        <v>678</v>
      </c>
      <c r="E141" s="24">
        <v>4.2999999999999997E-2</v>
      </c>
      <c r="F141" s="24">
        <v>8.5999999999999993E-2</v>
      </c>
      <c r="G141" s="22"/>
    </row>
    <row r="142" spans="1:7" x14ac:dyDescent="0.25">
      <c r="A142" s="20" t="s">
        <v>588</v>
      </c>
      <c r="B142" s="20" t="s">
        <v>115</v>
      </c>
      <c r="C142" s="20" t="s">
        <v>115</v>
      </c>
      <c r="D142" s="20" t="s">
        <v>679</v>
      </c>
      <c r="E142" s="26">
        <v>0.63697999999999999</v>
      </c>
      <c r="F142" s="26">
        <v>0.63697999999999999</v>
      </c>
      <c r="G142" s="22"/>
    </row>
    <row r="143" spans="1:7" x14ac:dyDescent="0.25">
      <c r="A143" s="20" t="s">
        <v>595</v>
      </c>
      <c r="B143" s="20" t="s">
        <v>680</v>
      </c>
      <c r="C143" s="20" t="s">
        <v>680</v>
      </c>
      <c r="D143" s="20" t="s">
        <v>681</v>
      </c>
      <c r="E143" s="27">
        <v>1</v>
      </c>
      <c r="F143" s="27">
        <v>1</v>
      </c>
      <c r="G143" s="29">
        <v>0.23132</v>
      </c>
    </row>
    <row r="144" spans="1:7" x14ac:dyDescent="0.25">
      <c r="A144" s="20" t="s">
        <v>595</v>
      </c>
      <c r="B144" s="20" t="s">
        <v>682</v>
      </c>
      <c r="C144" s="20" t="s">
        <v>682</v>
      </c>
      <c r="D144" s="20" t="s">
        <v>681</v>
      </c>
      <c r="E144" s="27">
        <v>1</v>
      </c>
      <c r="F144" s="27">
        <v>1</v>
      </c>
      <c r="G144" s="29">
        <v>0.15364</v>
      </c>
    </row>
    <row r="145" spans="1:7" x14ac:dyDescent="0.25">
      <c r="A145" s="20" t="s">
        <v>588</v>
      </c>
      <c r="B145" s="20" t="s">
        <v>44</v>
      </c>
      <c r="C145" s="20" t="s">
        <v>44</v>
      </c>
      <c r="D145" s="20" t="s">
        <v>681</v>
      </c>
      <c r="E145" s="24">
        <v>1.7000000000000001E-2</v>
      </c>
      <c r="F145" s="24">
        <v>1.7000000000000001E-2</v>
      </c>
      <c r="G145" s="22"/>
    </row>
    <row r="146" spans="1:7" x14ac:dyDescent="0.25">
      <c r="A146" s="20" t="s">
        <v>588</v>
      </c>
      <c r="B146" s="20" t="s">
        <v>67</v>
      </c>
      <c r="C146" s="20" t="s">
        <v>67</v>
      </c>
      <c r="D146" s="20" t="s">
        <v>681</v>
      </c>
      <c r="E146" s="24">
        <v>3.2000000000000001E-2</v>
      </c>
      <c r="F146" s="24">
        <v>3.2000000000000001E-2</v>
      </c>
      <c r="G146" s="22"/>
    </row>
    <row r="147" spans="1:7" x14ac:dyDescent="0.25">
      <c r="A147" s="20" t="s">
        <v>588</v>
      </c>
      <c r="B147" s="20" t="s">
        <v>139</v>
      </c>
      <c r="C147" s="20" t="s">
        <v>139</v>
      </c>
      <c r="D147" s="20" t="s">
        <v>681</v>
      </c>
      <c r="E147" s="24">
        <v>2E-3</v>
      </c>
      <c r="F147" s="24">
        <v>2E-3</v>
      </c>
      <c r="G147" s="22"/>
    </row>
    <row r="148" spans="1:7" x14ac:dyDescent="0.25">
      <c r="A148" s="20" t="s">
        <v>588</v>
      </c>
      <c r="B148" s="20" t="s">
        <v>146</v>
      </c>
      <c r="C148" s="20" t="s">
        <v>146</v>
      </c>
      <c r="D148" s="20" t="s">
        <v>681</v>
      </c>
      <c r="E148" s="24">
        <v>1.9E-2</v>
      </c>
      <c r="F148" s="24">
        <v>1.9E-2</v>
      </c>
      <c r="G148" s="22"/>
    </row>
    <row r="149" spans="1:7" x14ac:dyDescent="0.25">
      <c r="A149" s="20" t="s">
        <v>588</v>
      </c>
      <c r="B149" s="20" t="s">
        <v>156</v>
      </c>
      <c r="C149" s="20" t="s">
        <v>156</v>
      </c>
      <c r="D149" s="20" t="s">
        <v>681</v>
      </c>
      <c r="E149" s="24">
        <v>5.0000000000000001E-3</v>
      </c>
      <c r="F149" s="24">
        <v>5.0000000000000001E-3</v>
      </c>
      <c r="G149" s="22"/>
    </row>
    <row r="150" spans="1:7" x14ac:dyDescent="0.25">
      <c r="A150" s="20" t="s">
        <v>588</v>
      </c>
      <c r="B150" s="20" t="s">
        <v>202</v>
      </c>
      <c r="C150" s="20" t="s">
        <v>202</v>
      </c>
      <c r="D150" s="20" t="s">
        <v>681</v>
      </c>
      <c r="E150" s="24">
        <v>1.2E-2</v>
      </c>
      <c r="F150" s="24">
        <v>1.2E-2</v>
      </c>
      <c r="G150" s="22"/>
    </row>
    <row r="151" spans="1:7" x14ac:dyDescent="0.25">
      <c r="A151" s="20" t="s">
        <v>588</v>
      </c>
      <c r="B151" s="20" t="s">
        <v>115</v>
      </c>
      <c r="C151" s="20" t="s">
        <v>115</v>
      </c>
      <c r="D151" s="20" t="s">
        <v>680</v>
      </c>
      <c r="E151" s="26">
        <v>0.34194999999999998</v>
      </c>
      <c r="F151" s="26">
        <v>0.34194999999999998</v>
      </c>
      <c r="G151" s="22"/>
    </row>
    <row r="152" spans="1:7" x14ac:dyDescent="0.25">
      <c r="A152" s="20" t="s">
        <v>588</v>
      </c>
      <c r="B152" s="20" t="s">
        <v>181</v>
      </c>
      <c r="C152" s="20" t="s">
        <v>181</v>
      </c>
      <c r="D152" s="20" t="s">
        <v>682</v>
      </c>
      <c r="E152" s="33">
        <v>0.4</v>
      </c>
      <c r="F152" s="33">
        <v>0.4</v>
      </c>
      <c r="G152" s="22"/>
    </row>
    <row r="153" spans="1:7" x14ac:dyDescent="0.25">
      <c r="A153" s="20" t="s">
        <v>595</v>
      </c>
      <c r="B153" s="20" t="s">
        <v>683</v>
      </c>
      <c r="C153" s="20" t="s">
        <v>683</v>
      </c>
      <c r="D153" s="20" t="s">
        <v>684</v>
      </c>
      <c r="E153" s="27">
        <v>1</v>
      </c>
      <c r="F153" s="27">
        <v>1</v>
      </c>
      <c r="G153" s="29">
        <v>0.22647999999999999</v>
      </c>
    </row>
    <row r="154" spans="1:7" x14ac:dyDescent="0.25">
      <c r="A154" s="20" t="s">
        <v>595</v>
      </c>
      <c r="B154" s="20" t="s">
        <v>685</v>
      </c>
      <c r="C154" s="20" t="s">
        <v>685</v>
      </c>
      <c r="D154" s="20" t="s">
        <v>684</v>
      </c>
      <c r="E154" s="27">
        <v>1</v>
      </c>
      <c r="F154" s="27">
        <v>1</v>
      </c>
      <c r="G154" s="29">
        <v>8.3919999999999995E-2</v>
      </c>
    </row>
    <row r="155" spans="1:7" x14ac:dyDescent="0.25">
      <c r="A155" s="20" t="s">
        <v>588</v>
      </c>
      <c r="B155" s="20" t="s">
        <v>44</v>
      </c>
      <c r="C155" s="20" t="s">
        <v>44</v>
      </c>
      <c r="D155" s="20" t="s">
        <v>684</v>
      </c>
      <c r="E155" s="24">
        <v>5.0000000000000001E-3</v>
      </c>
      <c r="F155" s="24">
        <v>5.0000000000000001E-3</v>
      </c>
      <c r="G155" s="22"/>
    </row>
    <row r="156" spans="1:7" x14ac:dyDescent="0.25">
      <c r="A156" s="20" t="s">
        <v>588</v>
      </c>
      <c r="B156" s="20" t="s">
        <v>67</v>
      </c>
      <c r="C156" s="20" t="s">
        <v>67</v>
      </c>
      <c r="D156" s="20" t="s">
        <v>684</v>
      </c>
      <c r="E156" s="24">
        <v>1.9E-2</v>
      </c>
      <c r="F156" s="24">
        <v>1.9E-2</v>
      </c>
      <c r="G156" s="22"/>
    </row>
    <row r="157" spans="1:7" x14ac:dyDescent="0.25">
      <c r="A157" s="20" t="s">
        <v>588</v>
      </c>
      <c r="B157" s="20" t="s">
        <v>139</v>
      </c>
      <c r="C157" s="20" t="s">
        <v>139</v>
      </c>
      <c r="D157" s="20" t="s">
        <v>684</v>
      </c>
      <c r="E157" s="24">
        <v>1E-3</v>
      </c>
      <c r="F157" s="24">
        <v>1E-3</v>
      </c>
      <c r="G157" s="22"/>
    </row>
    <row r="158" spans="1:7" x14ac:dyDescent="0.25">
      <c r="A158" s="20" t="s">
        <v>588</v>
      </c>
      <c r="B158" s="20" t="s">
        <v>146</v>
      </c>
      <c r="C158" s="20" t="s">
        <v>146</v>
      </c>
      <c r="D158" s="20" t="s">
        <v>684</v>
      </c>
      <c r="E158" s="24">
        <v>1.0999999999999999E-2</v>
      </c>
      <c r="F158" s="24">
        <v>1.0999999999999999E-2</v>
      </c>
      <c r="G158" s="22"/>
    </row>
    <row r="159" spans="1:7" x14ac:dyDescent="0.25">
      <c r="A159" s="20" t="s">
        <v>588</v>
      </c>
      <c r="B159" s="20" t="s">
        <v>156</v>
      </c>
      <c r="C159" s="20" t="s">
        <v>156</v>
      </c>
      <c r="D159" s="20" t="s">
        <v>684</v>
      </c>
      <c r="E159" s="24">
        <v>2E-3</v>
      </c>
      <c r="F159" s="24">
        <v>2E-3</v>
      </c>
      <c r="G159" s="22"/>
    </row>
    <row r="160" spans="1:7" x14ac:dyDescent="0.25">
      <c r="A160" s="20" t="s">
        <v>588</v>
      </c>
      <c r="B160" s="20" t="s">
        <v>202</v>
      </c>
      <c r="C160" s="20" t="s">
        <v>202</v>
      </c>
      <c r="D160" s="20" t="s">
        <v>684</v>
      </c>
      <c r="E160" s="24">
        <v>8.0000000000000002E-3</v>
      </c>
      <c r="F160" s="24">
        <v>8.0000000000000002E-3</v>
      </c>
      <c r="G160" s="22"/>
    </row>
    <row r="161" spans="1:7" x14ac:dyDescent="0.25">
      <c r="A161" s="20" t="s">
        <v>588</v>
      </c>
      <c r="B161" s="20" t="s">
        <v>116</v>
      </c>
      <c r="C161" s="20" t="s">
        <v>116</v>
      </c>
      <c r="D161" s="20" t="s">
        <v>683</v>
      </c>
      <c r="E161" s="26">
        <v>0.30143999999999999</v>
      </c>
      <c r="F161" s="26">
        <v>0.30143999999999999</v>
      </c>
      <c r="G161" s="22"/>
    </row>
    <row r="162" spans="1:7" x14ac:dyDescent="0.25">
      <c r="A162" s="20" t="s">
        <v>588</v>
      </c>
      <c r="B162" s="20" t="s">
        <v>95</v>
      </c>
      <c r="C162" s="20" t="s">
        <v>95</v>
      </c>
      <c r="D162" s="20" t="s">
        <v>685</v>
      </c>
      <c r="E162" s="24">
        <v>0.17599999999999999</v>
      </c>
      <c r="F162" s="24">
        <v>0.17599999999999999</v>
      </c>
      <c r="G162" s="22"/>
    </row>
    <row r="163" spans="1:7" x14ac:dyDescent="0.25">
      <c r="A163" s="20" t="s">
        <v>588</v>
      </c>
      <c r="B163" s="20" t="s">
        <v>128</v>
      </c>
      <c r="C163" s="20" t="s">
        <v>128</v>
      </c>
      <c r="D163" s="20" t="s">
        <v>686</v>
      </c>
      <c r="E163" s="26">
        <v>6.6838800000000003</v>
      </c>
      <c r="F163" s="26">
        <v>6.6838800000000003</v>
      </c>
      <c r="G163" s="22"/>
    </row>
    <row r="164" spans="1:7" x14ac:dyDescent="0.25">
      <c r="A164" s="20" t="s">
        <v>588</v>
      </c>
      <c r="B164" s="20" t="s">
        <v>130</v>
      </c>
      <c r="C164" s="20" t="s">
        <v>130</v>
      </c>
      <c r="D164" s="20" t="s">
        <v>687</v>
      </c>
      <c r="E164" s="24">
        <v>5.8000000000000003E-2</v>
      </c>
      <c r="F164" s="24">
        <v>5.8000000000000003E-2</v>
      </c>
      <c r="G164" s="22"/>
    </row>
    <row r="165" spans="1:7" x14ac:dyDescent="0.25">
      <c r="A165" s="20" t="s">
        <v>595</v>
      </c>
      <c r="B165" s="20" t="s">
        <v>674</v>
      </c>
      <c r="C165" s="20" t="s">
        <v>674</v>
      </c>
      <c r="D165" s="20" t="s">
        <v>688</v>
      </c>
      <c r="E165" s="27">
        <v>2</v>
      </c>
      <c r="F165" s="27">
        <v>6</v>
      </c>
      <c r="G165" s="29">
        <v>0.61160999999999999</v>
      </c>
    </row>
    <row r="166" spans="1:7" x14ac:dyDescent="0.25">
      <c r="A166" s="20" t="s">
        <v>595</v>
      </c>
      <c r="B166" s="20" t="s">
        <v>689</v>
      </c>
      <c r="C166" s="20" t="s">
        <v>689</v>
      </c>
      <c r="D166" s="20" t="s">
        <v>688</v>
      </c>
      <c r="E166" s="27">
        <v>2</v>
      </c>
      <c r="F166" s="27">
        <v>6</v>
      </c>
      <c r="G166" s="29">
        <v>21.270379999999999</v>
      </c>
    </row>
    <row r="167" spans="1:7" x14ac:dyDescent="0.25">
      <c r="A167" s="20" t="s">
        <v>595</v>
      </c>
      <c r="B167" s="20" t="s">
        <v>690</v>
      </c>
      <c r="C167" s="20" t="s">
        <v>690</v>
      </c>
      <c r="D167" s="20" t="s">
        <v>688</v>
      </c>
      <c r="E167" s="27">
        <v>2</v>
      </c>
      <c r="F167" s="27">
        <v>6</v>
      </c>
      <c r="G167" s="29">
        <v>2.3813399999999998</v>
      </c>
    </row>
    <row r="168" spans="1:7" x14ac:dyDescent="0.25">
      <c r="A168" s="20" t="s">
        <v>595</v>
      </c>
      <c r="B168" s="20" t="s">
        <v>691</v>
      </c>
      <c r="C168" s="20" t="s">
        <v>691</v>
      </c>
      <c r="D168" s="20" t="s">
        <v>688</v>
      </c>
      <c r="E168" s="27">
        <v>1</v>
      </c>
      <c r="F168" s="27">
        <v>3</v>
      </c>
      <c r="G168" s="29">
        <v>4.4814299999999996</v>
      </c>
    </row>
    <row r="169" spans="1:7" x14ac:dyDescent="0.25">
      <c r="A169" s="20" t="s">
        <v>588</v>
      </c>
      <c r="B169" s="20" t="s">
        <v>44</v>
      </c>
      <c r="C169" s="20" t="s">
        <v>44</v>
      </c>
      <c r="D169" s="20" t="s">
        <v>688</v>
      </c>
      <c r="E169" s="24">
        <v>0.627</v>
      </c>
      <c r="F169" s="24">
        <v>1.881</v>
      </c>
      <c r="G169" s="22"/>
    </row>
    <row r="170" spans="1:7" x14ac:dyDescent="0.25">
      <c r="A170" s="20" t="s">
        <v>588</v>
      </c>
      <c r="B170" s="20" t="s">
        <v>66</v>
      </c>
      <c r="C170" s="20" t="s">
        <v>66</v>
      </c>
      <c r="D170" s="20" t="s">
        <v>688</v>
      </c>
      <c r="E170" s="24">
        <v>3.7999999999999999E-2</v>
      </c>
      <c r="F170" s="24">
        <v>0.114</v>
      </c>
      <c r="G170" s="22"/>
    </row>
    <row r="171" spans="1:7" x14ac:dyDescent="0.25">
      <c r="A171" s="20" t="s">
        <v>588</v>
      </c>
      <c r="B171" s="20" t="s">
        <v>67</v>
      </c>
      <c r="C171" s="20" t="s">
        <v>67</v>
      </c>
      <c r="D171" s="20" t="s">
        <v>688</v>
      </c>
      <c r="E171" s="24">
        <v>0.27500000000000002</v>
      </c>
      <c r="F171" s="24">
        <v>0.82499999999999996</v>
      </c>
      <c r="G171" s="22"/>
    </row>
    <row r="172" spans="1:7" x14ac:dyDescent="0.25">
      <c r="A172" s="20" t="s">
        <v>588</v>
      </c>
      <c r="B172" s="20" t="s">
        <v>139</v>
      </c>
      <c r="C172" s="20" t="s">
        <v>139</v>
      </c>
      <c r="D172" s="20" t="s">
        <v>688</v>
      </c>
      <c r="E172" s="24">
        <v>6.4000000000000001E-2</v>
      </c>
      <c r="F172" s="24">
        <v>0.192</v>
      </c>
      <c r="G172" s="22"/>
    </row>
    <row r="173" spans="1:7" x14ac:dyDescent="0.25">
      <c r="A173" s="20" t="s">
        <v>588</v>
      </c>
      <c r="B173" s="20" t="s">
        <v>146</v>
      </c>
      <c r="C173" s="20" t="s">
        <v>146</v>
      </c>
      <c r="D173" s="20" t="s">
        <v>688</v>
      </c>
      <c r="E173" s="24">
        <v>0.16200000000000001</v>
      </c>
      <c r="F173" s="24">
        <v>0.48599999999999999</v>
      </c>
      <c r="G173" s="22"/>
    </row>
    <row r="174" spans="1:7" x14ac:dyDescent="0.25">
      <c r="A174" s="20" t="s">
        <v>588</v>
      </c>
      <c r="B174" s="20" t="s">
        <v>156</v>
      </c>
      <c r="C174" s="20" t="s">
        <v>156</v>
      </c>
      <c r="D174" s="20" t="s">
        <v>688</v>
      </c>
      <c r="E174" s="24">
        <v>0.38300000000000001</v>
      </c>
      <c r="F174" s="24">
        <v>1.149</v>
      </c>
      <c r="G174" s="22"/>
    </row>
    <row r="175" spans="1:7" x14ac:dyDescent="0.25">
      <c r="A175" s="20" t="s">
        <v>588</v>
      </c>
      <c r="B175" s="20" t="s">
        <v>157</v>
      </c>
      <c r="C175" s="20" t="s">
        <v>157</v>
      </c>
      <c r="D175" s="20" t="s">
        <v>688</v>
      </c>
      <c r="E175" s="24">
        <v>0.192</v>
      </c>
      <c r="F175" s="24">
        <v>0.57599999999999996</v>
      </c>
      <c r="G175" s="22"/>
    </row>
    <row r="176" spans="1:7" x14ac:dyDescent="0.25">
      <c r="A176" s="20" t="s">
        <v>588</v>
      </c>
      <c r="B176" s="20" t="s">
        <v>200</v>
      </c>
      <c r="C176" s="20" t="s">
        <v>200</v>
      </c>
      <c r="D176" s="20" t="s">
        <v>688</v>
      </c>
      <c r="E176" s="24">
        <v>0.31900000000000001</v>
      </c>
      <c r="F176" s="24">
        <v>0.95699999999999996</v>
      </c>
      <c r="G176" s="22"/>
    </row>
    <row r="177" spans="1:7" x14ac:dyDescent="0.25">
      <c r="A177" s="20" t="s">
        <v>588</v>
      </c>
      <c r="B177" s="20" t="s">
        <v>202</v>
      </c>
      <c r="C177" s="20" t="s">
        <v>202</v>
      </c>
      <c r="D177" s="20" t="s">
        <v>688</v>
      </c>
      <c r="E177" s="24">
        <v>0.436</v>
      </c>
      <c r="F177" s="24">
        <v>1.3080000000000001</v>
      </c>
      <c r="G177" s="22"/>
    </row>
    <row r="178" spans="1:7" x14ac:dyDescent="0.25">
      <c r="A178" s="20" t="s">
        <v>588</v>
      </c>
      <c r="B178" s="20" t="s">
        <v>116</v>
      </c>
      <c r="C178" s="20" t="s">
        <v>116</v>
      </c>
      <c r="D178" s="20" t="s">
        <v>689</v>
      </c>
      <c r="E178" s="26">
        <v>25.362780000000001</v>
      </c>
      <c r="F178" s="26">
        <v>152.17668</v>
      </c>
      <c r="G178" s="22"/>
    </row>
    <row r="179" spans="1:7" x14ac:dyDescent="0.25">
      <c r="A179" s="20" t="s">
        <v>588</v>
      </c>
      <c r="B179" s="20" t="s">
        <v>116</v>
      </c>
      <c r="C179" s="20" t="s">
        <v>116</v>
      </c>
      <c r="D179" s="20" t="s">
        <v>690</v>
      </c>
      <c r="E179" s="26">
        <v>2.9691800000000002</v>
      </c>
      <c r="F179" s="26">
        <v>17.815079999999998</v>
      </c>
      <c r="G179" s="22"/>
    </row>
    <row r="180" spans="1:7" x14ac:dyDescent="0.25">
      <c r="A180" s="20" t="s">
        <v>588</v>
      </c>
      <c r="B180" s="20" t="s">
        <v>188</v>
      </c>
      <c r="C180" s="20" t="s">
        <v>188</v>
      </c>
      <c r="D180" s="20" t="s">
        <v>691</v>
      </c>
      <c r="E180" s="24">
        <v>4.5010000000000003</v>
      </c>
      <c r="F180" s="24">
        <v>13.503</v>
      </c>
      <c r="G180" s="22"/>
    </row>
    <row r="181" spans="1:7" x14ac:dyDescent="0.25">
      <c r="A181" s="20" t="s">
        <v>588</v>
      </c>
      <c r="B181" s="20" t="s">
        <v>44</v>
      </c>
      <c r="C181" s="20" t="s">
        <v>44</v>
      </c>
      <c r="D181" s="20" t="s">
        <v>692</v>
      </c>
      <c r="E181" s="25">
        <v>0.16</v>
      </c>
      <c r="F181" s="25">
        <v>0.16</v>
      </c>
      <c r="G181" s="22"/>
    </row>
    <row r="182" spans="1:7" x14ac:dyDescent="0.25">
      <c r="A182" s="20" t="s">
        <v>588</v>
      </c>
      <c r="B182" s="20" t="s">
        <v>66</v>
      </c>
      <c r="C182" s="20" t="s">
        <v>66</v>
      </c>
      <c r="D182" s="20" t="s">
        <v>692</v>
      </c>
      <c r="E182" s="24">
        <v>1.2E-2</v>
      </c>
      <c r="F182" s="24">
        <v>1.2E-2</v>
      </c>
      <c r="G182" s="22"/>
    </row>
    <row r="183" spans="1:7" x14ac:dyDescent="0.25">
      <c r="A183" s="20" t="s">
        <v>588</v>
      </c>
      <c r="B183" s="20" t="s">
        <v>118</v>
      </c>
      <c r="C183" s="20" t="s">
        <v>118</v>
      </c>
      <c r="D183" s="20" t="s">
        <v>692</v>
      </c>
      <c r="E183" s="26">
        <v>26.11224</v>
      </c>
      <c r="F183" s="26">
        <v>26.11224</v>
      </c>
      <c r="G183" s="22"/>
    </row>
    <row r="184" spans="1:7" x14ac:dyDescent="0.25">
      <c r="A184" s="20" t="s">
        <v>588</v>
      </c>
      <c r="B184" s="20" t="s">
        <v>139</v>
      </c>
      <c r="C184" s="20" t="s">
        <v>139</v>
      </c>
      <c r="D184" s="20" t="s">
        <v>692</v>
      </c>
      <c r="E184" s="25">
        <v>0.02</v>
      </c>
      <c r="F184" s="25">
        <v>0.02</v>
      </c>
      <c r="G184" s="22"/>
    </row>
    <row r="185" spans="1:7" x14ac:dyDescent="0.25">
      <c r="A185" s="20" t="s">
        <v>588</v>
      </c>
      <c r="B185" s="20" t="s">
        <v>156</v>
      </c>
      <c r="C185" s="20" t="s">
        <v>156</v>
      </c>
      <c r="D185" s="20" t="s">
        <v>692</v>
      </c>
      <c r="E185" s="24">
        <v>6.5000000000000002E-2</v>
      </c>
      <c r="F185" s="24">
        <v>6.5000000000000002E-2</v>
      </c>
      <c r="G185" s="22"/>
    </row>
    <row r="186" spans="1:7" x14ac:dyDescent="0.25">
      <c r="A186" s="20" t="s">
        <v>588</v>
      </c>
      <c r="B186" s="20" t="s">
        <v>157</v>
      </c>
      <c r="C186" s="20" t="s">
        <v>157</v>
      </c>
      <c r="D186" s="20" t="s">
        <v>692</v>
      </c>
      <c r="E186" s="24">
        <v>5.8999999999999997E-2</v>
      </c>
      <c r="F186" s="24">
        <v>5.8999999999999997E-2</v>
      </c>
      <c r="G186" s="22"/>
    </row>
    <row r="187" spans="1:7" x14ac:dyDescent="0.25">
      <c r="A187" s="20" t="s">
        <v>588</v>
      </c>
      <c r="B187" s="20" t="s">
        <v>200</v>
      </c>
      <c r="C187" s="20" t="s">
        <v>200</v>
      </c>
      <c r="D187" s="20" t="s">
        <v>692</v>
      </c>
      <c r="E187" s="25">
        <v>0.05</v>
      </c>
      <c r="F187" s="25">
        <v>0.05</v>
      </c>
      <c r="G187" s="22"/>
    </row>
    <row r="188" spans="1:7" x14ac:dyDescent="0.25">
      <c r="A188" s="20" t="s">
        <v>588</v>
      </c>
      <c r="B188" s="20" t="s">
        <v>202</v>
      </c>
      <c r="C188" s="20" t="s">
        <v>202</v>
      </c>
      <c r="D188" s="20" t="s">
        <v>692</v>
      </c>
      <c r="E188" s="24">
        <v>0.13300000000000001</v>
      </c>
      <c r="F188" s="24">
        <v>0.13300000000000001</v>
      </c>
      <c r="G188" s="22"/>
    </row>
    <row r="189" spans="1:7" x14ac:dyDescent="0.25">
      <c r="A189" s="20" t="s">
        <v>588</v>
      </c>
      <c r="B189" s="20" t="s">
        <v>44</v>
      </c>
      <c r="C189" s="20" t="s">
        <v>44</v>
      </c>
      <c r="D189" s="20" t="s">
        <v>693</v>
      </c>
      <c r="E189" s="24">
        <v>0.192</v>
      </c>
      <c r="F189" s="24">
        <v>0.192</v>
      </c>
      <c r="G189" s="22"/>
    </row>
    <row r="190" spans="1:7" x14ac:dyDescent="0.25">
      <c r="A190" s="20" t="s">
        <v>588</v>
      </c>
      <c r="B190" s="20" t="s">
        <v>66</v>
      </c>
      <c r="C190" s="20" t="s">
        <v>66</v>
      </c>
      <c r="D190" s="20" t="s">
        <v>693</v>
      </c>
      <c r="E190" s="24">
        <v>1.2E-2</v>
      </c>
      <c r="F190" s="24">
        <v>1.2E-2</v>
      </c>
      <c r="G190" s="22"/>
    </row>
    <row r="191" spans="1:7" x14ac:dyDescent="0.25">
      <c r="A191" s="20" t="s">
        <v>588</v>
      </c>
      <c r="B191" s="20" t="s">
        <v>118</v>
      </c>
      <c r="C191" s="20" t="s">
        <v>118</v>
      </c>
      <c r="D191" s="20" t="s">
        <v>693</v>
      </c>
      <c r="E191" s="26">
        <v>26.11224</v>
      </c>
      <c r="F191" s="26">
        <v>26.11224</v>
      </c>
      <c r="G191" s="22"/>
    </row>
    <row r="192" spans="1:7" x14ac:dyDescent="0.25">
      <c r="A192" s="20" t="s">
        <v>588</v>
      </c>
      <c r="B192" s="20" t="s">
        <v>139</v>
      </c>
      <c r="C192" s="20" t="s">
        <v>139</v>
      </c>
      <c r="D192" s="20" t="s">
        <v>693</v>
      </c>
      <c r="E192" s="25">
        <v>0.02</v>
      </c>
      <c r="F192" s="25">
        <v>0.02</v>
      </c>
      <c r="G192" s="22"/>
    </row>
    <row r="193" spans="1:7" x14ac:dyDescent="0.25">
      <c r="A193" s="20" t="s">
        <v>588</v>
      </c>
      <c r="B193" s="20" t="s">
        <v>156</v>
      </c>
      <c r="C193" s="20" t="s">
        <v>156</v>
      </c>
      <c r="D193" s="20" t="s">
        <v>693</v>
      </c>
      <c r="E193" s="24">
        <v>6.5000000000000002E-2</v>
      </c>
      <c r="F193" s="24">
        <v>6.5000000000000002E-2</v>
      </c>
      <c r="G193" s="22"/>
    </row>
    <row r="194" spans="1:7" x14ac:dyDescent="0.25">
      <c r="A194" s="20" t="s">
        <v>588</v>
      </c>
      <c r="B194" s="20" t="s">
        <v>157</v>
      </c>
      <c r="C194" s="20" t="s">
        <v>157</v>
      </c>
      <c r="D194" s="20" t="s">
        <v>693</v>
      </c>
      <c r="E194" s="24">
        <v>5.8999999999999997E-2</v>
      </c>
      <c r="F194" s="24">
        <v>5.8999999999999997E-2</v>
      </c>
      <c r="G194" s="22"/>
    </row>
    <row r="195" spans="1:7" x14ac:dyDescent="0.25">
      <c r="A195" s="20" t="s">
        <v>588</v>
      </c>
      <c r="B195" s="20" t="s">
        <v>200</v>
      </c>
      <c r="C195" s="20" t="s">
        <v>200</v>
      </c>
      <c r="D195" s="20" t="s">
        <v>693</v>
      </c>
      <c r="E195" s="25">
        <v>0.05</v>
      </c>
      <c r="F195" s="25">
        <v>0.05</v>
      </c>
      <c r="G195" s="22"/>
    </row>
    <row r="196" spans="1:7" x14ac:dyDescent="0.25">
      <c r="A196" s="20" t="s">
        <v>588</v>
      </c>
      <c r="B196" s="20" t="s">
        <v>202</v>
      </c>
      <c r="C196" s="20" t="s">
        <v>202</v>
      </c>
      <c r="D196" s="20" t="s">
        <v>693</v>
      </c>
      <c r="E196" s="24">
        <v>0.13300000000000001</v>
      </c>
      <c r="F196" s="24">
        <v>0.13300000000000001</v>
      </c>
      <c r="G196" s="22"/>
    </row>
    <row r="197" spans="1:7" x14ac:dyDescent="0.25">
      <c r="A197" s="20" t="s">
        <v>588</v>
      </c>
      <c r="B197" s="20" t="s">
        <v>66</v>
      </c>
      <c r="C197" s="20" t="s">
        <v>66</v>
      </c>
      <c r="D197" s="20" t="s">
        <v>694</v>
      </c>
      <c r="E197" s="24">
        <v>3.6999999999999998E-2</v>
      </c>
      <c r="F197" s="24">
        <v>3.6999999999999998E-2</v>
      </c>
      <c r="G197" s="22"/>
    </row>
    <row r="198" spans="1:7" x14ac:dyDescent="0.25">
      <c r="A198" s="20" t="s">
        <v>588</v>
      </c>
      <c r="B198" s="20" t="s">
        <v>116</v>
      </c>
      <c r="C198" s="20" t="s">
        <v>116</v>
      </c>
      <c r="D198" s="20" t="s">
        <v>694</v>
      </c>
      <c r="E198" s="26">
        <v>5.2337499999999997</v>
      </c>
      <c r="F198" s="26">
        <v>5.2337499999999997</v>
      </c>
      <c r="G198" s="22"/>
    </row>
    <row r="199" spans="1:7" x14ac:dyDescent="0.25">
      <c r="A199" s="20" t="s">
        <v>588</v>
      </c>
      <c r="B199" s="20" t="s">
        <v>157</v>
      </c>
      <c r="C199" s="20" t="s">
        <v>157</v>
      </c>
      <c r="D199" s="20" t="s">
        <v>694</v>
      </c>
      <c r="E199" s="24">
        <v>3.1E-2</v>
      </c>
      <c r="F199" s="24">
        <v>3.1E-2</v>
      </c>
      <c r="G199" s="22"/>
    </row>
    <row r="200" spans="1:7" x14ac:dyDescent="0.25">
      <c r="A200" s="20" t="s">
        <v>585</v>
      </c>
      <c r="B200" s="20" t="s">
        <v>596</v>
      </c>
      <c r="C200" s="20" t="s">
        <v>596</v>
      </c>
      <c r="D200" s="20" t="s">
        <v>695</v>
      </c>
      <c r="E200" s="27">
        <v>1</v>
      </c>
      <c r="F200" s="27">
        <v>1</v>
      </c>
      <c r="G200" s="29">
        <v>13.637930000000001</v>
      </c>
    </row>
    <row r="201" spans="1:7" x14ac:dyDescent="0.25">
      <c r="A201" s="20" t="s">
        <v>585</v>
      </c>
      <c r="B201" s="20" t="s">
        <v>658</v>
      </c>
      <c r="C201" s="20" t="s">
        <v>658</v>
      </c>
      <c r="D201" s="20" t="s">
        <v>695</v>
      </c>
      <c r="E201" s="27">
        <v>2</v>
      </c>
      <c r="F201" s="27">
        <v>2</v>
      </c>
      <c r="G201" s="29">
        <v>1.2933399999999999</v>
      </c>
    </row>
    <row r="202" spans="1:7" x14ac:dyDescent="0.25">
      <c r="A202" s="20" t="s">
        <v>585</v>
      </c>
      <c r="B202" s="20" t="s">
        <v>661</v>
      </c>
      <c r="C202" s="20" t="s">
        <v>661</v>
      </c>
      <c r="D202" s="20" t="s">
        <v>695</v>
      </c>
      <c r="E202" s="27">
        <v>2</v>
      </c>
      <c r="F202" s="27">
        <v>2</v>
      </c>
      <c r="G202" s="29">
        <v>0.53744000000000003</v>
      </c>
    </row>
    <row r="203" spans="1:7" x14ac:dyDescent="0.25">
      <c r="A203" s="20" t="s">
        <v>585</v>
      </c>
      <c r="B203" s="20" t="s">
        <v>696</v>
      </c>
      <c r="C203" s="20" t="s">
        <v>696</v>
      </c>
      <c r="D203" s="20" t="s">
        <v>695</v>
      </c>
      <c r="E203" s="27">
        <v>1</v>
      </c>
      <c r="F203" s="27">
        <v>1</v>
      </c>
      <c r="G203" s="29">
        <v>3.99247</v>
      </c>
    </row>
    <row r="204" spans="1:7" x14ac:dyDescent="0.25">
      <c r="A204" s="20" t="s">
        <v>585</v>
      </c>
      <c r="B204" s="20" t="s">
        <v>697</v>
      </c>
      <c r="C204" s="20" t="s">
        <v>697</v>
      </c>
      <c r="D204" s="20" t="s">
        <v>695</v>
      </c>
      <c r="E204" s="27">
        <v>2</v>
      </c>
      <c r="F204" s="27">
        <v>2</v>
      </c>
      <c r="G204" s="29">
        <v>11.81869</v>
      </c>
    </row>
    <row r="205" spans="1:7" x14ac:dyDescent="0.25">
      <c r="A205" s="20" t="s">
        <v>595</v>
      </c>
      <c r="B205" s="20" t="s">
        <v>590</v>
      </c>
      <c r="C205" s="20" t="s">
        <v>590</v>
      </c>
      <c r="D205" s="20" t="s">
        <v>695</v>
      </c>
      <c r="E205" s="27">
        <v>1</v>
      </c>
      <c r="F205" s="27">
        <v>1</v>
      </c>
      <c r="G205" s="29">
        <v>6.4697100000000001</v>
      </c>
    </row>
    <row r="206" spans="1:7" x14ac:dyDescent="0.25">
      <c r="A206" s="20" t="s">
        <v>595</v>
      </c>
      <c r="B206" s="20" t="s">
        <v>652</v>
      </c>
      <c r="C206" s="20" t="s">
        <v>652</v>
      </c>
      <c r="D206" s="20" t="s">
        <v>695</v>
      </c>
      <c r="E206" s="27">
        <v>1</v>
      </c>
      <c r="F206" s="27">
        <v>1</v>
      </c>
      <c r="G206" s="29">
        <v>5.5714600000000001</v>
      </c>
    </row>
    <row r="207" spans="1:7" x14ac:dyDescent="0.25">
      <c r="A207" s="20" t="s">
        <v>595</v>
      </c>
      <c r="B207" s="20" t="s">
        <v>654</v>
      </c>
      <c r="C207" s="20" t="s">
        <v>654</v>
      </c>
      <c r="D207" s="20" t="s">
        <v>695</v>
      </c>
      <c r="E207" s="27">
        <v>2</v>
      </c>
      <c r="F207" s="27">
        <v>2</v>
      </c>
      <c r="G207" s="29">
        <v>0.11028</v>
      </c>
    </row>
    <row r="208" spans="1:7" x14ac:dyDescent="0.25">
      <c r="A208" s="20" t="s">
        <v>595</v>
      </c>
      <c r="B208" s="20" t="s">
        <v>659</v>
      </c>
      <c r="C208" s="20" t="s">
        <v>659</v>
      </c>
      <c r="D208" s="20" t="s">
        <v>695</v>
      </c>
      <c r="E208" s="27">
        <v>1</v>
      </c>
      <c r="F208" s="27">
        <v>1</v>
      </c>
      <c r="G208" s="29">
        <v>1.0603899999999999</v>
      </c>
    </row>
    <row r="209" spans="1:7" x14ac:dyDescent="0.25">
      <c r="A209" s="20" t="s">
        <v>595</v>
      </c>
      <c r="B209" s="20" t="s">
        <v>698</v>
      </c>
      <c r="C209" s="20" t="s">
        <v>698</v>
      </c>
      <c r="D209" s="20" t="s">
        <v>695</v>
      </c>
      <c r="E209" s="27">
        <v>1</v>
      </c>
      <c r="F209" s="27">
        <v>1</v>
      </c>
      <c r="G209" s="29">
        <v>20.94764</v>
      </c>
    </row>
    <row r="210" spans="1:7" x14ac:dyDescent="0.25">
      <c r="A210" s="20" t="s">
        <v>595</v>
      </c>
      <c r="B210" s="20" t="s">
        <v>699</v>
      </c>
      <c r="C210" s="20" t="s">
        <v>699</v>
      </c>
      <c r="D210" s="20" t="s">
        <v>695</v>
      </c>
      <c r="E210" s="27">
        <v>1</v>
      </c>
      <c r="F210" s="27">
        <v>1</v>
      </c>
      <c r="G210" s="29">
        <v>20.94764</v>
      </c>
    </row>
    <row r="211" spans="1:7" x14ac:dyDescent="0.25">
      <c r="A211" s="20" t="s">
        <v>595</v>
      </c>
      <c r="B211" s="20" t="s">
        <v>700</v>
      </c>
      <c r="C211" s="20" t="s">
        <v>700</v>
      </c>
      <c r="D211" s="20" t="s">
        <v>695</v>
      </c>
      <c r="E211" s="27">
        <v>1</v>
      </c>
      <c r="F211" s="27">
        <v>1</v>
      </c>
      <c r="G211" s="28">
        <v>12.564500000000001</v>
      </c>
    </row>
    <row r="212" spans="1:7" x14ac:dyDescent="0.25">
      <c r="A212" s="20" t="s">
        <v>595</v>
      </c>
      <c r="B212" s="20" t="s">
        <v>701</v>
      </c>
      <c r="C212" s="20" t="s">
        <v>701</v>
      </c>
      <c r="D212" s="20" t="s">
        <v>695</v>
      </c>
      <c r="E212" s="27">
        <v>1</v>
      </c>
      <c r="F212" s="27">
        <v>1</v>
      </c>
      <c r="G212" s="29">
        <v>4.7099200000000003</v>
      </c>
    </row>
    <row r="213" spans="1:7" x14ac:dyDescent="0.25">
      <c r="A213" s="20" t="s">
        <v>595</v>
      </c>
      <c r="B213" s="20" t="s">
        <v>702</v>
      </c>
      <c r="C213" s="20" t="s">
        <v>702</v>
      </c>
      <c r="D213" s="20" t="s">
        <v>695</v>
      </c>
      <c r="E213" s="27">
        <v>4</v>
      </c>
      <c r="F213" s="27">
        <v>4</v>
      </c>
      <c r="G213" s="29">
        <v>1.6122099999999999</v>
      </c>
    </row>
    <row r="214" spans="1:7" x14ac:dyDescent="0.25">
      <c r="A214" s="20" t="s">
        <v>595</v>
      </c>
      <c r="B214" s="20" t="s">
        <v>703</v>
      </c>
      <c r="C214" s="20" t="s">
        <v>703</v>
      </c>
      <c r="D214" s="20" t="s">
        <v>695</v>
      </c>
      <c r="E214" s="27">
        <v>4</v>
      </c>
      <c r="F214" s="27">
        <v>4</v>
      </c>
      <c r="G214" s="29">
        <v>0.86831000000000003</v>
      </c>
    </row>
    <row r="215" spans="1:7" x14ac:dyDescent="0.25">
      <c r="A215" s="20" t="s">
        <v>595</v>
      </c>
      <c r="B215" s="20" t="s">
        <v>704</v>
      </c>
      <c r="C215" s="20" t="s">
        <v>704</v>
      </c>
      <c r="D215" s="20" t="s">
        <v>695</v>
      </c>
      <c r="E215" s="27">
        <v>1</v>
      </c>
      <c r="F215" s="27">
        <v>1</v>
      </c>
      <c r="G215" s="29">
        <v>4.9875600000000002</v>
      </c>
    </row>
    <row r="216" spans="1:7" x14ac:dyDescent="0.25">
      <c r="A216" s="20" t="s">
        <v>595</v>
      </c>
      <c r="B216" s="20" t="s">
        <v>705</v>
      </c>
      <c r="C216" s="20" t="s">
        <v>705</v>
      </c>
      <c r="D216" s="20" t="s">
        <v>695</v>
      </c>
      <c r="E216" s="27">
        <v>1</v>
      </c>
      <c r="F216" s="27">
        <v>1</v>
      </c>
      <c r="G216" s="29">
        <v>7.4569999999999997E-2</v>
      </c>
    </row>
    <row r="217" spans="1:7" ht="22.5" x14ac:dyDescent="0.25">
      <c r="A217" s="20" t="s">
        <v>620</v>
      </c>
      <c r="B217" s="20" t="s">
        <v>648</v>
      </c>
      <c r="C217" s="20" t="s">
        <v>218</v>
      </c>
      <c r="D217" s="20" t="s">
        <v>695</v>
      </c>
      <c r="E217" s="27">
        <v>2</v>
      </c>
      <c r="F217" s="27">
        <v>2</v>
      </c>
      <c r="G217" s="29">
        <v>1.325E-2</v>
      </c>
    </row>
    <row r="218" spans="1:7" ht="22.5" x14ac:dyDescent="0.25">
      <c r="A218" s="20" t="s">
        <v>620</v>
      </c>
      <c r="B218" s="20" t="s">
        <v>671</v>
      </c>
      <c r="C218" s="20" t="s">
        <v>223</v>
      </c>
      <c r="D218" s="20" t="s">
        <v>695</v>
      </c>
      <c r="E218" s="27">
        <v>34</v>
      </c>
      <c r="F218" s="27">
        <v>34</v>
      </c>
      <c r="G218" s="28">
        <v>1.5699999999999999E-2</v>
      </c>
    </row>
    <row r="219" spans="1:7" ht="22.5" x14ac:dyDescent="0.25">
      <c r="A219" s="20" t="s">
        <v>620</v>
      </c>
      <c r="B219" s="20" t="s">
        <v>57</v>
      </c>
      <c r="C219" s="20" t="s">
        <v>57</v>
      </c>
      <c r="D219" s="20" t="s">
        <v>695</v>
      </c>
      <c r="E219" s="27">
        <v>16</v>
      </c>
      <c r="F219" s="27">
        <v>16</v>
      </c>
      <c r="G219" s="29">
        <v>1.102E-2</v>
      </c>
    </row>
    <row r="220" spans="1:7" ht="22.5" x14ac:dyDescent="0.25">
      <c r="A220" s="20" t="s">
        <v>620</v>
      </c>
      <c r="B220" s="20" t="s">
        <v>706</v>
      </c>
      <c r="C220" s="20" t="s">
        <v>224</v>
      </c>
      <c r="D220" s="20" t="s">
        <v>695</v>
      </c>
      <c r="E220" s="27">
        <v>16</v>
      </c>
      <c r="F220" s="27">
        <v>16</v>
      </c>
      <c r="G220" s="28">
        <v>1.0200000000000001E-2</v>
      </c>
    </row>
    <row r="221" spans="1:7" ht="22.5" x14ac:dyDescent="0.25">
      <c r="A221" s="20" t="s">
        <v>620</v>
      </c>
      <c r="B221" s="20" t="s">
        <v>707</v>
      </c>
      <c r="C221" s="20" t="s">
        <v>226</v>
      </c>
      <c r="D221" s="20" t="s">
        <v>695</v>
      </c>
      <c r="E221" s="27">
        <v>2</v>
      </c>
      <c r="F221" s="27">
        <v>2</v>
      </c>
      <c r="G221" s="28">
        <v>1.35E-2</v>
      </c>
    </row>
    <row r="222" spans="1:7" ht="22.5" x14ac:dyDescent="0.25">
      <c r="A222" s="20" t="s">
        <v>620</v>
      </c>
      <c r="B222" s="20" t="s">
        <v>708</v>
      </c>
      <c r="C222" s="20" t="s">
        <v>225</v>
      </c>
      <c r="D222" s="20" t="s">
        <v>695</v>
      </c>
      <c r="E222" s="27">
        <v>2</v>
      </c>
      <c r="F222" s="27">
        <v>2</v>
      </c>
      <c r="G222" s="29">
        <v>1.0399999999999999E-3</v>
      </c>
    </row>
    <row r="223" spans="1:7" ht="22.5" x14ac:dyDescent="0.25">
      <c r="A223" s="20" t="s">
        <v>620</v>
      </c>
      <c r="B223" s="20" t="s">
        <v>653</v>
      </c>
      <c r="C223" s="20" t="s">
        <v>220</v>
      </c>
      <c r="D223" s="20" t="s">
        <v>695</v>
      </c>
      <c r="E223" s="27">
        <v>4</v>
      </c>
      <c r="F223" s="27">
        <v>4</v>
      </c>
      <c r="G223" s="29">
        <v>0.12286999999999999</v>
      </c>
    </row>
    <row r="224" spans="1:7" ht="22.5" x14ac:dyDescent="0.25">
      <c r="A224" s="20" t="s">
        <v>620</v>
      </c>
      <c r="B224" s="20" t="s">
        <v>709</v>
      </c>
      <c r="C224" s="20" t="s">
        <v>227</v>
      </c>
      <c r="D224" s="20" t="s">
        <v>695</v>
      </c>
      <c r="E224" s="27">
        <v>4</v>
      </c>
      <c r="F224" s="27">
        <v>4</v>
      </c>
      <c r="G224" s="28">
        <v>1.49E-2</v>
      </c>
    </row>
    <row r="225" spans="1:7" ht="22.5" x14ac:dyDescent="0.25">
      <c r="A225" s="20" t="s">
        <v>620</v>
      </c>
      <c r="B225" s="20" t="s">
        <v>625</v>
      </c>
      <c r="C225" s="20" t="s">
        <v>219</v>
      </c>
      <c r="D225" s="20" t="s">
        <v>695</v>
      </c>
      <c r="E225" s="27">
        <v>60</v>
      </c>
      <c r="F225" s="27">
        <v>60</v>
      </c>
      <c r="G225" s="29">
        <v>7.1399999999999996E-3</v>
      </c>
    </row>
    <row r="226" spans="1:7" ht="22.5" x14ac:dyDescent="0.25">
      <c r="A226" s="20" t="s">
        <v>620</v>
      </c>
      <c r="B226" s="20" t="s">
        <v>710</v>
      </c>
      <c r="C226" s="20" t="s">
        <v>228</v>
      </c>
      <c r="D226" s="20" t="s">
        <v>695</v>
      </c>
      <c r="E226" s="27">
        <v>4</v>
      </c>
      <c r="F226" s="27">
        <v>4</v>
      </c>
      <c r="G226" s="29">
        <v>1.0300000000000001E-3</v>
      </c>
    </row>
    <row r="227" spans="1:7" ht="22.5" x14ac:dyDescent="0.25">
      <c r="A227" s="20" t="s">
        <v>620</v>
      </c>
      <c r="B227" s="20" t="s">
        <v>711</v>
      </c>
      <c r="C227" s="20" t="s">
        <v>229</v>
      </c>
      <c r="D227" s="20" t="s">
        <v>695</v>
      </c>
      <c r="E227" s="27">
        <v>4</v>
      </c>
      <c r="F227" s="27">
        <v>4</v>
      </c>
      <c r="G227" s="29">
        <v>3.1060000000000001E-2</v>
      </c>
    </row>
    <row r="228" spans="1:7" x14ac:dyDescent="0.25">
      <c r="A228" s="20" t="s">
        <v>588</v>
      </c>
      <c r="B228" s="20" t="s">
        <v>17</v>
      </c>
      <c r="C228" s="20" t="s">
        <v>17</v>
      </c>
      <c r="D228" s="20" t="s">
        <v>695</v>
      </c>
      <c r="E228" s="24">
        <v>2E-3</v>
      </c>
      <c r="F228" s="24">
        <v>2E-3</v>
      </c>
      <c r="G228" s="22"/>
    </row>
    <row r="229" spans="1:7" x14ac:dyDescent="0.25">
      <c r="A229" s="20" t="s">
        <v>588</v>
      </c>
      <c r="B229" s="20" t="s">
        <v>64</v>
      </c>
      <c r="C229" s="20" t="s">
        <v>64</v>
      </c>
      <c r="D229" s="20" t="s">
        <v>695</v>
      </c>
      <c r="E229" s="25">
        <v>0.05</v>
      </c>
      <c r="F229" s="25">
        <v>0.05</v>
      </c>
      <c r="G229" s="22"/>
    </row>
    <row r="230" spans="1:7" x14ac:dyDescent="0.25">
      <c r="A230" s="20" t="s">
        <v>588</v>
      </c>
      <c r="B230" s="20" t="s">
        <v>133</v>
      </c>
      <c r="C230" s="20" t="s">
        <v>133</v>
      </c>
      <c r="D230" s="20" t="s">
        <v>695</v>
      </c>
      <c r="E230" s="33">
        <v>0.1</v>
      </c>
      <c r="F230" s="33">
        <v>0.1</v>
      </c>
      <c r="G230" s="22"/>
    </row>
    <row r="231" spans="1:7" x14ac:dyDescent="0.25">
      <c r="A231" s="20" t="s">
        <v>588</v>
      </c>
      <c r="B231" s="20" t="s">
        <v>157</v>
      </c>
      <c r="C231" s="20" t="s">
        <v>157</v>
      </c>
      <c r="D231" s="20" t="s">
        <v>695</v>
      </c>
      <c r="E231" s="25">
        <v>0.03</v>
      </c>
      <c r="F231" s="25">
        <v>0.03</v>
      </c>
      <c r="G231" s="22"/>
    </row>
    <row r="232" spans="1:7" x14ac:dyDescent="0.25">
      <c r="A232" s="20" t="s">
        <v>588</v>
      </c>
      <c r="B232" s="20" t="s">
        <v>162</v>
      </c>
      <c r="C232" s="20" t="s">
        <v>162</v>
      </c>
      <c r="D232" s="20" t="s">
        <v>695</v>
      </c>
      <c r="E232" s="25">
        <v>0.02</v>
      </c>
      <c r="F232" s="25">
        <v>0.02</v>
      </c>
      <c r="G232" s="22"/>
    </row>
    <row r="233" spans="1:7" x14ac:dyDescent="0.25">
      <c r="A233" s="20" t="s">
        <v>588</v>
      </c>
      <c r="B233" s="20" t="s">
        <v>44</v>
      </c>
      <c r="C233" s="20" t="s">
        <v>44</v>
      </c>
      <c r="D233" s="20" t="s">
        <v>698</v>
      </c>
      <c r="E233" s="24">
        <v>0.16400000000000001</v>
      </c>
      <c r="F233" s="24">
        <v>0.16400000000000001</v>
      </c>
      <c r="G233" s="22"/>
    </row>
    <row r="234" spans="1:7" x14ac:dyDescent="0.25">
      <c r="A234" s="20" t="s">
        <v>588</v>
      </c>
      <c r="B234" s="20" t="s">
        <v>66</v>
      </c>
      <c r="C234" s="20" t="s">
        <v>66</v>
      </c>
      <c r="D234" s="20" t="s">
        <v>698</v>
      </c>
      <c r="E234" s="25">
        <v>0.06</v>
      </c>
      <c r="F234" s="25">
        <v>0.06</v>
      </c>
      <c r="G234" s="22"/>
    </row>
    <row r="235" spans="1:7" x14ac:dyDescent="0.25">
      <c r="A235" s="20" t="s">
        <v>588</v>
      </c>
      <c r="B235" s="20" t="s">
        <v>118</v>
      </c>
      <c r="C235" s="20" t="s">
        <v>118</v>
      </c>
      <c r="D235" s="20" t="s">
        <v>698</v>
      </c>
      <c r="E235" s="26">
        <v>26.11224</v>
      </c>
      <c r="F235" s="26">
        <v>26.11224</v>
      </c>
      <c r="G235" s="22"/>
    </row>
    <row r="236" spans="1:7" x14ac:dyDescent="0.25">
      <c r="A236" s="20" t="s">
        <v>588</v>
      </c>
      <c r="B236" s="20" t="s">
        <v>139</v>
      </c>
      <c r="C236" s="20" t="s">
        <v>139</v>
      </c>
      <c r="D236" s="20" t="s">
        <v>698</v>
      </c>
      <c r="E236" s="25">
        <v>0.02</v>
      </c>
      <c r="F236" s="25">
        <v>0.02</v>
      </c>
      <c r="G236" s="22"/>
    </row>
    <row r="237" spans="1:7" x14ac:dyDescent="0.25">
      <c r="A237" s="20" t="s">
        <v>588</v>
      </c>
      <c r="B237" s="20" t="s">
        <v>156</v>
      </c>
      <c r="C237" s="20" t="s">
        <v>156</v>
      </c>
      <c r="D237" s="20" t="s">
        <v>698</v>
      </c>
      <c r="E237" s="25">
        <v>0.12</v>
      </c>
      <c r="F237" s="25">
        <v>0.12</v>
      </c>
      <c r="G237" s="22"/>
    </row>
    <row r="238" spans="1:7" x14ac:dyDescent="0.25">
      <c r="A238" s="20" t="s">
        <v>588</v>
      </c>
      <c r="B238" s="20" t="s">
        <v>157</v>
      </c>
      <c r="C238" s="20" t="s">
        <v>157</v>
      </c>
      <c r="D238" s="20" t="s">
        <v>698</v>
      </c>
      <c r="E238" s="24">
        <v>1.2E-2</v>
      </c>
      <c r="F238" s="24">
        <v>1.2E-2</v>
      </c>
      <c r="G238" s="22"/>
    </row>
    <row r="239" spans="1:7" x14ac:dyDescent="0.25">
      <c r="A239" s="20" t="s">
        <v>588</v>
      </c>
      <c r="B239" s="20" t="s">
        <v>200</v>
      </c>
      <c r="C239" s="20" t="s">
        <v>200</v>
      </c>
      <c r="D239" s="20" t="s">
        <v>698</v>
      </c>
      <c r="E239" s="25">
        <v>0.02</v>
      </c>
      <c r="F239" s="25">
        <v>0.02</v>
      </c>
      <c r="G239" s="22"/>
    </row>
    <row r="240" spans="1:7" x14ac:dyDescent="0.25">
      <c r="A240" s="20" t="s">
        <v>588</v>
      </c>
      <c r="B240" s="20" t="s">
        <v>202</v>
      </c>
      <c r="C240" s="20" t="s">
        <v>202</v>
      </c>
      <c r="D240" s="20" t="s">
        <v>698</v>
      </c>
      <c r="E240" s="24">
        <v>0.13700000000000001</v>
      </c>
      <c r="F240" s="24">
        <v>0.13700000000000001</v>
      </c>
      <c r="G240" s="22"/>
    </row>
    <row r="241" spans="1:7" x14ac:dyDescent="0.25">
      <c r="A241" s="20" t="s">
        <v>588</v>
      </c>
      <c r="B241" s="20" t="s">
        <v>44</v>
      </c>
      <c r="C241" s="20" t="s">
        <v>44</v>
      </c>
      <c r="D241" s="20" t="s">
        <v>699</v>
      </c>
      <c r="E241" s="25">
        <v>0.16</v>
      </c>
      <c r="F241" s="25">
        <v>0.16</v>
      </c>
      <c r="G241" s="22"/>
    </row>
    <row r="242" spans="1:7" x14ac:dyDescent="0.25">
      <c r="A242" s="20" t="s">
        <v>588</v>
      </c>
      <c r="B242" s="20" t="s">
        <v>66</v>
      </c>
      <c r="C242" s="20" t="s">
        <v>66</v>
      </c>
      <c r="D242" s="20" t="s">
        <v>699</v>
      </c>
      <c r="E242" s="24">
        <v>1.2E-2</v>
      </c>
      <c r="F242" s="24">
        <v>1.2E-2</v>
      </c>
      <c r="G242" s="22"/>
    </row>
    <row r="243" spans="1:7" x14ac:dyDescent="0.25">
      <c r="A243" s="20" t="s">
        <v>588</v>
      </c>
      <c r="B243" s="20" t="s">
        <v>118</v>
      </c>
      <c r="C243" s="20" t="s">
        <v>118</v>
      </c>
      <c r="D243" s="20" t="s">
        <v>699</v>
      </c>
      <c r="E243" s="26">
        <v>26.11224</v>
      </c>
      <c r="F243" s="26">
        <v>26.11224</v>
      </c>
      <c r="G243" s="22"/>
    </row>
    <row r="244" spans="1:7" x14ac:dyDescent="0.25">
      <c r="A244" s="20" t="s">
        <v>588</v>
      </c>
      <c r="B244" s="20" t="s">
        <v>139</v>
      </c>
      <c r="C244" s="20" t="s">
        <v>139</v>
      </c>
      <c r="D244" s="20" t="s">
        <v>699</v>
      </c>
      <c r="E244" s="25">
        <v>0.02</v>
      </c>
      <c r="F244" s="25">
        <v>0.02</v>
      </c>
      <c r="G244" s="22"/>
    </row>
    <row r="245" spans="1:7" x14ac:dyDescent="0.25">
      <c r="A245" s="20" t="s">
        <v>588</v>
      </c>
      <c r="B245" s="20" t="s">
        <v>156</v>
      </c>
      <c r="C245" s="20" t="s">
        <v>156</v>
      </c>
      <c r="D245" s="20" t="s">
        <v>699</v>
      </c>
      <c r="E245" s="25">
        <v>0.12</v>
      </c>
      <c r="F245" s="25">
        <v>0.12</v>
      </c>
      <c r="G245" s="22"/>
    </row>
    <row r="246" spans="1:7" x14ac:dyDescent="0.25">
      <c r="A246" s="20" t="s">
        <v>588</v>
      </c>
      <c r="B246" s="20" t="s">
        <v>157</v>
      </c>
      <c r="C246" s="20" t="s">
        <v>157</v>
      </c>
      <c r="D246" s="20" t="s">
        <v>699</v>
      </c>
      <c r="E246" s="25">
        <v>0.06</v>
      </c>
      <c r="F246" s="25">
        <v>0.06</v>
      </c>
      <c r="G246" s="22"/>
    </row>
    <row r="247" spans="1:7" x14ac:dyDescent="0.25">
      <c r="A247" s="20" t="s">
        <v>588</v>
      </c>
      <c r="B247" s="20" t="s">
        <v>200</v>
      </c>
      <c r="C247" s="20" t="s">
        <v>200</v>
      </c>
      <c r="D247" s="20" t="s">
        <v>699</v>
      </c>
      <c r="E247" s="25">
        <v>0.02</v>
      </c>
      <c r="F247" s="25">
        <v>0.02</v>
      </c>
      <c r="G247" s="22"/>
    </row>
    <row r="248" spans="1:7" x14ac:dyDescent="0.25">
      <c r="A248" s="20" t="s">
        <v>588</v>
      </c>
      <c r="B248" s="20" t="s">
        <v>202</v>
      </c>
      <c r="C248" s="20" t="s">
        <v>202</v>
      </c>
      <c r="D248" s="20" t="s">
        <v>699</v>
      </c>
      <c r="E248" s="24">
        <v>0.13600000000000001</v>
      </c>
      <c r="F248" s="24">
        <v>0.13600000000000001</v>
      </c>
      <c r="G248" s="22"/>
    </row>
    <row r="249" spans="1:7" x14ac:dyDescent="0.25">
      <c r="A249" s="20" t="s">
        <v>588</v>
      </c>
      <c r="B249" s="20" t="s">
        <v>66</v>
      </c>
      <c r="C249" s="20" t="s">
        <v>66</v>
      </c>
      <c r="D249" s="20" t="s">
        <v>700</v>
      </c>
      <c r="E249" s="24">
        <v>8.7999999999999995E-2</v>
      </c>
      <c r="F249" s="24">
        <v>8.7999999999999995E-2</v>
      </c>
      <c r="G249" s="22"/>
    </row>
    <row r="250" spans="1:7" x14ac:dyDescent="0.25">
      <c r="A250" s="20" t="s">
        <v>588</v>
      </c>
      <c r="B250" s="20" t="s">
        <v>116</v>
      </c>
      <c r="C250" s="20" t="s">
        <v>116</v>
      </c>
      <c r="D250" s="20" t="s">
        <v>700</v>
      </c>
      <c r="E250" s="26">
        <v>15.124750000000001</v>
      </c>
      <c r="F250" s="26">
        <v>15.124750000000001</v>
      </c>
      <c r="G250" s="22"/>
    </row>
    <row r="251" spans="1:7" x14ac:dyDescent="0.25">
      <c r="A251" s="20" t="s">
        <v>588</v>
      </c>
      <c r="B251" s="20" t="s">
        <v>157</v>
      </c>
      <c r="C251" s="20" t="s">
        <v>157</v>
      </c>
      <c r="D251" s="20" t="s">
        <v>700</v>
      </c>
      <c r="E251" s="24">
        <v>0.106</v>
      </c>
      <c r="F251" s="24">
        <v>0.106</v>
      </c>
      <c r="G251" s="22"/>
    </row>
    <row r="252" spans="1:7" x14ac:dyDescent="0.25">
      <c r="A252" s="20" t="s">
        <v>595</v>
      </c>
      <c r="B252" s="20" t="s">
        <v>712</v>
      </c>
      <c r="C252" s="20" t="s">
        <v>712</v>
      </c>
      <c r="D252" s="20" t="s">
        <v>696</v>
      </c>
      <c r="E252" s="27">
        <v>1</v>
      </c>
      <c r="F252" s="27">
        <v>1</v>
      </c>
      <c r="G252" s="29">
        <v>3.7467299999999999</v>
      </c>
    </row>
    <row r="253" spans="1:7" ht="22.5" x14ac:dyDescent="0.25">
      <c r="A253" s="20" t="s">
        <v>620</v>
      </c>
      <c r="B253" s="20" t="s">
        <v>653</v>
      </c>
      <c r="C253" s="20" t="s">
        <v>220</v>
      </c>
      <c r="D253" s="20" t="s">
        <v>696</v>
      </c>
      <c r="E253" s="27">
        <v>2</v>
      </c>
      <c r="F253" s="27">
        <v>2</v>
      </c>
      <c r="G253" s="29">
        <v>0.12286999999999999</v>
      </c>
    </row>
    <row r="254" spans="1:7" x14ac:dyDescent="0.25">
      <c r="A254" s="20" t="s">
        <v>588</v>
      </c>
      <c r="B254" s="20" t="s">
        <v>44</v>
      </c>
      <c r="C254" s="20" t="s">
        <v>44</v>
      </c>
      <c r="D254" s="20" t="s">
        <v>696</v>
      </c>
      <c r="E254" s="24">
        <v>5.5E-2</v>
      </c>
      <c r="F254" s="24">
        <v>5.5E-2</v>
      </c>
      <c r="G254" s="22"/>
    </row>
    <row r="255" spans="1:7" x14ac:dyDescent="0.25">
      <c r="A255" s="20" t="s">
        <v>588</v>
      </c>
      <c r="B255" s="20" t="s">
        <v>67</v>
      </c>
      <c r="C255" s="20" t="s">
        <v>67</v>
      </c>
      <c r="D255" s="20" t="s">
        <v>696</v>
      </c>
      <c r="E255" s="24">
        <v>1.4999999999999999E-2</v>
      </c>
      <c r="F255" s="24">
        <v>1.4999999999999999E-2</v>
      </c>
      <c r="G255" s="22"/>
    </row>
    <row r="256" spans="1:7" x14ac:dyDescent="0.25">
      <c r="A256" s="20" t="s">
        <v>588</v>
      </c>
      <c r="B256" s="20" t="s">
        <v>139</v>
      </c>
      <c r="C256" s="20" t="s">
        <v>139</v>
      </c>
      <c r="D256" s="20" t="s">
        <v>696</v>
      </c>
      <c r="E256" s="24">
        <v>6.0000000000000001E-3</v>
      </c>
      <c r="F256" s="24">
        <v>6.0000000000000001E-3</v>
      </c>
      <c r="G256" s="22"/>
    </row>
    <row r="257" spans="1:7" x14ac:dyDescent="0.25">
      <c r="A257" s="20" t="s">
        <v>588</v>
      </c>
      <c r="B257" s="20" t="s">
        <v>146</v>
      </c>
      <c r="C257" s="20" t="s">
        <v>146</v>
      </c>
      <c r="D257" s="20" t="s">
        <v>696</v>
      </c>
      <c r="E257" s="25">
        <v>0.01</v>
      </c>
      <c r="F257" s="25">
        <v>0.01</v>
      </c>
      <c r="G257" s="22"/>
    </row>
    <row r="258" spans="1:7" x14ac:dyDescent="0.25">
      <c r="A258" s="20" t="s">
        <v>588</v>
      </c>
      <c r="B258" s="20" t="s">
        <v>156</v>
      </c>
      <c r="C258" s="20" t="s">
        <v>156</v>
      </c>
      <c r="D258" s="20" t="s">
        <v>696</v>
      </c>
      <c r="E258" s="25">
        <v>0.02</v>
      </c>
      <c r="F258" s="25">
        <v>0.02</v>
      </c>
      <c r="G258" s="22"/>
    </row>
    <row r="259" spans="1:7" x14ac:dyDescent="0.25">
      <c r="A259" s="20" t="s">
        <v>588</v>
      </c>
      <c r="B259" s="20" t="s">
        <v>200</v>
      </c>
      <c r="C259" s="20" t="s">
        <v>200</v>
      </c>
      <c r="D259" s="20" t="s">
        <v>696</v>
      </c>
      <c r="E259" s="25">
        <v>0.02</v>
      </c>
      <c r="F259" s="25">
        <v>0.02</v>
      </c>
      <c r="G259" s="22"/>
    </row>
    <row r="260" spans="1:7" x14ac:dyDescent="0.25">
      <c r="A260" s="20" t="s">
        <v>588</v>
      </c>
      <c r="B260" s="20" t="s">
        <v>202</v>
      </c>
      <c r="C260" s="20" t="s">
        <v>202</v>
      </c>
      <c r="D260" s="20" t="s">
        <v>696</v>
      </c>
      <c r="E260" s="24">
        <v>6.5000000000000002E-2</v>
      </c>
      <c r="F260" s="24">
        <v>6.5000000000000002E-2</v>
      </c>
      <c r="G260" s="22"/>
    </row>
    <row r="261" spans="1:7" x14ac:dyDescent="0.25">
      <c r="A261" s="20" t="s">
        <v>588</v>
      </c>
      <c r="B261" s="20" t="s">
        <v>203</v>
      </c>
      <c r="C261" s="20" t="s">
        <v>203</v>
      </c>
      <c r="D261" s="20" t="s">
        <v>712</v>
      </c>
      <c r="E261" s="25">
        <v>3.85</v>
      </c>
      <c r="F261" s="25">
        <v>3.85</v>
      </c>
      <c r="G261" s="22"/>
    </row>
    <row r="262" spans="1:7" x14ac:dyDescent="0.25">
      <c r="A262" s="20" t="s">
        <v>588</v>
      </c>
      <c r="B262" s="20" t="s">
        <v>132</v>
      </c>
      <c r="C262" s="20" t="s">
        <v>132</v>
      </c>
      <c r="D262" s="20" t="s">
        <v>713</v>
      </c>
      <c r="E262" s="26">
        <v>1.63798</v>
      </c>
      <c r="F262" s="26">
        <v>13.10384</v>
      </c>
      <c r="G262" s="22"/>
    </row>
    <row r="263" spans="1:7" x14ac:dyDescent="0.25">
      <c r="A263" s="20" t="s">
        <v>588</v>
      </c>
      <c r="B263" s="20" t="s">
        <v>128</v>
      </c>
      <c r="C263" s="20" t="s">
        <v>128</v>
      </c>
      <c r="D263" s="20" t="s">
        <v>714</v>
      </c>
      <c r="E263" s="26">
        <v>1.9626600000000001</v>
      </c>
      <c r="F263" s="26">
        <v>1.9626600000000001</v>
      </c>
      <c r="G263" s="22"/>
    </row>
    <row r="264" spans="1:7" x14ac:dyDescent="0.25">
      <c r="A264" s="20" t="s">
        <v>588</v>
      </c>
      <c r="B264" s="20" t="s">
        <v>144</v>
      </c>
      <c r="C264" s="20" t="s">
        <v>144</v>
      </c>
      <c r="D264" s="20" t="s">
        <v>715</v>
      </c>
      <c r="E264" s="24">
        <v>1.375</v>
      </c>
      <c r="F264" s="25">
        <v>2.75</v>
      </c>
      <c r="G264" s="22"/>
    </row>
    <row r="265" spans="1:7" x14ac:dyDescent="0.25">
      <c r="A265" s="20" t="s">
        <v>588</v>
      </c>
      <c r="B265" s="20" t="s">
        <v>44</v>
      </c>
      <c r="C265" s="20" t="s">
        <v>44</v>
      </c>
      <c r="D265" s="20" t="s">
        <v>716</v>
      </c>
      <c r="E265" s="24">
        <v>4.0000000000000001E-3</v>
      </c>
      <c r="F265" s="24">
        <v>8.0000000000000002E-3</v>
      </c>
      <c r="G265" s="22"/>
    </row>
    <row r="266" spans="1:7" x14ac:dyDescent="0.25">
      <c r="A266" s="20" t="s">
        <v>588</v>
      </c>
      <c r="B266" s="20" t="s">
        <v>118</v>
      </c>
      <c r="C266" s="20" t="s">
        <v>118</v>
      </c>
      <c r="D266" s="20" t="s">
        <v>716</v>
      </c>
      <c r="E266" s="26">
        <v>0.22589000000000001</v>
      </c>
      <c r="F266" s="26">
        <v>0.45178000000000001</v>
      </c>
      <c r="G266" s="22"/>
    </row>
    <row r="267" spans="1:7" x14ac:dyDescent="0.25">
      <c r="A267" s="20" t="s">
        <v>588</v>
      </c>
      <c r="B267" s="20" t="s">
        <v>139</v>
      </c>
      <c r="C267" s="20" t="s">
        <v>139</v>
      </c>
      <c r="D267" s="20" t="s">
        <v>716</v>
      </c>
      <c r="E267" s="24">
        <v>1E-3</v>
      </c>
      <c r="F267" s="24">
        <v>2E-3</v>
      </c>
      <c r="G267" s="22"/>
    </row>
    <row r="268" spans="1:7" x14ac:dyDescent="0.25">
      <c r="A268" s="20" t="s">
        <v>588</v>
      </c>
      <c r="B268" s="20" t="s">
        <v>156</v>
      </c>
      <c r="C268" s="20" t="s">
        <v>156</v>
      </c>
      <c r="D268" s="20" t="s">
        <v>716</v>
      </c>
      <c r="E268" s="24">
        <v>1E-3</v>
      </c>
      <c r="F268" s="24">
        <v>2E-3</v>
      </c>
      <c r="G268" s="22"/>
    </row>
    <row r="269" spans="1:7" x14ac:dyDescent="0.25">
      <c r="A269" s="20" t="s">
        <v>588</v>
      </c>
      <c r="B269" s="20" t="s">
        <v>202</v>
      </c>
      <c r="C269" s="20" t="s">
        <v>202</v>
      </c>
      <c r="D269" s="20" t="s">
        <v>716</v>
      </c>
      <c r="E269" s="24">
        <v>3.0000000000000001E-3</v>
      </c>
      <c r="F269" s="24">
        <v>6.0000000000000001E-3</v>
      </c>
      <c r="G269" s="22"/>
    </row>
    <row r="270" spans="1:7" x14ac:dyDescent="0.25">
      <c r="A270" s="20" t="s">
        <v>588</v>
      </c>
      <c r="B270" s="20" t="s">
        <v>44</v>
      </c>
      <c r="C270" s="20" t="s">
        <v>44</v>
      </c>
      <c r="D270" s="20" t="s">
        <v>717</v>
      </c>
      <c r="E270" s="24">
        <v>4.7E-2</v>
      </c>
      <c r="F270" s="24">
        <v>4.7E-2</v>
      </c>
      <c r="G270" s="22"/>
    </row>
    <row r="271" spans="1:7" x14ac:dyDescent="0.25">
      <c r="A271" s="20" t="s">
        <v>588</v>
      </c>
      <c r="B271" s="20" t="s">
        <v>66</v>
      </c>
      <c r="C271" s="20" t="s">
        <v>66</v>
      </c>
      <c r="D271" s="20" t="s">
        <v>717</v>
      </c>
      <c r="E271" s="24">
        <v>3.0000000000000001E-3</v>
      </c>
      <c r="F271" s="24">
        <v>3.0000000000000001E-3</v>
      </c>
      <c r="G271" s="22"/>
    </row>
    <row r="272" spans="1:7" x14ac:dyDescent="0.25">
      <c r="A272" s="20" t="s">
        <v>588</v>
      </c>
      <c r="B272" s="20" t="s">
        <v>118</v>
      </c>
      <c r="C272" s="20" t="s">
        <v>118</v>
      </c>
      <c r="D272" s="20" t="s">
        <v>717</v>
      </c>
      <c r="E272" s="26">
        <v>6.3594400000000002</v>
      </c>
      <c r="F272" s="26">
        <v>6.3594400000000002</v>
      </c>
      <c r="G272" s="22"/>
    </row>
    <row r="273" spans="1:7" x14ac:dyDescent="0.25">
      <c r="A273" s="20" t="s">
        <v>588</v>
      </c>
      <c r="B273" s="20" t="s">
        <v>139</v>
      </c>
      <c r="C273" s="20" t="s">
        <v>139</v>
      </c>
      <c r="D273" s="20" t="s">
        <v>717</v>
      </c>
      <c r="E273" s="24">
        <v>5.0000000000000001E-3</v>
      </c>
      <c r="F273" s="24">
        <v>5.0000000000000001E-3</v>
      </c>
      <c r="G273" s="22"/>
    </row>
    <row r="274" spans="1:7" x14ac:dyDescent="0.25">
      <c r="A274" s="20" t="s">
        <v>588</v>
      </c>
      <c r="B274" s="20" t="s">
        <v>156</v>
      </c>
      <c r="C274" s="20" t="s">
        <v>156</v>
      </c>
      <c r="D274" s="20" t="s">
        <v>717</v>
      </c>
      <c r="E274" s="24">
        <v>2.9000000000000001E-2</v>
      </c>
      <c r="F274" s="24">
        <v>2.9000000000000001E-2</v>
      </c>
      <c r="G274" s="22"/>
    </row>
    <row r="275" spans="1:7" x14ac:dyDescent="0.25">
      <c r="A275" s="20" t="s">
        <v>588</v>
      </c>
      <c r="B275" s="20" t="s">
        <v>157</v>
      </c>
      <c r="C275" s="20" t="s">
        <v>157</v>
      </c>
      <c r="D275" s="20" t="s">
        <v>717</v>
      </c>
      <c r="E275" s="24">
        <v>1.4E-2</v>
      </c>
      <c r="F275" s="24">
        <v>1.4E-2</v>
      </c>
      <c r="G275" s="22"/>
    </row>
    <row r="276" spans="1:7" x14ac:dyDescent="0.25">
      <c r="A276" s="20" t="s">
        <v>588</v>
      </c>
      <c r="B276" s="20" t="s">
        <v>200</v>
      </c>
      <c r="C276" s="20" t="s">
        <v>200</v>
      </c>
      <c r="D276" s="20" t="s">
        <v>717</v>
      </c>
      <c r="E276" s="25">
        <v>0.01</v>
      </c>
      <c r="F276" s="25">
        <v>0.01</v>
      </c>
      <c r="G276" s="22"/>
    </row>
    <row r="277" spans="1:7" x14ac:dyDescent="0.25">
      <c r="A277" s="20" t="s">
        <v>588</v>
      </c>
      <c r="B277" s="20" t="s">
        <v>202</v>
      </c>
      <c r="C277" s="20" t="s">
        <v>202</v>
      </c>
      <c r="D277" s="20" t="s">
        <v>717</v>
      </c>
      <c r="E277" s="24">
        <v>3.3000000000000002E-2</v>
      </c>
      <c r="F277" s="24">
        <v>3.3000000000000002E-2</v>
      </c>
      <c r="G277" s="22"/>
    </row>
    <row r="278" spans="1:7" x14ac:dyDescent="0.25">
      <c r="A278" s="20" t="s">
        <v>585</v>
      </c>
      <c r="B278" s="20" t="s">
        <v>718</v>
      </c>
      <c r="C278" s="20" t="s">
        <v>718</v>
      </c>
      <c r="D278" s="20" t="s">
        <v>719</v>
      </c>
      <c r="E278" s="27">
        <v>1</v>
      </c>
      <c r="F278" s="27">
        <v>2</v>
      </c>
      <c r="G278" s="29">
        <v>9.3714099999999991</v>
      </c>
    </row>
    <row r="279" spans="1:7" ht="22.5" x14ac:dyDescent="0.25">
      <c r="A279" s="20" t="s">
        <v>620</v>
      </c>
      <c r="B279" s="20" t="s">
        <v>720</v>
      </c>
      <c r="C279" s="20" t="s">
        <v>230</v>
      </c>
      <c r="D279" s="20" t="s">
        <v>719</v>
      </c>
      <c r="E279" s="27">
        <v>4</v>
      </c>
      <c r="F279" s="27">
        <v>8</v>
      </c>
      <c r="G279" s="29">
        <v>8.6550000000000002E-2</v>
      </c>
    </row>
    <row r="280" spans="1:7" ht="22.5" x14ac:dyDescent="0.25">
      <c r="A280" s="20" t="s">
        <v>620</v>
      </c>
      <c r="B280" s="20" t="s">
        <v>721</v>
      </c>
      <c r="C280" s="20" t="s">
        <v>231</v>
      </c>
      <c r="D280" s="20" t="s">
        <v>719</v>
      </c>
      <c r="E280" s="27">
        <v>4</v>
      </c>
      <c r="F280" s="27">
        <v>8</v>
      </c>
      <c r="G280" s="29">
        <v>2.5329999999999998E-2</v>
      </c>
    </row>
    <row r="281" spans="1:7" ht="22.5" x14ac:dyDescent="0.25">
      <c r="A281" s="20" t="s">
        <v>620</v>
      </c>
      <c r="B281" s="20" t="s">
        <v>722</v>
      </c>
      <c r="C281" s="20" t="s">
        <v>232</v>
      </c>
      <c r="D281" s="20" t="s">
        <v>719</v>
      </c>
      <c r="E281" s="27">
        <v>4</v>
      </c>
      <c r="F281" s="27">
        <v>8</v>
      </c>
      <c r="G281" s="29">
        <v>4.4799999999999996E-3</v>
      </c>
    </row>
    <row r="282" spans="1:7" ht="22.5" x14ac:dyDescent="0.25">
      <c r="A282" s="20" t="s">
        <v>620</v>
      </c>
      <c r="B282" s="20" t="s">
        <v>723</v>
      </c>
      <c r="C282" s="20" t="s">
        <v>233</v>
      </c>
      <c r="D282" s="20" t="s">
        <v>719</v>
      </c>
      <c r="E282" s="27">
        <v>8</v>
      </c>
      <c r="F282" s="27">
        <v>16</v>
      </c>
      <c r="G282" s="29">
        <v>8.3800000000000003E-3</v>
      </c>
    </row>
    <row r="283" spans="1:7" x14ac:dyDescent="0.25">
      <c r="A283" s="20" t="s">
        <v>597</v>
      </c>
      <c r="B283" s="20" t="s">
        <v>38</v>
      </c>
      <c r="C283" s="20" t="s">
        <v>38</v>
      </c>
      <c r="D283" s="20" t="s">
        <v>719</v>
      </c>
      <c r="E283" s="27">
        <v>1</v>
      </c>
      <c r="F283" s="27">
        <v>2</v>
      </c>
      <c r="G283" s="29">
        <v>3.1515599999999999</v>
      </c>
    </row>
    <row r="284" spans="1:7" x14ac:dyDescent="0.25">
      <c r="A284" s="20" t="s">
        <v>595</v>
      </c>
      <c r="B284" s="20" t="s">
        <v>724</v>
      </c>
      <c r="C284" s="20" t="s">
        <v>724</v>
      </c>
      <c r="D284" s="20" t="s">
        <v>718</v>
      </c>
      <c r="E284" s="27">
        <v>1</v>
      </c>
      <c r="F284" s="27">
        <v>2</v>
      </c>
      <c r="G284" s="29">
        <v>6.7651300000000001</v>
      </c>
    </row>
    <row r="285" spans="1:7" x14ac:dyDescent="0.25">
      <c r="A285" s="20" t="s">
        <v>595</v>
      </c>
      <c r="B285" s="20" t="s">
        <v>725</v>
      </c>
      <c r="C285" s="20" t="s">
        <v>725</v>
      </c>
      <c r="D285" s="20" t="s">
        <v>718</v>
      </c>
      <c r="E285" s="27">
        <v>1</v>
      </c>
      <c r="F285" s="27">
        <v>2</v>
      </c>
      <c r="G285" s="29">
        <v>2.6062799999999999</v>
      </c>
    </row>
    <row r="286" spans="1:7" x14ac:dyDescent="0.25">
      <c r="A286" s="20" t="s">
        <v>588</v>
      </c>
      <c r="B286" s="20" t="s">
        <v>44</v>
      </c>
      <c r="C286" s="20" t="s">
        <v>44</v>
      </c>
      <c r="D286" s="20" t="s">
        <v>718</v>
      </c>
      <c r="E286" s="24">
        <v>0.152</v>
      </c>
      <c r="F286" s="24">
        <v>0.30399999999999999</v>
      </c>
      <c r="G286" s="22"/>
    </row>
    <row r="287" spans="1:7" x14ac:dyDescent="0.25">
      <c r="A287" s="20" t="s">
        <v>588</v>
      </c>
      <c r="B287" s="20" t="s">
        <v>67</v>
      </c>
      <c r="C287" s="20" t="s">
        <v>67</v>
      </c>
      <c r="D287" s="20" t="s">
        <v>718</v>
      </c>
      <c r="E287" s="24">
        <v>8.7999999999999995E-2</v>
      </c>
      <c r="F287" s="24">
        <v>0.17599999999999999</v>
      </c>
      <c r="G287" s="22"/>
    </row>
    <row r="288" spans="1:7" x14ac:dyDescent="0.25">
      <c r="A288" s="20" t="s">
        <v>588</v>
      </c>
      <c r="B288" s="20" t="s">
        <v>139</v>
      </c>
      <c r="C288" s="20" t="s">
        <v>139</v>
      </c>
      <c r="D288" s="20" t="s">
        <v>718</v>
      </c>
      <c r="E288" s="24">
        <v>1.4999999999999999E-2</v>
      </c>
      <c r="F288" s="25">
        <v>0.03</v>
      </c>
      <c r="G288" s="22"/>
    </row>
    <row r="289" spans="1:7" x14ac:dyDescent="0.25">
      <c r="A289" s="20" t="s">
        <v>588</v>
      </c>
      <c r="B289" s="20" t="s">
        <v>146</v>
      </c>
      <c r="C289" s="20" t="s">
        <v>146</v>
      </c>
      <c r="D289" s="20" t="s">
        <v>718</v>
      </c>
      <c r="E289" s="24">
        <v>5.1999999999999998E-2</v>
      </c>
      <c r="F289" s="24">
        <v>0.104</v>
      </c>
      <c r="G289" s="22"/>
    </row>
    <row r="290" spans="1:7" x14ac:dyDescent="0.25">
      <c r="A290" s="20" t="s">
        <v>588</v>
      </c>
      <c r="B290" s="20" t="s">
        <v>156</v>
      </c>
      <c r="C290" s="20" t="s">
        <v>156</v>
      </c>
      <c r="D290" s="20" t="s">
        <v>718</v>
      </c>
      <c r="E290" s="24">
        <v>7.4999999999999997E-2</v>
      </c>
      <c r="F290" s="25">
        <v>0.15</v>
      </c>
      <c r="G290" s="22"/>
    </row>
    <row r="291" spans="1:7" x14ac:dyDescent="0.25">
      <c r="A291" s="20" t="s">
        <v>588</v>
      </c>
      <c r="B291" s="20" t="s">
        <v>200</v>
      </c>
      <c r="C291" s="20" t="s">
        <v>200</v>
      </c>
      <c r="D291" s="20" t="s">
        <v>718</v>
      </c>
      <c r="E291" s="25">
        <v>0.01</v>
      </c>
      <c r="F291" s="25">
        <v>0.02</v>
      </c>
      <c r="G291" s="22"/>
    </row>
    <row r="292" spans="1:7" x14ac:dyDescent="0.25">
      <c r="A292" s="20" t="s">
        <v>588</v>
      </c>
      <c r="B292" s="20" t="s">
        <v>202</v>
      </c>
      <c r="C292" s="20" t="s">
        <v>202</v>
      </c>
      <c r="D292" s="20" t="s">
        <v>718</v>
      </c>
      <c r="E292" s="24">
        <v>0.106</v>
      </c>
      <c r="F292" s="24">
        <v>0.21199999999999999</v>
      </c>
      <c r="G292" s="22"/>
    </row>
    <row r="293" spans="1:7" x14ac:dyDescent="0.25">
      <c r="A293" s="20" t="s">
        <v>588</v>
      </c>
      <c r="B293" s="20" t="s">
        <v>120</v>
      </c>
      <c r="C293" s="20" t="s">
        <v>120</v>
      </c>
      <c r="D293" s="20" t="s">
        <v>724</v>
      </c>
      <c r="E293" s="26">
        <v>8.5232200000000002</v>
      </c>
      <c r="F293" s="26">
        <v>17.04644</v>
      </c>
      <c r="G293" s="22"/>
    </row>
    <row r="294" spans="1:7" x14ac:dyDescent="0.25">
      <c r="A294" s="20" t="s">
        <v>588</v>
      </c>
      <c r="B294" s="20" t="s">
        <v>120</v>
      </c>
      <c r="C294" s="20" t="s">
        <v>120</v>
      </c>
      <c r="D294" s="20" t="s">
        <v>725</v>
      </c>
      <c r="E294" s="32">
        <v>3.2759</v>
      </c>
      <c r="F294" s="32">
        <v>19.6554</v>
      </c>
      <c r="G294" s="22"/>
    </row>
    <row r="295" spans="1:7" x14ac:dyDescent="0.25">
      <c r="A295" s="20" t="s">
        <v>588</v>
      </c>
      <c r="B295" s="20" t="s">
        <v>128</v>
      </c>
      <c r="C295" s="20" t="s">
        <v>128</v>
      </c>
      <c r="D295" s="20" t="s">
        <v>701</v>
      </c>
      <c r="E295" s="26">
        <v>5.6675399999999998</v>
      </c>
      <c r="F295" s="26">
        <v>5.6675399999999998</v>
      </c>
      <c r="G295" s="22"/>
    </row>
    <row r="296" spans="1:7" x14ac:dyDescent="0.25">
      <c r="A296" s="20" t="s">
        <v>588</v>
      </c>
      <c r="B296" s="20" t="s">
        <v>44</v>
      </c>
      <c r="C296" s="20" t="s">
        <v>44</v>
      </c>
      <c r="D296" s="20" t="s">
        <v>702</v>
      </c>
      <c r="E296" s="24">
        <v>3.2000000000000001E-2</v>
      </c>
      <c r="F296" s="24">
        <v>0.128</v>
      </c>
      <c r="G296" s="22"/>
    </row>
    <row r="297" spans="1:7" x14ac:dyDescent="0.25">
      <c r="A297" s="20" t="s">
        <v>588</v>
      </c>
      <c r="B297" s="20" t="s">
        <v>139</v>
      </c>
      <c r="C297" s="20" t="s">
        <v>139</v>
      </c>
      <c r="D297" s="20" t="s">
        <v>702</v>
      </c>
      <c r="E297" s="24">
        <v>3.0000000000000001E-3</v>
      </c>
      <c r="F297" s="24">
        <v>1.2E-2</v>
      </c>
      <c r="G297" s="22"/>
    </row>
    <row r="298" spans="1:7" x14ac:dyDescent="0.25">
      <c r="A298" s="20" t="s">
        <v>588</v>
      </c>
      <c r="B298" s="20" t="s">
        <v>156</v>
      </c>
      <c r="C298" s="20" t="s">
        <v>156</v>
      </c>
      <c r="D298" s="20" t="s">
        <v>702</v>
      </c>
      <c r="E298" s="25">
        <v>0.01</v>
      </c>
      <c r="F298" s="25">
        <v>0.04</v>
      </c>
      <c r="G298" s="22"/>
    </row>
    <row r="299" spans="1:7" x14ac:dyDescent="0.25">
      <c r="A299" s="20" t="s">
        <v>588</v>
      </c>
      <c r="B299" s="20" t="s">
        <v>189</v>
      </c>
      <c r="C299" s="20" t="s">
        <v>189</v>
      </c>
      <c r="D299" s="20" t="s">
        <v>702</v>
      </c>
      <c r="E299" s="24">
        <v>1.742</v>
      </c>
      <c r="F299" s="24">
        <v>6.968</v>
      </c>
      <c r="G299" s="22"/>
    </row>
    <row r="300" spans="1:7" x14ac:dyDescent="0.25">
      <c r="A300" s="20" t="s">
        <v>588</v>
      </c>
      <c r="B300" s="20" t="s">
        <v>200</v>
      </c>
      <c r="C300" s="20" t="s">
        <v>200</v>
      </c>
      <c r="D300" s="20" t="s">
        <v>702</v>
      </c>
      <c r="E300" s="24">
        <v>5.0000000000000001E-3</v>
      </c>
      <c r="F300" s="25">
        <v>0.02</v>
      </c>
      <c r="G300" s="22"/>
    </row>
    <row r="301" spans="1:7" x14ac:dyDescent="0.25">
      <c r="A301" s="20" t="s">
        <v>588</v>
      </c>
      <c r="B301" s="20" t="s">
        <v>202</v>
      </c>
      <c r="C301" s="20" t="s">
        <v>202</v>
      </c>
      <c r="D301" s="20" t="s">
        <v>702</v>
      </c>
      <c r="E301" s="24">
        <v>2.1999999999999999E-2</v>
      </c>
      <c r="F301" s="24">
        <v>8.7999999999999995E-2</v>
      </c>
      <c r="G301" s="22"/>
    </row>
    <row r="302" spans="1:7" x14ac:dyDescent="0.25">
      <c r="A302" s="20" t="s">
        <v>588</v>
      </c>
      <c r="B302" s="20" t="s">
        <v>44</v>
      </c>
      <c r="C302" s="20" t="s">
        <v>44</v>
      </c>
      <c r="D302" s="20" t="s">
        <v>703</v>
      </c>
      <c r="E302" s="24">
        <v>1.4E-2</v>
      </c>
      <c r="F302" s="24">
        <v>5.6000000000000001E-2</v>
      </c>
      <c r="G302" s="22"/>
    </row>
    <row r="303" spans="1:7" x14ac:dyDescent="0.25">
      <c r="A303" s="20" t="s">
        <v>588</v>
      </c>
      <c r="B303" s="20" t="s">
        <v>122</v>
      </c>
      <c r="C303" s="20" t="s">
        <v>122</v>
      </c>
      <c r="D303" s="20" t="s">
        <v>703</v>
      </c>
      <c r="E303" s="26">
        <v>1.07765</v>
      </c>
      <c r="F303" s="32">
        <v>4.3106</v>
      </c>
      <c r="G303" s="22"/>
    </row>
    <row r="304" spans="1:7" x14ac:dyDescent="0.25">
      <c r="A304" s="20" t="s">
        <v>588</v>
      </c>
      <c r="B304" s="20" t="s">
        <v>139</v>
      </c>
      <c r="C304" s="20" t="s">
        <v>139</v>
      </c>
      <c r="D304" s="20" t="s">
        <v>703</v>
      </c>
      <c r="E304" s="24">
        <v>2E-3</v>
      </c>
      <c r="F304" s="24">
        <v>8.0000000000000002E-3</v>
      </c>
      <c r="G304" s="22"/>
    </row>
    <row r="305" spans="1:7" x14ac:dyDescent="0.25">
      <c r="A305" s="20" t="s">
        <v>588</v>
      </c>
      <c r="B305" s="20" t="s">
        <v>156</v>
      </c>
      <c r="C305" s="20" t="s">
        <v>156</v>
      </c>
      <c r="D305" s="20" t="s">
        <v>703</v>
      </c>
      <c r="E305" s="24">
        <v>4.0000000000000001E-3</v>
      </c>
      <c r="F305" s="24">
        <v>1.6E-2</v>
      </c>
      <c r="G305" s="22"/>
    </row>
    <row r="306" spans="1:7" x14ac:dyDescent="0.25">
      <c r="A306" s="20" t="s">
        <v>588</v>
      </c>
      <c r="B306" s="20" t="s">
        <v>202</v>
      </c>
      <c r="C306" s="20" t="s">
        <v>202</v>
      </c>
      <c r="D306" s="20" t="s">
        <v>703</v>
      </c>
      <c r="E306" s="25">
        <v>0.01</v>
      </c>
      <c r="F306" s="25">
        <v>0.04</v>
      </c>
      <c r="G306" s="22"/>
    </row>
    <row r="307" spans="1:7" x14ac:dyDescent="0.25">
      <c r="A307" s="20" t="s">
        <v>588</v>
      </c>
      <c r="B307" s="20" t="s">
        <v>44</v>
      </c>
      <c r="C307" s="20" t="s">
        <v>44</v>
      </c>
      <c r="D307" s="20" t="s">
        <v>704</v>
      </c>
      <c r="E307" s="24">
        <v>4.8000000000000001E-2</v>
      </c>
      <c r="F307" s="24">
        <v>4.8000000000000001E-2</v>
      </c>
      <c r="G307" s="22"/>
    </row>
    <row r="308" spans="1:7" x14ac:dyDescent="0.25">
      <c r="A308" s="20" t="s">
        <v>588</v>
      </c>
      <c r="B308" s="20" t="s">
        <v>66</v>
      </c>
      <c r="C308" s="20" t="s">
        <v>66</v>
      </c>
      <c r="D308" s="20" t="s">
        <v>704</v>
      </c>
      <c r="E308" s="24">
        <v>3.0000000000000001E-3</v>
      </c>
      <c r="F308" s="24">
        <v>3.0000000000000001E-3</v>
      </c>
      <c r="G308" s="22"/>
    </row>
    <row r="309" spans="1:7" x14ac:dyDescent="0.25">
      <c r="A309" s="20" t="s">
        <v>588</v>
      </c>
      <c r="B309" s="20" t="s">
        <v>118</v>
      </c>
      <c r="C309" s="20" t="s">
        <v>118</v>
      </c>
      <c r="D309" s="20" t="s">
        <v>704</v>
      </c>
      <c r="E309" s="26">
        <v>6.3594400000000002</v>
      </c>
      <c r="F309" s="26">
        <v>6.3594400000000002</v>
      </c>
      <c r="G309" s="22"/>
    </row>
    <row r="310" spans="1:7" x14ac:dyDescent="0.25">
      <c r="A310" s="20" t="s">
        <v>588</v>
      </c>
      <c r="B310" s="20" t="s">
        <v>139</v>
      </c>
      <c r="C310" s="20" t="s">
        <v>139</v>
      </c>
      <c r="D310" s="20" t="s">
        <v>704</v>
      </c>
      <c r="E310" s="24">
        <v>5.0000000000000001E-3</v>
      </c>
      <c r="F310" s="24">
        <v>5.0000000000000001E-3</v>
      </c>
      <c r="G310" s="22"/>
    </row>
    <row r="311" spans="1:7" x14ac:dyDescent="0.25">
      <c r="A311" s="20" t="s">
        <v>588</v>
      </c>
      <c r="B311" s="20" t="s">
        <v>156</v>
      </c>
      <c r="C311" s="20" t="s">
        <v>156</v>
      </c>
      <c r="D311" s="20" t="s">
        <v>704</v>
      </c>
      <c r="E311" s="24">
        <v>2.9000000000000001E-2</v>
      </c>
      <c r="F311" s="24">
        <v>2.9000000000000001E-2</v>
      </c>
      <c r="G311" s="22"/>
    </row>
    <row r="312" spans="1:7" x14ac:dyDescent="0.25">
      <c r="A312" s="20" t="s">
        <v>588</v>
      </c>
      <c r="B312" s="20" t="s">
        <v>157</v>
      </c>
      <c r="C312" s="20" t="s">
        <v>157</v>
      </c>
      <c r="D312" s="20" t="s">
        <v>704</v>
      </c>
      <c r="E312" s="24">
        <v>1.4999999999999999E-2</v>
      </c>
      <c r="F312" s="24">
        <v>1.4999999999999999E-2</v>
      </c>
      <c r="G312" s="22"/>
    </row>
    <row r="313" spans="1:7" x14ac:dyDescent="0.25">
      <c r="A313" s="20" t="s">
        <v>588</v>
      </c>
      <c r="B313" s="20" t="s">
        <v>200</v>
      </c>
      <c r="C313" s="20" t="s">
        <v>200</v>
      </c>
      <c r="D313" s="20" t="s">
        <v>704</v>
      </c>
      <c r="E313" s="25">
        <v>0.01</v>
      </c>
      <c r="F313" s="25">
        <v>0.01</v>
      </c>
      <c r="G313" s="22"/>
    </row>
    <row r="314" spans="1:7" x14ac:dyDescent="0.25">
      <c r="A314" s="20" t="s">
        <v>588</v>
      </c>
      <c r="B314" s="20" t="s">
        <v>202</v>
      </c>
      <c r="C314" s="20" t="s">
        <v>202</v>
      </c>
      <c r="D314" s="20" t="s">
        <v>704</v>
      </c>
      <c r="E314" s="24">
        <v>3.3000000000000002E-2</v>
      </c>
      <c r="F314" s="24">
        <v>3.3000000000000002E-2</v>
      </c>
      <c r="G314" s="22"/>
    </row>
    <row r="315" spans="1:7" x14ac:dyDescent="0.25">
      <c r="A315" s="20" t="s">
        <v>585</v>
      </c>
      <c r="B315" s="20" t="s">
        <v>726</v>
      </c>
      <c r="C315" s="20" t="s">
        <v>726</v>
      </c>
      <c r="D315" s="20" t="s">
        <v>697</v>
      </c>
      <c r="E315" s="27">
        <v>1</v>
      </c>
      <c r="F315" s="27">
        <v>2</v>
      </c>
      <c r="G315" s="29">
        <v>8.41465</v>
      </c>
    </row>
    <row r="316" spans="1:7" x14ac:dyDescent="0.25">
      <c r="A316" s="20" t="s">
        <v>595</v>
      </c>
      <c r="B316" s="20" t="s">
        <v>727</v>
      </c>
      <c r="C316" s="20" t="s">
        <v>727</v>
      </c>
      <c r="D316" s="20" t="s">
        <v>697</v>
      </c>
      <c r="E316" s="27">
        <v>1</v>
      </c>
      <c r="F316" s="27">
        <v>2</v>
      </c>
      <c r="G316" s="29">
        <v>0.74407999999999996</v>
      </c>
    </row>
    <row r="317" spans="1:7" ht="22.5" x14ac:dyDescent="0.25">
      <c r="A317" s="20" t="s">
        <v>620</v>
      </c>
      <c r="B317" s="20" t="s">
        <v>720</v>
      </c>
      <c r="C317" s="20" t="s">
        <v>230</v>
      </c>
      <c r="D317" s="20" t="s">
        <v>697</v>
      </c>
      <c r="E317" s="27">
        <v>4</v>
      </c>
      <c r="F317" s="27">
        <v>8</v>
      </c>
      <c r="G317" s="29">
        <v>8.6550000000000002E-2</v>
      </c>
    </row>
    <row r="318" spans="1:7" ht="22.5" x14ac:dyDescent="0.25">
      <c r="A318" s="20" t="s">
        <v>620</v>
      </c>
      <c r="B318" s="20" t="s">
        <v>671</v>
      </c>
      <c r="C318" s="20" t="s">
        <v>223</v>
      </c>
      <c r="D318" s="20" t="s">
        <v>697</v>
      </c>
      <c r="E318" s="27">
        <v>1</v>
      </c>
      <c r="F318" s="27">
        <v>2</v>
      </c>
      <c r="G318" s="28">
        <v>1.5699999999999999E-2</v>
      </c>
    </row>
    <row r="319" spans="1:7" ht="22.5" x14ac:dyDescent="0.25">
      <c r="A319" s="20" t="s">
        <v>620</v>
      </c>
      <c r="B319" s="20" t="s">
        <v>721</v>
      </c>
      <c r="C319" s="20" t="s">
        <v>231</v>
      </c>
      <c r="D319" s="20" t="s">
        <v>697</v>
      </c>
      <c r="E319" s="27">
        <v>4</v>
      </c>
      <c r="F319" s="27">
        <v>8</v>
      </c>
      <c r="G319" s="29">
        <v>2.5329999999999998E-2</v>
      </c>
    </row>
    <row r="320" spans="1:7" ht="22.5" x14ac:dyDescent="0.25">
      <c r="A320" s="20" t="s">
        <v>620</v>
      </c>
      <c r="B320" s="20" t="s">
        <v>625</v>
      </c>
      <c r="C320" s="20" t="s">
        <v>219</v>
      </c>
      <c r="D320" s="20" t="s">
        <v>697</v>
      </c>
      <c r="E320" s="27">
        <v>1</v>
      </c>
      <c r="F320" s="27">
        <v>2</v>
      </c>
      <c r="G320" s="29">
        <v>7.1399999999999996E-3</v>
      </c>
    </row>
    <row r="321" spans="1:7" ht="22.5" x14ac:dyDescent="0.25">
      <c r="A321" s="20" t="s">
        <v>620</v>
      </c>
      <c r="B321" s="20" t="s">
        <v>722</v>
      </c>
      <c r="C321" s="20" t="s">
        <v>232</v>
      </c>
      <c r="D321" s="20" t="s">
        <v>697</v>
      </c>
      <c r="E321" s="27">
        <v>4</v>
      </c>
      <c r="F321" s="27">
        <v>8</v>
      </c>
      <c r="G321" s="29">
        <v>4.4799999999999996E-3</v>
      </c>
    </row>
    <row r="322" spans="1:7" ht="22.5" x14ac:dyDescent="0.25">
      <c r="A322" s="20" t="s">
        <v>620</v>
      </c>
      <c r="B322" s="20" t="s">
        <v>723</v>
      </c>
      <c r="C322" s="20" t="s">
        <v>233</v>
      </c>
      <c r="D322" s="20" t="s">
        <v>697</v>
      </c>
      <c r="E322" s="27">
        <v>8</v>
      </c>
      <c r="F322" s="27">
        <v>16</v>
      </c>
      <c r="G322" s="29">
        <v>8.3800000000000003E-3</v>
      </c>
    </row>
    <row r="323" spans="1:7" x14ac:dyDescent="0.25">
      <c r="A323" s="20" t="s">
        <v>597</v>
      </c>
      <c r="B323" s="20" t="s">
        <v>38</v>
      </c>
      <c r="C323" s="20" t="s">
        <v>38</v>
      </c>
      <c r="D323" s="20" t="s">
        <v>697</v>
      </c>
      <c r="E323" s="27">
        <v>1</v>
      </c>
      <c r="F323" s="27">
        <v>2</v>
      </c>
      <c r="G323" s="29">
        <v>3.1515599999999999</v>
      </c>
    </row>
    <row r="324" spans="1:7" x14ac:dyDescent="0.25">
      <c r="A324" s="20" t="s">
        <v>588</v>
      </c>
      <c r="B324" s="20" t="s">
        <v>133</v>
      </c>
      <c r="C324" s="20" t="s">
        <v>133</v>
      </c>
      <c r="D324" s="20" t="s">
        <v>697</v>
      </c>
      <c r="E324" s="25">
        <v>0.05</v>
      </c>
      <c r="F324" s="33">
        <v>0.1</v>
      </c>
      <c r="G324" s="22"/>
    </row>
    <row r="325" spans="1:7" x14ac:dyDescent="0.25">
      <c r="A325" s="20" t="s">
        <v>588</v>
      </c>
      <c r="B325" s="20" t="s">
        <v>144</v>
      </c>
      <c r="C325" s="20" t="s">
        <v>144</v>
      </c>
      <c r="D325" s="20" t="s">
        <v>727</v>
      </c>
      <c r="E325" s="24">
        <v>0.92700000000000005</v>
      </c>
      <c r="F325" s="24">
        <v>1.8540000000000001</v>
      </c>
      <c r="G325" s="22"/>
    </row>
    <row r="326" spans="1:7" x14ac:dyDescent="0.25">
      <c r="A326" s="20" t="s">
        <v>595</v>
      </c>
      <c r="B326" s="20" t="s">
        <v>655</v>
      </c>
      <c r="C326" s="20" t="s">
        <v>655</v>
      </c>
      <c r="D326" s="20" t="s">
        <v>726</v>
      </c>
      <c r="E326" s="27">
        <v>2</v>
      </c>
      <c r="F326" s="27">
        <v>4</v>
      </c>
      <c r="G326" s="29">
        <v>0.74331999999999998</v>
      </c>
    </row>
    <row r="327" spans="1:7" x14ac:dyDescent="0.25">
      <c r="A327" s="20" t="s">
        <v>595</v>
      </c>
      <c r="B327" s="20" t="s">
        <v>656</v>
      </c>
      <c r="C327" s="20" t="s">
        <v>656</v>
      </c>
      <c r="D327" s="20" t="s">
        <v>726</v>
      </c>
      <c r="E327" s="27">
        <v>4</v>
      </c>
      <c r="F327" s="27">
        <v>8</v>
      </c>
      <c r="G327" s="29">
        <v>0.26395999999999997</v>
      </c>
    </row>
    <row r="328" spans="1:7" x14ac:dyDescent="0.25">
      <c r="A328" s="20" t="s">
        <v>595</v>
      </c>
      <c r="B328" s="20" t="s">
        <v>725</v>
      </c>
      <c r="C328" s="20" t="s">
        <v>725</v>
      </c>
      <c r="D328" s="20" t="s">
        <v>726</v>
      </c>
      <c r="E328" s="27">
        <v>2</v>
      </c>
      <c r="F328" s="27">
        <v>4</v>
      </c>
      <c r="G328" s="29">
        <v>2.6062799999999999</v>
      </c>
    </row>
    <row r="329" spans="1:7" x14ac:dyDescent="0.25">
      <c r="A329" s="20" t="s">
        <v>595</v>
      </c>
      <c r="B329" s="20" t="s">
        <v>728</v>
      </c>
      <c r="C329" s="20" t="s">
        <v>728</v>
      </c>
      <c r="D329" s="20" t="s">
        <v>726</v>
      </c>
      <c r="E329" s="27">
        <v>2</v>
      </c>
      <c r="F329" s="27">
        <v>4</v>
      </c>
      <c r="G329" s="29">
        <v>4.53714</v>
      </c>
    </row>
    <row r="330" spans="1:7" x14ac:dyDescent="0.25">
      <c r="A330" s="20" t="s">
        <v>588</v>
      </c>
      <c r="B330" s="20" t="s">
        <v>44</v>
      </c>
      <c r="C330" s="20" t="s">
        <v>44</v>
      </c>
      <c r="D330" s="20" t="s">
        <v>726</v>
      </c>
      <c r="E330" s="24">
        <v>0.13100000000000001</v>
      </c>
      <c r="F330" s="24">
        <v>0.26200000000000001</v>
      </c>
      <c r="G330" s="22"/>
    </row>
    <row r="331" spans="1:7" x14ac:dyDescent="0.25">
      <c r="A331" s="20" t="s">
        <v>588</v>
      </c>
      <c r="B331" s="20" t="s">
        <v>67</v>
      </c>
      <c r="C331" s="20" t="s">
        <v>67</v>
      </c>
      <c r="D331" s="20" t="s">
        <v>726</v>
      </c>
      <c r="E331" s="33">
        <v>0.3</v>
      </c>
      <c r="F331" s="33">
        <v>0.6</v>
      </c>
      <c r="G331" s="22"/>
    </row>
    <row r="332" spans="1:7" x14ac:dyDescent="0.25">
      <c r="A332" s="20" t="s">
        <v>588</v>
      </c>
      <c r="B332" s="20" t="s">
        <v>139</v>
      </c>
      <c r="C332" s="20" t="s">
        <v>139</v>
      </c>
      <c r="D332" s="20" t="s">
        <v>726</v>
      </c>
      <c r="E332" s="24">
        <v>1.2999999999999999E-2</v>
      </c>
      <c r="F332" s="24">
        <v>2.5999999999999999E-2</v>
      </c>
      <c r="G332" s="22"/>
    </row>
    <row r="333" spans="1:7" x14ac:dyDescent="0.25">
      <c r="A333" s="20" t="s">
        <v>588</v>
      </c>
      <c r="B333" s="20" t="s">
        <v>146</v>
      </c>
      <c r="C333" s="20" t="s">
        <v>146</v>
      </c>
      <c r="D333" s="20" t="s">
        <v>726</v>
      </c>
      <c r="E333" s="24">
        <v>0.17599999999999999</v>
      </c>
      <c r="F333" s="24">
        <v>0.35199999999999998</v>
      </c>
      <c r="G333" s="22"/>
    </row>
    <row r="334" spans="1:7" x14ac:dyDescent="0.25">
      <c r="A334" s="20" t="s">
        <v>588</v>
      </c>
      <c r="B334" s="20" t="s">
        <v>156</v>
      </c>
      <c r="C334" s="20" t="s">
        <v>156</v>
      </c>
      <c r="D334" s="20" t="s">
        <v>726</v>
      </c>
      <c r="E334" s="25">
        <v>0.05</v>
      </c>
      <c r="F334" s="33">
        <v>0.1</v>
      </c>
      <c r="G334" s="22"/>
    </row>
    <row r="335" spans="1:7" x14ac:dyDescent="0.25">
      <c r="A335" s="20" t="s">
        <v>588</v>
      </c>
      <c r="B335" s="20" t="s">
        <v>200</v>
      </c>
      <c r="C335" s="20" t="s">
        <v>200</v>
      </c>
      <c r="D335" s="20" t="s">
        <v>726</v>
      </c>
      <c r="E335" s="25">
        <v>0.01</v>
      </c>
      <c r="F335" s="25">
        <v>0.02</v>
      </c>
      <c r="G335" s="22"/>
    </row>
    <row r="336" spans="1:7" x14ac:dyDescent="0.25">
      <c r="A336" s="20" t="s">
        <v>588</v>
      </c>
      <c r="B336" s="20" t="s">
        <v>202</v>
      </c>
      <c r="C336" s="20" t="s">
        <v>202</v>
      </c>
      <c r="D336" s="20" t="s">
        <v>726</v>
      </c>
      <c r="E336" s="24">
        <v>9.0999999999999998E-2</v>
      </c>
      <c r="F336" s="24">
        <v>0.182</v>
      </c>
      <c r="G336" s="22"/>
    </row>
    <row r="337" spans="1:7" x14ac:dyDescent="0.25">
      <c r="A337" s="20" t="s">
        <v>588</v>
      </c>
      <c r="B337" s="20" t="s">
        <v>120</v>
      </c>
      <c r="C337" s="20" t="s">
        <v>120</v>
      </c>
      <c r="D337" s="20" t="s">
        <v>728</v>
      </c>
      <c r="E337" s="26">
        <v>5.7006100000000002</v>
      </c>
      <c r="F337" s="26">
        <v>22.802440000000001</v>
      </c>
      <c r="G337" s="22"/>
    </row>
    <row r="338" spans="1:7" x14ac:dyDescent="0.25">
      <c r="A338" s="20" t="s">
        <v>595</v>
      </c>
      <c r="B338" s="20" t="s">
        <v>663</v>
      </c>
      <c r="C338" s="20" t="s">
        <v>663</v>
      </c>
      <c r="D338" s="20" t="s">
        <v>729</v>
      </c>
      <c r="E338" s="27">
        <v>1</v>
      </c>
      <c r="F338" s="27">
        <v>1</v>
      </c>
      <c r="G338" s="29">
        <v>10.666309999999999</v>
      </c>
    </row>
    <row r="339" spans="1:7" x14ac:dyDescent="0.25">
      <c r="A339" s="20" t="s">
        <v>595</v>
      </c>
      <c r="B339" s="20" t="s">
        <v>664</v>
      </c>
      <c r="C339" s="20" t="s">
        <v>664</v>
      </c>
      <c r="D339" s="20" t="s">
        <v>729</v>
      </c>
      <c r="E339" s="27">
        <v>1</v>
      </c>
      <c r="F339" s="27">
        <v>1</v>
      </c>
      <c r="G339" s="29">
        <v>8.3243399999999994</v>
      </c>
    </row>
    <row r="340" spans="1:7" x14ac:dyDescent="0.25">
      <c r="A340" s="20" t="s">
        <v>595</v>
      </c>
      <c r="B340" s="20" t="s">
        <v>665</v>
      </c>
      <c r="C340" s="20" t="s">
        <v>665</v>
      </c>
      <c r="D340" s="20" t="s">
        <v>729</v>
      </c>
      <c r="E340" s="27">
        <v>1</v>
      </c>
      <c r="F340" s="27">
        <v>1</v>
      </c>
      <c r="G340" s="29">
        <v>2.4807800000000002</v>
      </c>
    </row>
    <row r="341" spans="1:7" x14ac:dyDescent="0.25">
      <c r="A341" s="20" t="s">
        <v>595</v>
      </c>
      <c r="B341" s="20" t="s">
        <v>666</v>
      </c>
      <c r="C341" s="20" t="s">
        <v>666</v>
      </c>
      <c r="D341" s="20" t="s">
        <v>729</v>
      </c>
      <c r="E341" s="27">
        <v>1</v>
      </c>
      <c r="F341" s="27">
        <v>1</v>
      </c>
      <c r="G341" s="29">
        <v>2.4807800000000002</v>
      </c>
    </row>
    <row r="342" spans="1:7" x14ac:dyDescent="0.25">
      <c r="A342" s="20" t="s">
        <v>595</v>
      </c>
      <c r="B342" s="20" t="s">
        <v>667</v>
      </c>
      <c r="C342" s="20" t="s">
        <v>667</v>
      </c>
      <c r="D342" s="20" t="s">
        <v>729</v>
      </c>
      <c r="E342" s="27">
        <v>2</v>
      </c>
      <c r="F342" s="27">
        <v>2</v>
      </c>
      <c r="G342" s="29">
        <v>1.0778399999999999</v>
      </c>
    </row>
    <row r="343" spans="1:7" ht="22.5" x14ac:dyDescent="0.25">
      <c r="A343" s="20" t="s">
        <v>620</v>
      </c>
      <c r="B343" s="20" t="s">
        <v>730</v>
      </c>
      <c r="C343" s="20" t="s">
        <v>237</v>
      </c>
      <c r="D343" s="20" t="s">
        <v>729</v>
      </c>
      <c r="E343" s="27">
        <v>4</v>
      </c>
      <c r="F343" s="27">
        <v>4</v>
      </c>
      <c r="G343" s="29">
        <v>9.7989999999999994E-2</v>
      </c>
    </row>
    <row r="344" spans="1:7" ht="22.5" x14ac:dyDescent="0.25">
      <c r="A344" s="20" t="s">
        <v>620</v>
      </c>
      <c r="B344" s="20" t="s">
        <v>731</v>
      </c>
      <c r="C344" s="20" t="s">
        <v>236</v>
      </c>
      <c r="D344" s="20" t="s">
        <v>729</v>
      </c>
      <c r="E344" s="27">
        <v>4</v>
      </c>
      <c r="F344" s="27">
        <v>4</v>
      </c>
      <c r="G344" s="28">
        <v>0.58909999999999996</v>
      </c>
    </row>
    <row r="345" spans="1:7" ht="22.5" x14ac:dyDescent="0.25">
      <c r="A345" s="20" t="s">
        <v>620</v>
      </c>
      <c r="B345" s="20" t="s">
        <v>732</v>
      </c>
      <c r="C345" s="20" t="s">
        <v>234</v>
      </c>
      <c r="D345" s="20" t="s">
        <v>729</v>
      </c>
      <c r="E345" s="27">
        <v>3</v>
      </c>
      <c r="F345" s="27">
        <v>3</v>
      </c>
      <c r="G345" s="29">
        <v>1.7350000000000001E-2</v>
      </c>
    </row>
    <row r="346" spans="1:7" ht="22.5" x14ac:dyDescent="0.25">
      <c r="A346" s="20" t="s">
        <v>620</v>
      </c>
      <c r="B346" s="20" t="s">
        <v>733</v>
      </c>
      <c r="C346" s="20" t="s">
        <v>235</v>
      </c>
      <c r="D346" s="20" t="s">
        <v>729</v>
      </c>
      <c r="E346" s="27">
        <v>12</v>
      </c>
      <c r="F346" s="27">
        <v>12</v>
      </c>
      <c r="G346" s="29">
        <v>7.1440000000000003E-2</v>
      </c>
    </row>
    <row r="347" spans="1:7" ht="22.5" x14ac:dyDescent="0.25">
      <c r="A347" s="20" t="s">
        <v>620</v>
      </c>
      <c r="B347" s="20" t="s">
        <v>734</v>
      </c>
      <c r="C347" s="20" t="s">
        <v>238</v>
      </c>
      <c r="D347" s="20" t="s">
        <v>729</v>
      </c>
      <c r="E347" s="27">
        <v>4</v>
      </c>
      <c r="F347" s="27">
        <v>4</v>
      </c>
      <c r="G347" s="28">
        <v>4.65E-2</v>
      </c>
    </row>
    <row r="348" spans="1:7" ht="22.5" x14ac:dyDescent="0.25">
      <c r="A348" s="20" t="s">
        <v>620</v>
      </c>
      <c r="B348" s="20" t="s">
        <v>625</v>
      </c>
      <c r="C348" s="20" t="s">
        <v>219</v>
      </c>
      <c r="D348" s="20" t="s">
        <v>729</v>
      </c>
      <c r="E348" s="27">
        <v>3</v>
      </c>
      <c r="F348" s="27">
        <v>3</v>
      </c>
      <c r="G348" s="29">
        <v>7.1399999999999996E-3</v>
      </c>
    </row>
    <row r="349" spans="1:7" ht="22.5" x14ac:dyDescent="0.25">
      <c r="A349" s="20" t="s">
        <v>620</v>
      </c>
      <c r="B349" s="20" t="s">
        <v>735</v>
      </c>
      <c r="C349" s="20" t="s">
        <v>241</v>
      </c>
      <c r="D349" s="20" t="s">
        <v>729</v>
      </c>
      <c r="E349" s="27">
        <v>4</v>
      </c>
      <c r="F349" s="27">
        <v>4</v>
      </c>
      <c r="G349" s="29">
        <v>1.289E-2</v>
      </c>
    </row>
    <row r="350" spans="1:7" ht="22.5" x14ac:dyDescent="0.25">
      <c r="A350" s="20" t="s">
        <v>620</v>
      </c>
      <c r="B350" s="20" t="s">
        <v>662</v>
      </c>
      <c r="C350" s="20" t="s">
        <v>221</v>
      </c>
      <c r="D350" s="20" t="s">
        <v>729</v>
      </c>
      <c r="E350" s="27">
        <v>4</v>
      </c>
      <c r="F350" s="27">
        <v>4</v>
      </c>
      <c r="G350" s="29">
        <v>1.098E-2</v>
      </c>
    </row>
    <row r="351" spans="1:7" ht="22.5" x14ac:dyDescent="0.25">
      <c r="A351" s="20" t="s">
        <v>620</v>
      </c>
      <c r="B351" s="20" t="s">
        <v>736</v>
      </c>
      <c r="C351" s="20" t="s">
        <v>239</v>
      </c>
      <c r="D351" s="20" t="s">
        <v>729</v>
      </c>
      <c r="E351" s="27">
        <v>16</v>
      </c>
      <c r="F351" s="27">
        <v>16</v>
      </c>
      <c r="G351" s="29">
        <v>1.636E-2</v>
      </c>
    </row>
    <row r="352" spans="1:7" ht="22.5" x14ac:dyDescent="0.25">
      <c r="A352" s="20" t="s">
        <v>620</v>
      </c>
      <c r="B352" s="20" t="s">
        <v>737</v>
      </c>
      <c r="C352" s="20" t="s">
        <v>240</v>
      </c>
      <c r="D352" s="20" t="s">
        <v>729</v>
      </c>
      <c r="E352" s="27">
        <v>3</v>
      </c>
      <c r="F352" s="27">
        <v>3</v>
      </c>
      <c r="G352" s="29">
        <v>1.73E-3</v>
      </c>
    </row>
    <row r="353" spans="1:7" x14ac:dyDescent="0.25">
      <c r="A353" s="20" t="s">
        <v>585</v>
      </c>
      <c r="B353" s="20" t="s">
        <v>681</v>
      </c>
      <c r="C353" s="20" t="s">
        <v>681</v>
      </c>
      <c r="D353" s="20" t="s">
        <v>738</v>
      </c>
      <c r="E353" s="27">
        <v>1</v>
      </c>
      <c r="F353" s="27">
        <v>1</v>
      </c>
      <c r="G353" s="29">
        <v>0.38496000000000002</v>
      </c>
    </row>
    <row r="354" spans="1:7" x14ac:dyDescent="0.25">
      <c r="A354" s="20" t="s">
        <v>585</v>
      </c>
      <c r="B354" s="20" t="s">
        <v>684</v>
      </c>
      <c r="C354" s="20" t="s">
        <v>684</v>
      </c>
      <c r="D354" s="20" t="s">
        <v>738</v>
      </c>
      <c r="E354" s="27">
        <v>1</v>
      </c>
      <c r="F354" s="27">
        <v>1</v>
      </c>
      <c r="G354" s="29">
        <v>0.31041000000000002</v>
      </c>
    </row>
    <row r="355" spans="1:7" x14ac:dyDescent="0.25">
      <c r="A355" s="20" t="s">
        <v>585</v>
      </c>
      <c r="B355" s="20" t="s">
        <v>739</v>
      </c>
      <c r="C355" s="20" t="s">
        <v>739</v>
      </c>
      <c r="D355" s="20" t="s">
        <v>738</v>
      </c>
      <c r="E355" s="27">
        <v>1</v>
      </c>
      <c r="F355" s="27">
        <v>1</v>
      </c>
      <c r="G355" s="29">
        <v>25.345330000000001</v>
      </c>
    </row>
    <row r="356" spans="1:7" x14ac:dyDescent="0.25">
      <c r="A356" s="20" t="s">
        <v>585</v>
      </c>
      <c r="B356" s="20" t="s">
        <v>740</v>
      </c>
      <c r="C356" s="20" t="s">
        <v>740</v>
      </c>
      <c r="D356" s="20" t="s">
        <v>738</v>
      </c>
      <c r="E356" s="27">
        <v>1</v>
      </c>
      <c r="F356" s="27">
        <v>1</v>
      </c>
      <c r="G356" s="29">
        <v>2.0579499999999999</v>
      </c>
    </row>
    <row r="357" spans="1:7" x14ac:dyDescent="0.25">
      <c r="A357" s="20" t="s">
        <v>595</v>
      </c>
      <c r="B357" s="20" t="s">
        <v>675</v>
      </c>
      <c r="C357" s="20" t="s">
        <v>675</v>
      </c>
      <c r="D357" s="20" t="s">
        <v>738</v>
      </c>
      <c r="E357" s="27">
        <v>1</v>
      </c>
      <c r="F357" s="27">
        <v>1</v>
      </c>
      <c r="G357" s="29">
        <v>0.14871999999999999</v>
      </c>
    </row>
    <row r="358" spans="1:7" x14ac:dyDescent="0.25">
      <c r="A358" s="20" t="s">
        <v>595</v>
      </c>
      <c r="B358" s="20" t="s">
        <v>676</v>
      </c>
      <c r="C358" s="20" t="s">
        <v>676</v>
      </c>
      <c r="D358" s="20" t="s">
        <v>738</v>
      </c>
      <c r="E358" s="27">
        <v>1</v>
      </c>
      <c r="F358" s="27">
        <v>1</v>
      </c>
      <c r="G358" s="29">
        <v>0.71836</v>
      </c>
    </row>
    <row r="359" spans="1:7" x14ac:dyDescent="0.25">
      <c r="A359" s="20" t="s">
        <v>595</v>
      </c>
      <c r="B359" s="20" t="s">
        <v>677</v>
      </c>
      <c r="C359" s="20" t="s">
        <v>677</v>
      </c>
      <c r="D359" s="20" t="s">
        <v>738</v>
      </c>
      <c r="E359" s="27">
        <v>2</v>
      </c>
      <c r="F359" s="27">
        <v>2</v>
      </c>
      <c r="G359" s="29">
        <v>4.1180000000000001E-2</v>
      </c>
    </row>
    <row r="360" spans="1:7" x14ac:dyDescent="0.25">
      <c r="A360" s="20" t="s">
        <v>595</v>
      </c>
      <c r="B360" s="20" t="s">
        <v>741</v>
      </c>
      <c r="C360" s="20" t="s">
        <v>741</v>
      </c>
      <c r="D360" s="20" t="s">
        <v>738</v>
      </c>
      <c r="E360" s="27">
        <v>1</v>
      </c>
      <c r="F360" s="27">
        <v>1</v>
      </c>
      <c r="G360" s="29">
        <v>0.70713999999999999</v>
      </c>
    </row>
    <row r="361" spans="1:7" ht="22.5" x14ac:dyDescent="0.25">
      <c r="A361" s="20" t="s">
        <v>620</v>
      </c>
      <c r="B361" s="20" t="s">
        <v>671</v>
      </c>
      <c r="C361" s="20" t="s">
        <v>223</v>
      </c>
      <c r="D361" s="20" t="s">
        <v>738</v>
      </c>
      <c r="E361" s="27">
        <v>1</v>
      </c>
      <c r="F361" s="27">
        <v>1</v>
      </c>
      <c r="G361" s="28">
        <v>1.5699999999999999E-2</v>
      </c>
    </row>
    <row r="362" spans="1:7" ht="22.5" x14ac:dyDescent="0.25">
      <c r="A362" s="20" t="s">
        <v>620</v>
      </c>
      <c r="B362" s="20" t="s">
        <v>742</v>
      </c>
      <c r="C362" s="20" t="s">
        <v>242</v>
      </c>
      <c r="D362" s="20" t="s">
        <v>738</v>
      </c>
      <c r="E362" s="27">
        <v>2</v>
      </c>
      <c r="F362" s="27">
        <v>2</v>
      </c>
      <c r="G362" s="28">
        <v>2.1299999999999999E-2</v>
      </c>
    </row>
    <row r="363" spans="1:7" ht="22.5" x14ac:dyDescent="0.25">
      <c r="A363" s="20" t="s">
        <v>620</v>
      </c>
      <c r="B363" s="20" t="s">
        <v>743</v>
      </c>
      <c r="C363" s="20" t="s">
        <v>243</v>
      </c>
      <c r="D363" s="20" t="s">
        <v>738</v>
      </c>
      <c r="E363" s="27">
        <v>1</v>
      </c>
      <c r="F363" s="27">
        <v>1</v>
      </c>
      <c r="G363" s="29">
        <v>1.1939999999999999E-2</v>
      </c>
    </row>
    <row r="364" spans="1:7" ht="22.5" x14ac:dyDescent="0.25">
      <c r="A364" s="20" t="s">
        <v>620</v>
      </c>
      <c r="B364" s="20" t="s">
        <v>50</v>
      </c>
      <c r="C364" s="20" t="s">
        <v>50</v>
      </c>
      <c r="D364" s="20" t="s">
        <v>738</v>
      </c>
      <c r="E364" s="27">
        <v>4</v>
      </c>
      <c r="F364" s="27">
        <v>4</v>
      </c>
      <c r="G364" s="29">
        <v>2.2899999999999999E-3</v>
      </c>
    </row>
    <row r="365" spans="1:7" ht="22.5" x14ac:dyDescent="0.25">
      <c r="A365" s="20" t="s">
        <v>620</v>
      </c>
      <c r="B365" s="20" t="s">
        <v>56</v>
      </c>
      <c r="C365" s="20" t="s">
        <v>56</v>
      </c>
      <c r="D365" s="20" t="s">
        <v>738</v>
      </c>
      <c r="E365" s="27">
        <v>4</v>
      </c>
      <c r="F365" s="27">
        <v>4</v>
      </c>
      <c r="G365" s="29">
        <v>9.6200000000000001E-3</v>
      </c>
    </row>
    <row r="366" spans="1:7" ht="22.5" x14ac:dyDescent="0.25">
      <c r="A366" s="20" t="s">
        <v>620</v>
      </c>
      <c r="B366" s="20" t="s">
        <v>744</v>
      </c>
      <c r="C366" s="20" t="s">
        <v>247</v>
      </c>
      <c r="D366" s="20" t="s">
        <v>738</v>
      </c>
      <c r="E366" s="27">
        <v>1</v>
      </c>
      <c r="F366" s="27">
        <v>1</v>
      </c>
      <c r="G366" s="29">
        <v>2.3500000000000001E-3</v>
      </c>
    </row>
    <row r="367" spans="1:7" ht="22.5" x14ac:dyDescent="0.25">
      <c r="A367" s="20" t="s">
        <v>620</v>
      </c>
      <c r="B367" s="20" t="s">
        <v>745</v>
      </c>
      <c r="C367" s="20" t="s">
        <v>246</v>
      </c>
      <c r="D367" s="20" t="s">
        <v>738</v>
      </c>
      <c r="E367" s="27">
        <v>4</v>
      </c>
      <c r="F367" s="27">
        <v>4</v>
      </c>
      <c r="G367" s="29">
        <v>1.022E-2</v>
      </c>
    </row>
    <row r="368" spans="1:7" ht="22.5" x14ac:dyDescent="0.25">
      <c r="A368" s="20" t="s">
        <v>620</v>
      </c>
      <c r="B368" s="20" t="s">
        <v>709</v>
      </c>
      <c r="C368" s="20" t="s">
        <v>227</v>
      </c>
      <c r="D368" s="20" t="s">
        <v>738</v>
      </c>
      <c r="E368" s="27">
        <v>1</v>
      </c>
      <c r="F368" s="27">
        <v>1</v>
      </c>
      <c r="G368" s="28">
        <v>1.49E-2</v>
      </c>
    </row>
    <row r="369" spans="1:7" ht="22.5" x14ac:dyDescent="0.25">
      <c r="A369" s="20" t="s">
        <v>620</v>
      </c>
      <c r="B369" s="20" t="s">
        <v>746</v>
      </c>
      <c r="C369" s="20" t="s">
        <v>245</v>
      </c>
      <c r="D369" s="20" t="s">
        <v>738</v>
      </c>
      <c r="E369" s="27">
        <v>4</v>
      </c>
      <c r="F369" s="27">
        <v>4</v>
      </c>
      <c r="G369" s="29">
        <v>5.5500000000000002E-3</v>
      </c>
    </row>
    <row r="370" spans="1:7" ht="22.5" x14ac:dyDescent="0.25">
      <c r="A370" s="20" t="s">
        <v>620</v>
      </c>
      <c r="B370" s="20" t="s">
        <v>625</v>
      </c>
      <c r="C370" s="20" t="s">
        <v>219</v>
      </c>
      <c r="D370" s="20" t="s">
        <v>738</v>
      </c>
      <c r="E370" s="27">
        <v>2</v>
      </c>
      <c r="F370" s="27">
        <v>2</v>
      </c>
      <c r="G370" s="29">
        <v>7.1399999999999996E-3</v>
      </c>
    </row>
    <row r="371" spans="1:7" ht="22.5" x14ac:dyDescent="0.25">
      <c r="A371" s="20" t="s">
        <v>620</v>
      </c>
      <c r="B371" s="20" t="s">
        <v>747</v>
      </c>
      <c r="C371" s="20" t="s">
        <v>244</v>
      </c>
      <c r="D371" s="20" t="s">
        <v>738</v>
      </c>
      <c r="E371" s="27">
        <v>1</v>
      </c>
      <c r="F371" s="27">
        <v>1</v>
      </c>
      <c r="G371" s="29">
        <v>6.13E-3</v>
      </c>
    </row>
    <row r="372" spans="1:7" ht="22.5" x14ac:dyDescent="0.25">
      <c r="A372" s="20" t="s">
        <v>620</v>
      </c>
      <c r="B372" s="20" t="s">
        <v>737</v>
      </c>
      <c r="C372" s="20" t="s">
        <v>240</v>
      </c>
      <c r="D372" s="20" t="s">
        <v>738</v>
      </c>
      <c r="E372" s="27">
        <v>1</v>
      </c>
      <c r="F372" s="27">
        <v>1</v>
      </c>
      <c r="G372" s="29">
        <v>1.73E-3</v>
      </c>
    </row>
    <row r="373" spans="1:7" x14ac:dyDescent="0.25">
      <c r="A373" s="20" t="s">
        <v>588</v>
      </c>
      <c r="B373" s="20" t="s">
        <v>85</v>
      </c>
      <c r="C373" s="20" t="s">
        <v>85</v>
      </c>
      <c r="D373" s="20" t="s">
        <v>741</v>
      </c>
      <c r="E373" s="24">
        <v>0.75800000000000001</v>
      </c>
      <c r="F373" s="24">
        <v>0.75800000000000001</v>
      </c>
      <c r="G373" s="22"/>
    </row>
    <row r="374" spans="1:7" x14ac:dyDescent="0.25">
      <c r="A374" s="20" t="s">
        <v>585</v>
      </c>
      <c r="B374" s="20" t="s">
        <v>748</v>
      </c>
      <c r="C374" s="20" t="s">
        <v>748</v>
      </c>
      <c r="D374" s="20" t="s">
        <v>739</v>
      </c>
      <c r="E374" s="27">
        <v>1</v>
      </c>
      <c r="F374" s="27">
        <v>1</v>
      </c>
      <c r="G374" s="29">
        <v>2.1735600000000002</v>
      </c>
    </row>
    <row r="375" spans="1:7" x14ac:dyDescent="0.25">
      <c r="A375" s="20" t="s">
        <v>595</v>
      </c>
      <c r="B375" s="20" t="s">
        <v>678</v>
      </c>
      <c r="C375" s="20" t="s">
        <v>678</v>
      </c>
      <c r="D375" s="20" t="s">
        <v>739</v>
      </c>
      <c r="E375" s="27">
        <v>2</v>
      </c>
      <c r="F375" s="27">
        <v>2</v>
      </c>
      <c r="G375" s="29">
        <v>5.2440000000000001E-2</v>
      </c>
    </row>
    <row r="376" spans="1:7" x14ac:dyDescent="0.25">
      <c r="A376" s="20" t="s">
        <v>595</v>
      </c>
      <c r="B376" s="20" t="s">
        <v>679</v>
      </c>
      <c r="C376" s="20" t="s">
        <v>679</v>
      </c>
      <c r="D376" s="20" t="s">
        <v>739</v>
      </c>
      <c r="E376" s="27">
        <v>1</v>
      </c>
      <c r="F376" s="27">
        <v>1</v>
      </c>
      <c r="G376" s="29">
        <v>0.31025000000000003</v>
      </c>
    </row>
    <row r="377" spans="1:7" x14ac:dyDescent="0.25">
      <c r="A377" s="20" t="s">
        <v>595</v>
      </c>
      <c r="B377" s="20" t="s">
        <v>749</v>
      </c>
      <c r="C377" s="20" t="s">
        <v>749</v>
      </c>
      <c r="D377" s="20" t="s">
        <v>739</v>
      </c>
      <c r="E377" s="27">
        <v>1</v>
      </c>
      <c r="F377" s="27">
        <v>1</v>
      </c>
      <c r="G377" s="28">
        <v>4.9977</v>
      </c>
    </row>
    <row r="378" spans="1:7" x14ac:dyDescent="0.25">
      <c r="A378" s="20" t="s">
        <v>595</v>
      </c>
      <c r="B378" s="20" t="s">
        <v>750</v>
      </c>
      <c r="C378" s="20" t="s">
        <v>750</v>
      </c>
      <c r="D378" s="20" t="s">
        <v>739</v>
      </c>
      <c r="E378" s="27">
        <v>1</v>
      </c>
      <c r="F378" s="27">
        <v>1</v>
      </c>
      <c r="G378" s="29">
        <v>6.5901800000000001</v>
      </c>
    </row>
    <row r="379" spans="1:7" x14ac:dyDescent="0.25">
      <c r="A379" s="20" t="s">
        <v>595</v>
      </c>
      <c r="B379" s="20" t="s">
        <v>751</v>
      </c>
      <c r="C379" s="20" t="s">
        <v>751</v>
      </c>
      <c r="D379" s="20" t="s">
        <v>739</v>
      </c>
      <c r="E379" s="27">
        <v>1</v>
      </c>
      <c r="F379" s="27">
        <v>1</v>
      </c>
      <c r="G379" s="29">
        <v>5.5843800000000003</v>
      </c>
    </row>
    <row r="380" spans="1:7" x14ac:dyDescent="0.25">
      <c r="A380" s="20" t="s">
        <v>595</v>
      </c>
      <c r="B380" s="20" t="s">
        <v>752</v>
      </c>
      <c r="C380" s="20" t="s">
        <v>752</v>
      </c>
      <c r="D380" s="20" t="s">
        <v>739</v>
      </c>
      <c r="E380" s="27">
        <v>1</v>
      </c>
      <c r="F380" s="27">
        <v>1</v>
      </c>
      <c r="G380" s="29">
        <v>5.5843800000000003</v>
      </c>
    </row>
    <row r="381" spans="1:7" x14ac:dyDescent="0.25">
      <c r="A381" s="20" t="s">
        <v>588</v>
      </c>
      <c r="B381" s="20" t="s">
        <v>44</v>
      </c>
      <c r="C381" s="20" t="s">
        <v>44</v>
      </c>
      <c r="D381" s="20" t="s">
        <v>739</v>
      </c>
      <c r="E381" s="24">
        <v>0.317</v>
      </c>
      <c r="F381" s="24">
        <v>0.317</v>
      </c>
      <c r="G381" s="22"/>
    </row>
    <row r="382" spans="1:7" x14ac:dyDescent="0.25">
      <c r="A382" s="20" t="s">
        <v>588</v>
      </c>
      <c r="B382" s="20" t="s">
        <v>66</v>
      </c>
      <c r="C382" s="20" t="s">
        <v>66</v>
      </c>
      <c r="D382" s="20" t="s">
        <v>739</v>
      </c>
      <c r="E382" s="24">
        <v>1.9E-2</v>
      </c>
      <c r="F382" s="24">
        <v>1.9E-2</v>
      </c>
      <c r="G382" s="22"/>
    </row>
    <row r="383" spans="1:7" x14ac:dyDescent="0.25">
      <c r="A383" s="20" t="s">
        <v>588</v>
      </c>
      <c r="B383" s="20" t="s">
        <v>67</v>
      </c>
      <c r="C383" s="20" t="s">
        <v>67</v>
      </c>
      <c r="D383" s="20" t="s">
        <v>739</v>
      </c>
      <c r="E383" s="24">
        <v>0.88800000000000001</v>
      </c>
      <c r="F383" s="24">
        <v>0.88800000000000001</v>
      </c>
      <c r="G383" s="22"/>
    </row>
    <row r="384" spans="1:7" x14ac:dyDescent="0.25">
      <c r="A384" s="20" t="s">
        <v>588</v>
      </c>
      <c r="B384" s="20" t="s">
        <v>139</v>
      </c>
      <c r="C384" s="20" t="s">
        <v>139</v>
      </c>
      <c r="D384" s="20" t="s">
        <v>739</v>
      </c>
      <c r="E384" s="24">
        <v>3.2000000000000001E-2</v>
      </c>
      <c r="F384" s="24">
        <v>3.2000000000000001E-2</v>
      </c>
      <c r="G384" s="22"/>
    </row>
    <row r="385" spans="1:7" x14ac:dyDescent="0.25">
      <c r="A385" s="20" t="s">
        <v>588</v>
      </c>
      <c r="B385" s="20" t="s">
        <v>146</v>
      </c>
      <c r="C385" s="20" t="s">
        <v>146</v>
      </c>
      <c r="D385" s="20" t="s">
        <v>739</v>
      </c>
      <c r="E385" s="24">
        <v>0.52200000000000002</v>
      </c>
      <c r="F385" s="24">
        <v>0.52200000000000002</v>
      </c>
      <c r="G385" s="22"/>
    </row>
    <row r="386" spans="1:7" x14ac:dyDescent="0.25">
      <c r="A386" s="20" t="s">
        <v>588</v>
      </c>
      <c r="B386" s="20" t="s">
        <v>156</v>
      </c>
      <c r="C386" s="20" t="s">
        <v>156</v>
      </c>
      <c r="D386" s="20" t="s">
        <v>739</v>
      </c>
      <c r="E386" s="24">
        <v>0.19400000000000001</v>
      </c>
      <c r="F386" s="24">
        <v>0.19400000000000001</v>
      </c>
      <c r="G386" s="22"/>
    </row>
    <row r="387" spans="1:7" x14ac:dyDescent="0.25">
      <c r="A387" s="20" t="s">
        <v>588</v>
      </c>
      <c r="B387" s="20" t="s">
        <v>157</v>
      </c>
      <c r="C387" s="20" t="s">
        <v>157</v>
      </c>
      <c r="D387" s="20" t="s">
        <v>739</v>
      </c>
      <c r="E387" s="24">
        <v>9.7000000000000003E-2</v>
      </c>
      <c r="F387" s="24">
        <v>9.7000000000000003E-2</v>
      </c>
      <c r="G387" s="22"/>
    </row>
    <row r="388" spans="1:7" x14ac:dyDescent="0.25">
      <c r="A388" s="20" t="s">
        <v>588</v>
      </c>
      <c r="B388" s="20" t="s">
        <v>200</v>
      </c>
      <c r="C388" s="20" t="s">
        <v>200</v>
      </c>
      <c r="D388" s="20" t="s">
        <v>739</v>
      </c>
      <c r="E388" s="24">
        <v>0.17599999999999999</v>
      </c>
      <c r="F388" s="24">
        <v>0.17599999999999999</v>
      </c>
      <c r="G388" s="22"/>
    </row>
    <row r="389" spans="1:7" x14ac:dyDescent="0.25">
      <c r="A389" s="20" t="s">
        <v>588</v>
      </c>
      <c r="B389" s="20" t="s">
        <v>202</v>
      </c>
      <c r="C389" s="20" t="s">
        <v>202</v>
      </c>
      <c r="D389" s="20" t="s">
        <v>739</v>
      </c>
      <c r="E389" s="24">
        <v>0.221</v>
      </c>
      <c r="F389" s="24">
        <v>0.221</v>
      </c>
      <c r="G389" s="22"/>
    </row>
    <row r="390" spans="1:7" x14ac:dyDescent="0.25">
      <c r="A390" s="20" t="s">
        <v>588</v>
      </c>
      <c r="B390" s="20" t="s">
        <v>118</v>
      </c>
      <c r="C390" s="20" t="s">
        <v>118</v>
      </c>
      <c r="D390" s="20" t="s">
        <v>749</v>
      </c>
      <c r="E390" s="32">
        <v>6.3585000000000003</v>
      </c>
      <c r="F390" s="32">
        <v>6.3585000000000003</v>
      </c>
      <c r="G390" s="22"/>
    </row>
    <row r="391" spans="1:7" x14ac:dyDescent="0.25">
      <c r="A391" s="20" t="s">
        <v>588</v>
      </c>
      <c r="B391" s="20" t="s">
        <v>118</v>
      </c>
      <c r="C391" s="20" t="s">
        <v>118</v>
      </c>
      <c r="D391" s="20" t="s">
        <v>750</v>
      </c>
      <c r="E391" s="26">
        <v>9.1138499999999993</v>
      </c>
      <c r="F391" s="26">
        <v>9.1138499999999993</v>
      </c>
      <c r="G391" s="22"/>
    </row>
    <row r="392" spans="1:7" x14ac:dyDescent="0.25">
      <c r="A392" s="20" t="s">
        <v>588</v>
      </c>
      <c r="B392" s="20" t="s">
        <v>115</v>
      </c>
      <c r="C392" s="20" t="s">
        <v>115</v>
      </c>
      <c r="D392" s="20" t="s">
        <v>751</v>
      </c>
      <c r="E392" s="26">
        <v>10.010260000000001</v>
      </c>
      <c r="F392" s="26">
        <v>10.010260000000001</v>
      </c>
      <c r="G392" s="22"/>
    </row>
    <row r="393" spans="1:7" x14ac:dyDescent="0.25">
      <c r="A393" s="20" t="s">
        <v>588</v>
      </c>
      <c r="B393" s="20" t="s">
        <v>115</v>
      </c>
      <c r="C393" s="20" t="s">
        <v>115</v>
      </c>
      <c r="D393" s="20" t="s">
        <v>752</v>
      </c>
      <c r="E393" s="26">
        <v>10.010260000000001</v>
      </c>
      <c r="F393" s="26">
        <v>10.010260000000001</v>
      </c>
      <c r="G393" s="22"/>
    </row>
    <row r="394" spans="1:7" x14ac:dyDescent="0.25">
      <c r="A394" s="20" t="s">
        <v>595</v>
      </c>
      <c r="B394" s="20" t="s">
        <v>753</v>
      </c>
      <c r="C394" s="20" t="s">
        <v>753</v>
      </c>
      <c r="D394" s="20" t="s">
        <v>740</v>
      </c>
      <c r="E394" s="27">
        <v>1</v>
      </c>
      <c r="F394" s="27">
        <v>1</v>
      </c>
      <c r="G394" s="29">
        <v>0.21967999999999999</v>
      </c>
    </row>
    <row r="395" spans="1:7" x14ac:dyDescent="0.25">
      <c r="A395" s="20" t="s">
        <v>595</v>
      </c>
      <c r="B395" s="20" t="s">
        <v>754</v>
      </c>
      <c r="C395" s="20" t="s">
        <v>754</v>
      </c>
      <c r="D395" s="20" t="s">
        <v>740</v>
      </c>
      <c r="E395" s="27">
        <v>1</v>
      </c>
      <c r="F395" s="27">
        <v>1</v>
      </c>
      <c r="G395" s="29">
        <v>1.8382700000000001</v>
      </c>
    </row>
    <row r="396" spans="1:7" x14ac:dyDescent="0.25">
      <c r="A396" s="20" t="s">
        <v>588</v>
      </c>
      <c r="B396" s="20" t="s">
        <v>66</v>
      </c>
      <c r="C396" s="20" t="s">
        <v>66</v>
      </c>
      <c r="D396" s="20" t="s">
        <v>740</v>
      </c>
      <c r="E396" s="24">
        <v>1.2999999999999999E-2</v>
      </c>
      <c r="F396" s="24">
        <v>1.2999999999999999E-2</v>
      </c>
      <c r="G396" s="22"/>
    </row>
    <row r="397" spans="1:7" x14ac:dyDescent="0.25">
      <c r="A397" s="20" t="s">
        <v>588</v>
      </c>
      <c r="B397" s="20" t="s">
        <v>67</v>
      </c>
      <c r="C397" s="20" t="s">
        <v>67</v>
      </c>
      <c r="D397" s="20" t="s">
        <v>740</v>
      </c>
      <c r="E397" s="24">
        <v>5.0999999999999997E-2</v>
      </c>
      <c r="F397" s="24">
        <v>5.0999999999999997E-2</v>
      </c>
      <c r="G397" s="22"/>
    </row>
    <row r="398" spans="1:7" x14ac:dyDescent="0.25">
      <c r="A398" s="20" t="s">
        <v>588</v>
      </c>
      <c r="B398" s="20" t="s">
        <v>146</v>
      </c>
      <c r="C398" s="20" t="s">
        <v>146</v>
      </c>
      <c r="D398" s="20" t="s">
        <v>740</v>
      </c>
      <c r="E398" s="25">
        <v>0.03</v>
      </c>
      <c r="F398" s="25">
        <v>0.03</v>
      </c>
      <c r="G398" s="22"/>
    </row>
    <row r="399" spans="1:7" x14ac:dyDescent="0.25">
      <c r="A399" s="20" t="s">
        <v>588</v>
      </c>
      <c r="B399" s="20" t="s">
        <v>157</v>
      </c>
      <c r="C399" s="20" t="s">
        <v>157</v>
      </c>
      <c r="D399" s="20" t="s">
        <v>740</v>
      </c>
      <c r="E399" s="24">
        <v>1.6E-2</v>
      </c>
      <c r="F399" s="24">
        <v>1.6E-2</v>
      </c>
      <c r="G399" s="22"/>
    </row>
    <row r="400" spans="1:7" x14ac:dyDescent="0.25">
      <c r="A400" s="20" t="s">
        <v>588</v>
      </c>
      <c r="B400" s="20" t="s">
        <v>174</v>
      </c>
      <c r="C400" s="20" t="s">
        <v>174</v>
      </c>
      <c r="D400" s="20" t="s">
        <v>753</v>
      </c>
      <c r="E400" s="24">
        <v>0.16700000000000001</v>
      </c>
      <c r="F400" s="24">
        <v>0.16700000000000001</v>
      </c>
      <c r="G400" s="22"/>
    </row>
    <row r="401" spans="1:7" x14ac:dyDescent="0.25">
      <c r="A401" s="20" t="s">
        <v>588</v>
      </c>
      <c r="B401" s="20" t="s">
        <v>118</v>
      </c>
      <c r="C401" s="20" t="s">
        <v>118</v>
      </c>
      <c r="D401" s="20" t="s">
        <v>754</v>
      </c>
      <c r="E401" s="32">
        <v>2.2641</v>
      </c>
      <c r="F401" s="32">
        <v>2.2641</v>
      </c>
      <c r="G401" s="22"/>
    </row>
    <row r="402" spans="1:7" ht="22.5" x14ac:dyDescent="0.25">
      <c r="A402" s="20" t="s">
        <v>585</v>
      </c>
      <c r="B402" s="20" t="s">
        <v>669</v>
      </c>
      <c r="C402" s="20" t="s">
        <v>669</v>
      </c>
      <c r="D402" s="20" t="s">
        <v>755</v>
      </c>
      <c r="E402" s="27">
        <v>1</v>
      </c>
      <c r="F402" s="27">
        <v>1</v>
      </c>
      <c r="G402" s="22"/>
    </row>
    <row r="403" spans="1:7" ht="22.5" x14ac:dyDescent="0.25">
      <c r="A403" s="20" t="s">
        <v>585</v>
      </c>
      <c r="B403" s="20" t="s">
        <v>688</v>
      </c>
      <c r="C403" s="20" t="s">
        <v>688</v>
      </c>
      <c r="D403" s="20" t="s">
        <v>755</v>
      </c>
      <c r="E403" s="27">
        <v>3</v>
      </c>
      <c r="F403" s="27">
        <v>3</v>
      </c>
      <c r="G403" s="29">
        <v>53.008090000000003</v>
      </c>
    </row>
    <row r="404" spans="1:7" ht="22.5" x14ac:dyDescent="0.25">
      <c r="A404" s="20" t="s">
        <v>585</v>
      </c>
      <c r="B404" s="20" t="s">
        <v>695</v>
      </c>
      <c r="C404" s="20" t="s">
        <v>695</v>
      </c>
      <c r="D404" s="20" t="s">
        <v>755</v>
      </c>
      <c r="E404" s="27">
        <v>1</v>
      </c>
      <c r="F404" s="27">
        <v>1</v>
      </c>
      <c r="G404" s="29">
        <v>133.67010999999999</v>
      </c>
    </row>
    <row r="405" spans="1:7" ht="22.5" x14ac:dyDescent="0.25">
      <c r="A405" s="20" t="s">
        <v>585</v>
      </c>
      <c r="B405" s="20" t="s">
        <v>738</v>
      </c>
      <c r="C405" s="20" t="s">
        <v>738</v>
      </c>
      <c r="D405" s="20" t="s">
        <v>755</v>
      </c>
      <c r="E405" s="27">
        <v>1</v>
      </c>
      <c r="F405" s="27">
        <v>1</v>
      </c>
      <c r="G405" s="29">
        <v>29.937159999999999</v>
      </c>
    </row>
    <row r="406" spans="1:7" ht="22.5" x14ac:dyDescent="0.25">
      <c r="A406" s="20" t="s">
        <v>585</v>
      </c>
      <c r="B406" s="20" t="s">
        <v>756</v>
      </c>
      <c r="C406" s="20" t="s">
        <v>756</v>
      </c>
      <c r="D406" s="20" t="s">
        <v>755</v>
      </c>
      <c r="E406" s="27">
        <v>1</v>
      </c>
      <c r="F406" s="27">
        <v>1</v>
      </c>
      <c r="G406" s="29">
        <v>235.64962</v>
      </c>
    </row>
    <row r="407" spans="1:7" ht="22.5" x14ac:dyDescent="0.25">
      <c r="A407" s="20" t="s">
        <v>585</v>
      </c>
      <c r="B407" s="20" t="s">
        <v>757</v>
      </c>
      <c r="C407" s="20" t="s">
        <v>757</v>
      </c>
      <c r="D407" s="20" t="s">
        <v>755</v>
      </c>
      <c r="E407" s="27">
        <v>3</v>
      </c>
      <c r="F407" s="27">
        <v>3</v>
      </c>
      <c r="G407" s="29">
        <v>84.87585</v>
      </c>
    </row>
    <row r="408" spans="1:7" ht="22.5" x14ac:dyDescent="0.25">
      <c r="A408" s="20" t="s">
        <v>620</v>
      </c>
      <c r="B408" s="20" t="s">
        <v>671</v>
      </c>
      <c r="C408" s="20" t="s">
        <v>223</v>
      </c>
      <c r="D408" s="20" t="s">
        <v>755</v>
      </c>
      <c r="E408" s="27">
        <v>56</v>
      </c>
      <c r="F408" s="27">
        <v>56</v>
      </c>
      <c r="G408" s="28">
        <v>1.5699999999999999E-2</v>
      </c>
    </row>
    <row r="409" spans="1:7" ht="22.5" x14ac:dyDescent="0.25">
      <c r="A409" s="20" t="s">
        <v>620</v>
      </c>
      <c r="B409" s="20" t="s">
        <v>732</v>
      </c>
      <c r="C409" s="20" t="s">
        <v>234</v>
      </c>
      <c r="D409" s="20" t="s">
        <v>755</v>
      </c>
      <c r="E409" s="27">
        <v>20</v>
      </c>
      <c r="F409" s="27">
        <v>20</v>
      </c>
      <c r="G409" s="29">
        <v>1.7350000000000001E-2</v>
      </c>
    </row>
    <row r="410" spans="1:7" ht="22.5" x14ac:dyDescent="0.25">
      <c r="A410" s="20" t="s">
        <v>620</v>
      </c>
      <c r="B410" s="20" t="s">
        <v>56</v>
      </c>
      <c r="C410" s="20" t="s">
        <v>56</v>
      </c>
      <c r="D410" s="20" t="s">
        <v>755</v>
      </c>
      <c r="E410" s="27">
        <v>24</v>
      </c>
      <c r="F410" s="27">
        <v>24</v>
      </c>
      <c r="G410" s="29">
        <v>9.6200000000000001E-3</v>
      </c>
    </row>
    <row r="411" spans="1:7" ht="22.5" x14ac:dyDescent="0.25">
      <c r="A411" s="20" t="s">
        <v>620</v>
      </c>
      <c r="B411" s="20" t="s">
        <v>625</v>
      </c>
      <c r="C411" s="20" t="s">
        <v>219</v>
      </c>
      <c r="D411" s="20" t="s">
        <v>755</v>
      </c>
      <c r="E411" s="27">
        <v>100</v>
      </c>
      <c r="F411" s="27">
        <v>100</v>
      </c>
      <c r="G411" s="29">
        <v>7.1399999999999996E-3</v>
      </c>
    </row>
    <row r="412" spans="1:7" ht="22.5" x14ac:dyDescent="0.25">
      <c r="A412" s="20" t="s">
        <v>620</v>
      </c>
      <c r="B412" s="20" t="s">
        <v>747</v>
      </c>
      <c r="C412" s="20" t="s">
        <v>244</v>
      </c>
      <c r="D412" s="20" t="s">
        <v>755</v>
      </c>
      <c r="E412" s="27">
        <v>54</v>
      </c>
      <c r="F412" s="27">
        <v>54</v>
      </c>
      <c r="G412" s="29">
        <v>6.13E-3</v>
      </c>
    </row>
    <row r="413" spans="1:7" ht="22.5" x14ac:dyDescent="0.25">
      <c r="A413" s="20" t="s">
        <v>597</v>
      </c>
      <c r="B413" s="20" t="s">
        <v>37</v>
      </c>
      <c r="C413" s="20" t="s">
        <v>37</v>
      </c>
      <c r="D413" s="20" t="s">
        <v>755</v>
      </c>
      <c r="E413" s="27">
        <v>1</v>
      </c>
      <c r="F413" s="27">
        <v>1</v>
      </c>
      <c r="G413" s="29">
        <v>0.67084999999999995</v>
      </c>
    </row>
    <row r="414" spans="1:7" ht="22.5" x14ac:dyDescent="0.25">
      <c r="A414" s="20" t="s">
        <v>597</v>
      </c>
      <c r="B414" s="20" t="s">
        <v>106</v>
      </c>
      <c r="C414" s="20" t="s">
        <v>106</v>
      </c>
      <c r="D414" s="20" t="s">
        <v>755</v>
      </c>
      <c r="E414" s="27">
        <v>10</v>
      </c>
      <c r="F414" s="27">
        <v>10</v>
      </c>
      <c r="G414" s="22"/>
    </row>
    <row r="415" spans="1:7" ht="22.5" x14ac:dyDescent="0.25">
      <c r="A415" s="20" t="s">
        <v>597</v>
      </c>
      <c r="B415" s="20" t="s">
        <v>158</v>
      </c>
      <c r="C415" s="20" t="s">
        <v>158</v>
      </c>
      <c r="D415" s="20" t="s">
        <v>755</v>
      </c>
      <c r="E415" s="27">
        <v>1</v>
      </c>
      <c r="F415" s="27">
        <v>1</v>
      </c>
      <c r="G415" s="34">
        <v>0.4</v>
      </c>
    </row>
    <row r="416" spans="1:7" x14ac:dyDescent="0.25">
      <c r="A416" s="20" t="s">
        <v>585</v>
      </c>
      <c r="B416" s="20" t="s">
        <v>596</v>
      </c>
      <c r="C416" s="20" t="s">
        <v>596</v>
      </c>
      <c r="D416" s="20" t="s">
        <v>756</v>
      </c>
      <c r="E416" s="27">
        <v>1</v>
      </c>
      <c r="F416" s="27">
        <v>1</v>
      </c>
      <c r="G416" s="29">
        <v>13.637930000000001</v>
      </c>
    </row>
    <row r="417" spans="1:7" x14ac:dyDescent="0.25">
      <c r="A417" s="20" t="s">
        <v>585</v>
      </c>
      <c r="B417" s="20" t="s">
        <v>646</v>
      </c>
      <c r="C417" s="20" t="s">
        <v>646</v>
      </c>
      <c r="D417" s="20" t="s">
        <v>756</v>
      </c>
      <c r="E417" s="27">
        <v>1</v>
      </c>
      <c r="F417" s="27">
        <v>1</v>
      </c>
      <c r="G417" s="28">
        <v>5.0446999999999997</v>
      </c>
    </row>
    <row r="418" spans="1:7" x14ac:dyDescent="0.25">
      <c r="A418" s="20" t="s">
        <v>585</v>
      </c>
      <c r="B418" s="20" t="s">
        <v>661</v>
      </c>
      <c r="C418" s="20" t="s">
        <v>661</v>
      </c>
      <c r="D418" s="20" t="s">
        <v>756</v>
      </c>
      <c r="E418" s="27">
        <v>2</v>
      </c>
      <c r="F418" s="27">
        <v>2</v>
      </c>
      <c r="G418" s="29">
        <v>0.53744000000000003</v>
      </c>
    </row>
    <row r="419" spans="1:7" x14ac:dyDescent="0.25">
      <c r="A419" s="20" t="s">
        <v>585</v>
      </c>
      <c r="B419" s="20" t="s">
        <v>719</v>
      </c>
      <c r="C419" s="20" t="s">
        <v>719</v>
      </c>
      <c r="D419" s="20" t="s">
        <v>756</v>
      </c>
      <c r="E419" s="27">
        <v>2</v>
      </c>
      <c r="F419" s="27">
        <v>2</v>
      </c>
      <c r="G419" s="29">
        <v>12.01554</v>
      </c>
    </row>
    <row r="420" spans="1:7" x14ac:dyDescent="0.25">
      <c r="A420" s="20" t="s">
        <v>585</v>
      </c>
      <c r="B420" s="20" t="s">
        <v>729</v>
      </c>
      <c r="C420" s="20" t="s">
        <v>729</v>
      </c>
      <c r="D420" s="20" t="s">
        <v>756</v>
      </c>
      <c r="E420" s="27">
        <v>1</v>
      </c>
      <c r="F420" s="27">
        <v>1</v>
      </c>
      <c r="G420" s="29">
        <v>30.15624</v>
      </c>
    </row>
    <row r="421" spans="1:7" x14ac:dyDescent="0.25">
      <c r="A421" s="20" t="s">
        <v>585</v>
      </c>
      <c r="B421" s="20" t="s">
        <v>758</v>
      </c>
      <c r="C421" s="20" t="s">
        <v>758</v>
      </c>
      <c r="D421" s="20" t="s">
        <v>756</v>
      </c>
      <c r="E421" s="27">
        <v>1</v>
      </c>
      <c r="F421" s="27">
        <v>1</v>
      </c>
      <c r="G421" s="29">
        <v>3.4358599999999999</v>
      </c>
    </row>
    <row r="422" spans="1:7" x14ac:dyDescent="0.25">
      <c r="A422" s="20" t="s">
        <v>585</v>
      </c>
      <c r="B422" s="20" t="s">
        <v>759</v>
      </c>
      <c r="C422" s="20" t="s">
        <v>759</v>
      </c>
      <c r="D422" s="20" t="s">
        <v>756</v>
      </c>
      <c r="E422" s="27">
        <v>1</v>
      </c>
      <c r="F422" s="27">
        <v>1</v>
      </c>
      <c r="G422" s="29">
        <v>1.54573</v>
      </c>
    </row>
    <row r="423" spans="1:7" x14ac:dyDescent="0.25">
      <c r="A423" s="20" t="s">
        <v>595</v>
      </c>
      <c r="B423" s="20" t="s">
        <v>591</v>
      </c>
      <c r="C423" s="20" t="s">
        <v>591</v>
      </c>
      <c r="D423" s="20" t="s">
        <v>756</v>
      </c>
      <c r="E423" s="27">
        <v>1</v>
      </c>
      <c r="F423" s="27">
        <v>1</v>
      </c>
      <c r="G423" s="29">
        <v>8.3947900000000004</v>
      </c>
    </row>
    <row r="424" spans="1:7" x14ac:dyDescent="0.25">
      <c r="A424" s="20" t="s">
        <v>595</v>
      </c>
      <c r="B424" s="20" t="s">
        <v>649</v>
      </c>
      <c r="C424" s="20" t="s">
        <v>649</v>
      </c>
      <c r="D424" s="20" t="s">
        <v>756</v>
      </c>
      <c r="E424" s="27">
        <v>1</v>
      </c>
      <c r="F424" s="27">
        <v>1</v>
      </c>
      <c r="G424" s="29">
        <v>4.2145200000000003</v>
      </c>
    </row>
    <row r="425" spans="1:7" x14ac:dyDescent="0.25">
      <c r="A425" s="20" t="s">
        <v>595</v>
      </c>
      <c r="B425" s="20" t="s">
        <v>650</v>
      </c>
      <c r="C425" s="20" t="s">
        <v>650</v>
      </c>
      <c r="D425" s="20" t="s">
        <v>756</v>
      </c>
      <c r="E425" s="27">
        <v>2</v>
      </c>
      <c r="F425" s="27">
        <v>2</v>
      </c>
      <c r="G425" s="29">
        <v>0.17573</v>
      </c>
    </row>
    <row r="426" spans="1:7" x14ac:dyDescent="0.25">
      <c r="A426" s="20" t="s">
        <v>595</v>
      </c>
      <c r="B426" s="20" t="s">
        <v>651</v>
      </c>
      <c r="C426" s="20" t="s">
        <v>651</v>
      </c>
      <c r="D426" s="20" t="s">
        <v>756</v>
      </c>
      <c r="E426" s="27">
        <v>1</v>
      </c>
      <c r="F426" s="27">
        <v>1</v>
      </c>
      <c r="G426" s="29">
        <v>4.8840000000000001E-2</v>
      </c>
    </row>
    <row r="427" spans="1:7" x14ac:dyDescent="0.25">
      <c r="A427" s="20" t="s">
        <v>595</v>
      </c>
      <c r="B427" s="20" t="s">
        <v>686</v>
      </c>
      <c r="C427" s="20" t="s">
        <v>686</v>
      </c>
      <c r="D427" s="20" t="s">
        <v>756</v>
      </c>
      <c r="E427" s="27">
        <v>1</v>
      </c>
      <c r="F427" s="27">
        <v>1</v>
      </c>
      <c r="G427" s="29">
        <v>5.5543899999999997</v>
      </c>
    </row>
    <row r="428" spans="1:7" x14ac:dyDescent="0.25">
      <c r="A428" s="20" t="s">
        <v>595</v>
      </c>
      <c r="B428" s="20" t="s">
        <v>687</v>
      </c>
      <c r="C428" s="20" t="s">
        <v>687</v>
      </c>
      <c r="D428" s="20" t="s">
        <v>756</v>
      </c>
      <c r="E428" s="27">
        <v>1</v>
      </c>
      <c r="F428" s="27">
        <v>1</v>
      </c>
      <c r="G428" s="29">
        <v>4.8349999999999997E-2</v>
      </c>
    </row>
    <row r="429" spans="1:7" x14ac:dyDescent="0.25">
      <c r="A429" s="20" t="s">
        <v>595</v>
      </c>
      <c r="B429" s="20" t="s">
        <v>692</v>
      </c>
      <c r="C429" s="20" t="s">
        <v>692</v>
      </c>
      <c r="D429" s="20" t="s">
        <v>756</v>
      </c>
      <c r="E429" s="27">
        <v>1</v>
      </c>
      <c r="F429" s="27">
        <v>1</v>
      </c>
      <c r="G429" s="29">
        <v>20.491440000000001</v>
      </c>
    </row>
    <row r="430" spans="1:7" x14ac:dyDescent="0.25">
      <c r="A430" s="20" t="s">
        <v>595</v>
      </c>
      <c r="B430" s="20" t="s">
        <v>693</v>
      </c>
      <c r="C430" s="20" t="s">
        <v>693</v>
      </c>
      <c r="D430" s="20" t="s">
        <v>756</v>
      </c>
      <c r="E430" s="27">
        <v>1</v>
      </c>
      <c r="F430" s="27">
        <v>1</v>
      </c>
      <c r="G430" s="29">
        <v>20.491440000000001</v>
      </c>
    </row>
    <row r="431" spans="1:7" x14ac:dyDescent="0.25">
      <c r="A431" s="20" t="s">
        <v>595</v>
      </c>
      <c r="B431" s="20" t="s">
        <v>694</v>
      </c>
      <c r="C431" s="20" t="s">
        <v>694</v>
      </c>
      <c r="D431" s="20" t="s">
        <v>756</v>
      </c>
      <c r="E431" s="27">
        <v>1</v>
      </c>
      <c r="F431" s="27">
        <v>1</v>
      </c>
      <c r="G431" s="29">
        <v>4.3318700000000003</v>
      </c>
    </row>
    <row r="432" spans="1:7" x14ac:dyDescent="0.25">
      <c r="A432" s="20" t="s">
        <v>595</v>
      </c>
      <c r="B432" s="20" t="s">
        <v>713</v>
      </c>
      <c r="C432" s="20" t="s">
        <v>713</v>
      </c>
      <c r="D432" s="20" t="s">
        <v>756</v>
      </c>
      <c r="E432" s="27">
        <v>2</v>
      </c>
      <c r="F432" s="27">
        <v>2</v>
      </c>
      <c r="G432" s="31">
        <v>1.27</v>
      </c>
    </row>
    <row r="433" spans="1:7" x14ac:dyDescent="0.25">
      <c r="A433" s="20" t="s">
        <v>595</v>
      </c>
      <c r="B433" s="20" t="s">
        <v>714</v>
      </c>
      <c r="C433" s="20" t="s">
        <v>714</v>
      </c>
      <c r="D433" s="20" t="s">
        <v>756</v>
      </c>
      <c r="E433" s="27">
        <v>1</v>
      </c>
      <c r="F433" s="27">
        <v>1</v>
      </c>
      <c r="G433" s="29">
        <v>1.6226799999999999</v>
      </c>
    </row>
    <row r="434" spans="1:7" x14ac:dyDescent="0.25">
      <c r="A434" s="20" t="s">
        <v>595</v>
      </c>
      <c r="B434" s="20" t="s">
        <v>715</v>
      </c>
      <c r="C434" s="20" t="s">
        <v>715</v>
      </c>
      <c r="D434" s="20" t="s">
        <v>756</v>
      </c>
      <c r="E434" s="27">
        <v>2</v>
      </c>
      <c r="F434" s="27">
        <v>2</v>
      </c>
      <c r="G434" s="29">
        <v>1.13869</v>
      </c>
    </row>
    <row r="435" spans="1:7" x14ac:dyDescent="0.25">
      <c r="A435" s="20" t="s">
        <v>595</v>
      </c>
      <c r="B435" s="20" t="s">
        <v>716</v>
      </c>
      <c r="C435" s="20" t="s">
        <v>716</v>
      </c>
      <c r="D435" s="20" t="s">
        <v>756</v>
      </c>
      <c r="E435" s="27">
        <v>2</v>
      </c>
      <c r="F435" s="27">
        <v>2</v>
      </c>
      <c r="G435" s="29">
        <v>0.18207999999999999</v>
      </c>
    </row>
    <row r="436" spans="1:7" x14ac:dyDescent="0.25">
      <c r="A436" s="20" t="s">
        <v>595</v>
      </c>
      <c r="B436" s="20" t="s">
        <v>717</v>
      </c>
      <c r="C436" s="20" t="s">
        <v>717</v>
      </c>
      <c r="D436" s="20" t="s">
        <v>756</v>
      </c>
      <c r="E436" s="27">
        <v>1</v>
      </c>
      <c r="F436" s="27">
        <v>1</v>
      </c>
      <c r="G436" s="29">
        <v>4.9437499999999996</v>
      </c>
    </row>
    <row r="437" spans="1:7" x14ac:dyDescent="0.25">
      <c r="A437" s="20" t="s">
        <v>595</v>
      </c>
      <c r="B437" s="20" t="s">
        <v>760</v>
      </c>
      <c r="C437" s="20" t="s">
        <v>760</v>
      </c>
      <c r="D437" s="20" t="s">
        <v>756</v>
      </c>
      <c r="E437" s="27">
        <v>1</v>
      </c>
      <c r="F437" s="27">
        <v>1</v>
      </c>
      <c r="G437" s="29">
        <v>1.5533399999999999</v>
      </c>
    </row>
    <row r="438" spans="1:7" x14ac:dyDescent="0.25">
      <c r="A438" s="20" t="s">
        <v>595</v>
      </c>
      <c r="B438" s="20" t="s">
        <v>705</v>
      </c>
      <c r="C438" s="20" t="s">
        <v>705</v>
      </c>
      <c r="D438" s="20" t="s">
        <v>756</v>
      </c>
      <c r="E438" s="27">
        <v>1</v>
      </c>
      <c r="F438" s="27">
        <v>1</v>
      </c>
      <c r="G438" s="29">
        <v>7.4569999999999997E-2</v>
      </c>
    </row>
    <row r="439" spans="1:7" ht="22.5" x14ac:dyDescent="0.25">
      <c r="A439" s="20" t="s">
        <v>620</v>
      </c>
      <c r="B439" s="20" t="s">
        <v>622</v>
      </c>
      <c r="C439" s="20" t="s">
        <v>256</v>
      </c>
      <c r="D439" s="20" t="s">
        <v>756</v>
      </c>
      <c r="E439" s="27">
        <v>4</v>
      </c>
      <c r="F439" s="27">
        <v>4</v>
      </c>
      <c r="G439" s="28">
        <v>1.52E-2</v>
      </c>
    </row>
    <row r="440" spans="1:7" ht="22.5" x14ac:dyDescent="0.25">
      <c r="A440" s="20" t="s">
        <v>620</v>
      </c>
      <c r="B440" s="20" t="s">
        <v>761</v>
      </c>
      <c r="C440" s="20" t="s">
        <v>255</v>
      </c>
      <c r="D440" s="20" t="s">
        <v>756</v>
      </c>
      <c r="E440" s="27">
        <v>2</v>
      </c>
      <c r="F440" s="27">
        <v>2</v>
      </c>
      <c r="G440" s="29">
        <v>3.696E-2</v>
      </c>
    </row>
    <row r="441" spans="1:7" ht="22.5" x14ac:dyDescent="0.25">
      <c r="A441" s="20" t="s">
        <v>620</v>
      </c>
      <c r="B441" s="20" t="s">
        <v>648</v>
      </c>
      <c r="C441" s="20" t="s">
        <v>218</v>
      </c>
      <c r="D441" s="20" t="s">
        <v>756</v>
      </c>
      <c r="E441" s="27">
        <v>2</v>
      </c>
      <c r="F441" s="27">
        <v>2</v>
      </c>
      <c r="G441" s="29">
        <v>1.325E-2</v>
      </c>
    </row>
    <row r="442" spans="1:7" ht="22.5" x14ac:dyDescent="0.25">
      <c r="A442" s="20" t="s">
        <v>620</v>
      </c>
      <c r="B442" s="20" t="s">
        <v>671</v>
      </c>
      <c r="C442" s="20" t="s">
        <v>223</v>
      </c>
      <c r="D442" s="20" t="s">
        <v>756</v>
      </c>
      <c r="E442" s="27">
        <v>12</v>
      </c>
      <c r="F442" s="27">
        <v>12</v>
      </c>
      <c r="G442" s="28">
        <v>1.5699999999999999E-2</v>
      </c>
    </row>
    <row r="443" spans="1:7" ht="22.5" x14ac:dyDescent="0.25">
      <c r="A443" s="20" t="s">
        <v>620</v>
      </c>
      <c r="B443" s="20" t="s">
        <v>732</v>
      </c>
      <c r="C443" s="20" t="s">
        <v>234</v>
      </c>
      <c r="D443" s="20" t="s">
        <v>756</v>
      </c>
      <c r="E443" s="27">
        <v>4</v>
      </c>
      <c r="F443" s="27">
        <v>4</v>
      </c>
      <c r="G443" s="29">
        <v>1.7350000000000001E-2</v>
      </c>
    </row>
    <row r="444" spans="1:7" ht="22.5" x14ac:dyDescent="0.25">
      <c r="A444" s="20" t="s">
        <v>620</v>
      </c>
      <c r="B444" s="20" t="s">
        <v>762</v>
      </c>
      <c r="C444" s="20" t="s">
        <v>251</v>
      </c>
      <c r="D444" s="20" t="s">
        <v>756</v>
      </c>
      <c r="E444" s="27">
        <v>4</v>
      </c>
      <c r="F444" s="27">
        <v>4</v>
      </c>
      <c r="G444" s="29">
        <v>1.9089999999999999E-2</v>
      </c>
    </row>
    <row r="445" spans="1:7" ht="22.5" x14ac:dyDescent="0.25">
      <c r="A445" s="20" t="s">
        <v>620</v>
      </c>
      <c r="B445" s="20" t="s">
        <v>742</v>
      </c>
      <c r="C445" s="20" t="s">
        <v>242</v>
      </c>
      <c r="D445" s="20" t="s">
        <v>756</v>
      </c>
      <c r="E445" s="27">
        <v>12</v>
      </c>
      <c r="F445" s="27">
        <v>12</v>
      </c>
      <c r="G445" s="28">
        <v>2.1299999999999999E-2</v>
      </c>
    </row>
    <row r="446" spans="1:7" ht="22.5" x14ac:dyDescent="0.25">
      <c r="A446" s="20" t="s">
        <v>620</v>
      </c>
      <c r="B446" s="20" t="s">
        <v>52</v>
      </c>
      <c r="C446" s="20" t="s">
        <v>52</v>
      </c>
      <c r="D446" s="20" t="s">
        <v>756</v>
      </c>
      <c r="E446" s="27">
        <v>2</v>
      </c>
      <c r="F446" s="27">
        <v>2</v>
      </c>
      <c r="G446" s="29">
        <v>6.4000000000000005E-4</v>
      </c>
    </row>
    <row r="447" spans="1:7" ht="22.5" x14ac:dyDescent="0.25">
      <c r="A447" s="20" t="s">
        <v>620</v>
      </c>
      <c r="B447" s="20" t="s">
        <v>54</v>
      </c>
      <c r="C447" s="20" t="s">
        <v>54</v>
      </c>
      <c r="D447" s="20" t="s">
        <v>756</v>
      </c>
      <c r="E447" s="27">
        <v>2</v>
      </c>
      <c r="F447" s="27">
        <v>2</v>
      </c>
      <c r="G447" s="29">
        <v>2.2499999999999998E-3</v>
      </c>
    </row>
    <row r="448" spans="1:7" ht="22.5" x14ac:dyDescent="0.25">
      <c r="A448" s="20" t="s">
        <v>620</v>
      </c>
      <c r="B448" s="20" t="s">
        <v>56</v>
      </c>
      <c r="C448" s="20" t="s">
        <v>56</v>
      </c>
      <c r="D448" s="20" t="s">
        <v>756</v>
      </c>
      <c r="E448" s="27">
        <v>6</v>
      </c>
      <c r="F448" s="27">
        <v>6</v>
      </c>
      <c r="G448" s="29">
        <v>9.6200000000000001E-3</v>
      </c>
    </row>
    <row r="449" spans="1:7" ht="22.5" x14ac:dyDescent="0.25">
      <c r="A449" s="20" t="s">
        <v>620</v>
      </c>
      <c r="B449" s="20" t="s">
        <v>58</v>
      </c>
      <c r="C449" s="20" t="s">
        <v>58</v>
      </c>
      <c r="D449" s="20" t="s">
        <v>756</v>
      </c>
      <c r="E449" s="27">
        <v>12</v>
      </c>
      <c r="F449" s="27">
        <v>12</v>
      </c>
      <c r="G449" s="29">
        <v>1.413E-2</v>
      </c>
    </row>
    <row r="450" spans="1:7" ht="22.5" x14ac:dyDescent="0.25">
      <c r="A450" s="20" t="s">
        <v>620</v>
      </c>
      <c r="B450" s="20" t="s">
        <v>763</v>
      </c>
      <c r="C450" s="20" t="s">
        <v>254</v>
      </c>
      <c r="D450" s="20" t="s">
        <v>756</v>
      </c>
      <c r="E450" s="27">
        <v>2</v>
      </c>
      <c r="F450" s="27">
        <v>2</v>
      </c>
      <c r="G450" s="28">
        <v>1.09E-2</v>
      </c>
    </row>
    <row r="451" spans="1:7" ht="22.5" x14ac:dyDescent="0.25">
      <c r="A451" s="20" t="s">
        <v>620</v>
      </c>
      <c r="B451" s="20" t="s">
        <v>745</v>
      </c>
      <c r="C451" s="20" t="s">
        <v>246</v>
      </c>
      <c r="D451" s="20" t="s">
        <v>756</v>
      </c>
      <c r="E451" s="27">
        <v>4</v>
      </c>
      <c r="F451" s="27">
        <v>4</v>
      </c>
      <c r="G451" s="29">
        <v>1.022E-2</v>
      </c>
    </row>
    <row r="452" spans="1:7" ht="22.5" x14ac:dyDescent="0.25">
      <c r="A452" s="20" t="s">
        <v>620</v>
      </c>
      <c r="B452" s="20" t="s">
        <v>764</v>
      </c>
      <c r="C452" s="20" t="s">
        <v>253</v>
      </c>
      <c r="D452" s="20" t="s">
        <v>756</v>
      </c>
      <c r="E452" s="27">
        <v>2</v>
      </c>
      <c r="F452" s="27">
        <v>2</v>
      </c>
      <c r="G452" s="29">
        <v>3.8000000000000002E-4</v>
      </c>
    </row>
    <row r="453" spans="1:7" ht="22.5" x14ac:dyDescent="0.25">
      <c r="A453" s="20" t="s">
        <v>620</v>
      </c>
      <c r="B453" s="20" t="s">
        <v>765</v>
      </c>
      <c r="C453" s="20" t="s">
        <v>252</v>
      </c>
      <c r="D453" s="20" t="s">
        <v>756</v>
      </c>
      <c r="E453" s="27">
        <v>2</v>
      </c>
      <c r="F453" s="27">
        <v>2</v>
      </c>
      <c r="G453" s="29">
        <v>1.4400000000000001E-3</v>
      </c>
    </row>
    <row r="454" spans="1:7" ht="22.5" x14ac:dyDescent="0.25">
      <c r="A454" s="20" t="s">
        <v>620</v>
      </c>
      <c r="B454" s="20" t="s">
        <v>709</v>
      </c>
      <c r="C454" s="20" t="s">
        <v>227</v>
      </c>
      <c r="D454" s="20" t="s">
        <v>756</v>
      </c>
      <c r="E454" s="27">
        <v>4</v>
      </c>
      <c r="F454" s="27">
        <v>4</v>
      </c>
      <c r="G454" s="28">
        <v>1.49E-2</v>
      </c>
    </row>
    <row r="455" spans="1:7" ht="22.5" x14ac:dyDescent="0.25">
      <c r="A455" s="20" t="s">
        <v>620</v>
      </c>
      <c r="B455" s="20" t="s">
        <v>746</v>
      </c>
      <c r="C455" s="20" t="s">
        <v>245</v>
      </c>
      <c r="D455" s="20" t="s">
        <v>756</v>
      </c>
      <c r="E455" s="27">
        <v>4</v>
      </c>
      <c r="F455" s="27">
        <v>4</v>
      </c>
      <c r="G455" s="29">
        <v>5.5500000000000002E-3</v>
      </c>
    </row>
    <row r="456" spans="1:7" ht="22.5" x14ac:dyDescent="0.25">
      <c r="A456" s="20" t="s">
        <v>620</v>
      </c>
      <c r="B456" s="20" t="s">
        <v>766</v>
      </c>
      <c r="C456" s="20" t="s">
        <v>250</v>
      </c>
      <c r="D456" s="20" t="s">
        <v>756</v>
      </c>
      <c r="E456" s="27">
        <v>4</v>
      </c>
      <c r="F456" s="27">
        <v>4</v>
      </c>
      <c r="G456" s="28">
        <v>1.1299999999999999E-2</v>
      </c>
    </row>
    <row r="457" spans="1:7" ht="22.5" x14ac:dyDescent="0.25">
      <c r="A457" s="20" t="s">
        <v>620</v>
      </c>
      <c r="B457" s="20" t="s">
        <v>625</v>
      </c>
      <c r="C457" s="20" t="s">
        <v>219</v>
      </c>
      <c r="D457" s="20" t="s">
        <v>756</v>
      </c>
      <c r="E457" s="27">
        <v>44</v>
      </c>
      <c r="F457" s="27">
        <v>44</v>
      </c>
      <c r="G457" s="29">
        <v>7.1399999999999996E-3</v>
      </c>
    </row>
    <row r="458" spans="1:7" ht="22.5" x14ac:dyDescent="0.25">
      <c r="A458" s="20" t="s">
        <v>620</v>
      </c>
      <c r="B458" s="20" t="s">
        <v>767</v>
      </c>
      <c r="C458" s="20" t="s">
        <v>249</v>
      </c>
      <c r="D458" s="20" t="s">
        <v>756</v>
      </c>
      <c r="E458" s="27">
        <v>2</v>
      </c>
      <c r="F458" s="27">
        <v>2</v>
      </c>
      <c r="G458" s="29">
        <v>2.0100000000000001E-3</v>
      </c>
    </row>
    <row r="459" spans="1:7" ht="22.5" x14ac:dyDescent="0.25">
      <c r="A459" s="20" t="s">
        <v>620</v>
      </c>
      <c r="B459" s="20" t="s">
        <v>710</v>
      </c>
      <c r="C459" s="20" t="s">
        <v>228</v>
      </c>
      <c r="D459" s="20" t="s">
        <v>756</v>
      </c>
      <c r="E459" s="27">
        <v>8</v>
      </c>
      <c r="F459" s="27">
        <v>8</v>
      </c>
      <c r="G459" s="29">
        <v>1.0300000000000001E-3</v>
      </c>
    </row>
    <row r="460" spans="1:7" ht="22.5" x14ac:dyDescent="0.25">
      <c r="A460" s="20" t="s">
        <v>620</v>
      </c>
      <c r="B460" s="20" t="s">
        <v>768</v>
      </c>
      <c r="C460" s="20" t="s">
        <v>248</v>
      </c>
      <c r="D460" s="20" t="s">
        <v>756</v>
      </c>
      <c r="E460" s="27">
        <v>4</v>
      </c>
      <c r="F460" s="27">
        <v>4</v>
      </c>
      <c r="G460" s="29">
        <v>3.4399999999999999E-3</v>
      </c>
    </row>
    <row r="461" spans="1:7" ht="22.5" x14ac:dyDescent="0.25">
      <c r="A461" s="20" t="s">
        <v>620</v>
      </c>
      <c r="B461" s="20" t="s">
        <v>737</v>
      </c>
      <c r="C461" s="20" t="s">
        <v>240</v>
      </c>
      <c r="D461" s="20" t="s">
        <v>756</v>
      </c>
      <c r="E461" s="27">
        <v>8</v>
      </c>
      <c r="F461" s="27">
        <v>8</v>
      </c>
      <c r="G461" s="29">
        <v>1.73E-3</v>
      </c>
    </row>
    <row r="462" spans="1:7" x14ac:dyDescent="0.25">
      <c r="A462" s="20" t="s">
        <v>597</v>
      </c>
      <c r="B462" s="20" t="s">
        <v>19</v>
      </c>
      <c r="C462" s="20" t="s">
        <v>19</v>
      </c>
      <c r="D462" s="20" t="s">
        <v>756</v>
      </c>
      <c r="E462" s="27">
        <v>1</v>
      </c>
      <c r="F462" s="27">
        <v>1</v>
      </c>
      <c r="G462" s="29">
        <v>0.36473</v>
      </c>
    </row>
    <row r="463" spans="1:7" x14ac:dyDescent="0.25">
      <c r="A463" s="20" t="s">
        <v>597</v>
      </c>
      <c r="B463" s="20" t="s">
        <v>20</v>
      </c>
      <c r="C463" s="20" t="s">
        <v>20</v>
      </c>
      <c r="D463" s="20" t="s">
        <v>756</v>
      </c>
      <c r="E463" s="27">
        <v>1</v>
      </c>
      <c r="F463" s="27">
        <v>1</v>
      </c>
      <c r="G463" s="29">
        <v>0.35725000000000001</v>
      </c>
    </row>
    <row r="464" spans="1:7" x14ac:dyDescent="0.25">
      <c r="A464" s="20" t="s">
        <v>597</v>
      </c>
      <c r="B464" s="20" t="s">
        <v>25</v>
      </c>
      <c r="C464" s="20" t="s">
        <v>25</v>
      </c>
      <c r="D464" s="20" t="s">
        <v>756</v>
      </c>
      <c r="E464" s="27">
        <v>1</v>
      </c>
      <c r="F464" s="27">
        <v>1</v>
      </c>
      <c r="G464" s="29">
        <v>1.20261</v>
      </c>
    </row>
    <row r="465" spans="1:7" x14ac:dyDescent="0.25">
      <c r="A465" s="20" t="s">
        <v>597</v>
      </c>
      <c r="B465" s="20" t="s">
        <v>26</v>
      </c>
      <c r="C465" s="20" t="s">
        <v>26</v>
      </c>
      <c r="D465" s="20" t="s">
        <v>756</v>
      </c>
      <c r="E465" s="27">
        <v>1</v>
      </c>
      <c r="F465" s="27">
        <v>1</v>
      </c>
      <c r="G465" s="29">
        <v>1.36381</v>
      </c>
    </row>
    <row r="466" spans="1:7" x14ac:dyDescent="0.25">
      <c r="A466" s="20" t="s">
        <v>597</v>
      </c>
      <c r="B466" s="20" t="s">
        <v>35</v>
      </c>
      <c r="C466" s="20" t="s">
        <v>35</v>
      </c>
      <c r="D466" s="20" t="s">
        <v>756</v>
      </c>
      <c r="E466" s="27">
        <v>1</v>
      </c>
      <c r="F466" s="27">
        <v>1</v>
      </c>
      <c r="G466" s="35">
        <v>0.123</v>
      </c>
    </row>
    <row r="467" spans="1:7" x14ac:dyDescent="0.25">
      <c r="A467" s="20" t="s">
        <v>597</v>
      </c>
      <c r="B467" s="20" t="s">
        <v>36</v>
      </c>
      <c r="C467" s="20" t="s">
        <v>36</v>
      </c>
      <c r="D467" s="20" t="s">
        <v>756</v>
      </c>
      <c r="E467" s="27">
        <v>1</v>
      </c>
      <c r="F467" s="27">
        <v>1</v>
      </c>
      <c r="G467" s="29">
        <v>54.619109999999999</v>
      </c>
    </row>
    <row r="468" spans="1:7" x14ac:dyDescent="0.25">
      <c r="A468" s="20" t="s">
        <v>597</v>
      </c>
      <c r="B468" s="20" t="s">
        <v>43</v>
      </c>
      <c r="C468" s="20" t="s">
        <v>43</v>
      </c>
      <c r="D468" s="20" t="s">
        <v>756</v>
      </c>
      <c r="E468" s="27">
        <v>1</v>
      </c>
      <c r="F468" s="27">
        <v>1</v>
      </c>
      <c r="G468" s="34">
        <v>19.7</v>
      </c>
    </row>
    <row r="469" spans="1:7" x14ac:dyDescent="0.25">
      <c r="A469" s="20" t="s">
        <v>588</v>
      </c>
      <c r="B469" s="20" t="s">
        <v>17</v>
      </c>
      <c r="C469" s="20" t="s">
        <v>17</v>
      </c>
      <c r="D469" s="20" t="s">
        <v>756</v>
      </c>
      <c r="E469" s="24">
        <v>2E-3</v>
      </c>
      <c r="F469" s="24">
        <v>2E-3</v>
      </c>
      <c r="G469" s="22"/>
    </row>
    <row r="470" spans="1:7" x14ac:dyDescent="0.25">
      <c r="A470" s="20" t="s">
        <v>588</v>
      </c>
      <c r="B470" s="20" t="s">
        <v>64</v>
      </c>
      <c r="C470" s="20" t="s">
        <v>64</v>
      </c>
      <c r="D470" s="20" t="s">
        <v>756</v>
      </c>
      <c r="E470" s="25">
        <v>0.05</v>
      </c>
      <c r="F470" s="25">
        <v>0.05</v>
      </c>
      <c r="G470" s="22"/>
    </row>
    <row r="471" spans="1:7" x14ac:dyDescent="0.25">
      <c r="A471" s="20" t="s">
        <v>588</v>
      </c>
      <c r="B471" s="20" t="s">
        <v>133</v>
      </c>
      <c r="C471" s="20" t="s">
        <v>133</v>
      </c>
      <c r="D471" s="20" t="s">
        <v>756</v>
      </c>
      <c r="E471" s="33">
        <v>0.1</v>
      </c>
      <c r="F471" s="33">
        <v>0.1</v>
      </c>
      <c r="G471" s="22"/>
    </row>
    <row r="472" spans="1:7" x14ac:dyDescent="0.25">
      <c r="A472" s="20" t="s">
        <v>588</v>
      </c>
      <c r="B472" s="20" t="s">
        <v>157</v>
      </c>
      <c r="C472" s="20" t="s">
        <v>157</v>
      </c>
      <c r="D472" s="20" t="s">
        <v>756</v>
      </c>
      <c r="E472" s="25">
        <v>0.03</v>
      </c>
      <c r="F472" s="25">
        <v>0.03</v>
      </c>
      <c r="G472" s="22"/>
    </row>
    <row r="473" spans="1:7" x14ac:dyDescent="0.25">
      <c r="A473" s="20" t="s">
        <v>588</v>
      </c>
      <c r="B473" s="20" t="s">
        <v>162</v>
      </c>
      <c r="C473" s="20" t="s">
        <v>162</v>
      </c>
      <c r="D473" s="20" t="s">
        <v>756</v>
      </c>
      <c r="E473" s="25">
        <v>0.02</v>
      </c>
      <c r="F473" s="25">
        <v>0.02</v>
      </c>
      <c r="G473" s="22"/>
    </row>
    <row r="474" spans="1:7" x14ac:dyDescent="0.25">
      <c r="A474" s="20" t="s">
        <v>585</v>
      </c>
      <c r="B474" s="20" t="s">
        <v>661</v>
      </c>
      <c r="C474" s="20" t="s">
        <v>661</v>
      </c>
      <c r="D474" s="20" t="s">
        <v>757</v>
      </c>
      <c r="E474" s="27">
        <v>5</v>
      </c>
      <c r="F474" s="27">
        <v>15</v>
      </c>
      <c r="G474" s="29">
        <v>0.53744000000000003</v>
      </c>
    </row>
    <row r="475" spans="1:7" x14ac:dyDescent="0.25">
      <c r="A475" s="20" t="s">
        <v>595</v>
      </c>
      <c r="B475" s="20" t="s">
        <v>659</v>
      </c>
      <c r="C475" s="20" t="s">
        <v>659</v>
      </c>
      <c r="D475" s="20" t="s">
        <v>757</v>
      </c>
      <c r="E475" s="27">
        <v>1</v>
      </c>
      <c r="F475" s="27">
        <v>3</v>
      </c>
      <c r="G475" s="29">
        <v>1.0603899999999999</v>
      </c>
    </row>
    <row r="476" spans="1:7" x14ac:dyDescent="0.25">
      <c r="A476" s="20" t="s">
        <v>595</v>
      </c>
      <c r="B476" s="20" t="s">
        <v>713</v>
      </c>
      <c r="C476" s="20" t="s">
        <v>713</v>
      </c>
      <c r="D476" s="20" t="s">
        <v>757</v>
      </c>
      <c r="E476" s="27">
        <v>2</v>
      </c>
      <c r="F476" s="27">
        <v>6</v>
      </c>
      <c r="G476" s="31">
        <v>1.27</v>
      </c>
    </row>
    <row r="477" spans="1:7" x14ac:dyDescent="0.25">
      <c r="A477" s="20" t="s">
        <v>595</v>
      </c>
      <c r="B477" s="20" t="s">
        <v>769</v>
      </c>
      <c r="C477" s="20" t="s">
        <v>769</v>
      </c>
      <c r="D477" s="20" t="s">
        <v>757</v>
      </c>
      <c r="E477" s="27">
        <v>2</v>
      </c>
      <c r="F477" s="27">
        <v>6</v>
      </c>
      <c r="G477" s="29">
        <v>23.25544</v>
      </c>
    </row>
    <row r="478" spans="1:7" x14ac:dyDescent="0.25">
      <c r="A478" s="20" t="s">
        <v>595</v>
      </c>
      <c r="B478" s="20" t="s">
        <v>770</v>
      </c>
      <c r="C478" s="20" t="s">
        <v>770</v>
      </c>
      <c r="D478" s="20" t="s">
        <v>757</v>
      </c>
      <c r="E478" s="27">
        <v>1</v>
      </c>
      <c r="F478" s="27">
        <v>3</v>
      </c>
      <c r="G478" s="29">
        <v>22.906330000000001</v>
      </c>
    </row>
    <row r="479" spans="1:7" x14ac:dyDescent="0.25">
      <c r="A479" s="20" t="s">
        <v>595</v>
      </c>
      <c r="B479" s="20" t="s">
        <v>771</v>
      </c>
      <c r="C479" s="20" t="s">
        <v>771</v>
      </c>
      <c r="D479" s="20" t="s">
        <v>757</v>
      </c>
      <c r="E479" s="27">
        <v>1</v>
      </c>
      <c r="F479" s="27">
        <v>3</v>
      </c>
      <c r="G479" s="29">
        <v>8.5863399999999999</v>
      </c>
    </row>
    <row r="480" spans="1:7" ht="22.5" x14ac:dyDescent="0.25">
      <c r="A480" s="20" t="s">
        <v>620</v>
      </c>
      <c r="B480" s="20" t="s">
        <v>671</v>
      </c>
      <c r="C480" s="20" t="s">
        <v>223</v>
      </c>
      <c r="D480" s="20" t="s">
        <v>757</v>
      </c>
      <c r="E480" s="27">
        <v>36</v>
      </c>
      <c r="F480" s="27">
        <v>108</v>
      </c>
      <c r="G480" s="28">
        <v>1.5699999999999999E-2</v>
      </c>
    </row>
    <row r="481" spans="1:7" ht="22.5" x14ac:dyDescent="0.25">
      <c r="A481" s="20" t="s">
        <v>620</v>
      </c>
      <c r="B481" s="20" t="s">
        <v>56</v>
      </c>
      <c r="C481" s="20" t="s">
        <v>56</v>
      </c>
      <c r="D481" s="20" t="s">
        <v>757</v>
      </c>
      <c r="E481" s="27">
        <v>6</v>
      </c>
      <c r="F481" s="27">
        <v>18</v>
      </c>
      <c r="G481" s="29">
        <v>9.6200000000000001E-3</v>
      </c>
    </row>
    <row r="482" spans="1:7" ht="22.5" x14ac:dyDescent="0.25">
      <c r="A482" s="20" t="s">
        <v>620</v>
      </c>
      <c r="B482" s="20" t="s">
        <v>625</v>
      </c>
      <c r="C482" s="20" t="s">
        <v>219</v>
      </c>
      <c r="D482" s="20" t="s">
        <v>757</v>
      </c>
      <c r="E482" s="27">
        <v>32</v>
      </c>
      <c r="F482" s="27">
        <v>96</v>
      </c>
      <c r="G482" s="29">
        <v>7.1399999999999996E-3</v>
      </c>
    </row>
    <row r="483" spans="1:7" ht="22.5" x14ac:dyDescent="0.25">
      <c r="A483" s="20" t="s">
        <v>620</v>
      </c>
      <c r="B483" s="20" t="s">
        <v>710</v>
      </c>
      <c r="C483" s="20" t="s">
        <v>228</v>
      </c>
      <c r="D483" s="20" t="s">
        <v>757</v>
      </c>
      <c r="E483" s="27">
        <v>10</v>
      </c>
      <c r="F483" s="27">
        <v>30</v>
      </c>
      <c r="G483" s="29">
        <v>1.0300000000000001E-3</v>
      </c>
    </row>
    <row r="484" spans="1:7" x14ac:dyDescent="0.25">
      <c r="A484" s="20" t="s">
        <v>588</v>
      </c>
      <c r="B484" s="20" t="s">
        <v>131</v>
      </c>
      <c r="C484" s="20" t="s">
        <v>131</v>
      </c>
      <c r="D484" s="20" t="s">
        <v>769</v>
      </c>
      <c r="E484" s="26">
        <v>27.903639999999999</v>
      </c>
      <c r="F484" s="26">
        <v>167.42184</v>
      </c>
      <c r="G484" s="22"/>
    </row>
    <row r="485" spans="1:7" x14ac:dyDescent="0.25">
      <c r="A485" s="20" t="s">
        <v>588</v>
      </c>
      <c r="B485" s="20" t="s">
        <v>66</v>
      </c>
      <c r="C485" s="20" t="s">
        <v>66</v>
      </c>
      <c r="D485" s="20" t="s">
        <v>770</v>
      </c>
      <c r="E485" s="24">
        <v>0.19600000000000001</v>
      </c>
      <c r="F485" s="24">
        <v>0.58799999999999997</v>
      </c>
      <c r="G485" s="22"/>
    </row>
    <row r="486" spans="1:7" x14ac:dyDescent="0.25">
      <c r="A486" s="20" t="s">
        <v>588</v>
      </c>
      <c r="B486" s="20" t="s">
        <v>116</v>
      </c>
      <c r="C486" s="20" t="s">
        <v>116</v>
      </c>
      <c r="D486" s="20" t="s">
        <v>770</v>
      </c>
      <c r="E486" s="26">
        <v>27.570460000000001</v>
      </c>
      <c r="F486" s="26">
        <v>82.711380000000005</v>
      </c>
      <c r="G486" s="22"/>
    </row>
    <row r="487" spans="1:7" x14ac:dyDescent="0.25">
      <c r="A487" s="20" t="s">
        <v>588</v>
      </c>
      <c r="B487" s="20" t="s">
        <v>157</v>
      </c>
      <c r="C487" s="20" t="s">
        <v>157</v>
      </c>
      <c r="D487" s="20" t="s">
        <v>770</v>
      </c>
      <c r="E487" s="24">
        <v>0.16300000000000001</v>
      </c>
      <c r="F487" s="24">
        <v>0.48899999999999999</v>
      </c>
      <c r="G487" s="22"/>
    </row>
    <row r="488" spans="1:7" x14ac:dyDescent="0.25">
      <c r="A488" s="20" t="s">
        <v>588</v>
      </c>
      <c r="B488" s="20" t="s">
        <v>128</v>
      </c>
      <c r="C488" s="20" t="s">
        <v>128</v>
      </c>
      <c r="D488" s="20" t="s">
        <v>771</v>
      </c>
      <c r="E488" s="26">
        <v>10.334680000000001</v>
      </c>
      <c r="F488" s="26">
        <v>31.00404</v>
      </c>
      <c r="G488" s="22"/>
    </row>
    <row r="489" spans="1:7" x14ac:dyDescent="0.25">
      <c r="A489" s="20" t="s">
        <v>588</v>
      </c>
      <c r="B489" s="20" t="s">
        <v>44</v>
      </c>
      <c r="C489" s="20" t="s">
        <v>44</v>
      </c>
      <c r="D489" s="20" t="s">
        <v>760</v>
      </c>
      <c r="E489" s="25">
        <v>0.03</v>
      </c>
      <c r="F489" s="25">
        <v>0.03</v>
      </c>
      <c r="G489" s="22"/>
    </row>
    <row r="490" spans="1:7" x14ac:dyDescent="0.25">
      <c r="A490" s="20" t="s">
        <v>588</v>
      </c>
      <c r="B490" s="20" t="s">
        <v>118</v>
      </c>
      <c r="C490" s="20" t="s">
        <v>118</v>
      </c>
      <c r="D490" s="20" t="s">
        <v>760</v>
      </c>
      <c r="E490" s="24">
        <v>1.879</v>
      </c>
      <c r="F490" s="24">
        <v>1.879</v>
      </c>
      <c r="G490" s="22"/>
    </row>
    <row r="491" spans="1:7" x14ac:dyDescent="0.25">
      <c r="A491" s="20" t="s">
        <v>588</v>
      </c>
      <c r="B491" s="20" t="s">
        <v>139</v>
      </c>
      <c r="C491" s="20" t="s">
        <v>139</v>
      </c>
      <c r="D491" s="20" t="s">
        <v>760</v>
      </c>
      <c r="E491" s="24">
        <v>3.0000000000000001E-3</v>
      </c>
      <c r="F491" s="24">
        <v>3.0000000000000001E-3</v>
      </c>
      <c r="G491" s="22"/>
    </row>
    <row r="492" spans="1:7" x14ac:dyDescent="0.25">
      <c r="A492" s="20" t="s">
        <v>588</v>
      </c>
      <c r="B492" s="20" t="s">
        <v>156</v>
      </c>
      <c r="C492" s="20" t="s">
        <v>156</v>
      </c>
      <c r="D492" s="20" t="s">
        <v>760</v>
      </c>
      <c r="E492" s="24">
        <v>8.9999999999999993E-3</v>
      </c>
      <c r="F492" s="24">
        <v>8.9999999999999993E-3</v>
      </c>
      <c r="G492" s="22"/>
    </row>
    <row r="493" spans="1:7" x14ac:dyDescent="0.25">
      <c r="A493" s="20" t="s">
        <v>588</v>
      </c>
      <c r="B493" s="20" t="s">
        <v>202</v>
      </c>
      <c r="C493" s="20" t="s">
        <v>202</v>
      </c>
      <c r="D493" s="20" t="s">
        <v>760</v>
      </c>
      <c r="E493" s="24">
        <v>2.1000000000000001E-2</v>
      </c>
      <c r="F493" s="24">
        <v>2.1000000000000001E-2</v>
      </c>
      <c r="G493" s="22"/>
    </row>
    <row r="494" spans="1:7" x14ac:dyDescent="0.25">
      <c r="A494" s="20" t="s">
        <v>597</v>
      </c>
      <c r="B494" s="20" t="s">
        <v>423</v>
      </c>
      <c r="C494" s="20" t="s">
        <v>423</v>
      </c>
      <c r="D494" s="20" t="s">
        <v>772</v>
      </c>
      <c r="E494" s="27">
        <v>6</v>
      </c>
      <c r="F494" s="27">
        <v>6</v>
      </c>
      <c r="G494" s="22"/>
    </row>
    <row r="495" spans="1:7" x14ac:dyDescent="0.25">
      <c r="A495" s="20" t="s">
        <v>597</v>
      </c>
      <c r="B495" s="20" t="s">
        <v>476</v>
      </c>
      <c r="C495" s="20" t="s">
        <v>476</v>
      </c>
      <c r="D495" s="20" t="s">
        <v>772</v>
      </c>
      <c r="E495" s="27">
        <v>8</v>
      </c>
      <c r="F495" s="27">
        <v>8</v>
      </c>
      <c r="G495" s="22"/>
    </row>
    <row r="496" spans="1:7" x14ac:dyDescent="0.25">
      <c r="A496" s="20" t="s">
        <v>597</v>
      </c>
      <c r="B496" s="20" t="s">
        <v>477</v>
      </c>
      <c r="C496" s="20" t="s">
        <v>477</v>
      </c>
      <c r="D496" s="20" t="s">
        <v>772</v>
      </c>
      <c r="E496" s="27">
        <v>8</v>
      </c>
      <c r="F496" s="27">
        <v>8</v>
      </c>
      <c r="G496" s="22"/>
    </row>
    <row r="497" spans="1:7" x14ac:dyDescent="0.25">
      <c r="A497" s="20" t="s">
        <v>597</v>
      </c>
      <c r="B497" s="20" t="s">
        <v>479</v>
      </c>
      <c r="C497" s="20" t="s">
        <v>479</v>
      </c>
      <c r="D497" s="20" t="s">
        <v>772</v>
      </c>
      <c r="E497" s="27">
        <v>8</v>
      </c>
      <c r="F497" s="27">
        <v>8</v>
      </c>
      <c r="G497" s="22"/>
    </row>
    <row r="498" spans="1:7" x14ac:dyDescent="0.25">
      <c r="A498" s="20" t="s">
        <v>597</v>
      </c>
      <c r="B498" s="20" t="s">
        <v>481</v>
      </c>
      <c r="C498" s="20" t="s">
        <v>481</v>
      </c>
      <c r="D498" s="20" t="s">
        <v>772</v>
      </c>
      <c r="E498" s="27">
        <v>728</v>
      </c>
      <c r="F498" s="27">
        <v>728</v>
      </c>
      <c r="G498" s="22"/>
    </row>
    <row r="499" spans="1:7" x14ac:dyDescent="0.25">
      <c r="A499" s="20" t="s">
        <v>597</v>
      </c>
      <c r="B499" s="20" t="s">
        <v>482</v>
      </c>
      <c r="C499" s="20" t="s">
        <v>482</v>
      </c>
      <c r="D499" s="20" t="s">
        <v>772</v>
      </c>
      <c r="E499" s="27">
        <v>8</v>
      </c>
      <c r="F499" s="27">
        <v>8</v>
      </c>
      <c r="G499" s="22"/>
    </row>
    <row r="500" spans="1:7" ht="22.5" x14ac:dyDescent="0.25">
      <c r="A500" s="20" t="s">
        <v>620</v>
      </c>
      <c r="B500" s="20" t="s">
        <v>502</v>
      </c>
      <c r="C500" s="20" t="s">
        <v>502</v>
      </c>
      <c r="D500" s="20" t="s">
        <v>773</v>
      </c>
      <c r="E500" s="27">
        <v>2</v>
      </c>
      <c r="F500" s="27">
        <v>16</v>
      </c>
      <c r="G500" s="29">
        <v>2.1299999999999999E-3</v>
      </c>
    </row>
    <row r="501" spans="1:7" ht="22.5" x14ac:dyDescent="0.25">
      <c r="A501" s="20" t="s">
        <v>597</v>
      </c>
      <c r="B501" s="20" t="s">
        <v>370</v>
      </c>
      <c r="C501" s="20" t="s">
        <v>370</v>
      </c>
      <c r="D501" s="20" t="s">
        <v>773</v>
      </c>
      <c r="E501" s="27">
        <v>2</v>
      </c>
      <c r="F501" s="27">
        <v>16</v>
      </c>
      <c r="G501" s="29">
        <v>6.9849999999999995E-2</v>
      </c>
    </row>
    <row r="502" spans="1:7" ht="22.5" x14ac:dyDescent="0.25">
      <c r="A502" s="20" t="s">
        <v>597</v>
      </c>
      <c r="B502" s="20" t="s">
        <v>397</v>
      </c>
      <c r="C502" s="20" t="s">
        <v>397</v>
      </c>
      <c r="D502" s="20" t="s">
        <v>773</v>
      </c>
      <c r="E502" s="33">
        <v>2.5</v>
      </c>
      <c r="F502" s="27">
        <v>20</v>
      </c>
      <c r="G502" s="22"/>
    </row>
    <row r="503" spans="1:7" ht="22.5" x14ac:dyDescent="0.25">
      <c r="A503" s="20" t="s">
        <v>597</v>
      </c>
      <c r="B503" s="20" t="s">
        <v>398</v>
      </c>
      <c r="C503" s="20" t="s">
        <v>398</v>
      </c>
      <c r="D503" s="20" t="s">
        <v>773</v>
      </c>
      <c r="E503" s="33">
        <v>2.5</v>
      </c>
      <c r="F503" s="27">
        <v>20</v>
      </c>
      <c r="G503" s="22"/>
    </row>
    <row r="504" spans="1:7" ht="22.5" x14ac:dyDescent="0.25">
      <c r="A504" s="20" t="s">
        <v>597</v>
      </c>
      <c r="B504" s="20" t="s">
        <v>403</v>
      </c>
      <c r="C504" s="20" t="s">
        <v>403</v>
      </c>
      <c r="D504" s="20" t="s">
        <v>773</v>
      </c>
      <c r="E504" s="27">
        <v>1</v>
      </c>
      <c r="F504" s="27">
        <v>8</v>
      </c>
      <c r="G504" s="28">
        <v>1.18E-2</v>
      </c>
    </row>
    <row r="505" spans="1:7" ht="22.5" x14ac:dyDescent="0.25">
      <c r="A505" s="20" t="s">
        <v>597</v>
      </c>
      <c r="B505" s="20" t="s">
        <v>404</v>
      </c>
      <c r="C505" s="20" t="s">
        <v>404</v>
      </c>
      <c r="D505" s="20" t="s">
        <v>773</v>
      </c>
      <c r="E505" s="27">
        <v>1</v>
      </c>
      <c r="F505" s="27">
        <v>8</v>
      </c>
      <c r="G505" s="29">
        <v>1.8089999999999998E-2</v>
      </c>
    </row>
    <row r="506" spans="1:7" ht="22.5" x14ac:dyDescent="0.25">
      <c r="A506" s="20" t="s">
        <v>597</v>
      </c>
      <c r="B506" s="20" t="s">
        <v>405</v>
      </c>
      <c r="C506" s="20" t="s">
        <v>405</v>
      </c>
      <c r="D506" s="20" t="s">
        <v>773</v>
      </c>
      <c r="E506" s="27">
        <v>1</v>
      </c>
      <c r="F506" s="27">
        <v>8</v>
      </c>
      <c r="G506" s="29">
        <v>3.5729999999999998E-2</v>
      </c>
    </row>
    <row r="507" spans="1:7" ht="22.5" x14ac:dyDescent="0.25">
      <c r="A507" s="20" t="s">
        <v>597</v>
      </c>
      <c r="B507" s="20" t="s">
        <v>446</v>
      </c>
      <c r="C507" s="20" t="s">
        <v>446</v>
      </c>
      <c r="D507" s="20" t="s">
        <v>773</v>
      </c>
      <c r="E507" s="27">
        <v>2</v>
      </c>
      <c r="F507" s="27">
        <v>16</v>
      </c>
      <c r="G507" s="29">
        <v>7.467E-2</v>
      </c>
    </row>
    <row r="508" spans="1:7" ht="22.5" x14ac:dyDescent="0.25">
      <c r="A508" s="20" t="s">
        <v>597</v>
      </c>
      <c r="B508" s="20" t="s">
        <v>475</v>
      </c>
      <c r="C508" s="20" t="s">
        <v>475</v>
      </c>
      <c r="D508" s="20" t="s">
        <v>773</v>
      </c>
      <c r="E508" s="33">
        <v>2.5</v>
      </c>
      <c r="F508" s="27">
        <v>20</v>
      </c>
      <c r="G508" s="22"/>
    </row>
    <row r="509" spans="1:7" ht="22.5" x14ac:dyDescent="0.25">
      <c r="A509" s="20" t="s">
        <v>597</v>
      </c>
      <c r="B509" s="20" t="s">
        <v>531</v>
      </c>
      <c r="C509" s="20" t="s">
        <v>531</v>
      </c>
      <c r="D509" s="20" t="s">
        <v>773</v>
      </c>
      <c r="E509" s="33">
        <v>0.6</v>
      </c>
      <c r="F509" s="33">
        <v>4.8</v>
      </c>
      <c r="G509" s="22"/>
    </row>
    <row r="510" spans="1:7" ht="22.5" x14ac:dyDescent="0.25">
      <c r="A510" s="20" t="s">
        <v>597</v>
      </c>
      <c r="B510" s="20" t="s">
        <v>538</v>
      </c>
      <c r="C510" s="20" t="s">
        <v>538</v>
      </c>
      <c r="D510" s="20" t="s">
        <v>773</v>
      </c>
      <c r="E510" s="27">
        <v>2</v>
      </c>
      <c r="F510" s="27">
        <v>16</v>
      </c>
      <c r="G510" s="28">
        <v>1.26E-2</v>
      </c>
    </row>
    <row r="511" spans="1:7" ht="22.5" x14ac:dyDescent="0.25">
      <c r="A511" s="20" t="s">
        <v>597</v>
      </c>
      <c r="B511" s="20" t="s">
        <v>380</v>
      </c>
      <c r="C511" s="20" t="s">
        <v>380</v>
      </c>
      <c r="D511" s="20" t="s">
        <v>774</v>
      </c>
      <c r="E511" s="27">
        <v>5</v>
      </c>
      <c r="F511" s="27">
        <v>40</v>
      </c>
      <c r="G511" s="29">
        <v>5.96E-3</v>
      </c>
    </row>
    <row r="512" spans="1:7" ht="22.5" x14ac:dyDescent="0.25">
      <c r="A512" s="20" t="s">
        <v>597</v>
      </c>
      <c r="B512" s="20" t="s">
        <v>775</v>
      </c>
      <c r="C512" s="20" t="s">
        <v>775</v>
      </c>
      <c r="D512" s="20" t="s">
        <v>774</v>
      </c>
      <c r="E512" s="27">
        <v>4</v>
      </c>
      <c r="F512" s="27">
        <v>32</v>
      </c>
      <c r="G512" s="22"/>
    </row>
    <row r="513" spans="1:7" ht="22.5" x14ac:dyDescent="0.25">
      <c r="A513" s="20" t="s">
        <v>597</v>
      </c>
      <c r="B513" s="20" t="s">
        <v>411</v>
      </c>
      <c r="C513" s="20" t="s">
        <v>411</v>
      </c>
      <c r="D513" s="20" t="s">
        <v>774</v>
      </c>
      <c r="E513" s="27">
        <v>1</v>
      </c>
      <c r="F513" s="27">
        <v>8</v>
      </c>
      <c r="G513" s="29">
        <v>1.55158</v>
      </c>
    </row>
    <row r="514" spans="1:7" ht="22.5" x14ac:dyDescent="0.25">
      <c r="A514" s="20" t="s">
        <v>597</v>
      </c>
      <c r="B514" s="20" t="s">
        <v>420</v>
      </c>
      <c r="C514" s="20" t="s">
        <v>420</v>
      </c>
      <c r="D514" s="20" t="s">
        <v>774</v>
      </c>
      <c r="E514" s="25">
        <v>5.07</v>
      </c>
      <c r="F514" s="25">
        <v>40.56</v>
      </c>
      <c r="G514" s="31">
        <v>0.64</v>
      </c>
    </row>
    <row r="515" spans="1:7" ht="22.5" x14ac:dyDescent="0.25">
      <c r="A515" s="20" t="s">
        <v>597</v>
      </c>
      <c r="B515" s="20" t="s">
        <v>437</v>
      </c>
      <c r="C515" s="20" t="s">
        <v>437</v>
      </c>
      <c r="D515" s="20" t="s">
        <v>774</v>
      </c>
      <c r="E515" s="27">
        <v>1</v>
      </c>
      <c r="F515" s="27">
        <v>8</v>
      </c>
      <c r="G515" s="29">
        <v>5.5140000000000002E-2</v>
      </c>
    </row>
    <row r="516" spans="1:7" ht="22.5" x14ac:dyDescent="0.25">
      <c r="A516" s="20" t="s">
        <v>597</v>
      </c>
      <c r="B516" s="20" t="s">
        <v>439</v>
      </c>
      <c r="C516" s="20" t="s">
        <v>439</v>
      </c>
      <c r="D516" s="20" t="s">
        <v>774</v>
      </c>
      <c r="E516" s="27">
        <v>4</v>
      </c>
      <c r="F516" s="27">
        <v>32</v>
      </c>
      <c r="G516" s="29">
        <v>0.12127</v>
      </c>
    </row>
    <row r="517" spans="1:7" ht="22.5" x14ac:dyDescent="0.25">
      <c r="A517" s="20" t="s">
        <v>597</v>
      </c>
      <c r="B517" s="20" t="s">
        <v>441</v>
      </c>
      <c r="C517" s="20" t="s">
        <v>441</v>
      </c>
      <c r="D517" s="20" t="s">
        <v>774</v>
      </c>
      <c r="E517" s="27">
        <v>3</v>
      </c>
      <c r="F517" s="27">
        <v>24</v>
      </c>
      <c r="G517" s="29">
        <v>8.0509999999999998E-2</v>
      </c>
    </row>
    <row r="518" spans="1:7" ht="22.5" x14ac:dyDescent="0.25">
      <c r="A518" s="20" t="s">
        <v>597</v>
      </c>
      <c r="B518" s="20" t="s">
        <v>477</v>
      </c>
      <c r="C518" s="20" t="s">
        <v>477</v>
      </c>
      <c r="D518" s="20" t="s">
        <v>774</v>
      </c>
      <c r="E518" s="27">
        <v>7</v>
      </c>
      <c r="F518" s="27">
        <v>56</v>
      </c>
      <c r="G518" s="22"/>
    </row>
    <row r="519" spans="1:7" ht="22.5" x14ac:dyDescent="0.25">
      <c r="A519" s="20" t="s">
        <v>597</v>
      </c>
      <c r="B519" s="20" t="s">
        <v>481</v>
      </c>
      <c r="C519" s="20" t="s">
        <v>481</v>
      </c>
      <c r="D519" s="20" t="s">
        <v>774</v>
      </c>
      <c r="E519" s="27">
        <v>16</v>
      </c>
      <c r="F519" s="27">
        <v>128</v>
      </c>
      <c r="G519" s="22"/>
    </row>
    <row r="520" spans="1:7" ht="22.5" x14ac:dyDescent="0.25">
      <c r="A520" s="20" t="s">
        <v>597</v>
      </c>
      <c r="B520" s="20" t="s">
        <v>482</v>
      </c>
      <c r="C520" s="20" t="s">
        <v>482</v>
      </c>
      <c r="D520" s="20" t="s">
        <v>774</v>
      </c>
      <c r="E520" s="27">
        <v>8</v>
      </c>
      <c r="F520" s="27">
        <v>64</v>
      </c>
      <c r="G520" s="22"/>
    </row>
    <row r="521" spans="1:7" ht="22.5" x14ac:dyDescent="0.25">
      <c r="A521" s="20" t="s">
        <v>597</v>
      </c>
      <c r="B521" s="20" t="s">
        <v>490</v>
      </c>
      <c r="C521" s="20" t="s">
        <v>490</v>
      </c>
      <c r="D521" s="20" t="s">
        <v>774</v>
      </c>
      <c r="E521" s="27">
        <v>7</v>
      </c>
      <c r="F521" s="27">
        <v>56</v>
      </c>
      <c r="G521" s="29">
        <v>2.5400000000000002E-3</v>
      </c>
    </row>
    <row r="522" spans="1:7" ht="22.5" x14ac:dyDescent="0.25">
      <c r="A522" s="20" t="s">
        <v>597</v>
      </c>
      <c r="B522" s="20" t="s">
        <v>543</v>
      </c>
      <c r="C522" s="20" t="s">
        <v>543</v>
      </c>
      <c r="D522" s="20" t="s">
        <v>774</v>
      </c>
      <c r="E522" s="27">
        <v>1</v>
      </c>
      <c r="F522" s="27">
        <v>8</v>
      </c>
      <c r="G522" s="29">
        <v>8.2129999999999995E-2</v>
      </c>
    </row>
    <row r="523" spans="1:7" x14ac:dyDescent="0.25">
      <c r="A523" s="20" t="s">
        <v>595</v>
      </c>
      <c r="B523" s="20" t="s">
        <v>776</v>
      </c>
      <c r="C523" s="20" t="s">
        <v>776</v>
      </c>
      <c r="D523" s="20" t="s">
        <v>777</v>
      </c>
      <c r="E523" s="27">
        <v>7</v>
      </c>
      <c r="F523" s="27">
        <v>7</v>
      </c>
      <c r="G523" s="29">
        <v>4.9739999999999999E-2</v>
      </c>
    </row>
    <row r="524" spans="1:7" x14ac:dyDescent="0.25">
      <c r="A524" s="20" t="s">
        <v>597</v>
      </c>
      <c r="B524" s="20" t="s">
        <v>411</v>
      </c>
      <c r="C524" s="20" t="s">
        <v>411</v>
      </c>
      <c r="D524" s="20" t="s">
        <v>777</v>
      </c>
      <c r="E524" s="27">
        <v>7</v>
      </c>
      <c r="F524" s="27">
        <v>7</v>
      </c>
      <c r="G524" s="29">
        <v>1.55158</v>
      </c>
    </row>
    <row r="525" spans="1:7" x14ac:dyDescent="0.25">
      <c r="A525" s="20" t="s">
        <v>597</v>
      </c>
      <c r="B525" s="20" t="s">
        <v>420</v>
      </c>
      <c r="C525" s="20" t="s">
        <v>420</v>
      </c>
      <c r="D525" s="20" t="s">
        <v>777</v>
      </c>
      <c r="E525" s="27">
        <v>17</v>
      </c>
      <c r="F525" s="27">
        <v>17</v>
      </c>
      <c r="G525" s="31">
        <v>0.64</v>
      </c>
    </row>
    <row r="526" spans="1:7" x14ac:dyDescent="0.25">
      <c r="A526" s="20" t="s">
        <v>597</v>
      </c>
      <c r="B526" s="20" t="s">
        <v>437</v>
      </c>
      <c r="C526" s="20" t="s">
        <v>437</v>
      </c>
      <c r="D526" s="20" t="s">
        <v>777</v>
      </c>
      <c r="E526" s="27">
        <v>2</v>
      </c>
      <c r="F526" s="27">
        <v>2</v>
      </c>
      <c r="G526" s="29">
        <v>5.5140000000000002E-2</v>
      </c>
    </row>
    <row r="527" spans="1:7" x14ac:dyDescent="0.25">
      <c r="A527" s="20" t="s">
        <v>597</v>
      </c>
      <c r="B527" s="20" t="s">
        <v>441</v>
      </c>
      <c r="C527" s="20" t="s">
        <v>441</v>
      </c>
      <c r="D527" s="20" t="s">
        <v>777</v>
      </c>
      <c r="E527" s="27">
        <v>13</v>
      </c>
      <c r="F527" s="27">
        <v>13</v>
      </c>
      <c r="G527" s="29">
        <v>8.0509999999999998E-2</v>
      </c>
    </row>
    <row r="528" spans="1:7" x14ac:dyDescent="0.25">
      <c r="A528" s="20" t="s">
        <v>597</v>
      </c>
      <c r="B528" s="20" t="s">
        <v>481</v>
      </c>
      <c r="C528" s="20" t="s">
        <v>481</v>
      </c>
      <c r="D528" s="20" t="s">
        <v>777</v>
      </c>
      <c r="E528" s="27">
        <v>48</v>
      </c>
      <c r="F528" s="27">
        <v>48</v>
      </c>
      <c r="G528" s="22"/>
    </row>
    <row r="529" spans="1:7" x14ac:dyDescent="0.25">
      <c r="A529" s="20" t="s">
        <v>597</v>
      </c>
      <c r="B529" s="20" t="s">
        <v>482</v>
      </c>
      <c r="C529" s="20" t="s">
        <v>482</v>
      </c>
      <c r="D529" s="20" t="s">
        <v>777</v>
      </c>
      <c r="E529" s="27">
        <v>21</v>
      </c>
      <c r="F529" s="27">
        <v>21</v>
      </c>
      <c r="G529" s="22"/>
    </row>
    <row r="530" spans="1:7" x14ac:dyDescent="0.25">
      <c r="A530" s="20" t="s">
        <v>597</v>
      </c>
      <c r="B530" s="20" t="s">
        <v>778</v>
      </c>
      <c r="C530" s="20" t="s">
        <v>778</v>
      </c>
      <c r="D530" s="20" t="s">
        <v>777</v>
      </c>
      <c r="E530" s="27">
        <v>4</v>
      </c>
      <c r="F530" s="27">
        <v>4</v>
      </c>
      <c r="G530" s="22"/>
    </row>
    <row r="531" spans="1:7" x14ac:dyDescent="0.25">
      <c r="A531" s="20" t="s">
        <v>597</v>
      </c>
      <c r="B531" s="20" t="s">
        <v>490</v>
      </c>
      <c r="C531" s="20" t="s">
        <v>490</v>
      </c>
      <c r="D531" s="20" t="s">
        <v>777</v>
      </c>
      <c r="E531" s="27">
        <v>20</v>
      </c>
      <c r="F531" s="27">
        <v>20</v>
      </c>
      <c r="G531" s="29">
        <v>2.5400000000000002E-3</v>
      </c>
    </row>
    <row r="532" spans="1:7" x14ac:dyDescent="0.25">
      <c r="A532" s="20" t="s">
        <v>585</v>
      </c>
      <c r="B532" s="20" t="s">
        <v>779</v>
      </c>
      <c r="C532" s="20" t="s">
        <v>779</v>
      </c>
      <c r="D532" s="20" t="s">
        <v>780</v>
      </c>
      <c r="E532" s="27">
        <v>1</v>
      </c>
      <c r="F532" s="27">
        <v>1</v>
      </c>
      <c r="G532" s="29">
        <v>4.7471699999999997</v>
      </c>
    </row>
    <row r="533" spans="1:7" x14ac:dyDescent="0.25">
      <c r="A533" s="20" t="s">
        <v>585</v>
      </c>
      <c r="B533" s="20" t="s">
        <v>781</v>
      </c>
      <c r="C533" s="20" t="s">
        <v>781</v>
      </c>
      <c r="D533" s="20" t="s">
        <v>780</v>
      </c>
      <c r="E533" s="27">
        <v>1</v>
      </c>
      <c r="F533" s="27">
        <v>1</v>
      </c>
      <c r="G533" s="29">
        <v>8.4821899999999992</v>
      </c>
    </row>
    <row r="534" spans="1:7" x14ac:dyDescent="0.25">
      <c r="A534" s="20" t="s">
        <v>597</v>
      </c>
      <c r="B534" s="20" t="s">
        <v>381</v>
      </c>
      <c r="C534" s="20" t="s">
        <v>381</v>
      </c>
      <c r="D534" s="20" t="s">
        <v>779</v>
      </c>
      <c r="E534" s="27">
        <v>1</v>
      </c>
      <c r="F534" s="27">
        <v>1</v>
      </c>
      <c r="G534" s="35">
        <v>8.9999999999999993E-3</v>
      </c>
    </row>
    <row r="535" spans="1:7" x14ac:dyDescent="0.25">
      <c r="A535" s="20" t="s">
        <v>597</v>
      </c>
      <c r="B535" s="20" t="s">
        <v>421</v>
      </c>
      <c r="C535" s="20" t="s">
        <v>421</v>
      </c>
      <c r="D535" s="20" t="s">
        <v>779</v>
      </c>
      <c r="E535" s="33">
        <v>2.5</v>
      </c>
      <c r="F535" s="33">
        <v>2.5</v>
      </c>
      <c r="G535" s="31">
        <v>0.23</v>
      </c>
    </row>
    <row r="536" spans="1:7" ht="22.5" x14ac:dyDescent="0.25">
      <c r="A536" s="20" t="s">
        <v>597</v>
      </c>
      <c r="B536" s="20" t="s">
        <v>440</v>
      </c>
      <c r="C536" s="20" t="s">
        <v>440</v>
      </c>
      <c r="D536" s="20" t="s">
        <v>779</v>
      </c>
      <c r="E536" s="27">
        <v>1</v>
      </c>
      <c r="F536" s="27">
        <v>1</v>
      </c>
      <c r="G536" s="29">
        <v>0.16281000000000001</v>
      </c>
    </row>
    <row r="537" spans="1:7" x14ac:dyDescent="0.25">
      <c r="A537" s="20" t="s">
        <v>597</v>
      </c>
      <c r="B537" s="20" t="s">
        <v>487</v>
      </c>
      <c r="C537" s="20" t="s">
        <v>487</v>
      </c>
      <c r="D537" s="20" t="s">
        <v>779</v>
      </c>
      <c r="E537" s="27">
        <v>4</v>
      </c>
      <c r="F537" s="27">
        <v>4</v>
      </c>
      <c r="G537" s="22"/>
    </row>
    <row r="538" spans="1:7" x14ac:dyDescent="0.25">
      <c r="A538" s="20" t="s">
        <v>597</v>
      </c>
      <c r="B538" s="20" t="s">
        <v>488</v>
      </c>
      <c r="C538" s="20" t="s">
        <v>488</v>
      </c>
      <c r="D538" s="20" t="s">
        <v>779</v>
      </c>
      <c r="E538" s="27">
        <v>12</v>
      </c>
      <c r="F538" s="27">
        <v>12</v>
      </c>
      <c r="G538" s="22"/>
    </row>
    <row r="539" spans="1:7" x14ac:dyDescent="0.25">
      <c r="A539" s="20" t="s">
        <v>597</v>
      </c>
      <c r="B539" s="20" t="s">
        <v>491</v>
      </c>
      <c r="C539" s="20" t="s">
        <v>491</v>
      </c>
      <c r="D539" s="20" t="s">
        <v>779</v>
      </c>
      <c r="E539" s="27">
        <v>1</v>
      </c>
      <c r="F539" s="27">
        <v>1</v>
      </c>
      <c r="G539" s="29">
        <v>3.6800000000000001E-3</v>
      </c>
    </row>
    <row r="540" spans="1:7" x14ac:dyDescent="0.25">
      <c r="A540" s="20" t="s">
        <v>597</v>
      </c>
      <c r="B540" s="20" t="s">
        <v>381</v>
      </c>
      <c r="C540" s="20" t="s">
        <v>381</v>
      </c>
      <c r="D540" s="20" t="s">
        <v>781</v>
      </c>
      <c r="E540" s="27">
        <v>1</v>
      </c>
      <c r="F540" s="27">
        <v>1</v>
      </c>
      <c r="G540" s="35">
        <v>8.9999999999999993E-3</v>
      </c>
    </row>
    <row r="541" spans="1:7" x14ac:dyDescent="0.25">
      <c r="A541" s="20" t="s">
        <v>597</v>
      </c>
      <c r="B541" s="20" t="s">
        <v>421</v>
      </c>
      <c r="C541" s="20" t="s">
        <v>421</v>
      </c>
      <c r="D541" s="20" t="s">
        <v>781</v>
      </c>
      <c r="E541" s="33">
        <v>2.2999999999999998</v>
      </c>
      <c r="F541" s="33">
        <v>2.2999999999999998</v>
      </c>
      <c r="G541" s="31">
        <v>0.23</v>
      </c>
    </row>
    <row r="542" spans="1:7" ht="22.5" x14ac:dyDescent="0.25">
      <c r="A542" s="20" t="s">
        <v>597</v>
      </c>
      <c r="B542" s="20" t="s">
        <v>440</v>
      </c>
      <c r="C542" s="20" t="s">
        <v>440</v>
      </c>
      <c r="D542" s="20" t="s">
        <v>781</v>
      </c>
      <c r="E542" s="27">
        <v>1</v>
      </c>
      <c r="F542" s="27">
        <v>1</v>
      </c>
      <c r="G542" s="29">
        <v>0.16281000000000001</v>
      </c>
    </row>
    <row r="543" spans="1:7" x14ac:dyDescent="0.25">
      <c r="A543" s="20" t="s">
        <v>597</v>
      </c>
      <c r="B543" s="20" t="s">
        <v>485</v>
      </c>
      <c r="C543" s="20" t="s">
        <v>485</v>
      </c>
      <c r="D543" s="20" t="s">
        <v>781</v>
      </c>
      <c r="E543" s="27">
        <v>6</v>
      </c>
      <c r="F543" s="27">
        <v>6</v>
      </c>
      <c r="G543" s="22"/>
    </row>
    <row r="544" spans="1:7" x14ac:dyDescent="0.25">
      <c r="A544" s="20" t="s">
        <v>597</v>
      </c>
      <c r="B544" s="20" t="s">
        <v>486</v>
      </c>
      <c r="C544" s="20" t="s">
        <v>486</v>
      </c>
      <c r="D544" s="20" t="s">
        <v>781</v>
      </c>
      <c r="E544" s="27">
        <v>18</v>
      </c>
      <c r="F544" s="27">
        <v>18</v>
      </c>
      <c r="G544" s="22"/>
    </row>
    <row r="545" spans="1:7" x14ac:dyDescent="0.25">
      <c r="A545" s="20" t="s">
        <v>597</v>
      </c>
      <c r="B545" s="20" t="s">
        <v>491</v>
      </c>
      <c r="C545" s="20" t="s">
        <v>491</v>
      </c>
      <c r="D545" s="20" t="s">
        <v>781</v>
      </c>
      <c r="E545" s="27">
        <v>1</v>
      </c>
      <c r="F545" s="27">
        <v>1</v>
      </c>
      <c r="G545" s="29">
        <v>3.6800000000000001E-3</v>
      </c>
    </row>
    <row r="546" spans="1:7" x14ac:dyDescent="0.25">
      <c r="A546" s="20" t="s">
        <v>585</v>
      </c>
      <c r="B546" s="20" t="s">
        <v>782</v>
      </c>
      <c r="C546" s="20" t="s">
        <v>782</v>
      </c>
      <c r="D546" s="20" t="s">
        <v>783</v>
      </c>
      <c r="E546" s="27">
        <v>1</v>
      </c>
      <c r="F546" s="27">
        <v>1</v>
      </c>
      <c r="G546" s="29">
        <v>15.914339999999999</v>
      </c>
    </row>
    <row r="547" spans="1:7" x14ac:dyDescent="0.25">
      <c r="A547" s="20" t="s">
        <v>585</v>
      </c>
      <c r="B547" s="20" t="s">
        <v>784</v>
      </c>
      <c r="C547" s="20" t="s">
        <v>784</v>
      </c>
      <c r="D547" s="20" t="s">
        <v>783</v>
      </c>
      <c r="E547" s="27">
        <v>1</v>
      </c>
      <c r="F547" s="27">
        <v>1</v>
      </c>
      <c r="G547" s="29">
        <v>27.62602</v>
      </c>
    </row>
    <row r="548" spans="1:7" ht="22.5" x14ac:dyDescent="0.25">
      <c r="A548" s="20" t="s">
        <v>597</v>
      </c>
      <c r="B548" s="20" t="s">
        <v>381</v>
      </c>
      <c r="C548" s="20" t="s">
        <v>381</v>
      </c>
      <c r="D548" s="20" t="s">
        <v>782</v>
      </c>
      <c r="E548" s="27">
        <v>1</v>
      </c>
      <c r="F548" s="27">
        <v>1</v>
      </c>
      <c r="G548" s="35">
        <v>8.9999999999999993E-3</v>
      </c>
    </row>
    <row r="549" spans="1:7" ht="22.5" x14ac:dyDescent="0.25">
      <c r="A549" s="20" t="s">
        <v>597</v>
      </c>
      <c r="B549" s="20" t="s">
        <v>421</v>
      </c>
      <c r="C549" s="20" t="s">
        <v>421</v>
      </c>
      <c r="D549" s="20" t="s">
        <v>782</v>
      </c>
      <c r="E549" s="33">
        <v>10.5</v>
      </c>
      <c r="F549" s="33">
        <v>10.5</v>
      </c>
      <c r="G549" s="31">
        <v>0.23</v>
      </c>
    </row>
    <row r="550" spans="1:7" ht="22.5" x14ac:dyDescent="0.25">
      <c r="A550" s="20" t="s">
        <v>597</v>
      </c>
      <c r="B550" s="20" t="s">
        <v>440</v>
      </c>
      <c r="C550" s="20" t="s">
        <v>440</v>
      </c>
      <c r="D550" s="20" t="s">
        <v>782</v>
      </c>
      <c r="E550" s="27">
        <v>1</v>
      </c>
      <c r="F550" s="27">
        <v>1</v>
      </c>
      <c r="G550" s="29">
        <v>0.16281000000000001</v>
      </c>
    </row>
    <row r="551" spans="1:7" ht="22.5" x14ac:dyDescent="0.25">
      <c r="A551" s="20" t="s">
        <v>597</v>
      </c>
      <c r="B551" s="20" t="s">
        <v>487</v>
      </c>
      <c r="C551" s="20" t="s">
        <v>487</v>
      </c>
      <c r="D551" s="20" t="s">
        <v>782</v>
      </c>
      <c r="E551" s="27">
        <v>12</v>
      </c>
      <c r="F551" s="27">
        <v>12</v>
      </c>
      <c r="G551" s="22"/>
    </row>
    <row r="552" spans="1:7" ht="22.5" x14ac:dyDescent="0.25">
      <c r="A552" s="20" t="s">
        <v>597</v>
      </c>
      <c r="B552" s="20" t="s">
        <v>488</v>
      </c>
      <c r="C552" s="20" t="s">
        <v>488</v>
      </c>
      <c r="D552" s="20" t="s">
        <v>782</v>
      </c>
      <c r="E552" s="27">
        <v>36</v>
      </c>
      <c r="F552" s="27">
        <v>36</v>
      </c>
      <c r="G552" s="22"/>
    </row>
    <row r="553" spans="1:7" ht="22.5" x14ac:dyDescent="0.25">
      <c r="A553" s="20" t="s">
        <v>597</v>
      </c>
      <c r="B553" s="20" t="s">
        <v>491</v>
      </c>
      <c r="C553" s="20" t="s">
        <v>491</v>
      </c>
      <c r="D553" s="20" t="s">
        <v>782</v>
      </c>
      <c r="E553" s="27">
        <v>1</v>
      </c>
      <c r="F553" s="27">
        <v>1</v>
      </c>
      <c r="G553" s="29">
        <v>3.6800000000000001E-3</v>
      </c>
    </row>
    <row r="554" spans="1:7" ht="22.5" x14ac:dyDescent="0.25">
      <c r="A554" s="20" t="s">
        <v>597</v>
      </c>
      <c r="B554" s="20" t="s">
        <v>382</v>
      </c>
      <c r="C554" s="20" t="s">
        <v>382</v>
      </c>
      <c r="D554" s="20" t="s">
        <v>784</v>
      </c>
      <c r="E554" s="27">
        <v>1</v>
      </c>
      <c r="F554" s="27">
        <v>1</v>
      </c>
      <c r="G554" s="22"/>
    </row>
    <row r="555" spans="1:7" ht="22.5" x14ac:dyDescent="0.25">
      <c r="A555" s="20" t="s">
        <v>597</v>
      </c>
      <c r="B555" s="20" t="s">
        <v>566</v>
      </c>
      <c r="C555" s="20" t="s">
        <v>566</v>
      </c>
      <c r="D555" s="20" t="s">
        <v>784</v>
      </c>
      <c r="E555" s="27">
        <v>12</v>
      </c>
      <c r="F555" s="27">
        <v>12</v>
      </c>
      <c r="G555" s="35">
        <v>0.48899999999999999</v>
      </c>
    </row>
    <row r="556" spans="1:7" ht="22.5" x14ac:dyDescent="0.25">
      <c r="A556" s="20" t="s">
        <v>597</v>
      </c>
      <c r="B556" s="20" t="s">
        <v>785</v>
      </c>
      <c r="C556" s="20" t="s">
        <v>567</v>
      </c>
      <c r="D556" s="20" t="s">
        <v>784</v>
      </c>
      <c r="E556" s="27">
        <v>1</v>
      </c>
      <c r="F556" s="27">
        <v>1</v>
      </c>
      <c r="G556" s="29">
        <v>0.25344</v>
      </c>
    </row>
    <row r="557" spans="1:7" ht="22.5" x14ac:dyDescent="0.25">
      <c r="A557" s="20" t="s">
        <v>597</v>
      </c>
      <c r="B557" s="20" t="s">
        <v>568</v>
      </c>
      <c r="C557" s="20" t="s">
        <v>568</v>
      </c>
      <c r="D557" s="20" t="s">
        <v>784</v>
      </c>
      <c r="E557" s="27">
        <v>14</v>
      </c>
      <c r="F557" s="27">
        <v>14</v>
      </c>
      <c r="G557" s="22"/>
    </row>
    <row r="558" spans="1:7" ht="22.5" x14ac:dyDescent="0.25">
      <c r="A558" s="20" t="s">
        <v>597</v>
      </c>
      <c r="B558" s="20" t="s">
        <v>569</v>
      </c>
      <c r="C558" s="20" t="s">
        <v>569</v>
      </c>
      <c r="D558" s="20" t="s">
        <v>784</v>
      </c>
      <c r="E558" s="27">
        <v>42</v>
      </c>
      <c r="F558" s="27">
        <v>42</v>
      </c>
      <c r="G558" s="22"/>
    </row>
    <row r="559" spans="1:7" ht="22.5" x14ac:dyDescent="0.25">
      <c r="A559" s="20" t="s">
        <v>597</v>
      </c>
      <c r="B559" s="20" t="s">
        <v>570</v>
      </c>
      <c r="C559" s="20" t="s">
        <v>570</v>
      </c>
      <c r="D559" s="20" t="s">
        <v>784</v>
      </c>
      <c r="E559" s="27">
        <v>1</v>
      </c>
      <c r="F559" s="27">
        <v>1</v>
      </c>
      <c r="G559" s="29">
        <v>4.2199999999999998E-3</v>
      </c>
    </row>
    <row r="560" spans="1:7" x14ac:dyDescent="0.25">
      <c r="A560" s="20" t="s">
        <v>597</v>
      </c>
      <c r="B560" s="20" t="s">
        <v>382</v>
      </c>
      <c r="C560" s="20" t="s">
        <v>382</v>
      </c>
      <c r="D560" s="20" t="s">
        <v>786</v>
      </c>
      <c r="E560" s="27">
        <v>1</v>
      </c>
      <c r="F560" s="27">
        <v>1</v>
      </c>
      <c r="G560" s="22"/>
    </row>
    <row r="561" spans="1:7" x14ac:dyDescent="0.25">
      <c r="A561" s="20" t="s">
        <v>597</v>
      </c>
      <c r="B561" s="20" t="s">
        <v>566</v>
      </c>
      <c r="C561" s="20" t="s">
        <v>566</v>
      </c>
      <c r="D561" s="20" t="s">
        <v>786</v>
      </c>
      <c r="E561" s="33">
        <v>6.2</v>
      </c>
      <c r="F561" s="33">
        <v>6.2</v>
      </c>
      <c r="G561" s="35">
        <v>0.48899999999999999</v>
      </c>
    </row>
    <row r="562" spans="1:7" ht="22.5" x14ac:dyDescent="0.25">
      <c r="A562" s="20" t="s">
        <v>597</v>
      </c>
      <c r="B562" s="20" t="s">
        <v>785</v>
      </c>
      <c r="C562" s="20" t="s">
        <v>567</v>
      </c>
      <c r="D562" s="20" t="s">
        <v>786</v>
      </c>
      <c r="E562" s="27">
        <v>1</v>
      </c>
      <c r="F562" s="27">
        <v>1</v>
      </c>
      <c r="G562" s="29">
        <v>0.25344</v>
      </c>
    </row>
    <row r="563" spans="1:7" x14ac:dyDescent="0.25">
      <c r="A563" s="20" t="s">
        <v>597</v>
      </c>
      <c r="B563" s="20" t="s">
        <v>568</v>
      </c>
      <c r="C563" s="20" t="s">
        <v>568</v>
      </c>
      <c r="D563" s="20" t="s">
        <v>786</v>
      </c>
      <c r="E563" s="27">
        <v>7</v>
      </c>
      <c r="F563" s="27">
        <v>7</v>
      </c>
      <c r="G563" s="22"/>
    </row>
    <row r="564" spans="1:7" x14ac:dyDescent="0.25">
      <c r="A564" s="20" t="s">
        <v>597</v>
      </c>
      <c r="B564" s="20" t="s">
        <v>569</v>
      </c>
      <c r="C564" s="20" t="s">
        <v>569</v>
      </c>
      <c r="D564" s="20" t="s">
        <v>786</v>
      </c>
      <c r="E564" s="27">
        <v>21</v>
      </c>
      <c r="F564" s="27">
        <v>21</v>
      </c>
      <c r="G564" s="22"/>
    </row>
    <row r="565" spans="1:7" x14ac:dyDescent="0.25">
      <c r="A565" s="20" t="s">
        <v>597</v>
      </c>
      <c r="B565" s="20" t="s">
        <v>570</v>
      </c>
      <c r="C565" s="20" t="s">
        <v>570</v>
      </c>
      <c r="D565" s="20" t="s">
        <v>786</v>
      </c>
      <c r="E565" s="27">
        <v>1</v>
      </c>
      <c r="F565" s="27">
        <v>1</v>
      </c>
      <c r="G565" s="29">
        <v>4.2199999999999998E-3</v>
      </c>
    </row>
    <row r="566" spans="1:7" x14ac:dyDescent="0.25">
      <c r="A566" s="20" t="s">
        <v>597</v>
      </c>
      <c r="B566" s="20" t="s">
        <v>382</v>
      </c>
      <c r="C566" s="20" t="s">
        <v>382</v>
      </c>
      <c r="D566" s="20" t="s">
        <v>787</v>
      </c>
      <c r="E566" s="27">
        <v>1</v>
      </c>
      <c r="F566" s="27">
        <v>1</v>
      </c>
      <c r="G566" s="22"/>
    </row>
    <row r="567" spans="1:7" x14ac:dyDescent="0.25">
      <c r="A567" s="20" t="s">
        <v>597</v>
      </c>
      <c r="B567" s="20" t="s">
        <v>566</v>
      </c>
      <c r="C567" s="20" t="s">
        <v>566</v>
      </c>
      <c r="D567" s="20" t="s">
        <v>787</v>
      </c>
      <c r="E567" s="27">
        <v>8</v>
      </c>
      <c r="F567" s="27">
        <v>8</v>
      </c>
      <c r="G567" s="35">
        <v>0.48899999999999999</v>
      </c>
    </row>
    <row r="568" spans="1:7" ht="22.5" x14ac:dyDescent="0.25">
      <c r="A568" s="20" t="s">
        <v>597</v>
      </c>
      <c r="B568" s="20" t="s">
        <v>785</v>
      </c>
      <c r="C568" s="20" t="s">
        <v>567</v>
      </c>
      <c r="D568" s="20" t="s">
        <v>787</v>
      </c>
      <c r="E568" s="27">
        <v>1</v>
      </c>
      <c r="F568" s="27">
        <v>1</v>
      </c>
      <c r="G568" s="29">
        <v>0.25344</v>
      </c>
    </row>
    <row r="569" spans="1:7" x14ac:dyDescent="0.25">
      <c r="A569" s="20" t="s">
        <v>597</v>
      </c>
      <c r="B569" s="20" t="s">
        <v>568</v>
      </c>
      <c r="C569" s="20" t="s">
        <v>568</v>
      </c>
      <c r="D569" s="20" t="s">
        <v>787</v>
      </c>
      <c r="E569" s="27">
        <v>10</v>
      </c>
      <c r="F569" s="27">
        <v>10</v>
      </c>
      <c r="G569" s="22"/>
    </row>
    <row r="570" spans="1:7" x14ac:dyDescent="0.25">
      <c r="A570" s="20" t="s">
        <v>597</v>
      </c>
      <c r="B570" s="20" t="s">
        <v>569</v>
      </c>
      <c r="C570" s="20" t="s">
        <v>569</v>
      </c>
      <c r="D570" s="20" t="s">
        <v>787</v>
      </c>
      <c r="E570" s="27">
        <v>30</v>
      </c>
      <c r="F570" s="27">
        <v>30</v>
      </c>
      <c r="G570" s="22"/>
    </row>
    <row r="571" spans="1:7" x14ac:dyDescent="0.25">
      <c r="A571" s="20" t="s">
        <v>597</v>
      </c>
      <c r="B571" s="20" t="s">
        <v>570</v>
      </c>
      <c r="C571" s="20" t="s">
        <v>570</v>
      </c>
      <c r="D571" s="20" t="s">
        <v>787</v>
      </c>
      <c r="E571" s="27">
        <v>1</v>
      </c>
      <c r="F571" s="27">
        <v>1</v>
      </c>
      <c r="G571" s="29">
        <v>4.2199999999999998E-3</v>
      </c>
    </row>
    <row r="572" spans="1:7" ht="22.5" x14ac:dyDescent="0.25">
      <c r="A572" s="20" t="s">
        <v>597</v>
      </c>
      <c r="B572" s="20" t="s">
        <v>382</v>
      </c>
      <c r="C572" s="20" t="s">
        <v>382</v>
      </c>
      <c r="D572" s="20" t="s">
        <v>788</v>
      </c>
      <c r="E572" s="27">
        <v>1</v>
      </c>
      <c r="F572" s="27">
        <v>1</v>
      </c>
      <c r="G572" s="22"/>
    </row>
    <row r="573" spans="1:7" ht="22.5" x14ac:dyDescent="0.25">
      <c r="A573" s="20" t="s">
        <v>597</v>
      </c>
      <c r="B573" s="20" t="s">
        <v>566</v>
      </c>
      <c r="C573" s="20" t="s">
        <v>566</v>
      </c>
      <c r="D573" s="20" t="s">
        <v>788</v>
      </c>
      <c r="E573" s="33">
        <v>5.5</v>
      </c>
      <c r="F573" s="33">
        <v>5.5</v>
      </c>
      <c r="G573" s="35">
        <v>0.48899999999999999</v>
      </c>
    </row>
    <row r="574" spans="1:7" ht="22.5" x14ac:dyDescent="0.25">
      <c r="A574" s="20" t="s">
        <v>597</v>
      </c>
      <c r="B574" s="20" t="s">
        <v>785</v>
      </c>
      <c r="C574" s="20" t="s">
        <v>567</v>
      </c>
      <c r="D574" s="20" t="s">
        <v>788</v>
      </c>
      <c r="E574" s="27">
        <v>1</v>
      </c>
      <c r="F574" s="27">
        <v>1</v>
      </c>
      <c r="G574" s="29">
        <v>0.25344</v>
      </c>
    </row>
    <row r="575" spans="1:7" ht="22.5" x14ac:dyDescent="0.25">
      <c r="A575" s="20" t="s">
        <v>597</v>
      </c>
      <c r="B575" s="20" t="s">
        <v>568</v>
      </c>
      <c r="C575" s="20" t="s">
        <v>568</v>
      </c>
      <c r="D575" s="20" t="s">
        <v>788</v>
      </c>
      <c r="E575" s="27">
        <v>7</v>
      </c>
      <c r="F575" s="27">
        <v>7</v>
      </c>
      <c r="G575" s="22"/>
    </row>
    <row r="576" spans="1:7" ht="22.5" x14ac:dyDescent="0.25">
      <c r="A576" s="20" t="s">
        <v>597</v>
      </c>
      <c r="B576" s="20" t="s">
        <v>569</v>
      </c>
      <c r="C576" s="20" t="s">
        <v>569</v>
      </c>
      <c r="D576" s="20" t="s">
        <v>788</v>
      </c>
      <c r="E576" s="27">
        <v>21</v>
      </c>
      <c r="F576" s="27">
        <v>21</v>
      </c>
      <c r="G576" s="22"/>
    </row>
    <row r="577" spans="1:7" ht="22.5" x14ac:dyDescent="0.25">
      <c r="A577" s="20" t="s">
        <v>597</v>
      </c>
      <c r="B577" s="20" t="s">
        <v>570</v>
      </c>
      <c r="C577" s="20" t="s">
        <v>570</v>
      </c>
      <c r="D577" s="20" t="s">
        <v>788</v>
      </c>
      <c r="E577" s="27">
        <v>1</v>
      </c>
      <c r="F577" s="27">
        <v>1</v>
      </c>
      <c r="G577" s="29">
        <v>4.2199999999999998E-3</v>
      </c>
    </row>
    <row r="578" spans="1:7" ht="22.5" x14ac:dyDescent="0.25">
      <c r="A578" s="20" t="s">
        <v>597</v>
      </c>
      <c r="B578" s="20" t="s">
        <v>382</v>
      </c>
      <c r="C578" s="20" t="s">
        <v>382</v>
      </c>
      <c r="D578" s="20" t="s">
        <v>789</v>
      </c>
      <c r="E578" s="27">
        <v>1</v>
      </c>
      <c r="F578" s="27">
        <v>1</v>
      </c>
      <c r="G578" s="22"/>
    </row>
    <row r="579" spans="1:7" ht="22.5" x14ac:dyDescent="0.25">
      <c r="A579" s="20" t="s">
        <v>597</v>
      </c>
      <c r="B579" s="20" t="s">
        <v>566</v>
      </c>
      <c r="C579" s="20" t="s">
        <v>566</v>
      </c>
      <c r="D579" s="20" t="s">
        <v>789</v>
      </c>
      <c r="E579" s="27">
        <v>8</v>
      </c>
      <c r="F579" s="27">
        <v>8</v>
      </c>
      <c r="G579" s="35">
        <v>0.48899999999999999</v>
      </c>
    </row>
    <row r="580" spans="1:7" ht="22.5" x14ac:dyDescent="0.25">
      <c r="A580" s="20" t="s">
        <v>597</v>
      </c>
      <c r="B580" s="20" t="s">
        <v>785</v>
      </c>
      <c r="C580" s="20" t="s">
        <v>567</v>
      </c>
      <c r="D580" s="20" t="s">
        <v>789</v>
      </c>
      <c r="E580" s="27">
        <v>1</v>
      </c>
      <c r="F580" s="27">
        <v>1</v>
      </c>
      <c r="G580" s="29">
        <v>0.25344</v>
      </c>
    </row>
    <row r="581" spans="1:7" ht="22.5" x14ac:dyDescent="0.25">
      <c r="A581" s="20" t="s">
        <v>597</v>
      </c>
      <c r="B581" s="20" t="s">
        <v>568</v>
      </c>
      <c r="C581" s="20" t="s">
        <v>568</v>
      </c>
      <c r="D581" s="20" t="s">
        <v>789</v>
      </c>
      <c r="E581" s="27">
        <v>9</v>
      </c>
      <c r="F581" s="27">
        <v>9</v>
      </c>
      <c r="G581" s="22"/>
    </row>
    <row r="582" spans="1:7" ht="22.5" x14ac:dyDescent="0.25">
      <c r="A582" s="20" t="s">
        <v>597</v>
      </c>
      <c r="B582" s="20" t="s">
        <v>569</v>
      </c>
      <c r="C582" s="20" t="s">
        <v>569</v>
      </c>
      <c r="D582" s="20" t="s">
        <v>789</v>
      </c>
      <c r="E582" s="27">
        <v>27</v>
      </c>
      <c r="F582" s="27">
        <v>27</v>
      </c>
      <c r="G582" s="22"/>
    </row>
    <row r="583" spans="1:7" ht="22.5" x14ac:dyDescent="0.25">
      <c r="A583" s="20" t="s">
        <v>597</v>
      </c>
      <c r="B583" s="20" t="s">
        <v>570</v>
      </c>
      <c r="C583" s="20" t="s">
        <v>570</v>
      </c>
      <c r="D583" s="20" t="s">
        <v>789</v>
      </c>
      <c r="E583" s="27">
        <v>1</v>
      </c>
      <c r="F583" s="27">
        <v>1</v>
      </c>
      <c r="G583" s="29">
        <v>4.2199999999999998E-3</v>
      </c>
    </row>
    <row r="584" spans="1:7" x14ac:dyDescent="0.25">
      <c r="A584" s="20" t="s">
        <v>597</v>
      </c>
      <c r="B584" s="20" t="s">
        <v>421</v>
      </c>
      <c r="C584" s="20" t="s">
        <v>421</v>
      </c>
      <c r="D584" s="20" t="s">
        <v>790</v>
      </c>
      <c r="E584" s="27">
        <v>6</v>
      </c>
      <c r="F584" s="27">
        <v>6</v>
      </c>
      <c r="G584" s="31">
        <v>0.23</v>
      </c>
    </row>
    <row r="585" spans="1:7" x14ac:dyDescent="0.25">
      <c r="A585" s="20" t="s">
        <v>597</v>
      </c>
      <c r="B585" s="20" t="s">
        <v>477</v>
      </c>
      <c r="C585" s="20" t="s">
        <v>477</v>
      </c>
      <c r="D585" s="20" t="s">
        <v>790</v>
      </c>
      <c r="E585" s="27">
        <v>9</v>
      </c>
      <c r="F585" s="27">
        <v>9</v>
      </c>
      <c r="G585" s="22"/>
    </row>
    <row r="586" spans="1:7" x14ac:dyDescent="0.25">
      <c r="A586" s="20" t="s">
        <v>597</v>
      </c>
      <c r="B586" s="20" t="s">
        <v>481</v>
      </c>
      <c r="C586" s="20" t="s">
        <v>481</v>
      </c>
      <c r="D586" s="20" t="s">
        <v>790</v>
      </c>
      <c r="E586" s="27">
        <v>108</v>
      </c>
      <c r="F586" s="27">
        <v>108</v>
      </c>
      <c r="G586" s="22"/>
    </row>
    <row r="587" spans="1:7" x14ac:dyDescent="0.25">
      <c r="A587" s="20" t="s">
        <v>597</v>
      </c>
      <c r="B587" s="20" t="s">
        <v>482</v>
      </c>
      <c r="C587" s="20" t="s">
        <v>482</v>
      </c>
      <c r="D587" s="20" t="s">
        <v>790</v>
      </c>
      <c r="E587" s="27">
        <v>9</v>
      </c>
      <c r="F587" s="27">
        <v>9</v>
      </c>
      <c r="G587" s="22"/>
    </row>
    <row r="588" spans="1:7" x14ac:dyDescent="0.25">
      <c r="A588" s="20" t="s">
        <v>597</v>
      </c>
      <c r="B588" s="20" t="s">
        <v>382</v>
      </c>
      <c r="C588" s="20" t="s">
        <v>382</v>
      </c>
      <c r="D588" s="20" t="s">
        <v>791</v>
      </c>
      <c r="E588" s="27">
        <v>2</v>
      </c>
      <c r="F588" s="27">
        <v>2</v>
      </c>
      <c r="G588" s="22"/>
    </row>
    <row r="589" spans="1:7" x14ac:dyDescent="0.25">
      <c r="A589" s="20" t="s">
        <v>597</v>
      </c>
      <c r="B589" s="20" t="s">
        <v>420</v>
      </c>
      <c r="C589" s="20" t="s">
        <v>420</v>
      </c>
      <c r="D589" s="20" t="s">
        <v>791</v>
      </c>
      <c r="E589" s="27">
        <v>4</v>
      </c>
      <c r="F589" s="27">
        <v>4</v>
      </c>
      <c r="G589" s="31">
        <v>0.64</v>
      </c>
    </row>
    <row r="590" spans="1:7" x14ac:dyDescent="0.25">
      <c r="A590" s="20" t="s">
        <v>597</v>
      </c>
      <c r="B590" s="20" t="s">
        <v>437</v>
      </c>
      <c r="C590" s="20" t="s">
        <v>437</v>
      </c>
      <c r="D590" s="20" t="s">
        <v>791</v>
      </c>
      <c r="E590" s="27">
        <v>2</v>
      </c>
      <c r="F590" s="27">
        <v>2</v>
      </c>
      <c r="G590" s="29">
        <v>5.5140000000000002E-2</v>
      </c>
    </row>
    <row r="591" spans="1:7" x14ac:dyDescent="0.25">
      <c r="A591" s="20" t="s">
        <v>597</v>
      </c>
      <c r="B591" s="20" t="s">
        <v>465</v>
      </c>
      <c r="C591" s="20" t="s">
        <v>465</v>
      </c>
      <c r="D591" s="20" t="s">
        <v>791</v>
      </c>
      <c r="E591" s="27">
        <v>2</v>
      </c>
      <c r="F591" s="27">
        <v>2</v>
      </c>
      <c r="G591" s="29">
        <v>0.12008000000000001</v>
      </c>
    </row>
    <row r="592" spans="1:7" x14ac:dyDescent="0.25">
      <c r="A592" s="20" t="s">
        <v>597</v>
      </c>
      <c r="B592" s="20" t="s">
        <v>477</v>
      </c>
      <c r="C592" s="20" t="s">
        <v>477</v>
      </c>
      <c r="D592" s="20" t="s">
        <v>791</v>
      </c>
      <c r="E592" s="27">
        <v>8</v>
      </c>
      <c r="F592" s="27">
        <v>8</v>
      </c>
      <c r="G592" s="22"/>
    </row>
    <row r="593" spans="1:7" x14ac:dyDescent="0.25">
      <c r="A593" s="20" t="s">
        <v>597</v>
      </c>
      <c r="B593" s="20" t="s">
        <v>481</v>
      </c>
      <c r="C593" s="20" t="s">
        <v>481</v>
      </c>
      <c r="D593" s="20" t="s">
        <v>791</v>
      </c>
      <c r="E593" s="27">
        <v>8</v>
      </c>
      <c r="F593" s="27">
        <v>8</v>
      </c>
      <c r="G593" s="22"/>
    </row>
    <row r="594" spans="1:7" x14ac:dyDescent="0.25">
      <c r="A594" s="20" t="s">
        <v>597</v>
      </c>
      <c r="B594" s="20" t="s">
        <v>482</v>
      </c>
      <c r="C594" s="20" t="s">
        <v>482</v>
      </c>
      <c r="D594" s="20" t="s">
        <v>791</v>
      </c>
      <c r="E594" s="27">
        <v>8</v>
      </c>
      <c r="F594" s="27">
        <v>8</v>
      </c>
      <c r="G594" s="22"/>
    </row>
    <row r="595" spans="1:7" x14ac:dyDescent="0.25">
      <c r="A595" s="20" t="s">
        <v>597</v>
      </c>
      <c r="B595" s="20" t="s">
        <v>382</v>
      </c>
      <c r="C595" s="20" t="s">
        <v>382</v>
      </c>
      <c r="D595" s="20" t="s">
        <v>792</v>
      </c>
      <c r="E595" s="27">
        <v>1</v>
      </c>
      <c r="F595" s="27">
        <v>1</v>
      </c>
      <c r="G595" s="22"/>
    </row>
    <row r="596" spans="1:7" x14ac:dyDescent="0.25">
      <c r="A596" s="20" t="s">
        <v>597</v>
      </c>
      <c r="B596" s="20" t="s">
        <v>396</v>
      </c>
      <c r="C596" s="20" t="s">
        <v>396</v>
      </c>
      <c r="D596" s="20" t="s">
        <v>792</v>
      </c>
      <c r="E596" s="27">
        <v>4</v>
      </c>
      <c r="F596" s="27">
        <v>4</v>
      </c>
      <c r="G596" s="22"/>
    </row>
    <row r="597" spans="1:7" x14ac:dyDescent="0.25">
      <c r="A597" s="20" t="s">
        <v>597</v>
      </c>
      <c r="B597" s="20" t="s">
        <v>420</v>
      </c>
      <c r="C597" s="20" t="s">
        <v>420</v>
      </c>
      <c r="D597" s="20" t="s">
        <v>792</v>
      </c>
      <c r="E597" s="33">
        <v>1.9</v>
      </c>
      <c r="F597" s="33">
        <v>1.9</v>
      </c>
      <c r="G597" s="31">
        <v>0.64</v>
      </c>
    </row>
    <row r="598" spans="1:7" x14ac:dyDescent="0.25">
      <c r="A598" s="20" t="s">
        <v>597</v>
      </c>
      <c r="B598" s="20" t="s">
        <v>437</v>
      </c>
      <c r="C598" s="20" t="s">
        <v>437</v>
      </c>
      <c r="D598" s="20" t="s">
        <v>792</v>
      </c>
      <c r="E598" s="27">
        <v>1</v>
      </c>
      <c r="F598" s="27">
        <v>1</v>
      </c>
      <c r="G598" s="29">
        <v>5.5140000000000002E-2</v>
      </c>
    </row>
    <row r="599" spans="1:7" x14ac:dyDescent="0.25">
      <c r="A599" s="20" t="s">
        <v>597</v>
      </c>
      <c r="B599" s="20" t="s">
        <v>465</v>
      </c>
      <c r="C599" s="20" t="s">
        <v>465</v>
      </c>
      <c r="D599" s="20" t="s">
        <v>792</v>
      </c>
      <c r="E599" s="27">
        <v>1</v>
      </c>
      <c r="F599" s="27">
        <v>1</v>
      </c>
      <c r="G599" s="29">
        <v>0.12008000000000001</v>
      </c>
    </row>
    <row r="600" spans="1:7" x14ac:dyDescent="0.25">
      <c r="A600" s="20" t="s">
        <v>597</v>
      </c>
      <c r="B600" s="20" t="s">
        <v>477</v>
      </c>
      <c r="C600" s="20" t="s">
        <v>477</v>
      </c>
      <c r="D600" s="20" t="s">
        <v>792</v>
      </c>
      <c r="E600" s="27">
        <v>4</v>
      </c>
      <c r="F600" s="27">
        <v>4</v>
      </c>
      <c r="G600" s="22"/>
    </row>
    <row r="601" spans="1:7" x14ac:dyDescent="0.25">
      <c r="A601" s="20" t="s">
        <v>597</v>
      </c>
      <c r="B601" s="20" t="s">
        <v>481</v>
      </c>
      <c r="C601" s="20" t="s">
        <v>481</v>
      </c>
      <c r="D601" s="20" t="s">
        <v>792</v>
      </c>
      <c r="E601" s="27">
        <v>4</v>
      </c>
      <c r="F601" s="27">
        <v>4</v>
      </c>
      <c r="G601" s="22"/>
    </row>
    <row r="602" spans="1:7" x14ac:dyDescent="0.25">
      <c r="A602" s="20" t="s">
        <v>597</v>
      </c>
      <c r="B602" s="20" t="s">
        <v>482</v>
      </c>
      <c r="C602" s="20" t="s">
        <v>482</v>
      </c>
      <c r="D602" s="20" t="s">
        <v>792</v>
      </c>
      <c r="E602" s="27">
        <v>4</v>
      </c>
      <c r="F602" s="27">
        <v>4</v>
      </c>
      <c r="G602" s="22"/>
    </row>
    <row r="603" spans="1:7" ht="22.5" x14ac:dyDescent="0.25">
      <c r="A603" s="20" t="s">
        <v>595</v>
      </c>
      <c r="B603" s="20" t="s">
        <v>793</v>
      </c>
      <c r="C603" s="20" t="s">
        <v>793</v>
      </c>
      <c r="D603" s="20" t="s">
        <v>794</v>
      </c>
      <c r="E603" s="27">
        <v>1</v>
      </c>
      <c r="F603" s="27">
        <v>1</v>
      </c>
      <c r="G603" s="29">
        <v>6.9870000000000002E-2</v>
      </c>
    </row>
    <row r="604" spans="1:7" ht="22.5" x14ac:dyDescent="0.25">
      <c r="A604" s="20" t="s">
        <v>597</v>
      </c>
      <c r="B604" s="20" t="s">
        <v>380</v>
      </c>
      <c r="C604" s="20" t="s">
        <v>380</v>
      </c>
      <c r="D604" s="20" t="s">
        <v>794</v>
      </c>
      <c r="E604" s="27">
        <v>1</v>
      </c>
      <c r="F604" s="27">
        <v>1</v>
      </c>
      <c r="G604" s="29">
        <v>5.96E-3</v>
      </c>
    </row>
    <row r="605" spans="1:7" ht="22.5" x14ac:dyDescent="0.25">
      <c r="A605" s="20" t="s">
        <v>597</v>
      </c>
      <c r="B605" s="20" t="s">
        <v>411</v>
      </c>
      <c r="C605" s="20" t="s">
        <v>411</v>
      </c>
      <c r="D605" s="20" t="s">
        <v>794</v>
      </c>
      <c r="E605" s="27">
        <v>6</v>
      </c>
      <c r="F605" s="27">
        <v>6</v>
      </c>
      <c r="G605" s="29">
        <v>1.55158</v>
      </c>
    </row>
    <row r="606" spans="1:7" ht="22.5" x14ac:dyDescent="0.25">
      <c r="A606" s="20" t="s">
        <v>597</v>
      </c>
      <c r="B606" s="20" t="s">
        <v>413</v>
      </c>
      <c r="C606" s="20" t="s">
        <v>413</v>
      </c>
      <c r="D606" s="20" t="s">
        <v>794</v>
      </c>
      <c r="E606" s="27">
        <v>2</v>
      </c>
      <c r="F606" s="27">
        <v>2</v>
      </c>
      <c r="G606" s="22"/>
    </row>
    <row r="607" spans="1:7" ht="22.5" x14ac:dyDescent="0.25">
      <c r="A607" s="20" t="s">
        <v>597</v>
      </c>
      <c r="B607" s="20" t="s">
        <v>420</v>
      </c>
      <c r="C607" s="20" t="s">
        <v>420</v>
      </c>
      <c r="D607" s="20" t="s">
        <v>794</v>
      </c>
      <c r="E607" s="33">
        <v>18.899999999999999</v>
      </c>
      <c r="F607" s="33">
        <v>18.899999999999999</v>
      </c>
      <c r="G607" s="31">
        <v>0.64</v>
      </c>
    </row>
    <row r="608" spans="1:7" ht="22.5" x14ac:dyDescent="0.25">
      <c r="A608" s="20" t="s">
        <v>597</v>
      </c>
      <c r="B608" s="20" t="s">
        <v>437</v>
      </c>
      <c r="C608" s="20" t="s">
        <v>437</v>
      </c>
      <c r="D608" s="20" t="s">
        <v>794</v>
      </c>
      <c r="E608" s="27">
        <v>1</v>
      </c>
      <c r="F608" s="27">
        <v>1</v>
      </c>
      <c r="G608" s="29">
        <v>5.5140000000000002E-2</v>
      </c>
    </row>
    <row r="609" spans="1:7" ht="22.5" x14ac:dyDescent="0.25">
      <c r="A609" s="20" t="s">
        <v>597</v>
      </c>
      <c r="B609" s="20" t="s">
        <v>439</v>
      </c>
      <c r="C609" s="20" t="s">
        <v>439</v>
      </c>
      <c r="D609" s="20" t="s">
        <v>794</v>
      </c>
      <c r="E609" s="27">
        <v>1</v>
      </c>
      <c r="F609" s="27">
        <v>1</v>
      </c>
      <c r="G609" s="29">
        <v>0.12127</v>
      </c>
    </row>
    <row r="610" spans="1:7" ht="22.5" x14ac:dyDescent="0.25">
      <c r="A610" s="20" t="s">
        <v>597</v>
      </c>
      <c r="B610" s="20" t="s">
        <v>441</v>
      </c>
      <c r="C610" s="20" t="s">
        <v>441</v>
      </c>
      <c r="D610" s="20" t="s">
        <v>794</v>
      </c>
      <c r="E610" s="27">
        <v>16</v>
      </c>
      <c r="F610" s="27">
        <v>16</v>
      </c>
      <c r="G610" s="29">
        <v>8.0509999999999998E-2</v>
      </c>
    </row>
    <row r="611" spans="1:7" ht="22.5" x14ac:dyDescent="0.25">
      <c r="A611" s="20" t="s">
        <v>597</v>
      </c>
      <c r="B611" s="20" t="s">
        <v>444</v>
      </c>
      <c r="C611" s="20" t="s">
        <v>444</v>
      </c>
      <c r="D611" s="20" t="s">
        <v>794</v>
      </c>
      <c r="E611" s="27">
        <v>2</v>
      </c>
      <c r="F611" s="27">
        <v>2</v>
      </c>
      <c r="G611" s="29">
        <v>0.11058999999999999</v>
      </c>
    </row>
    <row r="612" spans="1:7" ht="22.5" x14ac:dyDescent="0.25">
      <c r="A612" s="20" t="s">
        <v>597</v>
      </c>
      <c r="B612" s="20" t="s">
        <v>445</v>
      </c>
      <c r="C612" s="20" t="s">
        <v>445</v>
      </c>
      <c r="D612" s="20" t="s">
        <v>794</v>
      </c>
      <c r="E612" s="27">
        <v>1</v>
      </c>
      <c r="F612" s="27">
        <v>1</v>
      </c>
      <c r="G612" s="29">
        <v>6.6059999999999994E-2</v>
      </c>
    </row>
    <row r="613" spans="1:7" ht="22.5" x14ac:dyDescent="0.25">
      <c r="A613" s="20" t="s">
        <v>597</v>
      </c>
      <c r="B613" s="20" t="s">
        <v>446</v>
      </c>
      <c r="C613" s="20" t="s">
        <v>446</v>
      </c>
      <c r="D613" s="20" t="s">
        <v>794</v>
      </c>
      <c r="E613" s="27">
        <v>1</v>
      </c>
      <c r="F613" s="27">
        <v>1</v>
      </c>
      <c r="G613" s="29">
        <v>7.467E-2</v>
      </c>
    </row>
    <row r="614" spans="1:7" ht="22.5" x14ac:dyDescent="0.25">
      <c r="A614" s="20" t="s">
        <v>597</v>
      </c>
      <c r="B614" s="20" t="s">
        <v>481</v>
      </c>
      <c r="C614" s="20" t="s">
        <v>481</v>
      </c>
      <c r="D614" s="20" t="s">
        <v>794</v>
      </c>
      <c r="E614" s="27">
        <v>105</v>
      </c>
      <c r="F614" s="27">
        <v>105</v>
      </c>
      <c r="G614" s="22"/>
    </row>
    <row r="615" spans="1:7" ht="22.5" x14ac:dyDescent="0.25">
      <c r="A615" s="20" t="s">
        <v>597</v>
      </c>
      <c r="B615" s="20" t="s">
        <v>482</v>
      </c>
      <c r="C615" s="20" t="s">
        <v>482</v>
      </c>
      <c r="D615" s="20" t="s">
        <v>794</v>
      </c>
      <c r="E615" s="27">
        <v>35</v>
      </c>
      <c r="F615" s="27">
        <v>35</v>
      </c>
      <c r="G615" s="22"/>
    </row>
    <row r="616" spans="1:7" ht="22.5" x14ac:dyDescent="0.25">
      <c r="A616" s="20" t="s">
        <v>597</v>
      </c>
      <c r="B616" s="20" t="s">
        <v>483</v>
      </c>
      <c r="C616" s="20" t="s">
        <v>483</v>
      </c>
      <c r="D616" s="20" t="s">
        <v>794</v>
      </c>
      <c r="E616" s="27">
        <v>45</v>
      </c>
      <c r="F616" s="27">
        <v>45</v>
      </c>
      <c r="G616" s="22"/>
    </row>
    <row r="617" spans="1:7" ht="22.5" x14ac:dyDescent="0.25">
      <c r="A617" s="20" t="s">
        <v>597</v>
      </c>
      <c r="B617" s="20" t="s">
        <v>490</v>
      </c>
      <c r="C617" s="20" t="s">
        <v>490</v>
      </c>
      <c r="D617" s="20" t="s">
        <v>794</v>
      </c>
      <c r="E617" s="27">
        <v>20</v>
      </c>
      <c r="F617" s="27">
        <v>20</v>
      </c>
      <c r="G617" s="29">
        <v>2.5400000000000002E-3</v>
      </c>
    </row>
    <row r="618" spans="1:7" ht="22.5" x14ac:dyDescent="0.25">
      <c r="A618" s="20" t="s">
        <v>597</v>
      </c>
      <c r="B618" s="20" t="s">
        <v>499</v>
      </c>
      <c r="C618" s="20" t="s">
        <v>499</v>
      </c>
      <c r="D618" s="20" t="s">
        <v>794</v>
      </c>
      <c r="E618" s="27">
        <v>10</v>
      </c>
      <c r="F618" s="27">
        <v>10</v>
      </c>
      <c r="G618" s="29">
        <v>6.9849999999999995E-2</v>
      </c>
    </row>
    <row r="619" spans="1:7" ht="22.5" x14ac:dyDescent="0.25">
      <c r="A619" s="20" t="s">
        <v>597</v>
      </c>
      <c r="B619" s="20" t="s">
        <v>532</v>
      </c>
      <c r="C619" s="20" t="s">
        <v>532</v>
      </c>
      <c r="D619" s="20" t="s">
        <v>794</v>
      </c>
      <c r="E619" s="25">
        <v>7.29</v>
      </c>
      <c r="F619" s="25">
        <v>7.29</v>
      </c>
      <c r="G619" s="22"/>
    </row>
    <row r="620" spans="1:7" x14ac:dyDescent="0.25">
      <c r="A620" s="20" t="s">
        <v>595</v>
      </c>
      <c r="B620" s="20" t="s">
        <v>793</v>
      </c>
      <c r="C620" s="20" t="s">
        <v>793</v>
      </c>
      <c r="D620" s="20" t="s">
        <v>795</v>
      </c>
      <c r="E620" s="27">
        <v>1</v>
      </c>
      <c r="F620" s="27">
        <v>1</v>
      </c>
      <c r="G620" s="29">
        <v>6.9870000000000002E-2</v>
      </c>
    </row>
    <row r="621" spans="1:7" x14ac:dyDescent="0.25">
      <c r="A621" s="20" t="s">
        <v>597</v>
      </c>
      <c r="B621" s="20" t="s">
        <v>380</v>
      </c>
      <c r="C621" s="20" t="s">
        <v>380</v>
      </c>
      <c r="D621" s="20" t="s">
        <v>795</v>
      </c>
      <c r="E621" s="27">
        <v>1</v>
      </c>
      <c r="F621" s="27">
        <v>1</v>
      </c>
      <c r="G621" s="29">
        <v>5.96E-3</v>
      </c>
    </row>
    <row r="622" spans="1:7" x14ac:dyDescent="0.25">
      <c r="A622" s="20" t="s">
        <v>597</v>
      </c>
      <c r="B622" s="20" t="s">
        <v>396</v>
      </c>
      <c r="C622" s="20" t="s">
        <v>396</v>
      </c>
      <c r="D622" s="20" t="s">
        <v>795</v>
      </c>
      <c r="E622" s="27">
        <v>16</v>
      </c>
      <c r="F622" s="27">
        <v>16</v>
      </c>
      <c r="G622" s="22"/>
    </row>
    <row r="623" spans="1:7" x14ac:dyDescent="0.25">
      <c r="A623" s="20" t="s">
        <v>597</v>
      </c>
      <c r="B623" s="20" t="s">
        <v>420</v>
      </c>
      <c r="C623" s="20" t="s">
        <v>420</v>
      </c>
      <c r="D623" s="20" t="s">
        <v>795</v>
      </c>
      <c r="E623" s="33">
        <v>5.0999999999999996</v>
      </c>
      <c r="F623" s="33">
        <v>5.0999999999999996</v>
      </c>
      <c r="G623" s="31">
        <v>0.64</v>
      </c>
    </row>
    <row r="624" spans="1:7" x14ac:dyDescent="0.25">
      <c r="A624" s="20" t="s">
        <v>597</v>
      </c>
      <c r="B624" s="20" t="s">
        <v>437</v>
      </c>
      <c r="C624" s="20" t="s">
        <v>437</v>
      </c>
      <c r="D624" s="20" t="s">
        <v>795</v>
      </c>
      <c r="E624" s="27">
        <v>1</v>
      </c>
      <c r="F624" s="27">
        <v>1</v>
      </c>
      <c r="G624" s="29">
        <v>5.5140000000000002E-2</v>
      </c>
    </row>
    <row r="625" spans="1:7" ht="22.5" x14ac:dyDescent="0.25">
      <c r="A625" s="20" t="s">
        <v>597</v>
      </c>
      <c r="B625" s="20" t="s">
        <v>439</v>
      </c>
      <c r="C625" s="20" t="s">
        <v>439</v>
      </c>
      <c r="D625" s="20" t="s">
        <v>795</v>
      </c>
      <c r="E625" s="27">
        <v>1</v>
      </c>
      <c r="F625" s="27">
        <v>1</v>
      </c>
      <c r="G625" s="29">
        <v>0.12127</v>
      </c>
    </row>
    <row r="626" spans="1:7" x14ac:dyDescent="0.25">
      <c r="A626" s="20" t="s">
        <v>597</v>
      </c>
      <c r="B626" s="20" t="s">
        <v>441</v>
      </c>
      <c r="C626" s="20" t="s">
        <v>441</v>
      </c>
      <c r="D626" s="20" t="s">
        <v>795</v>
      </c>
      <c r="E626" s="27">
        <v>1</v>
      </c>
      <c r="F626" s="27">
        <v>1</v>
      </c>
      <c r="G626" s="29">
        <v>8.0509999999999998E-2</v>
      </c>
    </row>
    <row r="627" spans="1:7" x14ac:dyDescent="0.25">
      <c r="A627" s="20" t="s">
        <v>597</v>
      </c>
      <c r="B627" s="20" t="s">
        <v>444</v>
      </c>
      <c r="C627" s="20" t="s">
        <v>444</v>
      </c>
      <c r="D627" s="20" t="s">
        <v>795</v>
      </c>
      <c r="E627" s="27">
        <v>2</v>
      </c>
      <c r="F627" s="27">
        <v>2</v>
      </c>
      <c r="G627" s="29">
        <v>0.11058999999999999</v>
      </c>
    </row>
    <row r="628" spans="1:7" x14ac:dyDescent="0.25">
      <c r="A628" s="20" t="s">
        <v>597</v>
      </c>
      <c r="B628" s="20" t="s">
        <v>445</v>
      </c>
      <c r="C628" s="20" t="s">
        <v>445</v>
      </c>
      <c r="D628" s="20" t="s">
        <v>795</v>
      </c>
      <c r="E628" s="27">
        <v>1</v>
      </c>
      <c r="F628" s="27">
        <v>1</v>
      </c>
      <c r="G628" s="29">
        <v>6.6059999999999994E-2</v>
      </c>
    </row>
    <row r="629" spans="1:7" x14ac:dyDescent="0.25">
      <c r="A629" s="20" t="s">
        <v>597</v>
      </c>
      <c r="B629" s="20" t="s">
        <v>446</v>
      </c>
      <c r="C629" s="20" t="s">
        <v>446</v>
      </c>
      <c r="D629" s="20" t="s">
        <v>795</v>
      </c>
      <c r="E629" s="27">
        <v>1</v>
      </c>
      <c r="F629" s="27">
        <v>1</v>
      </c>
      <c r="G629" s="29">
        <v>7.467E-2</v>
      </c>
    </row>
    <row r="630" spans="1:7" x14ac:dyDescent="0.25">
      <c r="A630" s="20" t="s">
        <v>597</v>
      </c>
      <c r="B630" s="20" t="s">
        <v>490</v>
      </c>
      <c r="C630" s="20" t="s">
        <v>490</v>
      </c>
      <c r="D630" s="20" t="s">
        <v>795</v>
      </c>
      <c r="E630" s="27">
        <v>2</v>
      </c>
      <c r="F630" s="27">
        <v>2</v>
      </c>
      <c r="G630" s="29">
        <v>2.5400000000000002E-3</v>
      </c>
    </row>
    <row r="631" spans="1:7" x14ac:dyDescent="0.25">
      <c r="A631" s="20" t="s">
        <v>597</v>
      </c>
      <c r="B631" s="20" t="s">
        <v>532</v>
      </c>
      <c r="C631" s="20" t="s">
        <v>532</v>
      </c>
      <c r="D631" s="20" t="s">
        <v>795</v>
      </c>
      <c r="E631" s="33">
        <v>7.3</v>
      </c>
      <c r="F631" s="33">
        <v>7.3</v>
      </c>
      <c r="G631" s="22"/>
    </row>
    <row r="632" spans="1:7" ht="22.5" x14ac:dyDescent="0.25">
      <c r="A632" s="20" t="s">
        <v>597</v>
      </c>
      <c r="B632" s="20" t="s">
        <v>775</v>
      </c>
      <c r="C632" s="20" t="s">
        <v>775</v>
      </c>
      <c r="D632" s="20" t="s">
        <v>796</v>
      </c>
      <c r="E632" s="27">
        <v>42</v>
      </c>
      <c r="F632" s="27">
        <v>42</v>
      </c>
      <c r="G632" s="22"/>
    </row>
    <row r="633" spans="1:7" ht="22.5" x14ac:dyDescent="0.25">
      <c r="A633" s="20" t="s">
        <v>597</v>
      </c>
      <c r="B633" s="20" t="s">
        <v>411</v>
      </c>
      <c r="C633" s="20" t="s">
        <v>411</v>
      </c>
      <c r="D633" s="20" t="s">
        <v>796</v>
      </c>
      <c r="E633" s="27">
        <v>2</v>
      </c>
      <c r="F633" s="27">
        <v>2</v>
      </c>
      <c r="G633" s="29">
        <v>1.55158</v>
      </c>
    </row>
    <row r="634" spans="1:7" ht="22.5" x14ac:dyDescent="0.25">
      <c r="A634" s="20" t="s">
        <v>597</v>
      </c>
      <c r="B634" s="20" t="s">
        <v>412</v>
      </c>
      <c r="C634" s="20" t="s">
        <v>412</v>
      </c>
      <c r="D634" s="20" t="s">
        <v>796</v>
      </c>
      <c r="E634" s="27">
        <v>1</v>
      </c>
      <c r="F634" s="27">
        <v>1</v>
      </c>
      <c r="G634" s="22"/>
    </row>
    <row r="635" spans="1:7" ht="22.5" x14ac:dyDescent="0.25">
      <c r="A635" s="20" t="s">
        <v>597</v>
      </c>
      <c r="B635" s="20" t="s">
        <v>421</v>
      </c>
      <c r="C635" s="20" t="s">
        <v>421</v>
      </c>
      <c r="D635" s="20" t="s">
        <v>796</v>
      </c>
      <c r="E635" s="33">
        <v>2.2999999999999998</v>
      </c>
      <c r="F635" s="33">
        <v>2.2999999999999998</v>
      </c>
      <c r="G635" s="31">
        <v>0.23</v>
      </c>
    </row>
    <row r="636" spans="1:7" ht="22.5" x14ac:dyDescent="0.25">
      <c r="A636" s="20" t="s">
        <v>597</v>
      </c>
      <c r="B636" s="20" t="s">
        <v>442</v>
      </c>
      <c r="C636" s="20" t="s">
        <v>442</v>
      </c>
      <c r="D636" s="20" t="s">
        <v>796</v>
      </c>
      <c r="E636" s="27">
        <v>1</v>
      </c>
      <c r="F636" s="27">
        <v>1</v>
      </c>
      <c r="G636" s="28">
        <v>0.1109</v>
      </c>
    </row>
    <row r="637" spans="1:7" ht="22.5" x14ac:dyDescent="0.25">
      <c r="A637" s="20" t="s">
        <v>597</v>
      </c>
      <c r="B637" s="20" t="s">
        <v>444</v>
      </c>
      <c r="C637" s="20" t="s">
        <v>444</v>
      </c>
      <c r="D637" s="20" t="s">
        <v>796</v>
      </c>
      <c r="E637" s="27">
        <v>6</v>
      </c>
      <c r="F637" s="27">
        <v>6</v>
      </c>
      <c r="G637" s="29">
        <v>0.11058999999999999</v>
      </c>
    </row>
    <row r="638" spans="1:7" ht="22.5" x14ac:dyDescent="0.25">
      <c r="A638" s="20" t="s">
        <v>597</v>
      </c>
      <c r="B638" s="20" t="s">
        <v>445</v>
      </c>
      <c r="C638" s="20" t="s">
        <v>445</v>
      </c>
      <c r="D638" s="20" t="s">
        <v>796</v>
      </c>
      <c r="E638" s="27">
        <v>12</v>
      </c>
      <c r="F638" s="27">
        <v>12</v>
      </c>
      <c r="G638" s="29">
        <v>6.6059999999999994E-2</v>
      </c>
    </row>
    <row r="639" spans="1:7" ht="22.5" x14ac:dyDescent="0.25">
      <c r="A639" s="20" t="s">
        <v>597</v>
      </c>
      <c r="B639" s="20" t="s">
        <v>464</v>
      </c>
      <c r="C639" s="20" t="s">
        <v>464</v>
      </c>
      <c r="D639" s="20" t="s">
        <v>796</v>
      </c>
      <c r="E639" s="27">
        <v>2</v>
      </c>
      <c r="F639" s="27">
        <v>2</v>
      </c>
      <c r="G639" s="29">
        <v>3.0020000000000002E-2</v>
      </c>
    </row>
    <row r="640" spans="1:7" ht="22.5" x14ac:dyDescent="0.25">
      <c r="A640" s="20" t="s">
        <v>597</v>
      </c>
      <c r="B640" s="20" t="s">
        <v>482</v>
      </c>
      <c r="C640" s="20" t="s">
        <v>482</v>
      </c>
      <c r="D640" s="20" t="s">
        <v>796</v>
      </c>
      <c r="E640" s="27">
        <v>46</v>
      </c>
      <c r="F640" s="27">
        <v>46</v>
      </c>
      <c r="G640" s="22"/>
    </row>
    <row r="641" spans="1:7" ht="22.5" x14ac:dyDescent="0.25">
      <c r="A641" s="20" t="s">
        <v>597</v>
      </c>
      <c r="B641" s="20" t="s">
        <v>490</v>
      </c>
      <c r="C641" s="20" t="s">
        <v>490</v>
      </c>
      <c r="D641" s="20" t="s">
        <v>796</v>
      </c>
      <c r="E641" s="27">
        <v>12</v>
      </c>
      <c r="F641" s="27">
        <v>12</v>
      </c>
      <c r="G641" s="29">
        <v>2.5400000000000002E-3</v>
      </c>
    </row>
    <row r="642" spans="1:7" ht="22.5" x14ac:dyDescent="0.25">
      <c r="A642" s="20" t="s">
        <v>597</v>
      </c>
      <c r="B642" s="20" t="s">
        <v>491</v>
      </c>
      <c r="C642" s="20" t="s">
        <v>491</v>
      </c>
      <c r="D642" s="20" t="s">
        <v>796</v>
      </c>
      <c r="E642" s="27">
        <v>3</v>
      </c>
      <c r="F642" s="27">
        <v>3</v>
      </c>
      <c r="G642" s="29">
        <v>3.6800000000000001E-3</v>
      </c>
    </row>
    <row r="643" spans="1:7" ht="22.5" x14ac:dyDescent="0.25">
      <c r="A643" s="20" t="s">
        <v>597</v>
      </c>
      <c r="B643" s="20" t="s">
        <v>532</v>
      </c>
      <c r="C643" s="20" t="s">
        <v>532</v>
      </c>
      <c r="D643" s="20" t="s">
        <v>796</v>
      </c>
      <c r="E643" s="25">
        <v>26.99</v>
      </c>
      <c r="F643" s="25">
        <v>26.99</v>
      </c>
      <c r="G643" s="22"/>
    </row>
    <row r="644" spans="1:7" ht="22.5" x14ac:dyDescent="0.25">
      <c r="A644" s="20" t="s">
        <v>597</v>
      </c>
      <c r="B644" s="20" t="s">
        <v>380</v>
      </c>
      <c r="C644" s="20" t="s">
        <v>380</v>
      </c>
      <c r="D644" s="20" t="s">
        <v>797</v>
      </c>
      <c r="E644" s="27">
        <v>1</v>
      </c>
      <c r="F644" s="27">
        <v>1</v>
      </c>
      <c r="G644" s="29">
        <v>5.96E-3</v>
      </c>
    </row>
    <row r="645" spans="1:7" ht="22.5" x14ac:dyDescent="0.25">
      <c r="A645" s="20" t="s">
        <v>597</v>
      </c>
      <c r="B645" s="20" t="s">
        <v>411</v>
      </c>
      <c r="C645" s="20" t="s">
        <v>411</v>
      </c>
      <c r="D645" s="20" t="s">
        <v>797</v>
      </c>
      <c r="E645" s="27">
        <v>1</v>
      </c>
      <c r="F645" s="27">
        <v>1</v>
      </c>
      <c r="G645" s="29">
        <v>1.55158</v>
      </c>
    </row>
    <row r="646" spans="1:7" ht="22.5" x14ac:dyDescent="0.25">
      <c r="A646" s="20" t="s">
        <v>597</v>
      </c>
      <c r="B646" s="20" t="s">
        <v>420</v>
      </c>
      <c r="C646" s="20" t="s">
        <v>420</v>
      </c>
      <c r="D646" s="20" t="s">
        <v>797</v>
      </c>
      <c r="E646" s="25">
        <v>20.55</v>
      </c>
      <c r="F646" s="25">
        <v>20.55</v>
      </c>
      <c r="G646" s="31">
        <v>0.64</v>
      </c>
    </row>
    <row r="647" spans="1:7" ht="22.5" x14ac:dyDescent="0.25">
      <c r="A647" s="20" t="s">
        <v>597</v>
      </c>
      <c r="B647" s="20" t="s">
        <v>437</v>
      </c>
      <c r="C647" s="20" t="s">
        <v>437</v>
      </c>
      <c r="D647" s="20" t="s">
        <v>797</v>
      </c>
      <c r="E647" s="27">
        <v>1</v>
      </c>
      <c r="F647" s="27">
        <v>1</v>
      </c>
      <c r="G647" s="29">
        <v>5.5140000000000002E-2</v>
      </c>
    </row>
    <row r="648" spans="1:7" ht="22.5" x14ac:dyDescent="0.25">
      <c r="A648" s="20" t="s">
        <v>597</v>
      </c>
      <c r="B648" s="20" t="s">
        <v>439</v>
      </c>
      <c r="C648" s="20" t="s">
        <v>439</v>
      </c>
      <c r="D648" s="20" t="s">
        <v>797</v>
      </c>
      <c r="E648" s="27">
        <v>2</v>
      </c>
      <c r="F648" s="27">
        <v>2</v>
      </c>
      <c r="G648" s="29">
        <v>0.12127</v>
      </c>
    </row>
    <row r="649" spans="1:7" ht="22.5" x14ac:dyDescent="0.25">
      <c r="A649" s="20" t="s">
        <v>597</v>
      </c>
      <c r="B649" s="20" t="s">
        <v>441</v>
      </c>
      <c r="C649" s="20" t="s">
        <v>441</v>
      </c>
      <c r="D649" s="20" t="s">
        <v>797</v>
      </c>
      <c r="E649" s="27">
        <v>2</v>
      </c>
      <c r="F649" s="27">
        <v>2</v>
      </c>
      <c r="G649" s="29">
        <v>8.0509999999999998E-2</v>
      </c>
    </row>
    <row r="650" spans="1:7" ht="22.5" x14ac:dyDescent="0.25">
      <c r="A650" s="20" t="s">
        <v>597</v>
      </c>
      <c r="B650" s="20" t="s">
        <v>464</v>
      </c>
      <c r="C650" s="20" t="s">
        <v>464</v>
      </c>
      <c r="D650" s="20" t="s">
        <v>797</v>
      </c>
      <c r="E650" s="27">
        <v>1</v>
      </c>
      <c r="F650" s="27">
        <v>1</v>
      </c>
      <c r="G650" s="29">
        <v>3.0020000000000002E-2</v>
      </c>
    </row>
    <row r="651" spans="1:7" ht="22.5" x14ac:dyDescent="0.25">
      <c r="A651" s="20" t="s">
        <v>597</v>
      </c>
      <c r="B651" s="20" t="s">
        <v>477</v>
      </c>
      <c r="C651" s="20" t="s">
        <v>477</v>
      </c>
      <c r="D651" s="20" t="s">
        <v>797</v>
      </c>
      <c r="E651" s="27">
        <v>25</v>
      </c>
      <c r="F651" s="27">
        <v>25</v>
      </c>
      <c r="G651" s="22"/>
    </row>
    <row r="652" spans="1:7" ht="22.5" x14ac:dyDescent="0.25">
      <c r="A652" s="20" t="s">
        <v>597</v>
      </c>
      <c r="B652" s="20" t="s">
        <v>482</v>
      </c>
      <c r="C652" s="20" t="s">
        <v>482</v>
      </c>
      <c r="D652" s="20" t="s">
        <v>797</v>
      </c>
      <c r="E652" s="27">
        <v>26</v>
      </c>
      <c r="F652" s="27">
        <v>26</v>
      </c>
      <c r="G652" s="22"/>
    </row>
    <row r="653" spans="1:7" ht="22.5" x14ac:dyDescent="0.25">
      <c r="A653" s="20" t="s">
        <v>597</v>
      </c>
      <c r="B653" s="20" t="s">
        <v>483</v>
      </c>
      <c r="C653" s="20" t="s">
        <v>483</v>
      </c>
      <c r="D653" s="20" t="s">
        <v>797</v>
      </c>
      <c r="E653" s="27">
        <v>146</v>
      </c>
      <c r="F653" s="27">
        <v>146</v>
      </c>
      <c r="G653" s="22"/>
    </row>
    <row r="654" spans="1:7" ht="22.5" x14ac:dyDescent="0.25">
      <c r="A654" s="20" t="s">
        <v>597</v>
      </c>
      <c r="B654" s="20" t="s">
        <v>490</v>
      </c>
      <c r="C654" s="20" t="s">
        <v>490</v>
      </c>
      <c r="D654" s="20" t="s">
        <v>797</v>
      </c>
      <c r="E654" s="27">
        <v>5</v>
      </c>
      <c r="F654" s="27">
        <v>5</v>
      </c>
      <c r="G654" s="29">
        <v>2.5400000000000002E-3</v>
      </c>
    </row>
    <row r="655" spans="1:7" ht="22.5" x14ac:dyDescent="0.25">
      <c r="A655" s="20" t="s">
        <v>597</v>
      </c>
      <c r="B655" s="20" t="s">
        <v>491</v>
      </c>
      <c r="C655" s="20" t="s">
        <v>491</v>
      </c>
      <c r="D655" s="20" t="s">
        <v>797</v>
      </c>
      <c r="E655" s="27">
        <v>2</v>
      </c>
      <c r="F655" s="27">
        <v>2</v>
      </c>
      <c r="G655" s="29">
        <v>3.6800000000000001E-3</v>
      </c>
    </row>
    <row r="656" spans="1:7" ht="22.5" x14ac:dyDescent="0.25">
      <c r="A656" s="20" t="s">
        <v>597</v>
      </c>
      <c r="B656" s="20" t="s">
        <v>420</v>
      </c>
      <c r="C656" s="20" t="s">
        <v>420</v>
      </c>
      <c r="D656" s="20" t="s">
        <v>798</v>
      </c>
      <c r="E656" s="33">
        <v>1.8</v>
      </c>
      <c r="F656" s="33">
        <v>1.8</v>
      </c>
      <c r="G656" s="31">
        <v>0.64</v>
      </c>
    </row>
    <row r="657" spans="1:7" ht="22.5" x14ac:dyDescent="0.25">
      <c r="A657" s="20" t="s">
        <v>597</v>
      </c>
      <c r="B657" s="20" t="s">
        <v>437</v>
      </c>
      <c r="C657" s="20" t="s">
        <v>437</v>
      </c>
      <c r="D657" s="20" t="s">
        <v>798</v>
      </c>
      <c r="E657" s="27">
        <v>1</v>
      </c>
      <c r="F657" s="27">
        <v>1</v>
      </c>
      <c r="G657" s="29">
        <v>5.5140000000000002E-2</v>
      </c>
    </row>
    <row r="658" spans="1:7" ht="22.5" x14ac:dyDescent="0.25">
      <c r="A658" s="20" t="s">
        <v>597</v>
      </c>
      <c r="B658" s="20" t="s">
        <v>481</v>
      </c>
      <c r="C658" s="20" t="s">
        <v>481</v>
      </c>
      <c r="D658" s="20" t="s">
        <v>798</v>
      </c>
      <c r="E658" s="27">
        <v>9</v>
      </c>
      <c r="F658" s="27">
        <v>9</v>
      </c>
      <c r="G658" s="22"/>
    </row>
    <row r="659" spans="1:7" x14ac:dyDescent="0.25">
      <c r="A659" s="20" t="s">
        <v>597</v>
      </c>
      <c r="B659" s="20" t="s">
        <v>571</v>
      </c>
      <c r="C659" s="20" t="s">
        <v>571</v>
      </c>
      <c r="D659" s="20" t="s">
        <v>799</v>
      </c>
      <c r="E659" s="27">
        <v>4</v>
      </c>
      <c r="F659" s="27">
        <v>4</v>
      </c>
      <c r="G659" s="22"/>
    </row>
    <row r="660" spans="1:7" x14ac:dyDescent="0.25">
      <c r="A660" s="20" t="s">
        <v>597</v>
      </c>
      <c r="B660" s="20" t="s">
        <v>395</v>
      </c>
      <c r="C660" s="20" t="s">
        <v>395</v>
      </c>
      <c r="D660" s="20" t="s">
        <v>799</v>
      </c>
      <c r="E660" s="27">
        <v>87</v>
      </c>
      <c r="F660" s="27">
        <v>87</v>
      </c>
      <c r="G660" s="22"/>
    </row>
    <row r="661" spans="1:7" x14ac:dyDescent="0.25">
      <c r="A661" s="20" t="s">
        <v>597</v>
      </c>
      <c r="B661" s="20" t="s">
        <v>572</v>
      </c>
      <c r="C661" s="20" t="s">
        <v>572</v>
      </c>
      <c r="D661" s="20" t="s">
        <v>799</v>
      </c>
      <c r="E661" s="27">
        <v>4</v>
      </c>
      <c r="F661" s="27">
        <v>4</v>
      </c>
      <c r="G661" s="22"/>
    </row>
    <row r="662" spans="1:7" x14ac:dyDescent="0.25">
      <c r="A662" s="20" t="s">
        <v>597</v>
      </c>
      <c r="B662" s="20" t="s">
        <v>422</v>
      </c>
      <c r="C662" s="20" t="s">
        <v>422</v>
      </c>
      <c r="D662" s="20" t="s">
        <v>799</v>
      </c>
      <c r="E662" s="33">
        <v>27.4</v>
      </c>
      <c r="F662" s="33">
        <v>27.4</v>
      </c>
      <c r="G662" s="22"/>
    </row>
    <row r="663" spans="1:7" x14ac:dyDescent="0.25">
      <c r="A663" s="20" t="s">
        <v>597</v>
      </c>
      <c r="B663" s="20" t="s">
        <v>438</v>
      </c>
      <c r="C663" s="20" t="s">
        <v>438</v>
      </c>
      <c r="D663" s="20" t="s">
        <v>799</v>
      </c>
      <c r="E663" s="27">
        <v>2</v>
      </c>
      <c r="F663" s="27">
        <v>2</v>
      </c>
      <c r="G663" s="29">
        <v>0.36936999999999998</v>
      </c>
    </row>
    <row r="664" spans="1:7" ht="22.5" x14ac:dyDescent="0.25">
      <c r="A664" s="20" t="s">
        <v>597</v>
      </c>
      <c r="B664" s="20" t="s">
        <v>573</v>
      </c>
      <c r="C664" s="20" t="s">
        <v>573</v>
      </c>
      <c r="D664" s="20" t="s">
        <v>799</v>
      </c>
      <c r="E664" s="27">
        <v>4</v>
      </c>
      <c r="F664" s="27">
        <v>4</v>
      </c>
      <c r="G664" s="22"/>
    </row>
    <row r="665" spans="1:7" x14ac:dyDescent="0.25">
      <c r="A665" s="20" t="s">
        <v>597</v>
      </c>
      <c r="B665" s="20" t="s">
        <v>574</v>
      </c>
      <c r="C665" s="20" t="s">
        <v>574</v>
      </c>
      <c r="D665" s="20" t="s">
        <v>799</v>
      </c>
      <c r="E665" s="27">
        <v>12</v>
      </c>
      <c r="F665" s="27">
        <v>12</v>
      </c>
      <c r="G665" s="22"/>
    </row>
    <row r="666" spans="1:7" x14ac:dyDescent="0.25">
      <c r="A666" s="20" t="s">
        <v>597</v>
      </c>
      <c r="B666" s="20" t="s">
        <v>477</v>
      </c>
      <c r="C666" s="20" t="s">
        <v>477</v>
      </c>
      <c r="D666" s="20" t="s">
        <v>799</v>
      </c>
      <c r="E666" s="27">
        <v>87</v>
      </c>
      <c r="F666" s="27">
        <v>87</v>
      </c>
      <c r="G666" s="22"/>
    </row>
    <row r="667" spans="1:7" x14ac:dyDescent="0.25">
      <c r="A667" s="20" t="s">
        <v>597</v>
      </c>
      <c r="B667" s="20" t="s">
        <v>481</v>
      </c>
      <c r="C667" s="20" t="s">
        <v>481</v>
      </c>
      <c r="D667" s="20" t="s">
        <v>799</v>
      </c>
      <c r="E667" s="30">
        <v>1305</v>
      </c>
      <c r="F667" s="30">
        <v>1305</v>
      </c>
      <c r="G667" s="22"/>
    </row>
    <row r="668" spans="1:7" x14ac:dyDescent="0.25">
      <c r="A668" s="20" t="s">
        <v>597</v>
      </c>
      <c r="B668" s="20" t="s">
        <v>482</v>
      </c>
      <c r="C668" s="20" t="s">
        <v>482</v>
      </c>
      <c r="D668" s="20" t="s">
        <v>799</v>
      </c>
      <c r="E668" s="27">
        <v>27</v>
      </c>
      <c r="F668" s="27">
        <v>27</v>
      </c>
      <c r="G668" s="22"/>
    </row>
    <row r="669" spans="1:7" x14ac:dyDescent="0.25">
      <c r="A669" s="20" t="s">
        <v>597</v>
      </c>
      <c r="B669" s="20" t="s">
        <v>492</v>
      </c>
      <c r="C669" s="20" t="s">
        <v>492</v>
      </c>
      <c r="D669" s="20" t="s">
        <v>799</v>
      </c>
      <c r="E669" s="27">
        <v>16</v>
      </c>
      <c r="F669" s="27">
        <v>16</v>
      </c>
      <c r="G669" s="22"/>
    </row>
    <row r="670" spans="1:7" x14ac:dyDescent="0.25">
      <c r="A670" s="20" t="s">
        <v>597</v>
      </c>
      <c r="B670" s="20" t="s">
        <v>575</v>
      </c>
      <c r="C670" s="20" t="s">
        <v>575</v>
      </c>
      <c r="D670" s="20" t="s">
        <v>799</v>
      </c>
      <c r="E670" s="27">
        <v>4</v>
      </c>
      <c r="F670" s="27">
        <v>4</v>
      </c>
      <c r="G670" s="22"/>
    </row>
    <row r="671" spans="1:7" x14ac:dyDescent="0.25">
      <c r="A671" s="20" t="s">
        <v>588</v>
      </c>
      <c r="B671" s="20" t="s">
        <v>131</v>
      </c>
      <c r="C671" s="20" t="s">
        <v>131</v>
      </c>
      <c r="D671" s="20" t="s">
        <v>605</v>
      </c>
      <c r="E671" s="26">
        <v>1.32314</v>
      </c>
      <c r="F671" s="26">
        <v>14.554539999999999</v>
      </c>
      <c r="G671" s="22"/>
    </row>
    <row r="672" spans="1:7" x14ac:dyDescent="0.25">
      <c r="A672" s="20" t="s">
        <v>588</v>
      </c>
      <c r="B672" s="20" t="s">
        <v>131</v>
      </c>
      <c r="C672" s="20" t="s">
        <v>131</v>
      </c>
      <c r="D672" s="20" t="s">
        <v>606</v>
      </c>
      <c r="E672" s="26">
        <v>1.32314</v>
      </c>
      <c r="F672" s="26">
        <v>14.554539999999999</v>
      </c>
      <c r="G672" s="22"/>
    </row>
    <row r="673" spans="1:7" x14ac:dyDescent="0.25">
      <c r="A673" s="20" t="s">
        <v>588</v>
      </c>
      <c r="B673" s="20" t="s">
        <v>131</v>
      </c>
      <c r="C673" s="20" t="s">
        <v>131</v>
      </c>
      <c r="D673" s="20" t="s">
        <v>607</v>
      </c>
      <c r="E673" s="32">
        <v>7.6879</v>
      </c>
      <c r="F673" s="32">
        <v>61.5032</v>
      </c>
      <c r="G673" s="22"/>
    </row>
    <row r="674" spans="1:7" x14ac:dyDescent="0.25">
      <c r="A674" s="20" t="s">
        <v>588</v>
      </c>
      <c r="B674" s="20" t="s">
        <v>130</v>
      </c>
      <c r="C674" s="20" t="s">
        <v>130</v>
      </c>
      <c r="D674" s="20" t="s">
        <v>800</v>
      </c>
      <c r="E674" s="32">
        <v>0.15129999999999999</v>
      </c>
      <c r="F674" s="24">
        <v>3.0259999999999998</v>
      </c>
      <c r="G674" s="22"/>
    </row>
    <row r="675" spans="1:7" x14ac:dyDescent="0.25">
      <c r="A675" s="20" t="s">
        <v>588</v>
      </c>
      <c r="B675" s="20" t="s">
        <v>128</v>
      </c>
      <c r="C675" s="20" t="s">
        <v>128</v>
      </c>
      <c r="D675" s="20" t="s">
        <v>801</v>
      </c>
      <c r="E675" s="26">
        <v>0.27787000000000001</v>
      </c>
      <c r="F675" s="32">
        <v>5.5574000000000003</v>
      </c>
      <c r="G675" s="22"/>
    </row>
    <row r="676" spans="1:7" x14ac:dyDescent="0.25">
      <c r="A676" s="20" t="s">
        <v>588</v>
      </c>
      <c r="B676" s="20" t="s">
        <v>123</v>
      </c>
      <c r="C676" s="20" t="s">
        <v>123</v>
      </c>
      <c r="D676" s="20" t="s">
        <v>802</v>
      </c>
      <c r="E676" s="32">
        <v>1.67E-2</v>
      </c>
      <c r="F676" s="32">
        <v>1.67E-2</v>
      </c>
      <c r="G676" s="22"/>
    </row>
    <row r="677" spans="1:7" x14ac:dyDescent="0.25">
      <c r="A677" s="20" t="s">
        <v>588</v>
      </c>
      <c r="B677" s="20" t="s">
        <v>92</v>
      </c>
      <c r="C677" s="20" t="s">
        <v>92</v>
      </c>
      <c r="D677" s="20" t="s">
        <v>803</v>
      </c>
      <c r="E677" s="24">
        <v>0.17199999999999999</v>
      </c>
      <c r="F677" s="24">
        <v>2.4079999999999999</v>
      </c>
      <c r="G677" s="22"/>
    </row>
    <row r="678" spans="1:7" x14ac:dyDescent="0.25">
      <c r="A678" s="20" t="s">
        <v>588</v>
      </c>
      <c r="B678" s="20" t="s">
        <v>92</v>
      </c>
      <c r="C678" s="20" t="s">
        <v>92</v>
      </c>
      <c r="D678" s="20" t="s">
        <v>793</v>
      </c>
      <c r="E678" s="24">
        <v>0.17499999999999999</v>
      </c>
      <c r="F678" s="24">
        <v>0.52500000000000002</v>
      </c>
      <c r="G678" s="22"/>
    </row>
    <row r="679" spans="1:7" x14ac:dyDescent="0.25">
      <c r="A679" s="20" t="s">
        <v>588</v>
      </c>
      <c r="B679" s="20" t="s">
        <v>92</v>
      </c>
      <c r="C679" s="20" t="s">
        <v>92</v>
      </c>
      <c r="D679" s="20" t="s">
        <v>804</v>
      </c>
      <c r="E679" s="24">
        <v>0.17199999999999999</v>
      </c>
      <c r="F679" s="25">
        <v>0.86</v>
      </c>
      <c r="G679" s="22"/>
    </row>
    <row r="680" spans="1:7" x14ac:dyDescent="0.25">
      <c r="A680" s="20" t="s">
        <v>588</v>
      </c>
      <c r="B680" s="20" t="s">
        <v>90</v>
      </c>
      <c r="C680" s="20" t="s">
        <v>90</v>
      </c>
      <c r="D680" s="20" t="s">
        <v>776</v>
      </c>
      <c r="E680" s="25">
        <v>0.24</v>
      </c>
      <c r="F680" s="25">
        <v>2.64</v>
      </c>
      <c r="G680" s="22"/>
    </row>
    <row r="681" spans="1:7" x14ac:dyDescent="0.25">
      <c r="A681" s="20" t="s">
        <v>588</v>
      </c>
      <c r="B681" s="20" t="s">
        <v>130</v>
      </c>
      <c r="C681" s="20" t="s">
        <v>130</v>
      </c>
      <c r="D681" s="20" t="s">
        <v>608</v>
      </c>
      <c r="E681" s="26">
        <v>8.6660000000000001E-2</v>
      </c>
      <c r="F681" s="32">
        <v>0.86660000000000004</v>
      </c>
      <c r="G681" s="22"/>
    </row>
    <row r="682" spans="1:7" x14ac:dyDescent="0.25">
      <c r="A682" s="20" t="s">
        <v>588</v>
      </c>
      <c r="B682" s="20" t="s">
        <v>128</v>
      </c>
      <c r="C682" s="20" t="s">
        <v>128</v>
      </c>
      <c r="D682" s="20" t="s">
        <v>805</v>
      </c>
      <c r="E682" s="26">
        <v>0.12773999999999999</v>
      </c>
      <c r="F682" s="26">
        <v>0.51095999999999997</v>
      </c>
      <c r="G682" s="22"/>
    </row>
    <row r="683" spans="1:7" x14ac:dyDescent="0.25">
      <c r="A683" s="20" t="s">
        <v>588</v>
      </c>
      <c r="B683" s="20" t="s">
        <v>131</v>
      </c>
      <c r="C683" s="20" t="s">
        <v>131</v>
      </c>
      <c r="D683" s="20" t="s">
        <v>806</v>
      </c>
      <c r="E683" s="32">
        <v>10.1533</v>
      </c>
      <c r="F683" s="32">
        <v>10.1533</v>
      </c>
      <c r="G683" s="22"/>
    </row>
    <row r="684" spans="1:7" x14ac:dyDescent="0.25">
      <c r="A684" s="20" t="s">
        <v>588</v>
      </c>
      <c r="B684" s="20" t="s">
        <v>131</v>
      </c>
      <c r="C684" s="20" t="s">
        <v>131</v>
      </c>
      <c r="D684" s="20" t="s">
        <v>807</v>
      </c>
      <c r="E684" s="26">
        <v>8.6486699999999992</v>
      </c>
      <c r="F684" s="26">
        <v>8.6486699999999992</v>
      </c>
      <c r="G684" s="22"/>
    </row>
    <row r="685" spans="1:7" x14ac:dyDescent="0.25">
      <c r="A685" s="20" t="s">
        <v>588</v>
      </c>
      <c r="B685" s="20" t="s">
        <v>131</v>
      </c>
      <c r="C685" s="20" t="s">
        <v>131</v>
      </c>
      <c r="D685" s="20" t="s">
        <v>808</v>
      </c>
      <c r="E685" s="26">
        <v>6.4530000000000004E-2</v>
      </c>
      <c r="F685" s="26">
        <v>3.0974400000000002</v>
      </c>
      <c r="G685" s="22"/>
    </row>
    <row r="686" spans="1:7" x14ac:dyDescent="0.25">
      <c r="A686" s="20" t="s">
        <v>588</v>
      </c>
      <c r="B686" s="20" t="s">
        <v>65</v>
      </c>
      <c r="C686" s="20" t="s">
        <v>65</v>
      </c>
      <c r="D686" s="20" t="s">
        <v>809</v>
      </c>
      <c r="E686" s="24">
        <v>5.0000000000000001E-3</v>
      </c>
      <c r="F686" s="25">
        <v>0.02</v>
      </c>
      <c r="G686" s="22"/>
    </row>
    <row r="687" spans="1:7" x14ac:dyDescent="0.25">
      <c r="A687" s="20" t="s">
        <v>588</v>
      </c>
      <c r="B687" s="20" t="s">
        <v>107</v>
      </c>
      <c r="C687" s="20" t="s">
        <v>107</v>
      </c>
      <c r="D687" s="20" t="s">
        <v>809</v>
      </c>
      <c r="E687" s="26">
        <v>0.19349</v>
      </c>
      <c r="F687" s="26">
        <v>0.77395999999999998</v>
      </c>
      <c r="G687" s="22"/>
    </row>
    <row r="688" spans="1:7" x14ac:dyDescent="0.25">
      <c r="A688" s="20" t="s">
        <v>588</v>
      </c>
      <c r="B688" s="20" t="s">
        <v>155</v>
      </c>
      <c r="C688" s="20" t="s">
        <v>155</v>
      </c>
      <c r="D688" s="20" t="s">
        <v>809</v>
      </c>
      <c r="E688" s="24">
        <v>2E-3</v>
      </c>
      <c r="F688" s="24">
        <v>8.0000000000000002E-3</v>
      </c>
      <c r="G688" s="22"/>
    </row>
    <row r="689" spans="1:7" x14ac:dyDescent="0.25">
      <c r="A689" s="20" t="s">
        <v>588</v>
      </c>
      <c r="B689" s="20" t="s">
        <v>156</v>
      </c>
      <c r="C689" s="20" t="s">
        <v>156</v>
      </c>
      <c r="D689" s="20" t="s">
        <v>809</v>
      </c>
      <c r="E689" s="24">
        <v>5.0000000000000001E-3</v>
      </c>
      <c r="F689" s="25">
        <v>0.02</v>
      </c>
      <c r="G689" s="22"/>
    </row>
    <row r="690" spans="1:7" x14ac:dyDescent="0.25">
      <c r="A690" s="20" t="s">
        <v>588</v>
      </c>
      <c r="B690" s="20" t="s">
        <v>215</v>
      </c>
      <c r="C690" s="20" t="s">
        <v>215</v>
      </c>
      <c r="D690" s="20" t="s">
        <v>809</v>
      </c>
      <c r="E690" s="25">
        <v>0.01</v>
      </c>
      <c r="F690" s="25">
        <v>0.04</v>
      </c>
      <c r="G690" s="22"/>
    </row>
    <row r="691" spans="1:7" x14ac:dyDescent="0.25">
      <c r="A691" s="20" t="s">
        <v>588</v>
      </c>
      <c r="B691" s="20" t="s">
        <v>65</v>
      </c>
      <c r="C691" s="20" t="s">
        <v>65</v>
      </c>
      <c r="D691" s="20" t="s">
        <v>810</v>
      </c>
      <c r="E691" s="24">
        <v>3.0000000000000001E-3</v>
      </c>
      <c r="F691" s="24">
        <v>1.2E-2</v>
      </c>
      <c r="G691" s="22"/>
    </row>
    <row r="692" spans="1:7" x14ac:dyDescent="0.25">
      <c r="A692" s="20" t="s">
        <v>588</v>
      </c>
      <c r="B692" s="20" t="s">
        <v>107</v>
      </c>
      <c r="C692" s="20" t="s">
        <v>107</v>
      </c>
      <c r="D692" s="20" t="s">
        <v>810</v>
      </c>
      <c r="E692" s="26">
        <v>0.12001000000000001</v>
      </c>
      <c r="F692" s="26">
        <v>0.48004000000000002</v>
      </c>
      <c r="G692" s="22"/>
    </row>
    <row r="693" spans="1:7" x14ac:dyDescent="0.25">
      <c r="A693" s="20" t="s">
        <v>588</v>
      </c>
      <c r="B693" s="20" t="s">
        <v>155</v>
      </c>
      <c r="C693" s="20" t="s">
        <v>155</v>
      </c>
      <c r="D693" s="20" t="s">
        <v>810</v>
      </c>
      <c r="E693" s="24">
        <v>1E-3</v>
      </c>
      <c r="F693" s="24">
        <v>4.0000000000000001E-3</v>
      </c>
      <c r="G693" s="22"/>
    </row>
    <row r="694" spans="1:7" x14ac:dyDescent="0.25">
      <c r="A694" s="20" t="s">
        <v>588</v>
      </c>
      <c r="B694" s="20" t="s">
        <v>156</v>
      </c>
      <c r="C694" s="20" t="s">
        <v>156</v>
      </c>
      <c r="D694" s="20" t="s">
        <v>810</v>
      </c>
      <c r="E694" s="24">
        <v>3.0000000000000001E-3</v>
      </c>
      <c r="F694" s="24">
        <v>1.2E-2</v>
      </c>
      <c r="G694" s="22"/>
    </row>
    <row r="695" spans="1:7" x14ac:dyDescent="0.25">
      <c r="A695" s="20" t="s">
        <v>588</v>
      </c>
      <c r="B695" s="20" t="s">
        <v>215</v>
      </c>
      <c r="C695" s="20" t="s">
        <v>215</v>
      </c>
      <c r="D695" s="20" t="s">
        <v>810</v>
      </c>
      <c r="E695" s="24">
        <v>6.0000000000000001E-3</v>
      </c>
      <c r="F695" s="24">
        <v>2.4E-2</v>
      </c>
      <c r="G695" s="22"/>
    </row>
    <row r="696" spans="1:7" x14ac:dyDescent="0.25">
      <c r="A696" s="20" t="s">
        <v>588</v>
      </c>
      <c r="B696" s="20" t="s">
        <v>130</v>
      </c>
      <c r="C696" s="20" t="s">
        <v>130</v>
      </c>
      <c r="D696" s="20" t="s">
        <v>609</v>
      </c>
      <c r="E696" s="26">
        <v>6.2509999999999996E-2</v>
      </c>
      <c r="F696" s="32">
        <v>0.62509999999999999</v>
      </c>
      <c r="G696" s="22"/>
    </row>
    <row r="697" spans="1:7" x14ac:dyDescent="0.25">
      <c r="A697" s="20" t="s">
        <v>588</v>
      </c>
      <c r="B697" s="20" t="s">
        <v>65</v>
      </c>
      <c r="C697" s="20" t="s">
        <v>65</v>
      </c>
      <c r="D697" s="20" t="s">
        <v>610</v>
      </c>
      <c r="E697" s="24">
        <v>3.0000000000000001E-3</v>
      </c>
      <c r="F697" s="25">
        <v>0.24</v>
      </c>
      <c r="G697" s="22"/>
    </row>
    <row r="698" spans="1:7" x14ac:dyDescent="0.25">
      <c r="A698" s="20" t="s">
        <v>588</v>
      </c>
      <c r="B698" s="20" t="s">
        <v>811</v>
      </c>
      <c r="C698" s="20" t="s">
        <v>257</v>
      </c>
      <c r="D698" s="20" t="s">
        <v>610</v>
      </c>
      <c r="E698" s="26">
        <v>1.2208300000000001</v>
      </c>
      <c r="F698" s="32">
        <v>97.666399999999996</v>
      </c>
      <c r="G698" s="22"/>
    </row>
    <row r="699" spans="1:7" x14ac:dyDescent="0.25">
      <c r="A699" s="20" t="s">
        <v>588</v>
      </c>
      <c r="B699" s="20" t="s">
        <v>155</v>
      </c>
      <c r="C699" s="20" t="s">
        <v>155</v>
      </c>
      <c r="D699" s="20" t="s">
        <v>610</v>
      </c>
      <c r="E699" s="24">
        <v>1E-3</v>
      </c>
      <c r="F699" s="25">
        <v>0.08</v>
      </c>
      <c r="G699" s="22"/>
    </row>
    <row r="700" spans="1:7" x14ac:dyDescent="0.25">
      <c r="A700" s="20" t="s">
        <v>588</v>
      </c>
      <c r="B700" s="20" t="s">
        <v>156</v>
      </c>
      <c r="C700" s="20" t="s">
        <v>156</v>
      </c>
      <c r="D700" s="20" t="s">
        <v>610</v>
      </c>
      <c r="E700" s="24">
        <v>2E-3</v>
      </c>
      <c r="F700" s="25">
        <v>0.16</v>
      </c>
      <c r="G700" s="22"/>
    </row>
    <row r="701" spans="1:7" x14ac:dyDescent="0.25">
      <c r="A701" s="20" t="s">
        <v>588</v>
      </c>
      <c r="B701" s="20" t="s">
        <v>215</v>
      </c>
      <c r="C701" s="20" t="s">
        <v>215</v>
      </c>
      <c r="D701" s="20" t="s">
        <v>610</v>
      </c>
      <c r="E701" s="24">
        <v>5.0000000000000001E-3</v>
      </c>
      <c r="F701" s="33">
        <v>0.4</v>
      </c>
      <c r="G701" s="22"/>
    </row>
    <row r="702" spans="1:7" x14ac:dyDescent="0.25">
      <c r="A702" s="20" t="s">
        <v>588</v>
      </c>
      <c r="B702" s="20" t="s">
        <v>93</v>
      </c>
      <c r="C702" s="20" t="s">
        <v>93</v>
      </c>
      <c r="D702" s="20" t="s">
        <v>812</v>
      </c>
      <c r="E702" s="33">
        <v>0.2</v>
      </c>
      <c r="F702" s="33">
        <v>0.8</v>
      </c>
      <c r="G702" s="22"/>
    </row>
    <row r="703" spans="1:7" x14ac:dyDescent="0.25">
      <c r="A703" s="20" t="s">
        <v>588</v>
      </c>
      <c r="B703" s="20" t="s">
        <v>90</v>
      </c>
      <c r="C703" s="20" t="s">
        <v>90</v>
      </c>
      <c r="D703" s="20" t="s">
        <v>813</v>
      </c>
      <c r="E703" s="33">
        <v>0.1</v>
      </c>
      <c r="F703" s="33">
        <v>0.4</v>
      </c>
      <c r="G703" s="22"/>
    </row>
    <row r="704" spans="1:7" x14ac:dyDescent="0.25">
      <c r="A704" s="20" t="s">
        <v>588</v>
      </c>
      <c r="B704" s="20" t="s">
        <v>128</v>
      </c>
      <c r="C704" s="20" t="s">
        <v>128</v>
      </c>
      <c r="D704" s="20" t="s">
        <v>611</v>
      </c>
      <c r="E704" s="25">
        <v>0.02</v>
      </c>
      <c r="F704" s="25">
        <v>0.96</v>
      </c>
      <c r="G704" s="22"/>
    </row>
    <row r="705" spans="1:7" x14ac:dyDescent="0.25">
      <c r="A705" s="20" t="s">
        <v>588</v>
      </c>
      <c r="B705" s="20" t="s">
        <v>130</v>
      </c>
      <c r="C705" s="20" t="s">
        <v>130</v>
      </c>
      <c r="D705" s="20" t="s">
        <v>612</v>
      </c>
      <c r="E705" s="25">
        <v>0.35</v>
      </c>
      <c r="F705" s="33">
        <v>2.1</v>
      </c>
      <c r="G705" s="22"/>
    </row>
    <row r="706" spans="1:7" x14ac:dyDescent="0.25">
      <c r="A706" s="20" t="s">
        <v>588</v>
      </c>
      <c r="B706" s="20" t="s">
        <v>65</v>
      </c>
      <c r="C706" s="20" t="s">
        <v>65</v>
      </c>
      <c r="D706" s="20" t="s">
        <v>613</v>
      </c>
      <c r="E706" s="24">
        <v>1.2E-2</v>
      </c>
      <c r="F706" s="25">
        <v>0.12</v>
      </c>
      <c r="G706" s="22"/>
    </row>
    <row r="707" spans="1:7" x14ac:dyDescent="0.25">
      <c r="A707" s="20" t="s">
        <v>588</v>
      </c>
      <c r="B707" s="20" t="s">
        <v>110</v>
      </c>
      <c r="C707" s="20" t="s">
        <v>110</v>
      </c>
      <c r="D707" s="20" t="s">
        <v>613</v>
      </c>
      <c r="E707" s="26">
        <v>3.5366399999999998</v>
      </c>
      <c r="F707" s="32">
        <v>35.366399999999999</v>
      </c>
      <c r="G707" s="22"/>
    </row>
    <row r="708" spans="1:7" x14ac:dyDescent="0.25">
      <c r="A708" s="20" t="s">
        <v>588</v>
      </c>
      <c r="B708" s="20" t="s">
        <v>155</v>
      </c>
      <c r="C708" s="20" t="s">
        <v>155</v>
      </c>
      <c r="D708" s="20" t="s">
        <v>613</v>
      </c>
      <c r="E708" s="24">
        <v>7.0000000000000001E-3</v>
      </c>
      <c r="F708" s="25">
        <v>7.0000000000000007E-2</v>
      </c>
      <c r="G708" s="22"/>
    </row>
    <row r="709" spans="1:7" x14ac:dyDescent="0.25">
      <c r="A709" s="20" t="s">
        <v>588</v>
      </c>
      <c r="B709" s="20" t="s">
        <v>156</v>
      </c>
      <c r="C709" s="20" t="s">
        <v>156</v>
      </c>
      <c r="D709" s="20" t="s">
        <v>613</v>
      </c>
      <c r="E709" s="24">
        <v>1.0999999999999999E-2</v>
      </c>
      <c r="F709" s="25">
        <v>0.11</v>
      </c>
      <c r="G709" s="22"/>
    </row>
    <row r="710" spans="1:7" x14ac:dyDescent="0.25">
      <c r="A710" s="20" t="s">
        <v>588</v>
      </c>
      <c r="B710" s="20" t="s">
        <v>215</v>
      </c>
      <c r="C710" s="20" t="s">
        <v>215</v>
      </c>
      <c r="D710" s="20" t="s">
        <v>613</v>
      </c>
      <c r="E710" s="24">
        <v>2.3E-2</v>
      </c>
      <c r="F710" s="25">
        <v>0.23</v>
      </c>
      <c r="G710" s="22"/>
    </row>
    <row r="711" spans="1:7" x14ac:dyDescent="0.25">
      <c r="A711" s="20" t="s">
        <v>588</v>
      </c>
      <c r="B711" s="20" t="s">
        <v>89</v>
      </c>
      <c r="C711" s="20" t="s">
        <v>89</v>
      </c>
      <c r="D711" s="20" t="s">
        <v>614</v>
      </c>
      <c r="E711" s="25">
        <v>0.21</v>
      </c>
      <c r="F711" s="25">
        <v>5.04</v>
      </c>
      <c r="G711" s="22"/>
    </row>
    <row r="712" spans="1:7" x14ac:dyDescent="0.25">
      <c r="A712" s="20" t="s">
        <v>585</v>
      </c>
      <c r="B712" s="20" t="s">
        <v>814</v>
      </c>
      <c r="C712" s="20" t="s">
        <v>814</v>
      </c>
      <c r="D712" s="20" t="s">
        <v>815</v>
      </c>
      <c r="E712" s="27">
        <v>2</v>
      </c>
      <c r="F712" s="27">
        <v>18</v>
      </c>
      <c r="G712" s="28">
        <v>51.305900000000001</v>
      </c>
    </row>
    <row r="713" spans="1:7" x14ac:dyDescent="0.25">
      <c r="A713" s="20" t="s">
        <v>595</v>
      </c>
      <c r="B713" s="20" t="s">
        <v>816</v>
      </c>
      <c r="C713" s="20" t="s">
        <v>816</v>
      </c>
      <c r="D713" s="20" t="s">
        <v>815</v>
      </c>
      <c r="E713" s="27">
        <v>1</v>
      </c>
      <c r="F713" s="27">
        <v>9</v>
      </c>
      <c r="G713" s="35">
        <v>15.965999999999999</v>
      </c>
    </row>
    <row r="714" spans="1:7" ht="22.5" x14ac:dyDescent="0.25">
      <c r="A714" s="20" t="s">
        <v>620</v>
      </c>
      <c r="B714" s="20" t="s">
        <v>817</v>
      </c>
      <c r="C714" s="20" t="s">
        <v>258</v>
      </c>
      <c r="D714" s="20" t="s">
        <v>815</v>
      </c>
      <c r="E714" s="27">
        <v>6</v>
      </c>
      <c r="F714" s="27">
        <v>54</v>
      </c>
      <c r="G714" s="29">
        <v>9.0620000000000006E-2</v>
      </c>
    </row>
    <row r="715" spans="1:7" ht="22.5" x14ac:dyDescent="0.25">
      <c r="A715" s="20" t="s">
        <v>620</v>
      </c>
      <c r="B715" s="20" t="s">
        <v>818</v>
      </c>
      <c r="C715" s="20" t="s">
        <v>259</v>
      </c>
      <c r="D715" s="20" t="s">
        <v>815</v>
      </c>
      <c r="E715" s="27">
        <v>6</v>
      </c>
      <c r="F715" s="27">
        <v>54</v>
      </c>
      <c r="G715" s="29">
        <v>3.7609999999999998E-2</v>
      </c>
    </row>
    <row r="716" spans="1:7" ht="22.5" x14ac:dyDescent="0.25">
      <c r="A716" s="20" t="s">
        <v>620</v>
      </c>
      <c r="B716" s="20" t="s">
        <v>819</v>
      </c>
      <c r="C716" s="20" t="s">
        <v>260</v>
      </c>
      <c r="D716" s="20" t="s">
        <v>815</v>
      </c>
      <c r="E716" s="27">
        <v>6</v>
      </c>
      <c r="F716" s="27">
        <v>54</v>
      </c>
      <c r="G716" s="29">
        <v>6.0800000000000003E-3</v>
      </c>
    </row>
    <row r="717" spans="1:7" x14ac:dyDescent="0.25">
      <c r="A717" s="20" t="s">
        <v>588</v>
      </c>
      <c r="B717" s="20" t="s">
        <v>65</v>
      </c>
      <c r="C717" s="20" t="s">
        <v>65</v>
      </c>
      <c r="D717" s="20" t="s">
        <v>816</v>
      </c>
      <c r="E717" s="33">
        <v>0.1</v>
      </c>
      <c r="F717" s="33">
        <v>0.9</v>
      </c>
      <c r="G717" s="22"/>
    </row>
    <row r="718" spans="1:7" x14ac:dyDescent="0.25">
      <c r="A718" s="20" t="s">
        <v>588</v>
      </c>
      <c r="B718" s="20" t="s">
        <v>118</v>
      </c>
      <c r="C718" s="20" t="s">
        <v>118</v>
      </c>
      <c r="D718" s="20" t="s">
        <v>816</v>
      </c>
      <c r="E718" s="26">
        <v>19.231120000000001</v>
      </c>
      <c r="F718" s="26">
        <v>173.08008000000001</v>
      </c>
      <c r="G718" s="22"/>
    </row>
    <row r="719" spans="1:7" x14ac:dyDescent="0.25">
      <c r="A719" s="20" t="s">
        <v>588</v>
      </c>
      <c r="B719" s="20" t="s">
        <v>155</v>
      </c>
      <c r="C719" s="20" t="s">
        <v>155</v>
      </c>
      <c r="D719" s="20" t="s">
        <v>816</v>
      </c>
      <c r="E719" s="25">
        <v>0.03</v>
      </c>
      <c r="F719" s="25">
        <v>0.27</v>
      </c>
      <c r="G719" s="22"/>
    </row>
    <row r="720" spans="1:7" x14ac:dyDescent="0.25">
      <c r="A720" s="20" t="s">
        <v>588</v>
      </c>
      <c r="B720" s="20" t="s">
        <v>156</v>
      </c>
      <c r="C720" s="20" t="s">
        <v>156</v>
      </c>
      <c r="D720" s="20" t="s">
        <v>816</v>
      </c>
      <c r="E720" s="33">
        <v>0.1</v>
      </c>
      <c r="F720" s="33">
        <v>0.9</v>
      </c>
      <c r="G720" s="22"/>
    </row>
    <row r="721" spans="1:7" x14ac:dyDescent="0.25">
      <c r="A721" s="20" t="s">
        <v>588</v>
      </c>
      <c r="B721" s="20" t="s">
        <v>215</v>
      </c>
      <c r="C721" s="20" t="s">
        <v>215</v>
      </c>
      <c r="D721" s="20" t="s">
        <v>816</v>
      </c>
      <c r="E721" s="33">
        <v>0.2</v>
      </c>
      <c r="F721" s="33">
        <v>1.8</v>
      </c>
      <c r="G721" s="22"/>
    </row>
    <row r="722" spans="1:7" x14ac:dyDescent="0.25">
      <c r="A722" s="20" t="s">
        <v>595</v>
      </c>
      <c r="B722" s="20" t="s">
        <v>820</v>
      </c>
      <c r="C722" s="20" t="s">
        <v>820</v>
      </c>
      <c r="D722" s="20" t="s">
        <v>814</v>
      </c>
      <c r="E722" s="27">
        <v>1</v>
      </c>
      <c r="F722" s="27">
        <v>18</v>
      </c>
      <c r="G722" s="29">
        <v>18.908940000000001</v>
      </c>
    </row>
    <row r="723" spans="1:7" x14ac:dyDescent="0.25">
      <c r="A723" s="20" t="s">
        <v>595</v>
      </c>
      <c r="B723" s="20" t="s">
        <v>821</v>
      </c>
      <c r="C723" s="20" t="s">
        <v>821</v>
      </c>
      <c r="D723" s="20" t="s">
        <v>814</v>
      </c>
      <c r="E723" s="27">
        <v>1</v>
      </c>
      <c r="F723" s="27">
        <v>18</v>
      </c>
      <c r="G723" s="29">
        <v>26.141629999999999</v>
      </c>
    </row>
    <row r="724" spans="1:7" x14ac:dyDescent="0.25">
      <c r="A724" s="20" t="s">
        <v>595</v>
      </c>
      <c r="B724" s="20" t="s">
        <v>822</v>
      </c>
      <c r="C724" s="20" t="s">
        <v>822</v>
      </c>
      <c r="D724" s="20" t="s">
        <v>814</v>
      </c>
      <c r="E724" s="27">
        <v>1</v>
      </c>
      <c r="F724" s="27">
        <v>18</v>
      </c>
      <c r="G724" s="29">
        <v>4.9230600000000004</v>
      </c>
    </row>
    <row r="725" spans="1:7" x14ac:dyDescent="0.25">
      <c r="A725" s="20" t="s">
        <v>595</v>
      </c>
      <c r="B725" s="20" t="s">
        <v>823</v>
      </c>
      <c r="C725" s="20" t="s">
        <v>823</v>
      </c>
      <c r="D725" s="20" t="s">
        <v>814</v>
      </c>
      <c r="E725" s="27">
        <v>1</v>
      </c>
      <c r="F725" s="27">
        <v>18</v>
      </c>
      <c r="G725" s="29">
        <v>0.84113000000000004</v>
      </c>
    </row>
    <row r="726" spans="1:7" x14ac:dyDescent="0.25">
      <c r="A726" s="20" t="s">
        <v>595</v>
      </c>
      <c r="B726" s="20" t="s">
        <v>824</v>
      </c>
      <c r="C726" s="20" t="s">
        <v>824</v>
      </c>
      <c r="D726" s="20" t="s">
        <v>814</v>
      </c>
      <c r="E726" s="27">
        <v>1</v>
      </c>
      <c r="F726" s="27">
        <v>18</v>
      </c>
      <c r="G726" s="29">
        <v>0.26547999999999999</v>
      </c>
    </row>
    <row r="727" spans="1:7" ht="22.5" x14ac:dyDescent="0.25">
      <c r="A727" s="20" t="s">
        <v>620</v>
      </c>
      <c r="B727" s="20" t="s">
        <v>818</v>
      </c>
      <c r="C727" s="20" t="s">
        <v>259</v>
      </c>
      <c r="D727" s="20" t="s">
        <v>814</v>
      </c>
      <c r="E727" s="27">
        <v>6</v>
      </c>
      <c r="F727" s="27">
        <v>108</v>
      </c>
      <c r="G727" s="29">
        <v>3.7609999999999998E-2</v>
      </c>
    </row>
    <row r="728" spans="1:7" x14ac:dyDescent="0.25">
      <c r="A728" s="20" t="s">
        <v>588</v>
      </c>
      <c r="B728" s="20" t="s">
        <v>65</v>
      </c>
      <c r="C728" s="20" t="s">
        <v>65</v>
      </c>
      <c r="D728" s="20" t="s">
        <v>814</v>
      </c>
      <c r="E728" s="25">
        <v>0.15</v>
      </c>
      <c r="F728" s="33">
        <v>2.7</v>
      </c>
      <c r="G728" s="22"/>
    </row>
    <row r="729" spans="1:7" x14ac:dyDescent="0.25">
      <c r="A729" s="20" t="s">
        <v>588</v>
      </c>
      <c r="B729" s="20" t="s">
        <v>67</v>
      </c>
      <c r="C729" s="20" t="s">
        <v>67</v>
      </c>
      <c r="D729" s="20" t="s">
        <v>814</v>
      </c>
      <c r="E729" s="25">
        <v>0.54</v>
      </c>
      <c r="F729" s="25">
        <v>9.7200000000000006</v>
      </c>
      <c r="G729" s="22"/>
    </row>
    <row r="730" spans="1:7" x14ac:dyDescent="0.25">
      <c r="A730" s="20" t="s">
        <v>588</v>
      </c>
      <c r="B730" s="20" t="s">
        <v>146</v>
      </c>
      <c r="C730" s="20" t="s">
        <v>146</v>
      </c>
      <c r="D730" s="20" t="s">
        <v>814</v>
      </c>
      <c r="E730" s="25">
        <v>0.32</v>
      </c>
      <c r="F730" s="25">
        <v>5.76</v>
      </c>
      <c r="G730" s="22"/>
    </row>
    <row r="731" spans="1:7" x14ac:dyDescent="0.25">
      <c r="A731" s="20" t="s">
        <v>588</v>
      </c>
      <c r="B731" s="20" t="s">
        <v>155</v>
      </c>
      <c r="C731" s="20" t="s">
        <v>155</v>
      </c>
      <c r="D731" s="20" t="s">
        <v>814</v>
      </c>
      <c r="E731" s="24">
        <v>4.4999999999999998E-2</v>
      </c>
      <c r="F731" s="25">
        <v>0.81</v>
      </c>
      <c r="G731" s="22"/>
    </row>
    <row r="732" spans="1:7" x14ac:dyDescent="0.25">
      <c r="A732" s="20" t="s">
        <v>588</v>
      </c>
      <c r="B732" s="20" t="s">
        <v>156</v>
      </c>
      <c r="C732" s="20" t="s">
        <v>156</v>
      </c>
      <c r="D732" s="20" t="s">
        <v>814</v>
      </c>
      <c r="E732" s="25">
        <v>0.12</v>
      </c>
      <c r="F732" s="25">
        <v>2.16</v>
      </c>
      <c r="G732" s="22"/>
    </row>
    <row r="733" spans="1:7" x14ac:dyDescent="0.25">
      <c r="A733" s="20" t="s">
        <v>588</v>
      </c>
      <c r="B733" s="20" t="s">
        <v>215</v>
      </c>
      <c r="C733" s="20" t="s">
        <v>215</v>
      </c>
      <c r="D733" s="20" t="s">
        <v>814</v>
      </c>
      <c r="E733" s="33">
        <v>0.3</v>
      </c>
      <c r="F733" s="33">
        <v>5.4</v>
      </c>
      <c r="G733" s="22"/>
    </row>
    <row r="734" spans="1:7" x14ac:dyDescent="0.25">
      <c r="A734" s="20" t="s">
        <v>588</v>
      </c>
      <c r="B734" s="20" t="s">
        <v>114</v>
      </c>
      <c r="C734" s="20" t="s">
        <v>114</v>
      </c>
      <c r="D734" s="20" t="s">
        <v>820</v>
      </c>
      <c r="E734" s="25">
        <v>22.55</v>
      </c>
      <c r="F734" s="27">
        <v>451</v>
      </c>
      <c r="G734" s="22"/>
    </row>
    <row r="735" spans="1:7" x14ac:dyDescent="0.25">
      <c r="A735" s="20" t="s">
        <v>588</v>
      </c>
      <c r="B735" s="20" t="s">
        <v>173</v>
      </c>
      <c r="C735" s="20" t="s">
        <v>173</v>
      </c>
      <c r="D735" s="20" t="s">
        <v>821</v>
      </c>
      <c r="E735" s="33">
        <v>26.3</v>
      </c>
      <c r="F735" s="33">
        <v>473.4</v>
      </c>
      <c r="G735" s="22"/>
    </row>
    <row r="736" spans="1:7" x14ac:dyDescent="0.25">
      <c r="A736" s="20" t="s">
        <v>588</v>
      </c>
      <c r="B736" s="20" t="s">
        <v>118</v>
      </c>
      <c r="C736" s="20" t="s">
        <v>118</v>
      </c>
      <c r="D736" s="20" t="s">
        <v>822</v>
      </c>
      <c r="E736" s="26">
        <v>6.3483299999999998</v>
      </c>
      <c r="F736" s="26">
        <v>114.26994000000001</v>
      </c>
      <c r="G736" s="22"/>
    </row>
    <row r="737" spans="1:7" x14ac:dyDescent="0.25">
      <c r="A737" s="20" t="s">
        <v>588</v>
      </c>
      <c r="B737" s="20" t="s">
        <v>118</v>
      </c>
      <c r="C737" s="20" t="s">
        <v>118</v>
      </c>
      <c r="D737" s="20" t="s">
        <v>823</v>
      </c>
      <c r="E737" s="26">
        <v>1.4883599999999999</v>
      </c>
      <c r="F737" s="26">
        <v>26.790479999999999</v>
      </c>
      <c r="G737" s="22"/>
    </row>
    <row r="738" spans="1:7" x14ac:dyDescent="0.25">
      <c r="A738" s="20" t="s">
        <v>588</v>
      </c>
      <c r="B738" s="20" t="s">
        <v>120</v>
      </c>
      <c r="C738" s="20" t="s">
        <v>120</v>
      </c>
      <c r="D738" s="20" t="s">
        <v>824</v>
      </c>
      <c r="E738" s="26">
        <v>0.36173</v>
      </c>
      <c r="F738" s="26">
        <v>6.5111400000000001</v>
      </c>
      <c r="G738" s="22"/>
    </row>
    <row r="739" spans="1:7" x14ac:dyDescent="0.25">
      <c r="A739" s="20" t="s">
        <v>595</v>
      </c>
      <c r="B739" s="20" t="s">
        <v>820</v>
      </c>
      <c r="C739" s="20" t="s">
        <v>820</v>
      </c>
      <c r="D739" s="20" t="s">
        <v>825</v>
      </c>
      <c r="E739" s="27">
        <v>1</v>
      </c>
      <c r="F739" s="27">
        <v>2</v>
      </c>
      <c r="G739" s="29">
        <v>18.908940000000001</v>
      </c>
    </row>
    <row r="740" spans="1:7" x14ac:dyDescent="0.25">
      <c r="A740" s="20" t="s">
        <v>595</v>
      </c>
      <c r="B740" s="20" t="s">
        <v>826</v>
      </c>
      <c r="C740" s="20" t="s">
        <v>826</v>
      </c>
      <c r="D740" s="20" t="s">
        <v>825</v>
      </c>
      <c r="E740" s="27">
        <v>1</v>
      </c>
      <c r="F740" s="27">
        <v>2</v>
      </c>
      <c r="G740" s="28">
        <v>18.7178</v>
      </c>
    </row>
    <row r="741" spans="1:7" x14ac:dyDescent="0.25">
      <c r="A741" s="20" t="s">
        <v>588</v>
      </c>
      <c r="B741" s="20" t="s">
        <v>65</v>
      </c>
      <c r="C741" s="20" t="s">
        <v>65</v>
      </c>
      <c r="D741" s="20" t="s">
        <v>825</v>
      </c>
      <c r="E741" s="25">
        <v>0.12</v>
      </c>
      <c r="F741" s="25">
        <v>0.24</v>
      </c>
      <c r="G741" s="22"/>
    </row>
    <row r="742" spans="1:7" x14ac:dyDescent="0.25">
      <c r="A742" s="20" t="s">
        <v>588</v>
      </c>
      <c r="B742" s="20" t="s">
        <v>67</v>
      </c>
      <c r="C742" s="20" t="s">
        <v>67</v>
      </c>
      <c r="D742" s="20" t="s">
        <v>825</v>
      </c>
      <c r="E742" s="24">
        <v>8.5000000000000006E-2</v>
      </c>
      <c r="F742" s="25">
        <v>0.17</v>
      </c>
      <c r="G742" s="22"/>
    </row>
    <row r="743" spans="1:7" x14ac:dyDescent="0.25">
      <c r="A743" s="20" t="s">
        <v>588</v>
      </c>
      <c r="B743" s="20" t="s">
        <v>146</v>
      </c>
      <c r="C743" s="20" t="s">
        <v>146</v>
      </c>
      <c r="D743" s="20" t="s">
        <v>825</v>
      </c>
      <c r="E743" s="25">
        <v>0.05</v>
      </c>
      <c r="F743" s="33">
        <v>0.1</v>
      </c>
      <c r="G743" s="22"/>
    </row>
    <row r="744" spans="1:7" x14ac:dyDescent="0.25">
      <c r="A744" s="20" t="s">
        <v>588</v>
      </c>
      <c r="B744" s="20" t="s">
        <v>155</v>
      </c>
      <c r="C744" s="20" t="s">
        <v>155</v>
      </c>
      <c r="D744" s="20" t="s">
        <v>825</v>
      </c>
      <c r="E744" s="24">
        <v>3.5999999999999997E-2</v>
      </c>
      <c r="F744" s="24">
        <v>7.1999999999999995E-2</v>
      </c>
      <c r="G744" s="22"/>
    </row>
    <row r="745" spans="1:7" x14ac:dyDescent="0.25">
      <c r="A745" s="20" t="s">
        <v>588</v>
      </c>
      <c r="B745" s="20" t="s">
        <v>156</v>
      </c>
      <c r="C745" s="20" t="s">
        <v>156</v>
      </c>
      <c r="D745" s="20" t="s">
        <v>825</v>
      </c>
      <c r="E745" s="25">
        <v>0.11</v>
      </c>
      <c r="F745" s="25">
        <v>0.22</v>
      </c>
      <c r="G745" s="22"/>
    </row>
    <row r="746" spans="1:7" x14ac:dyDescent="0.25">
      <c r="A746" s="20" t="s">
        <v>588</v>
      </c>
      <c r="B746" s="20" t="s">
        <v>215</v>
      </c>
      <c r="C746" s="20" t="s">
        <v>215</v>
      </c>
      <c r="D746" s="20" t="s">
        <v>825</v>
      </c>
      <c r="E746" s="25">
        <v>0.24</v>
      </c>
      <c r="F746" s="25">
        <v>0.48</v>
      </c>
      <c r="G746" s="22"/>
    </row>
    <row r="747" spans="1:7" x14ac:dyDescent="0.25">
      <c r="A747" s="20" t="s">
        <v>588</v>
      </c>
      <c r="B747" s="20" t="s">
        <v>204</v>
      </c>
      <c r="C747" s="20" t="s">
        <v>204</v>
      </c>
      <c r="D747" s="20" t="s">
        <v>826</v>
      </c>
      <c r="E747" s="33">
        <v>19.7</v>
      </c>
      <c r="F747" s="33">
        <v>39.4</v>
      </c>
      <c r="G747" s="22"/>
    </row>
    <row r="748" spans="1:7" x14ac:dyDescent="0.25">
      <c r="A748" s="20" t="s">
        <v>585</v>
      </c>
      <c r="B748" s="20" t="s">
        <v>827</v>
      </c>
      <c r="C748" s="20" t="s">
        <v>827</v>
      </c>
      <c r="D748" s="20" t="s">
        <v>828</v>
      </c>
      <c r="E748" s="27">
        <v>1</v>
      </c>
      <c r="F748" s="27">
        <v>1</v>
      </c>
      <c r="G748" s="29">
        <v>3.7452299999999998</v>
      </c>
    </row>
    <row r="749" spans="1:7" x14ac:dyDescent="0.25">
      <c r="A749" s="20" t="s">
        <v>585</v>
      </c>
      <c r="B749" s="20" t="s">
        <v>829</v>
      </c>
      <c r="C749" s="20" t="s">
        <v>829</v>
      </c>
      <c r="D749" s="20" t="s">
        <v>828</v>
      </c>
      <c r="E749" s="27">
        <v>1</v>
      </c>
      <c r="F749" s="27">
        <v>1</v>
      </c>
      <c r="G749" s="29">
        <v>3.7452299999999998</v>
      </c>
    </row>
    <row r="750" spans="1:7" x14ac:dyDescent="0.25">
      <c r="A750" s="20" t="s">
        <v>595</v>
      </c>
      <c r="B750" s="20" t="s">
        <v>830</v>
      </c>
      <c r="C750" s="20" t="s">
        <v>830</v>
      </c>
      <c r="D750" s="20" t="s">
        <v>828</v>
      </c>
      <c r="E750" s="27">
        <v>1</v>
      </c>
      <c r="F750" s="27">
        <v>1</v>
      </c>
      <c r="G750" s="29">
        <v>4.3710800000000001</v>
      </c>
    </row>
    <row r="751" spans="1:7" x14ac:dyDescent="0.25">
      <c r="A751" s="20" t="s">
        <v>588</v>
      </c>
      <c r="B751" s="20" t="s">
        <v>131</v>
      </c>
      <c r="C751" s="20" t="s">
        <v>131</v>
      </c>
      <c r="D751" s="20" t="s">
        <v>830</v>
      </c>
      <c r="E751" s="25">
        <v>5.17</v>
      </c>
      <c r="F751" s="25">
        <v>5.17</v>
      </c>
      <c r="G751" s="22"/>
    </row>
    <row r="752" spans="1:7" x14ac:dyDescent="0.25">
      <c r="A752" s="20" t="s">
        <v>595</v>
      </c>
      <c r="B752" s="20" t="s">
        <v>831</v>
      </c>
      <c r="C752" s="20" t="s">
        <v>831</v>
      </c>
      <c r="D752" s="20" t="s">
        <v>827</v>
      </c>
      <c r="E752" s="27">
        <v>2</v>
      </c>
      <c r="F752" s="27">
        <v>2</v>
      </c>
      <c r="G752" s="29">
        <v>0.92035</v>
      </c>
    </row>
    <row r="753" spans="1:7" x14ac:dyDescent="0.25">
      <c r="A753" s="20" t="s">
        <v>595</v>
      </c>
      <c r="B753" s="20" t="s">
        <v>832</v>
      </c>
      <c r="C753" s="20" t="s">
        <v>832</v>
      </c>
      <c r="D753" s="20" t="s">
        <v>827</v>
      </c>
      <c r="E753" s="27">
        <v>2</v>
      </c>
      <c r="F753" s="27">
        <v>2</v>
      </c>
      <c r="G753" s="29">
        <v>1.66551</v>
      </c>
    </row>
    <row r="754" spans="1:7" x14ac:dyDescent="0.25">
      <c r="A754" s="20" t="s">
        <v>595</v>
      </c>
      <c r="B754" s="20" t="s">
        <v>833</v>
      </c>
      <c r="C754" s="20" t="s">
        <v>833</v>
      </c>
      <c r="D754" s="20" t="s">
        <v>827</v>
      </c>
      <c r="E754" s="27">
        <v>2</v>
      </c>
      <c r="F754" s="27">
        <v>2</v>
      </c>
      <c r="G754" s="29">
        <v>1.1593800000000001</v>
      </c>
    </row>
    <row r="755" spans="1:7" x14ac:dyDescent="0.25">
      <c r="A755" s="20" t="s">
        <v>588</v>
      </c>
      <c r="B755" s="20" t="s">
        <v>44</v>
      </c>
      <c r="C755" s="20" t="s">
        <v>44</v>
      </c>
      <c r="D755" s="20" t="s">
        <v>827</v>
      </c>
      <c r="E755" s="24">
        <v>6.5000000000000002E-2</v>
      </c>
      <c r="F755" s="24">
        <v>6.5000000000000002E-2</v>
      </c>
      <c r="G755" s="22"/>
    </row>
    <row r="756" spans="1:7" x14ac:dyDescent="0.25">
      <c r="A756" s="20" t="s">
        <v>588</v>
      </c>
      <c r="B756" s="20" t="s">
        <v>67</v>
      </c>
      <c r="C756" s="20" t="s">
        <v>67</v>
      </c>
      <c r="D756" s="20" t="s">
        <v>827</v>
      </c>
      <c r="E756" s="24">
        <v>0.13700000000000001</v>
      </c>
      <c r="F756" s="24">
        <v>0.13700000000000001</v>
      </c>
      <c r="G756" s="22"/>
    </row>
    <row r="757" spans="1:7" x14ac:dyDescent="0.25">
      <c r="A757" s="20" t="s">
        <v>588</v>
      </c>
      <c r="B757" s="20" t="s">
        <v>139</v>
      </c>
      <c r="C757" s="20" t="s">
        <v>139</v>
      </c>
      <c r="D757" s="20" t="s">
        <v>827</v>
      </c>
      <c r="E757" s="24">
        <v>7.0000000000000001E-3</v>
      </c>
      <c r="F757" s="24">
        <v>7.0000000000000001E-3</v>
      </c>
      <c r="G757" s="22"/>
    </row>
    <row r="758" spans="1:7" x14ac:dyDescent="0.25">
      <c r="A758" s="20" t="s">
        <v>588</v>
      </c>
      <c r="B758" s="20" t="s">
        <v>146</v>
      </c>
      <c r="C758" s="20" t="s">
        <v>146</v>
      </c>
      <c r="D758" s="20" t="s">
        <v>827</v>
      </c>
      <c r="E758" s="25">
        <v>0.09</v>
      </c>
      <c r="F758" s="25">
        <v>0.09</v>
      </c>
      <c r="G758" s="22"/>
    </row>
    <row r="759" spans="1:7" x14ac:dyDescent="0.25">
      <c r="A759" s="20" t="s">
        <v>588</v>
      </c>
      <c r="B759" s="20" t="s">
        <v>156</v>
      </c>
      <c r="C759" s="20" t="s">
        <v>156</v>
      </c>
      <c r="D759" s="20" t="s">
        <v>827</v>
      </c>
      <c r="E759" s="24">
        <v>2.1000000000000001E-2</v>
      </c>
      <c r="F759" s="24">
        <v>2.1000000000000001E-2</v>
      </c>
      <c r="G759" s="22"/>
    </row>
    <row r="760" spans="1:7" x14ac:dyDescent="0.25">
      <c r="A760" s="20" t="s">
        <v>588</v>
      </c>
      <c r="B760" s="20" t="s">
        <v>202</v>
      </c>
      <c r="C760" s="20" t="s">
        <v>202</v>
      </c>
      <c r="D760" s="20" t="s">
        <v>827</v>
      </c>
      <c r="E760" s="25">
        <v>0.05</v>
      </c>
      <c r="F760" s="25">
        <v>0.05</v>
      </c>
      <c r="G760" s="22"/>
    </row>
    <row r="761" spans="1:7" x14ac:dyDescent="0.25">
      <c r="A761" s="20" t="s">
        <v>595</v>
      </c>
      <c r="B761" s="20" t="s">
        <v>831</v>
      </c>
      <c r="C761" s="20" t="s">
        <v>831</v>
      </c>
      <c r="D761" s="20" t="s">
        <v>829</v>
      </c>
      <c r="E761" s="27">
        <v>1</v>
      </c>
      <c r="F761" s="27">
        <v>1</v>
      </c>
      <c r="G761" s="29">
        <v>0.92035</v>
      </c>
    </row>
    <row r="762" spans="1:7" x14ac:dyDescent="0.25">
      <c r="A762" s="20" t="s">
        <v>595</v>
      </c>
      <c r="B762" s="20" t="s">
        <v>832</v>
      </c>
      <c r="C762" s="20" t="s">
        <v>832</v>
      </c>
      <c r="D762" s="20" t="s">
        <v>829</v>
      </c>
      <c r="E762" s="27">
        <v>1</v>
      </c>
      <c r="F762" s="27">
        <v>1</v>
      </c>
      <c r="G762" s="29">
        <v>1.66551</v>
      </c>
    </row>
    <row r="763" spans="1:7" x14ac:dyDescent="0.25">
      <c r="A763" s="20" t="s">
        <v>595</v>
      </c>
      <c r="B763" s="20" t="s">
        <v>833</v>
      </c>
      <c r="C763" s="20" t="s">
        <v>833</v>
      </c>
      <c r="D763" s="20" t="s">
        <v>829</v>
      </c>
      <c r="E763" s="27">
        <v>1</v>
      </c>
      <c r="F763" s="27">
        <v>1</v>
      </c>
      <c r="G763" s="29">
        <v>1.1593800000000001</v>
      </c>
    </row>
    <row r="764" spans="1:7" x14ac:dyDescent="0.25">
      <c r="A764" s="20" t="s">
        <v>588</v>
      </c>
      <c r="B764" s="20" t="s">
        <v>44</v>
      </c>
      <c r="C764" s="20" t="s">
        <v>44</v>
      </c>
      <c r="D764" s="20" t="s">
        <v>829</v>
      </c>
      <c r="E764" s="24">
        <v>6.5000000000000002E-2</v>
      </c>
      <c r="F764" s="24">
        <v>6.5000000000000002E-2</v>
      </c>
      <c r="G764" s="22"/>
    </row>
    <row r="765" spans="1:7" x14ac:dyDescent="0.25">
      <c r="A765" s="20" t="s">
        <v>588</v>
      </c>
      <c r="B765" s="20" t="s">
        <v>67</v>
      </c>
      <c r="C765" s="20" t="s">
        <v>67</v>
      </c>
      <c r="D765" s="20" t="s">
        <v>829</v>
      </c>
      <c r="E765" s="24">
        <v>0.13700000000000001</v>
      </c>
      <c r="F765" s="24">
        <v>0.13700000000000001</v>
      </c>
      <c r="G765" s="22"/>
    </row>
    <row r="766" spans="1:7" x14ac:dyDescent="0.25">
      <c r="A766" s="20" t="s">
        <v>588</v>
      </c>
      <c r="B766" s="20" t="s">
        <v>139</v>
      </c>
      <c r="C766" s="20" t="s">
        <v>139</v>
      </c>
      <c r="D766" s="20" t="s">
        <v>829</v>
      </c>
      <c r="E766" s="24">
        <v>7.0000000000000001E-3</v>
      </c>
      <c r="F766" s="24">
        <v>7.0000000000000001E-3</v>
      </c>
      <c r="G766" s="22"/>
    </row>
    <row r="767" spans="1:7" x14ac:dyDescent="0.25">
      <c r="A767" s="20" t="s">
        <v>588</v>
      </c>
      <c r="B767" s="20" t="s">
        <v>146</v>
      </c>
      <c r="C767" s="20" t="s">
        <v>146</v>
      </c>
      <c r="D767" s="20" t="s">
        <v>829</v>
      </c>
      <c r="E767" s="25">
        <v>0.09</v>
      </c>
      <c r="F767" s="25">
        <v>0.09</v>
      </c>
      <c r="G767" s="22"/>
    </row>
    <row r="768" spans="1:7" x14ac:dyDescent="0.25">
      <c r="A768" s="20" t="s">
        <v>588</v>
      </c>
      <c r="B768" s="20" t="s">
        <v>156</v>
      </c>
      <c r="C768" s="20" t="s">
        <v>156</v>
      </c>
      <c r="D768" s="20" t="s">
        <v>829</v>
      </c>
      <c r="E768" s="24">
        <v>2.1000000000000001E-2</v>
      </c>
      <c r="F768" s="24">
        <v>2.1000000000000001E-2</v>
      </c>
      <c r="G768" s="22"/>
    </row>
    <row r="769" spans="1:7" x14ac:dyDescent="0.25">
      <c r="A769" s="20" t="s">
        <v>588</v>
      </c>
      <c r="B769" s="20" t="s">
        <v>202</v>
      </c>
      <c r="C769" s="20" t="s">
        <v>202</v>
      </c>
      <c r="D769" s="20" t="s">
        <v>829</v>
      </c>
      <c r="E769" s="25">
        <v>0.05</v>
      </c>
      <c r="F769" s="25">
        <v>0.05</v>
      </c>
      <c r="G769" s="22"/>
    </row>
    <row r="770" spans="1:7" x14ac:dyDescent="0.25">
      <c r="A770" s="20" t="s">
        <v>588</v>
      </c>
      <c r="B770" s="20" t="s">
        <v>120</v>
      </c>
      <c r="C770" s="20" t="s">
        <v>120</v>
      </c>
      <c r="D770" s="20" t="s">
        <v>831</v>
      </c>
      <c r="E770" s="25">
        <v>1.1499999999999999</v>
      </c>
      <c r="F770" s="25">
        <v>3.45</v>
      </c>
      <c r="G770" s="22"/>
    </row>
    <row r="771" spans="1:7" x14ac:dyDescent="0.25">
      <c r="A771" s="20" t="s">
        <v>588</v>
      </c>
      <c r="B771" s="20" t="s">
        <v>120</v>
      </c>
      <c r="C771" s="20" t="s">
        <v>120</v>
      </c>
      <c r="D771" s="20" t="s">
        <v>832</v>
      </c>
      <c r="E771" s="25">
        <v>2.0499999999999998</v>
      </c>
      <c r="F771" s="25">
        <v>6.15</v>
      </c>
      <c r="G771" s="22"/>
    </row>
    <row r="772" spans="1:7" x14ac:dyDescent="0.25">
      <c r="A772" s="20" t="s">
        <v>588</v>
      </c>
      <c r="B772" s="20" t="s">
        <v>120</v>
      </c>
      <c r="C772" s="20" t="s">
        <v>120</v>
      </c>
      <c r="D772" s="20" t="s">
        <v>833</v>
      </c>
      <c r="E772" s="33">
        <v>4.0999999999999996</v>
      </c>
      <c r="F772" s="33">
        <v>12.3</v>
      </c>
      <c r="G772" s="22"/>
    </row>
    <row r="773" spans="1:7" x14ac:dyDescent="0.25">
      <c r="A773" s="20" t="s">
        <v>595</v>
      </c>
      <c r="B773" s="20" t="s">
        <v>834</v>
      </c>
      <c r="C773" s="20" t="s">
        <v>834</v>
      </c>
      <c r="D773" s="20" t="s">
        <v>835</v>
      </c>
      <c r="E773" s="27">
        <v>1</v>
      </c>
      <c r="F773" s="27">
        <v>1</v>
      </c>
      <c r="G773" s="29">
        <v>0.64885999999999999</v>
      </c>
    </row>
    <row r="774" spans="1:7" x14ac:dyDescent="0.25">
      <c r="A774" s="20" t="s">
        <v>595</v>
      </c>
      <c r="B774" s="20" t="s">
        <v>836</v>
      </c>
      <c r="C774" s="20" t="s">
        <v>836</v>
      </c>
      <c r="D774" s="20" t="s">
        <v>835</v>
      </c>
      <c r="E774" s="27">
        <v>1</v>
      </c>
      <c r="F774" s="27">
        <v>1</v>
      </c>
      <c r="G774" s="29">
        <v>0.11139</v>
      </c>
    </row>
    <row r="775" spans="1:7" x14ac:dyDescent="0.25">
      <c r="A775" s="20" t="s">
        <v>597</v>
      </c>
      <c r="B775" s="20" t="s">
        <v>59</v>
      </c>
      <c r="C775" s="20" t="s">
        <v>59</v>
      </c>
      <c r="D775" s="20" t="s">
        <v>835</v>
      </c>
      <c r="E775" s="27">
        <v>1</v>
      </c>
      <c r="F775" s="27">
        <v>1</v>
      </c>
      <c r="G775" s="29">
        <v>2.2290000000000001E-2</v>
      </c>
    </row>
    <row r="776" spans="1:7" x14ac:dyDescent="0.25">
      <c r="A776" s="20" t="s">
        <v>588</v>
      </c>
      <c r="B776" s="20" t="s">
        <v>131</v>
      </c>
      <c r="C776" s="20" t="s">
        <v>131</v>
      </c>
      <c r="D776" s="20" t="s">
        <v>834</v>
      </c>
      <c r="E776" s="26">
        <v>0.83972000000000002</v>
      </c>
      <c r="F776" s="26">
        <v>0.83972000000000002</v>
      </c>
      <c r="G776" s="22"/>
    </row>
    <row r="777" spans="1:7" x14ac:dyDescent="0.25">
      <c r="A777" s="20" t="s">
        <v>588</v>
      </c>
      <c r="B777" s="20" t="s">
        <v>102</v>
      </c>
      <c r="C777" s="20" t="s">
        <v>102</v>
      </c>
      <c r="D777" s="20" t="s">
        <v>836</v>
      </c>
      <c r="E777" s="25">
        <v>0.45</v>
      </c>
      <c r="F777" s="25">
        <v>0.45</v>
      </c>
      <c r="G777" s="22"/>
    </row>
    <row r="778" spans="1:7" x14ac:dyDescent="0.25">
      <c r="A778" s="20" t="s">
        <v>595</v>
      </c>
      <c r="B778" s="20" t="s">
        <v>837</v>
      </c>
      <c r="C778" s="20" t="s">
        <v>837</v>
      </c>
      <c r="D778" s="20" t="s">
        <v>838</v>
      </c>
      <c r="E778" s="27">
        <v>1</v>
      </c>
      <c r="F778" s="27">
        <v>1</v>
      </c>
      <c r="G778" s="29">
        <v>6.7800099999999999</v>
      </c>
    </row>
    <row r="779" spans="1:7" x14ac:dyDescent="0.25">
      <c r="A779" s="20" t="s">
        <v>595</v>
      </c>
      <c r="B779" s="20" t="s">
        <v>839</v>
      </c>
      <c r="C779" s="20" t="s">
        <v>839</v>
      </c>
      <c r="D779" s="20" t="s">
        <v>838</v>
      </c>
      <c r="E779" s="27">
        <v>1</v>
      </c>
      <c r="F779" s="27">
        <v>1</v>
      </c>
      <c r="G779" s="29">
        <v>6.7907500000000001</v>
      </c>
    </row>
    <row r="780" spans="1:7" x14ac:dyDescent="0.25">
      <c r="A780" s="20" t="s">
        <v>595</v>
      </c>
      <c r="B780" s="20" t="s">
        <v>840</v>
      </c>
      <c r="C780" s="20" t="s">
        <v>840</v>
      </c>
      <c r="D780" s="20" t="s">
        <v>838</v>
      </c>
      <c r="E780" s="27">
        <v>2</v>
      </c>
      <c r="F780" s="27">
        <v>2</v>
      </c>
      <c r="G780" s="29">
        <v>2.46644</v>
      </c>
    </row>
    <row r="781" spans="1:7" x14ac:dyDescent="0.25">
      <c r="A781" s="20" t="s">
        <v>595</v>
      </c>
      <c r="B781" s="20" t="s">
        <v>841</v>
      </c>
      <c r="C781" s="20" t="s">
        <v>841</v>
      </c>
      <c r="D781" s="20" t="s">
        <v>838</v>
      </c>
      <c r="E781" s="27">
        <v>1</v>
      </c>
      <c r="F781" s="27">
        <v>1</v>
      </c>
      <c r="G781" s="29">
        <v>2.8106399999999998</v>
      </c>
    </row>
    <row r="782" spans="1:7" x14ac:dyDescent="0.25">
      <c r="A782" s="20" t="s">
        <v>588</v>
      </c>
      <c r="B782" s="20" t="s">
        <v>65</v>
      </c>
      <c r="C782" s="20" t="s">
        <v>65</v>
      </c>
      <c r="D782" s="20" t="s">
        <v>838</v>
      </c>
      <c r="E782" s="33">
        <v>0.1</v>
      </c>
      <c r="F782" s="33">
        <v>0.1</v>
      </c>
      <c r="G782" s="22"/>
    </row>
    <row r="783" spans="1:7" x14ac:dyDescent="0.25">
      <c r="A783" s="20" t="s">
        <v>588</v>
      </c>
      <c r="B783" s="20" t="s">
        <v>67</v>
      </c>
      <c r="C783" s="20" t="s">
        <v>67</v>
      </c>
      <c r="D783" s="20" t="s">
        <v>838</v>
      </c>
      <c r="E783" s="25">
        <v>0.51</v>
      </c>
      <c r="F783" s="25">
        <v>0.51</v>
      </c>
      <c r="G783" s="22"/>
    </row>
    <row r="784" spans="1:7" x14ac:dyDescent="0.25">
      <c r="A784" s="20" t="s">
        <v>588</v>
      </c>
      <c r="B784" s="20" t="s">
        <v>146</v>
      </c>
      <c r="C784" s="20" t="s">
        <v>146</v>
      </c>
      <c r="D784" s="20" t="s">
        <v>838</v>
      </c>
      <c r="E784" s="33">
        <v>0.3</v>
      </c>
      <c r="F784" s="33">
        <v>0.3</v>
      </c>
      <c r="G784" s="22"/>
    </row>
    <row r="785" spans="1:7" x14ac:dyDescent="0.25">
      <c r="A785" s="20" t="s">
        <v>588</v>
      </c>
      <c r="B785" s="20" t="s">
        <v>155</v>
      </c>
      <c r="C785" s="20" t="s">
        <v>155</v>
      </c>
      <c r="D785" s="20" t="s">
        <v>838</v>
      </c>
      <c r="E785" s="25">
        <v>0.03</v>
      </c>
      <c r="F785" s="25">
        <v>0.03</v>
      </c>
      <c r="G785" s="22"/>
    </row>
    <row r="786" spans="1:7" x14ac:dyDescent="0.25">
      <c r="A786" s="20" t="s">
        <v>588</v>
      </c>
      <c r="B786" s="20" t="s">
        <v>156</v>
      </c>
      <c r="C786" s="20" t="s">
        <v>156</v>
      </c>
      <c r="D786" s="20" t="s">
        <v>838</v>
      </c>
      <c r="E786" s="33">
        <v>0.1</v>
      </c>
      <c r="F786" s="33">
        <v>0.1</v>
      </c>
      <c r="G786" s="22"/>
    </row>
    <row r="787" spans="1:7" x14ac:dyDescent="0.25">
      <c r="A787" s="20" t="s">
        <v>588</v>
      </c>
      <c r="B787" s="20" t="s">
        <v>215</v>
      </c>
      <c r="C787" s="20" t="s">
        <v>215</v>
      </c>
      <c r="D787" s="20" t="s">
        <v>838</v>
      </c>
      <c r="E787" s="33">
        <v>0.2</v>
      </c>
      <c r="F787" s="33">
        <v>0.2</v>
      </c>
      <c r="G787" s="22"/>
    </row>
    <row r="788" spans="1:7" x14ac:dyDescent="0.25">
      <c r="A788" s="20" t="s">
        <v>588</v>
      </c>
      <c r="B788" s="20" t="s">
        <v>205</v>
      </c>
      <c r="C788" s="20" t="s">
        <v>205</v>
      </c>
      <c r="D788" s="20" t="s">
        <v>837</v>
      </c>
      <c r="E788" s="33">
        <v>7.2</v>
      </c>
      <c r="F788" s="33">
        <v>7.2</v>
      </c>
      <c r="G788" s="22"/>
    </row>
    <row r="789" spans="1:7" x14ac:dyDescent="0.25">
      <c r="A789" s="20" t="s">
        <v>588</v>
      </c>
      <c r="B789" s="20" t="s">
        <v>205</v>
      </c>
      <c r="C789" s="20" t="s">
        <v>205</v>
      </c>
      <c r="D789" s="20" t="s">
        <v>839</v>
      </c>
      <c r="E789" s="33">
        <v>7.2</v>
      </c>
      <c r="F789" s="33">
        <v>7.2</v>
      </c>
      <c r="G789" s="22"/>
    </row>
    <row r="790" spans="1:7" x14ac:dyDescent="0.25">
      <c r="A790" s="20" t="s">
        <v>588</v>
      </c>
      <c r="B790" s="20" t="s">
        <v>192</v>
      </c>
      <c r="C790" s="20" t="s">
        <v>192</v>
      </c>
      <c r="D790" s="20" t="s">
        <v>840</v>
      </c>
      <c r="E790" s="25">
        <v>6.22</v>
      </c>
      <c r="F790" s="25">
        <v>12.44</v>
      </c>
      <c r="G790" s="22"/>
    </row>
    <row r="791" spans="1:7" x14ac:dyDescent="0.25">
      <c r="A791" s="20" t="s">
        <v>588</v>
      </c>
      <c r="B791" s="20" t="s">
        <v>120</v>
      </c>
      <c r="C791" s="20" t="s">
        <v>120</v>
      </c>
      <c r="D791" s="20" t="s">
        <v>841</v>
      </c>
      <c r="E791" s="26">
        <v>4.18248</v>
      </c>
      <c r="F791" s="26">
        <v>4.18248</v>
      </c>
      <c r="G791" s="22"/>
    </row>
    <row r="792" spans="1:7" x14ac:dyDescent="0.25">
      <c r="A792" s="20" t="s">
        <v>595</v>
      </c>
      <c r="B792" s="20" t="s">
        <v>842</v>
      </c>
      <c r="C792" s="20" t="s">
        <v>842</v>
      </c>
      <c r="D792" s="20" t="s">
        <v>843</v>
      </c>
      <c r="E792" s="27">
        <v>1</v>
      </c>
      <c r="F792" s="27">
        <v>2</v>
      </c>
      <c r="G792" s="29">
        <v>2.1742900000000001</v>
      </c>
    </row>
    <row r="793" spans="1:7" x14ac:dyDescent="0.25">
      <c r="A793" s="20" t="s">
        <v>595</v>
      </c>
      <c r="B793" s="20" t="s">
        <v>844</v>
      </c>
      <c r="C793" s="20" t="s">
        <v>844</v>
      </c>
      <c r="D793" s="20" t="s">
        <v>843</v>
      </c>
      <c r="E793" s="27">
        <v>1</v>
      </c>
      <c r="F793" s="27">
        <v>2</v>
      </c>
      <c r="G793" s="29">
        <v>6.7729200000000001</v>
      </c>
    </row>
    <row r="794" spans="1:7" x14ac:dyDescent="0.25">
      <c r="A794" s="20" t="s">
        <v>588</v>
      </c>
      <c r="B794" s="20" t="s">
        <v>65</v>
      </c>
      <c r="C794" s="20" t="s">
        <v>65</v>
      </c>
      <c r="D794" s="20" t="s">
        <v>843</v>
      </c>
      <c r="E794" s="25">
        <v>0.06</v>
      </c>
      <c r="F794" s="25">
        <v>0.12</v>
      </c>
      <c r="G794" s="22"/>
    </row>
    <row r="795" spans="1:7" x14ac:dyDescent="0.25">
      <c r="A795" s="20" t="s">
        <v>588</v>
      </c>
      <c r="B795" s="20" t="s">
        <v>67</v>
      </c>
      <c r="C795" s="20" t="s">
        <v>67</v>
      </c>
      <c r="D795" s="20" t="s">
        <v>843</v>
      </c>
      <c r="E795" s="24">
        <v>3.4000000000000002E-2</v>
      </c>
      <c r="F795" s="24">
        <v>6.8000000000000005E-2</v>
      </c>
      <c r="G795" s="22"/>
    </row>
    <row r="796" spans="1:7" x14ac:dyDescent="0.25">
      <c r="A796" s="20" t="s">
        <v>588</v>
      </c>
      <c r="B796" s="20" t="s">
        <v>146</v>
      </c>
      <c r="C796" s="20" t="s">
        <v>146</v>
      </c>
      <c r="D796" s="20" t="s">
        <v>843</v>
      </c>
      <c r="E796" s="25">
        <v>0.02</v>
      </c>
      <c r="F796" s="25">
        <v>0.04</v>
      </c>
      <c r="G796" s="22"/>
    </row>
    <row r="797" spans="1:7" x14ac:dyDescent="0.25">
      <c r="A797" s="20" t="s">
        <v>588</v>
      </c>
      <c r="B797" s="20" t="s">
        <v>155</v>
      </c>
      <c r="C797" s="20" t="s">
        <v>155</v>
      </c>
      <c r="D797" s="20" t="s">
        <v>843</v>
      </c>
      <c r="E797" s="24">
        <v>1.7999999999999999E-2</v>
      </c>
      <c r="F797" s="24">
        <v>3.5999999999999997E-2</v>
      </c>
      <c r="G797" s="22"/>
    </row>
    <row r="798" spans="1:7" x14ac:dyDescent="0.25">
      <c r="A798" s="20" t="s">
        <v>588</v>
      </c>
      <c r="B798" s="20" t="s">
        <v>156</v>
      </c>
      <c r="C798" s="20" t="s">
        <v>156</v>
      </c>
      <c r="D798" s="20" t="s">
        <v>843</v>
      </c>
      <c r="E798" s="24">
        <v>5.5E-2</v>
      </c>
      <c r="F798" s="25">
        <v>0.11</v>
      </c>
      <c r="G798" s="22"/>
    </row>
    <row r="799" spans="1:7" x14ac:dyDescent="0.25">
      <c r="A799" s="20" t="s">
        <v>588</v>
      </c>
      <c r="B799" s="20" t="s">
        <v>200</v>
      </c>
      <c r="C799" s="20" t="s">
        <v>200</v>
      </c>
      <c r="D799" s="20" t="s">
        <v>843</v>
      </c>
      <c r="E799" s="24">
        <v>8.0000000000000002E-3</v>
      </c>
      <c r="F799" s="24">
        <v>1.6E-2</v>
      </c>
      <c r="G799" s="22"/>
    </row>
    <row r="800" spans="1:7" x14ac:dyDescent="0.25">
      <c r="A800" s="20" t="s">
        <v>588</v>
      </c>
      <c r="B800" s="20" t="s">
        <v>215</v>
      </c>
      <c r="C800" s="20" t="s">
        <v>215</v>
      </c>
      <c r="D800" s="20" t="s">
        <v>843</v>
      </c>
      <c r="E800" s="25">
        <v>0.12</v>
      </c>
      <c r="F800" s="25">
        <v>0.24</v>
      </c>
      <c r="G800" s="22"/>
    </row>
    <row r="801" spans="1:7" x14ac:dyDescent="0.25">
      <c r="A801" s="20" t="s">
        <v>588</v>
      </c>
      <c r="B801" s="20" t="s">
        <v>191</v>
      </c>
      <c r="C801" s="20" t="s">
        <v>191</v>
      </c>
      <c r="D801" s="20" t="s">
        <v>842</v>
      </c>
      <c r="E801" s="33">
        <v>2.4</v>
      </c>
      <c r="F801" s="33">
        <v>4.8</v>
      </c>
      <c r="G801" s="22"/>
    </row>
    <row r="802" spans="1:7" x14ac:dyDescent="0.25">
      <c r="A802" s="20" t="s">
        <v>588</v>
      </c>
      <c r="B802" s="20" t="s">
        <v>191</v>
      </c>
      <c r="C802" s="20" t="s">
        <v>191</v>
      </c>
      <c r="D802" s="20" t="s">
        <v>844</v>
      </c>
      <c r="E802" s="33">
        <v>7.1</v>
      </c>
      <c r="F802" s="33">
        <v>14.2</v>
      </c>
      <c r="G802" s="22"/>
    </row>
    <row r="803" spans="1:7" x14ac:dyDescent="0.25">
      <c r="A803" s="20" t="s">
        <v>595</v>
      </c>
      <c r="B803" s="20" t="s">
        <v>845</v>
      </c>
      <c r="C803" s="20" t="s">
        <v>845</v>
      </c>
      <c r="D803" s="20" t="s">
        <v>599</v>
      </c>
      <c r="E803" s="27">
        <v>1</v>
      </c>
      <c r="F803" s="27">
        <v>2</v>
      </c>
      <c r="G803" s="29">
        <v>2.39235</v>
      </c>
    </row>
    <row r="804" spans="1:7" x14ac:dyDescent="0.25">
      <c r="A804" s="20" t="s">
        <v>595</v>
      </c>
      <c r="B804" s="20" t="s">
        <v>846</v>
      </c>
      <c r="C804" s="20" t="s">
        <v>846</v>
      </c>
      <c r="D804" s="20" t="s">
        <v>599</v>
      </c>
      <c r="E804" s="27">
        <v>2</v>
      </c>
      <c r="F804" s="27">
        <v>4</v>
      </c>
      <c r="G804" s="29">
        <v>3.9190000000000003E-2</v>
      </c>
    </row>
    <row r="805" spans="1:7" x14ac:dyDescent="0.25">
      <c r="A805" s="20" t="s">
        <v>595</v>
      </c>
      <c r="B805" s="20" t="s">
        <v>847</v>
      </c>
      <c r="C805" s="20" t="s">
        <v>847</v>
      </c>
      <c r="D805" s="20" t="s">
        <v>599</v>
      </c>
      <c r="E805" s="27">
        <v>2</v>
      </c>
      <c r="F805" s="27">
        <v>4</v>
      </c>
      <c r="G805" s="29">
        <v>7.1459999999999996E-2</v>
      </c>
    </row>
    <row r="806" spans="1:7" ht="22.5" x14ac:dyDescent="0.25">
      <c r="A806" s="20" t="s">
        <v>620</v>
      </c>
      <c r="B806" s="20" t="s">
        <v>622</v>
      </c>
      <c r="C806" s="20" t="s">
        <v>256</v>
      </c>
      <c r="D806" s="20" t="s">
        <v>599</v>
      </c>
      <c r="E806" s="27">
        <v>4</v>
      </c>
      <c r="F806" s="27">
        <v>8</v>
      </c>
      <c r="G806" s="28">
        <v>1.52E-2</v>
      </c>
    </row>
    <row r="807" spans="1:7" ht="22.5" x14ac:dyDescent="0.25">
      <c r="A807" s="20" t="s">
        <v>620</v>
      </c>
      <c r="B807" s="20" t="s">
        <v>625</v>
      </c>
      <c r="C807" s="20" t="s">
        <v>219</v>
      </c>
      <c r="D807" s="20" t="s">
        <v>599</v>
      </c>
      <c r="E807" s="27">
        <v>4</v>
      </c>
      <c r="F807" s="27">
        <v>8</v>
      </c>
      <c r="G807" s="29">
        <v>7.1399999999999996E-3</v>
      </c>
    </row>
    <row r="808" spans="1:7" x14ac:dyDescent="0.25">
      <c r="A808" s="20" t="s">
        <v>588</v>
      </c>
      <c r="B808" s="20" t="s">
        <v>130</v>
      </c>
      <c r="C808" s="20" t="s">
        <v>130</v>
      </c>
      <c r="D808" s="20" t="s">
        <v>845</v>
      </c>
      <c r="E808" s="26">
        <v>2.8275100000000002</v>
      </c>
      <c r="F808" s="26">
        <v>5.6550200000000004</v>
      </c>
      <c r="G808" s="22"/>
    </row>
    <row r="809" spans="1:7" x14ac:dyDescent="0.25">
      <c r="A809" s="20" t="s">
        <v>588</v>
      </c>
      <c r="B809" s="20" t="s">
        <v>131</v>
      </c>
      <c r="C809" s="20" t="s">
        <v>131</v>
      </c>
      <c r="D809" s="20" t="s">
        <v>846</v>
      </c>
      <c r="E809" s="26">
        <v>4.9849999999999998E-2</v>
      </c>
      <c r="F809" s="32">
        <v>0.19939999999999999</v>
      </c>
      <c r="G809" s="22"/>
    </row>
    <row r="810" spans="1:7" x14ac:dyDescent="0.25">
      <c r="A810" s="20" t="s">
        <v>588</v>
      </c>
      <c r="B810" s="20" t="s">
        <v>131</v>
      </c>
      <c r="C810" s="20" t="s">
        <v>131</v>
      </c>
      <c r="D810" s="20" t="s">
        <v>847</v>
      </c>
      <c r="E810" s="26">
        <v>9.1389999999999999E-2</v>
      </c>
      <c r="F810" s="26">
        <v>0.36556</v>
      </c>
      <c r="G810" s="22"/>
    </row>
    <row r="811" spans="1:7" x14ac:dyDescent="0.25">
      <c r="A811" s="20" t="s">
        <v>585</v>
      </c>
      <c r="B811" s="20" t="s">
        <v>848</v>
      </c>
      <c r="C811" s="20" t="s">
        <v>848</v>
      </c>
      <c r="D811" s="20" t="s">
        <v>849</v>
      </c>
      <c r="E811" s="27">
        <v>1</v>
      </c>
      <c r="F811" s="27">
        <v>1</v>
      </c>
      <c r="G811" s="29">
        <v>3.6940300000000001</v>
      </c>
    </row>
    <row r="812" spans="1:7" x14ac:dyDescent="0.25">
      <c r="A812" s="20" t="s">
        <v>585</v>
      </c>
      <c r="B812" s="20" t="s">
        <v>850</v>
      </c>
      <c r="C812" s="20" t="s">
        <v>850</v>
      </c>
      <c r="D812" s="20" t="s">
        <v>849</v>
      </c>
      <c r="E812" s="27">
        <v>2</v>
      </c>
      <c r="F812" s="27">
        <v>2</v>
      </c>
      <c r="G812" s="29">
        <v>1.27704</v>
      </c>
    </row>
    <row r="813" spans="1:7" x14ac:dyDescent="0.25">
      <c r="A813" s="20" t="s">
        <v>585</v>
      </c>
      <c r="B813" s="20" t="s">
        <v>851</v>
      </c>
      <c r="C813" s="20" t="s">
        <v>851</v>
      </c>
      <c r="D813" s="20" t="s">
        <v>849</v>
      </c>
      <c r="E813" s="27">
        <v>2</v>
      </c>
      <c r="F813" s="27">
        <v>2</v>
      </c>
      <c r="G813" s="29">
        <v>1.5501799999999999</v>
      </c>
    </row>
    <row r="814" spans="1:7" x14ac:dyDescent="0.25">
      <c r="A814" s="20" t="s">
        <v>585</v>
      </c>
      <c r="B814" s="20" t="s">
        <v>852</v>
      </c>
      <c r="C814" s="20" t="s">
        <v>852</v>
      </c>
      <c r="D814" s="20" t="s">
        <v>849</v>
      </c>
      <c r="E814" s="27">
        <v>2</v>
      </c>
      <c r="F814" s="27">
        <v>2</v>
      </c>
      <c r="G814" s="29">
        <v>1.5501799999999999</v>
      </c>
    </row>
    <row r="815" spans="1:7" x14ac:dyDescent="0.25">
      <c r="A815" s="20" t="s">
        <v>585</v>
      </c>
      <c r="B815" s="20" t="s">
        <v>853</v>
      </c>
      <c r="C815" s="20" t="s">
        <v>853</v>
      </c>
      <c r="D815" s="20" t="s">
        <v>849</v>
      </c>
      <c r="E815" s="27">
        <v>1</v>
      </c>
      <c r="F815" s="27">
        <v>1</v>
      </c>
      <c r="G815" s="29">
        <v>1.6623699999999999</v>
      </c>
    </row>
    <row r="816" spans="1:7" x14ac:dyDescent="0.25">
      <c r="A816" s="20" t="s">
        <v>585</v>
      </c>
      <c r="B816" s="20" t="s">
        <v>854</v>
      </c>
      <c r="C816" s="20" t="s">
        <v>854</v>
      </c>
      <c r="D816" s="20" t="s">
        <v>849</v>
      </c>
      <c r="E816" s="27">
        <v>1</v>
      </c>
      <c r="F816" s="27">
        <v>1</v>
      </c>
      <c r="G816" s="29">
        <v>1.6623699999999999</v>
      </c>
    </row>
    <row r="817" spans="1:7" x14ac:dyDescent="0.25">
      <c r="A817" s="20" t="s">
        <v>585</v>
      </c>
      <c r="B817" s="20" t="s">
        <v>855</v>
      </c>
      <c r="C817" s="20" t="s">
        <v>855</v>
      </c>
      <c r="D817" s="20" t="s">
        <v>849</v>
      </c>
      <c r="E817" s="27">
        <v>1</v>
      </c>
      <c r="F817" s="27">
        <v>1</v>
      </c>
      <c r="G817" s="29">
        <v>4.6026100000000003</v>
      </c>
    </row>
    <row r="818" spans="1:7" x14ac:dyDescent="0.25">
      <c r="A818" s="20" t="s">
        <v>585</v>
      </c>
      <c r="B818" s="20" t="s">
        <v>856</v>
      </c>
      <c r="C818" s="20" t="s">
        <v>856</v>
      </c>
      <c r="D818" s="20" t="s">
        <v>849</v>
      </c>
      <c r="E818" s="27">
        <v>1</v>
      </c>
      <c r="F818" s="27">
        <v>1</v>
      </c>
      <c r="G818" s="36">
        <v>1059.2719</v>
      </c>
    </row>
    <row r="819" spans="1:7" x14ac:dyDescent="0.25">
      <c r="A819" s="20" t="s">
        <v>595</v>
      </c>
      <c r="B819" s="20" t="s">
        <v>857</v>
      </c>
      <c r="C819" s="20" t="s">
        <v>857</v>
      </c>
      <c r="D819" s="20" t="s">
        <v>849</v>
      </c>
      <c r="E819" s="27">
        <v>6</v>
      </c>
      <c r="F819" s="27">
        <v>6</v>
      </c>
      <c r="G819" s="28">
        <v>5.5404999999999998</v>
      </c>
    </row>
    <row r="820" spans="1:7" x14ac:dyDescent="0.25">
      <c r="A820" s="20" t="s">
        <v>595</v>
      </c>
      <c r="B820" s="20" t="s">
        <v>858</v>
      </c>
      <c r="C820" s="20" t="s">
        <v>858</v>
      </c>
      <c r="D820" s="20" t="s">
        <v>849</v>
      </c>
      <c r="E820" s="27">
        <v>1</v>
      </c>
      <c r="F820" s="27">
        <v>1</v>
      </c>
      <c r="G820" s="29">
        <v>2.41317</v>
      </c>
    </row>
    <row r="821" spans="1:7" x14ac:dyDescent="0.25">
      <c r="A821" s="20" t="s">
        <v>595</v>
      </c>
      <c r="B821" s="20" t="s">
        <v>859</v>
      </c>
      <c r="C821" s="20" t="s">
        <v>859</v>
      </c>
      <c r="D821" s="20" t="s">
        <v>849</v>
      </c>
      <c r="E821" s="27">
        <v>1</v>
      </c>
      <c r="F821" s="27">
        <v>1</v>
      </c>
      <c r="G821" s="29">
        <v>0.17841000000000001</v>
      </c>
    </row>
    <row r="822" spans="1:7" x14ac:dyDescent="0.25">
      <c r="A822" s="20" t="s">
        <v>595</v>
      </c>
      <c r="B822" s="20" t="s">
        <v>860</v>
      </c>
      <c r="C822" s="20" t="s">
        <v>860</v>
      </c>
      <c r="D822" s="20" t="s">
        <v>849</v>
      </c>
      <c r="E822" s="27">
        <v>1</v>
      </c>
      <c r="F822" s="27">
        <v>1</v>
      </c>
      <c r="G822" s="29">
        <v>5.6148899999999999</v>
      </c>
    </row>
    <row r="823" spans="1:7" x14ac:dyDescent="0.25">
      <c r="A823" s="20" t="s">
        <v>595</v>
      </c>
      <c r="B823" s="20" t="s">
        <v>861</v>
      </c>
      <c r="C823" s="20" t="s">
        <v>861</v>
      </c>
      <c r="D823" s="20" t="s">
        <v>849</v>
      </c>
      <c r="E823" s="27">
        <v>1</v>
      </c>
      <c r="F823" s="27">
        <v>1</v>
      </c>
      <c r="G823" s="22"/>
    </row>
    <row r="824" spans="1:7" ht="22.5" x14ac:dyDescent="0.25">
      <c r="A824" s="20" t="s">
        <v>620</v>
      </c>
      <c r="B824" s="20" t="s">
        <v>862</v>
      </c>
      <c r="C824" s="20" t="s">
        <v>341</v>
      </c>
      <c r="D824" s="20" t="s">
        <v>849</v>
      </c>
      <c r="E824" s="27">
        <v>4</v>
      </c>
      <c r="F824" s="27">
        <v>4</v>
      </c>
      <c r="G824" s="29">
        <v>2.8800000000000002E-3</v>
      </c>
    </row>
    <row r="825" spans="1:7" ht="22.5" x14ac:dyDescent="0.25">
      <c r="A825" s="20" t="s">
        <v>620</v>
      </c>
      <c r="B825" s="20" t="s">
        <v>622</v>
      </c>
      <c r="C825" s="20" t="s">
        <v>256</v>
      </c>
      <c r="D825" s="20" t="s">
        <v>849</v>
      </c>
      <c r="E825" s="27">
        <v>39</v>
      </c>
      <c r="F825" s="27">
        <v>39</v>
      </c>
      <c r="G825" s="28">
        <v>1.52E-2</v>
      </c>
    </row>
    <row r="826" spans="1:7" ht="22.5" x14ac:dyDescent="0.25">
      <c r="A826" s="20" t="s">
        <v>620</v>
      </c>
      <c r="B826" s="20" t="s">
        <v>863</v>
      </c>
      <c r="C826" s="20" t="s">
        <v>262</v>
      </c>
      <c r="D826" s="20" t="s">
        <v>849</v>
      </c>
      <c r="E826" s="27">
        <v>12</v>
      </c>
      <c r="F826" s="27">
        <v>12</v>
      </c>
      <c r="G826" s="29">
        <v>2.5250000000000002E-2</v>
      </c>
    </row>
    <row r="827" spans="1:7" ht="22.5" x14ac:dyDescent="0.25">
      <c r="A827" s="20" t="s">
        <v>620</v>
      </c>
      <c r="B827" s="20" t="s">
        <v>51</v>
      </c>
      <c r="C827" s="20" t="s">
        <v>51</v>
      </c>
      <c r="D827" s="20" t="s">
        <v>849</v>
      </c>
      <c r="E827" s="27">
        <v>6</v>
      </c>
      <c r="F827" s="27">
        <v>6</v>
      </c>
      <c r="G827" s="29">
        <v>5.0099999999999997E-3</v>
      </c>
    </row>
    <row r="828" spans="1:7" ht="22.5" x14ac:dyDescent="0.25">
      <c r="A828" s="20" t="s">
        <v>620</v>
      </c>
      <c r="B828" s="20" t="s">
        <v>864</v>
      </c>
      <c r="C828" s="20" t="s">
        <v>263</v>
      </c>
      <c r="D828" s="20" t="s">
        <v>849</v>
      </c>
      <c r="E828" s="27">
        <v>6</v>
      </c>
      <c r="F828" s="27">
        <v>6</v>
      </c>
      <c r="G828" s="29">
        <v>1.567E-2</v>
      </c>
    </row>
    <row r="829" spans="1:7" ht="22.5" x14ac:dyDescent="0.25">
      <c r="A829" s="20" t="s">
        <v>620</v>
      </c>
      <c r="B829" s="20" t="s">
        <v>625</v>
      </c>
      <c r="C829" s="20" t="s">
        <v>219</v>
      </c>
      <c r="D829" s="20" t="s">
        <v>849</v>
      </c>
      <c r="E829" s="27">
        <v>51</v>
      </c>
      <c r="F829" s="27">
        <v>51</v>
      </c>
      <c r="G829" s="29">
        <v>7.1399999999999996E-3</v>
      </c>
    </row>
    <row r="830" spans="1:7" ht="22.5" x14ac:dyDescent="0.25">
      <c r="A830" s="20" t="s">
        <v>620</v>
      </c>
      <c r="B830" s="20" t="s">
        <v>865</v>
      </c>
      <c r="C830" s="20" t="s">
        <v>264</v>
      </c>
      <c r="D830" s="20" t="s">
        <v>849</v>
      </c>
      <c r="E830" s="27">
        <v>6</v>
      </c>
      <c r="F830" s="27">
        <v>6</v>
      </c>
      <c r="G830" s="29">
        <v>3.4499999999999999E-3</v>
      </c>
    </row>
    <row r="831" spans="1:7" ht="22.5" x14ac:dyDescent="0.25">
      <c r="A831" s="20" t="s">
        <v>620</v>
      </c>
      <c r="B831" s="20" t="s">
        <v>866</v>
      </c>
      <c r="C831" s="20" t="s">
        <v>265</v>
      </c>
      <c r="D831" s="20" t="s">
        <v>849</v>
      </c>
      <c r="E831" s="27">
        <v>6</v>
      </c>
      <c r="F831" s="27">
        <v>6</v>
      </c>
      <c r="G831" s="29">
        <v>6.0699999999999999E-3</v>
      </c>
    </row>
    <row r="832" spans="1:7" ht="22.5" x14ac:dyDescent="0.25">
      <c r="A832" s="20" t="s">
        <v>620</v>
      </c>
      <c r="B832" s="20" t="s">
        <v>737</v>
      </c>
      <c r="C832" s="20" t="s">
        <v>240</v>
      </c>
      <c r="D832" s="20" t="s">
        <v>849</v>
      </c>
      <c r="E832" s="27">
        <v>12</v>
      </c>
      <c r="F832" s="27">
        <v>12</v>
      </c>
      <c r="G832" s="29">
        <v>1.73E-3</v>
      </c>
    </row>
    <row r="833" spans="1:7" x14ac:dyDescent="0.25">
      <c r="A833" s="20" t="s">
        <v>597</v>
      </c>
      <c r="B833" s="20" t="s">
        <v>41</v>
      </c>
      <c r="C833" s="20" t="s">
        <v>41</v>
      </c>
      <c r="D833" s="20" t="s">
        <v>849</v>
      </c>
      <c r="E833" s="27">
        <v>2</v>
      </c>
      <c r="F833" s="27">
        <v>2</v>
      </c>
      <c r="G833" s="29">
        <v>1.57473</v>
      </c>
    </row>
    <row r="834" spans="1:7" x14ac:dyDescent="0.25">
      <c r="A834" s="20" t="s">
        <v>597</v>
      </c>
      <c r="B834" s="20" t="s">
        <v>137</v>
      </c>
      <c r="C834" s="20" t="s">
        <v>137</v>
      </c>
      <c r="D834" s="20" t="s">
        <v>849</v>
      </c>
      <c r="E834" s="27">
        <v>1</v>
      </c>
      <c r="F834" s="27">
        <v>1</v>
      </c>
      <c r="G834" s="22"/>
    </row>
    <row r="835" spans="1:7" x14ac:dyDescent="0.25">
      <c r="A835" s="20" t="s">
        <v>597</v>
      </c>
      <c r="B835" s="20" t="s">
        <v>138</v>
      </c>
      <c r="C835" s="20" t="s">
        <v>138</v>
      </c>
      <c r="D835" s="20" t="s">
        <v>849</v>
      </c>
      <c r="E835" s="27">
        <v>1</v>
      </c>
      <c r="F835" s="27">
        <v>1</v>
      </c>
      <c r="G835" s="22"/>
    </row>
    <row r="836" spans="1:7" x14ac:dyDescent="0.25">
      <c r="A836" s="20" t="s">
        <v>588</v>
      </c>
      <c r="B836" s="20" t="s">
        <v>328</v>
      </c>
      <c r="C836" s="20" t="s">
        <v>328</v>
      </c>
      <c r="D836" s="20" t="s">
        <v>857</v>
      </c>
      <c r="E836" s="24">
        <v>5.5519999999999996</v>
      </c>
      <c r="F836" s="24">
        <v>33.311999999999998</v>
      </c>
      <c r="G836" s="22"/>
    </row>
    <row r="837" spans="1:7" x14ac:dyDescent="0.25">
      <c r="A837" s="20" t="s">
        <v>588</v>
      </c>
      <c r="B837" s="20" t="s">
        <v>131</v>
      </c>
      <c r="C837" s="20" t="s">
        <v>131</v>
      </c>
      <c r="D837" s="20" t="s">
        <v>858</v>
      </c>
      <c r="E837" s="26">
        <v>3.0935100000000002</v>
      </c>
      <c r="F837" s="26">
        <v>3.0935100000000002</v>
      </c>
      <c r="G837" s="22"/>
    </row>
    <row r="838" spans="1:7" x14ac:dyDescent="0.25">
      <c r="A838" s="20" t="s">
        <v>588</v>
      </c>
      <c r="B838" s="20" t="s">
        <v>131</v>
      </c>
      <c r="C838" s="20" t="s">
        <v>131</v>
      </c>
      <c r="D838" s="20" t="s">
        <v>859</v>
      </c>
      <c r="E838" s="26">
        <v>0.22550999999999999</v>
      </c>
      <c r="F838" s="26">
        <v>0.22550999999999999</v>
      </c>
      <c r="G838" s="22"/>
    </row>
    <row r="839" spans="1:7" x14ac:dyDescent="0.25">
      <c r="A839" s="20" t="s">
        <v>588</v>
      </c>
      <c r="B839" s="20" t="s">
        <v>65</v>
      </c>
      <c r="C839" s="20" t="s">
        <v>65</v>
      </c>
      <c r="D839" s="20" t="s">
        <v>860</v>
      </c>
      <c r="E839" s="24">
        <v>0.124</v>
      </c>
      <c r="F839" s="24">
        <v>0.124</v>
      </c>
      <c r="G839" s="22"/>
    </row>
    <row r="840" spans="1:7" x14ac:dyDescent="0.25">
      <c r="A840" s="20" t="s">
        <v>588</v>
      </c>
      <c r="B840" s="20" t="s">
        <v>113</v>
      </c>
      <c r="C840" s="20" t="s">
        <v>113</v>
      </c>
      <c r="D840" s="20" t="s">
        <v>860</v>
      </c>
      <c r="E840" s="26">
        <v>14.90602</v>
      </c>
      <c r="F840" s="26">
        <v>14.90602</v>
      </c>
      <c r="G840" s="22"/>
    </row>
    <row r="841" spans="1:7" x14ac:dyDescent="0.25">
      <c r="A841" s="20" t="s">
        <v>588</v>
      </c>
      <c r="B841" s="20" t="s">
        <v>155</v>
      </c>
      <c r="C841" s="20" t="s">
        <v>155</v>
      </c>
      <c r="D841" s="20" t="s">
        <v>860</v>
      </c>
      <c r="E841" s="24">
        <v>3.6999999999999998E-2</v>
      </c>
      <c r="F841" s="24">
        <v>3.6999999999999998E-2</v>
      </c>
      <c r="G841" s="22"/>
    </row>
    <row r="842" spans="1:7" x14ac:dyDescent="0.25">
      <c r="A842" s="20" t="s">
        <v>588</v>
      </c>
      <c r="B842" s="20" t="s">
        <v>156</v>
      </c>
      <c r="C842" s="20" t="s">
        <v>156</v>
      </c>
      <c r="D842" s="20" t="s">
        <v>860</v>
      </c>
      <c r="E842" s="24">
        <v>0.114</v>
      </c>
      <c r="F842" s="24">
        <v>0.114</v>
      </c>
      <c r="G842" s="22"/>
    </row>
    <row r="843" spans="1:7" x14ac:dyDescent="0.25">
      <c r="A843" s="20" t="s">
        <v>588</v>
      </c>
      <c r="B843" s="20" t="s">
        <v>215</v>
      </c>
      <c r="C843" s="20" t="s">
        <v>215</v>
      </c>
      <c r="D843" s="20" t="s">
        <v>860</v>
      </c>
      <c r="E843" s="24">
        <v>0.248</v>
      </c>
      <c r="F843" s="24">
        <v>0.248</v>
      </c>
      <c r="G843" s="22"/>
    </row>
    <row r="844" spans="1:7" x14ac:dyDescent="0.25">
      <c r="A844" s="20" t="s">
        <v>588</v>
      </c>
      <c r="B844" s="20" t="s">
        <v>342</v>
      </c>
      <c r="C844" s="20" t="s">
        <v>342</v>
      </c>
      <c r="D844" s="20" t="s">
        <v>861</v>
      </c>
      <c r="E844" s="27">
        <v>1</v>
      </c>
      <c r="F844" s="27">
        <v>1</v>
      </c>
      <c r="G844" s="22">
        <v>0.01</v>
      </c>
    </row>
    <row r="845" spans="1:7" x14ac:dyDescent="0.25">
      <c r="A845" s="20" t="s">
        <v>595</v>
      </c>
      <c r="B845" s="20" t="s">
        <v>867</v>
      </c>
      <c r="C845" s="20" t="s">
        <v>867</v>
      </c>
      <c r="D845" s="20" t="s">
        <v>848</v>
      </c>
      <c r="E845" s="27">
        <v>1</v>
      </c>
      <c r="F845" s="27">
        <v>1</v>
      </c>
      <c r="G845" s="29">
        <v>3.3711600000000002</v>
      </c>
    </row>
    <row r="846" spans="1:7" x14ac:dyDescent="0.25">
      <c r="A846" s="20" t="s">
        <v>595</v>
      </c>
      <c r="B846" s="20" t="s">
        <v>868</v>
      </c>
      <c r="C846" s="20" t="s">
        <v>868</v>
      </c>
      <c r="D846" s="20" t="s">
        <v>848</v>
      </c>
      <c r="E846" s="27">
        <v>2</v>
      </c>
      <c r="F846" s="27">
        <v>2</v>
      </c>
      <c r="G846" s="29">
        <v>2.1559999999999999E-2</v>
      </c>
    </row>
    <row r="847" spans="1:7" x14ac:dyDescent="0.25">
      <c r="A847" s="20" t="s">
        <v>595</v>
      </c>
      <c r="B847" s="20" t="s">
        <v>869</v>
      </c>
      <c r="C847" s="20" t="s">
        <v>869</v>
      </c>
      <c r="D847" s="20" t="s">
        <v>848</v>
      </c>
      <c r="E847" s="27">
        <v>1</v>
      </c>
      <c r="F847" s="27">
        <v>1</v>
      </c>
      <c r="G847" s="29">
        <v>0.25583</v>
      </c>
    </row>
    <row r="848" spans="1:7" ht="22.5" x14ac:dyDescent="0.25">
      <c r="A848" s="20" t="s">
        <v>620</v>
      </c>
      <c r="B848" s="20" t="s">
        <v>870</v>
      </c>
      <c r="C848" s="20" t="s">
        <v>267</v>
      </c>
      <c r="D848" s="20" t="s">
        <v>848</v>
      </c>
      <c r="E848" s="27">
        <v>4</v>
      </c>
      <c r="F848" s="27">
        <v>4</v>
      </c>
      <c r="G848" s="29">
        <v>5.5199999999999997E-3</v>
      </c>
    </row>
    <row r="849" spans="1:7" ht="22.5" x14ac:dyDescent="0.25">
      <c r="A849" s="20" t="s">
        <v>620</v>
      </c>
      <c r="B849" s="20" t="s">
        <v>871</v>
      </c>
      <c r="C849" s="20" t="s">
        <v>266</v>
      </c>
      <c r="D849" s="20" t="s">
        <v>848</v>
      </c>
      <c r="E849" s="27">
        <v>4</v>
      </c>
      <c r="F849" s="27">
        <v>4</v>
      </c>
      <c r="G849" s="28">
        <v>3.3E-3</v>
      </c>
    </row>
    <row r="850" spans="1:7" x14ac:dyDescent="0.25">
      <c r="A850" s="20" t="s">
        <v>588</v>
      </c>
      <c r="B850" s="20" t="s">
        <v>131</v>
      </c>
      <c r="C850" s="20" t="s">
        <v>131</v>
      </c>
      <c r="D850" s="20" t="s">
        <v>867</v>
      </c>
      <c r="E850" s="26">
        <v>4.4848600000000003</v>
      </c>
      <c r="F850" s="26">
        <v>4.4848600000000003</v>
      </c>
      <c r="G850" s="22"/>
    </row>
    <row r="851" spans="1:7" x14ac:dyDescent="0.25">
      <c r="A851" s="20" t="s">
        <v>588</v>
      </c>
      <c r="B851" s="20" t="s">
        <v>128</v>
      </c>
      <c r="C851" s="20" t="s">
        <v>128</v>
      </c>
      <c r="D851" s="20" t="s">
        <v>868</v>
      </c>
      <c r="E851" s="26">
        <v>2.6710000000000001E-2</v>
      </c>
      <c r="F851" s="26">
        <v>5.3420000000000002E-2</v>
      </c>
      <c r="G851" s="22"/>
    </row>
    <row r="852" spans="1:7" x14ac:dyDescent="0.25">
      <c r="A852" s="20" t="s">
        <v>588</v>
      </c>
      <c r="B852" s="20" t="s">
        <v>128</v>
      </c>
      <c r="C852" s="20" t="s">
        <v>128</v>
      </c>
      <c r="D852" s="20" t="s">
        <v>869</v>
      </c>
      <c r="E852" s="26">
        <v>0.30598999999999998</v>
      </c>
      <c r="F852" s="26">
        <v>0.30598999999999998</v>
      </c>
      <c r="G852" s="22"/>
    </row>
    <row r="853" spans="1:7" x14ac:dyDescent="0.25">
      <c r="A853" s="20" t="s">
        <v>595</v>
      </c>
      <c r="B853" s="20" t="s">
        <v>872</v>
      </c>
      <c r="C853" s="20" t="s">
        <v>872</v>
      </c>
      <c r="D853" s="20" t="s">
        <v>850</v>
      </c>
      <c r="E853" s="27">
        <v>1</v>
      </c>
      <c r="F853" s="27">
        <v>2</v>
      </c>
      <c r="G853" s="29">
        <v>1.1602600000000001</v>
      </c>
    </row>
    <row r="854" spans="1:7" x14ac:dyDescent="0.25">
      <c r="A854" s="20" t="s">
        <v>595</v>
      </c>
      <c r="B854" s="20" t="s">
        <v>873</v>
      </c>
      <c r="C854" s="20" t="s">
        <v>873</v>
      </c>
      <c r="D854" s="20" t="s">
        <v>850</v>
      </c>
      <c r="E854" s="27">
        <v>1</v>
      </c>
      <c r="F854" s="27">
        <v>2</v>
      </c>
      <c r="G854" s="29">
        <v>0.10242999999999999</v>
      </c>
    </row>
    <row r="855" spans="1:7" x14ac:dyDescent="0.25">
      <c r="A855" s="20" t="s">
        <v>595</v>
      </c>
      <c r="B855" s="20" t="s">
        <v>874</v>
      </c>
      <c r="C855" s="20" t="s">
        <v>874</v>
      </c>
      <c r="D855" s="20" t="s">
        <v>850</v>
      </c>
      <c r="E855" s="27">
        <v>1</v>
      </c>
      <c r="F855" s="27">
        <v>2</v>
      </c>
      <c r="G855" s="29">
        <v>1.435E-2</v>
      </c>
    </row>
    <row r="856" spans="1:7" x14ac:dyDescent="0.25">
      <c r="A856" s="20" t="s">
        <v>585</v>
      </c>
      <c r="B856" s="20" t="s">
        <v>875</v>
      </c>
      <c r="C856" s="20" t="s">
        <v>875</v>
      </c>
      <c r="D856" s="20" t="s">
        <v>851</v>
      </c>
      <c r="E856" s="27">
        <v>1</v>
      </c>
      <c r="F856" s="27">
        <v>2</v>
      </c>
      <c r="G856" s="29">
        <v>0.32091999999999998</v>
      </c>
    </row>
    <row r="857" spans="1:7" x14ac:dyDescent="0.25">
      <c r="A857" s="20" t="s">
        <v>595</v>
      </c>
      <c r="B857" s="20" t="s">
        <v>876</v>
      </c>
      <c r="C857" s="20" t="s">
        <v>876</v>
      </c>
      <c r="D857" s="20" t="s">
        <v>851</v>
      </c>
      <c r="E857" s="27">
        <v>1</v>
      </c>
      <c r="F857" s="27">
        <v>2</v>
      </c>
      <c r="G857" s="29">
        <v>0.99570999999999998</v>
      </c>
    </row>
    <row r="858" spans="1:7" x14ac:dyDescent="0.25">
      <c r="A858" s="20" t="s">
        <v>595</v>
      </c>
      <c r="B858" s="20" t="s">
        <v>873</v>
      </c>
      <c r="C858" s="20" t="s">
        <v>873</v>
      </c>
      <c r="D858" s="20" t="s">
        <v>851</v>
      </c>
      <c r="E858" s="27">
        <v>2</v>
      </c>
      <c r="F858" s="27">
        <v>4</v>
      </c>
      <c r="G858" s="29">
        <v>0.10242999999999999</v>
      </c>
    </row>
    <row r="859" spans="1:7" x14ac:dyDescent="0.25">
      <c r="A859" s="20" t="s">
        <v>595</v>
      </c>
      <c r="B859" s="20" t="s">
        <v>877</v>
      </c>
      <c r="C859" s="20" t="s">
        <v>877</v>
      </c>
      <c r="D859" s="20" t="s">
        <v>851</v>
      </c>
      <c r="E859" s="27">
        <v>1</v>
      </c>
      <c r="F859" s="27">
        <v>2</v>
      </c>
      <c r="G859" s="29">
        <v>2.8680000000000001E-2</v>
      </c>
    </row>
    <row r="860" spans="1:7" x14ac:dyDescent="0.25">
      <c r="A860" s="20" t="s">
        <v>585</v>
      </c>
      <c r="B860" s="20" t="s">
        <v>875</v>
      </c>
      <c r="C860" s="20" t="s">
        <v>875</v>
      </c>
      <c r="D860" s="20" t="s">
        <v>852</v>
      </c>
      <c r="E860" s="27">
        <v>1</v>
      </c>
      <c r="F860" s="27">
        <v>2</v>
      </c>
      <c r="G860" s="29">
        <v>0.32091999999999998</v>
      </c>
    </row>
    <row r="861" spans="1:7" x14ac:dyDescent="0.25">
      <c r="A861" s="20" t="s">
        <v>595</v>
      </c>
      <c r="B861" s="20" t="s">
        <v>876</v>
      </c>
      <c r="C861" s="20" t="s">
        <v>876</v>
      </c>
      <c r="D861" s="20" t="s">
        <v>852</v>
      </c>
      <c r="E861" s="27">
        <v>1</v>
      </c>
      <c r="F861" s="27">
        <v>2</v>
      </c>
      <c r="G861" s="29">
        <v>0.99570999999999998</v>
      </c>
    </row>
    <row r="862" spans="1:7" x14ac:dyDescent="0.25">
      <c r="A862" s="20" t="s">
        <v>595</v>
      </c>
      <c r="B862" s="20" t="s">
        <v>873</v>
      </c>
      <c r="C862" s="20" t="s">
        <v>873</v>
      </c>
      <c r="D862" s="20" t="s">
        <v>852</v>
      </c>
      <c r="E862" s="27">
        <v>2</v>
      </c>
      <c r="F862" s="27">
        <v>4</v>
      </c>
      <c r="G862" s="29">
        <v>0.10242999999999999</v>
      </c>
    </row>
    <row r="863" spans="1:7" x14ac:dyDescent="0.25">
      <c r="A863" s="20" t="s">
        <v>595</v>
      </c>
      <c r="B863" s="20" t="s">
        <v>877</v>
      </c>
      <c r="C863" s="20" t="s">
        <v>877</v>
      </c>
      <c r="D863" s="20" t="s">
        <v>852</v>
      </c>
      <c r="E863" s="27">
        <v>1</v>
      </c>
      <c r="F863" s="27">
        <v>2</v>
      </c>
      <c r="G863" s="29">
        <v>2.8680000000000001E-2</v>
      </c>
    </row>
    <row r="864" spans="1:7" x14ac:dyDescent="0.25">
      <c r="A864" s="20" t="s">
        <v>585</v>
      </c>
      <c r="B864" s="20" t="s">
        <v>875</v>
      </c>
      <c r="C864" s="20" t="s">
        <v>875</v>
      </c>
      <c r="D864" s="20" t="s">
        <v>853</v>
      </c>
      <c r="E864" s="27">
        <v>1</v>
      </c>
      <c r="F864" s="27">
        <v>1</v>
      </c>
      <c r="G864" s="29">
        <v>0.32091999999999998</v>
      </c>
    </row>
    <row r="865" spans="1:7" x14ac:dyDescent="0.25">
      <c r="A865" s="20" t="s">
        <v>595</v>
      </c>
      <c r="B865" s="20" t="s">
        <v>878</v>
      </c>
      <c r="C865" s="20" t="s">
        <v>878</v>
      </c>
      <c r="D865" s="20" t="s">
        <v>853</v>
      </c>
      <c r="E865" s="27">
        <v>1</v>
      </c>
      <c r="F865" s="27">
        <v>1</v>
      </c>
      <c r="G865" s="29">
        <v>1.2103299999999999</v>
      </c>
    </row>
    <row r="866" spans="1:7" x14ac:dyDescent="0.25">
      <c r="A866" s="20" t="s">
        <v>595</v>
      </c>
      <c r="B866" s="20" t="s">
        <v>873</v>
      </c>
      <c r="C866" s="20" t="s">
        <v>873</v>
      </c>
      <c r="D866" s="20" t="s">
        <v>853</v>
      </c>
      <c r="E866" s="27">
        <v>1</v>
      </c>
      <c r="F866" s="27">
        <v>1</v>
      </c>
      <c r="G866" s="29">
        <v>0.10242999999999999</v>
      </c>
    </row>
    <row r="867" spans="1:7" x14ac:dyDescent="0.25">
      <c r="A867" s="20" t="s">
        <v>595</v>
      </c>
      <c r="B867" s="20" t="s">
        <v>877</v>
      </c>
      <c r="C867" s="20" t="s">
        <v>877</v>
      </c>
      <c r="D867" s="20" t="s">
        <v>853</v>
      </c>
      <c r="E867" s="27">
        <v>1</v>
      </c>
      <c r="F867" s="27">
        <v>1</v>
      </c>
      <c r="G867" s="29">
        <v>2.8680000000000001E-2</v>
      </c>
    </row>
    <row r="868" spans="1:7" x14ac:dyDescent="0.25">
      <c r="A868" s="20" t="s">
        <v>585</v>
      </c>
      <c r="B868" s="20" t="s">
        <v>875</v>
      </c>
      <c r="C868" s="20" t="s">
        <v>875</v>
      </c>
      <c r="D868" s="20" t="s">
        <v>854</v>
      </c>
      <c r="E868" s="27">
        <v>1</v>
      </c>
      <c r="F868" s="27">
        <v>1</v>
      </c>
      <c r="G868" s="29">
        <v>0.32091999999999998</v>
      </c>
    </row>
    <row r="869" spans="1:7" x14ac:dyDescent="0.25">
      <c r="A869" s="20" t="s">
        <v>595</v>
      </c>
      <c r="B869" s="20" t="s">
        <v>878</v>
      </c>
      <c r="C869" s="20" t="s">
        <v>878</v>
      </c>
      <c r="D869" s="20" t="s">
        <v>854</v>
      </c>
      <c r="E869" s="27">
        <v>1</v>
      </c>
      <c r="F869" s="27">
        <v>1</v>
      </c>
      <c r="G869" s="29">
        <v>1.2103299999999999</v>
      </c>
    </row>
    <row r="870" spans="1:7" x14ac:dyDescent="0.25">
      <c r="A870" s="20" t="s">
        <v>595</v>
      </c>
      <c r="B870" s="20" t="s">
        <v>873</v>
      </c>
      <c r="C870" s="20" t="s">
        <v>873</v>
      </c>
      <c r="D870" s="20" t="s">
        <v>854</v>
      </c>
      <c r="E870" s="27">
        <v>1</v>
      </c>
      <c r="F870" s="27">
        <v>1</v>
      </c>
      <c r="G870" s="29">
        <v>0.10242999999999999</v>
      </c>
    </row>
    <row r="871" spans="1:7" x14ac:dyDescent="0.25">
      <c r="A871" s="20" t="s">
        <v>595</v>
      </c>
      <c r="B871" s="20" t="s">
        <v>877</v>
      </c>
      <c r="C871" s="20" t="s">
        <v>877</v>
      </c>
      <c r="D871" s="20" t="s">
        <v>854</v>
      </c>
      <c r="E871" s="27">
        <v>1</v>
      </c>
      <c r="F871" s="27">
        <v>1</v>
      </c>
      <c r="G871" s="29">
        <v>2.8680000000000001E-2</v>
      </c>
    </row>
    <row r="872" spans="1:7" x14ac:dyDescent="0.25">
      <c r="A872" s="20" t="s">
        <v>588</v>
      </c>
      <c r="B872" s="20" t="s">
        <v>64</v>
      </c>
      <c r="C872" s="20" t="s">
        <v>64</v>
      </c>
      <c r="D872" s="20" t="s">
        <v>872</v>
      </c>
      <c r="E872" s="24">
        <v>3.0000000000000001E-3</v>
      </c>
      <c r="F872" s="24">
        <v>6.0000000000000001E-3</v>
      </c>
      <c r="G872" s="22"/>
    </row>
    <row r="873" spans="1:7" x14ac:dyDescent="0.25">
      <c r="A873" s="20" t="s">
        <v>588</v>
      </c>
      <c r="B873" s="20" t="s">
        <v>94</v>
      </c>
      <c r="C873" s="20" t="s">
        <v>94</v>
      </c>
      <c r="D873" s="20" t="s">
        <v>872</v>
      </c>
      <c r="E873" s="24">
        <v>1.3979999999999999</v>
      </c>
      <c r="F873" s="24">
        <v>2.7959999999999998</v>
      </c>
      <c r="G873" s="22"/>
    </row>
    <row r="874" spans="1:7" x14ac:dyDescent="0.25">
      <c r="A874" s="20" t="s">
        <v>588</v>
      </c>
      <c r="B874" s="20" t="s">
        <v>139</v>
      </c>
      <c r="C874" s="20" t="s">
        <v>139</v>
      </c>
      <c r="D874" s="20" t="s">
        <v>872</v>
      </c>
      <c r="E874" s="24">
        <v>1E-3</v>
      </c>
      <c r="F874" s="24">
        <v>2E-3</v>
      </c>
      <c r="G874" s="22"/>
    </row>
    <row r="875" spans="1:7" x14ac:dyDescent="0.25">
      <c r="A875" s="20" t="s">
        <v>588</v>
      </c>
      <c r="B875" s="20" t="s">
        <v>156</v>
      </c>
      <c r="C875" s="20" t="s">
        <v>156</v>
      </c>
      <c r="D875" s="20" t="s">
        <v>872</v>
      </c>
      <c r="E875" s="24">
        <v>2E-3</v>
      </c>
      <c r="F875" s="24">
        <v>4.0000000000000001E-3</v>
      </c>
      <c r="G875" s="22"/>
    </row>
    <row r="876" spans="1:7" x14ac:dyDescent="0.25">
      <c r="A876" s="20" t="s">
        <v>588</v>
      </c>
      <c r="B876" s="20" t="s">
        <v>64</v>
      </c>
      <c r="C876" s="20" t="s">
        <v>64</v>
      </c>
      <c r="D876" s="20" t="s">
        <v>876</v>
      </c>
      <c r="E876" s="24">
        <v>3.0000000000000001E-3</v>
      </c>
      <c r="F876" s="24">
        <v>1.2E-2</v>
      </c>
      <c r="G876" s="22"/>
    </row>
    <row r="877" spans="1:7" x14ac:dyDescent="0.25">
      <c r="A877" s="20" t="s">
        <v>588</v>
      </c>
      <c r="B877" s="20" t="s">
        <v>94</v>
      </c>
      <c r="C877" s="20" t="s">
        <v>94</v>
      </c>
      <c r="D877" s="20" t="s">
        <v>876</v>
      </c>
      <c r="E877" s="24">
        <v>1.4379999999999999</v>
      </c>
      <c r="F877" s="24">
        <v>5.7519999999999998</v>
      </c>
      <c r="G877" s="22"/>
    </row>
    <row r="878" spans="1:7" x14ac:dyDescent="0.25">
      <c r="A878" s="20" t="s">
        <v>588</v>
      </c>
      <c r="B878" s="20" t="s">
        <v>139</v>
      </c>
      <c r="C878" s="20" t="s">
        <v>139</v>
      </c>
      <c r="D878" s="20" t="s">
        <v>876</v>
      </c>
      <c r="E878" s="24">
        <v>1E-3</v>
      </c>
      <c r="F878" s="24">
        <v>4.0000000000000001E-3</v>
      </c>
      <c r="G878" s="22"/>
    </row>
    <row r="879" spans="1:7" x14ac:dyDescent="0.25">
      <c r="A879" s="20" t="s">
        <v>588</v>
      </c>
      <c r="B879" s="20" t="s">
        <v>156</v>
      </c>
      <c r="C879" s="20" t="s">
        <v>156</v>
      </c>
      <c r="D879" s="20" t="s">
        <v>876</v>
      </c>
      <c r="E879" s="24">
        <v>2E-3</v>
      </c>
      <c r="F879" s="24">
        <v>8.0000000000000002E-3</v>
      </c>
      <c r="G879" s="22"/>
    </row>
    <row r="880" spans="1:7" x14ac:dyDescent="0.25">
      <c r="A880" s="20" t="s">
        <v>588</v>
      </c>
      <c r="B880" s="20" t="s">
        <v>64</v>
      </c>
      <c r="C880" s="20" t="s">
        <v>64</v>
      </c>
      <c r="D880" s="20" t="s">
        <v>878</v>
      </c>
      <c r="E880" s="24">
        <v>3.0000000000000001E-3</v>
      </c>
      <c r="F880" s="24">
        <v>6.0000000000000001E-3</v>
      </c>
      <c r="G880" s="22"/>
    </row>
    <row r="881" spans="1:7" x14ac:dyDescent="0.25">
      <c r="A881" s="20" t="s">
        <v>588</v>
      </c>
      <c r="B881" s="20" t="s">
        <v>94</v>
      </c>
      <c r="C881" s="20" t="s">
        <v>94</v>
      </c>
      <c r="D881" s="20" t="s">
        <v>878</v>
      </c>
      <c r="E881" s="24">
        <v>1.5980000000000001</v>
      </c>
      <c r="F881" s="24">
        <v>3.1960000000000002</v>
      </c>
      <c r="G881" s="22"/>
    </row>
    <row r="882" spans="1:7" x14ac:dyDescent="0.25">
      <c r="A882" s="20" t="s">
        <v>588</v>
      </c>
      <c r="B882" s="20" t="s">
        <v>139</v>
      </c>
      <c r="C882" s="20" t="s">
        <v>139</v>
      </c>
      <c r="D882" s="20" t="s">
        <v>878</v>
      </c>
      <c r="E882" s="24">
        <v>1E-3</v>
      </c>
      <c r="F882" s="24">
        <v>2E-3</v>
      </c>
      <c r="G882" s="22"/>
    </row>
    <row r="883" spans="1:7" x14ac:dyDescent="0.25">
      <c r="A883" s="20" t="s">
        <v>588</v>
      </c>
      <c r="B883" s="20" t="s">
        <v>156</v>
      </c>
      <c r="C883" s="20" t="s">
        <v>156</v>
      </c>
      <c r="D883" s="20" t="s">
        <v>878</v>
      </c>
      <c r="E883" s="24">
        <v>2E-3</v>
      </c>
      <c r="F883" s="24">
        <v>4.0000000000000001E-3</v>
      </c>
      <c r="G883" s="22"/>
    </row>
    <row r="884" spans="1:7" x14ac:dyDescent="0.25">
      <c r="A884" s="20" t="s">
        <v>588</v>
      </c>
      <c r="B884" s="20" t="s">
        <v>65</v>
      </c>
      <c r="C884" s="20" t="s">
        <v>65</v>
      </c>
      <c r="D884" s="20" t="s">
        <v>873</v>
      </c>
      <c r="E884" s="24">
        <v>2E-3</v>
      </c>
      <c r="F884" s="24">
        <v>2.4E-2</v>
      </c>
      <c r="G884" s="22"/>
    </row>
    <row r="885" spans="1:7" x14ac:dyDescent="0.25">
      <c r="A885" s="20" t="s">
        <v>588</v>
      </c>
      <c r="B885" s="20" t="s">
        <v>109</v>
      </c>
      <c r="C885" s="20" t="s">
        <v>109</v>
      </c>
      <c r="D885" s="20" t="s">
        <v>873</v>
      </c>
      <c r="E885" s="26">
        <v>0.17097000000000001</v>
      </c>
      <c r="F885" s="26">
        <v>2.0516399999999999</v>
      </c>
      <c r="G885" s="22"/>
    </row>
    <row r="886" spans="1:7" x14ac:dyDescent="0.25">
      <c r="A886" s="20" t="s">
        <v>588</v>
      </c>
      <c r="B886" s="20" t="s">
        <v>155</v>
      </c>
      <c r="C886" s="20" t="s">
        <v>155</v>
      </c>
      <c r="D886" s="20" t="s">
        <v>873</v>
      </c>
      <c r="E886" s="24">
        <v>1E-3</v>
      </c>
      <c r="F886" s="24">
        <v>1.2E-2</v>
      </c>
      <c r="G886" s="22"/>
    </row>
    <row r="887" spans="1:7" x14ac:dyDescent="0.25">
      <c r="A887" s="20" t="s">
        <v>588</v>
      </c>
      <c r="B887" s="20" t="s">
        <v>156</v>
      </c>
      <c r="C887" s="20" t="s">
        <v>156</v>
      </c>
      <c r="D887" s="20" t="s">
        <v>873</v>
      </c>
      <c r="E887" s="24">
        <v>2E-3</v>
      </c>
      <c r="F887" s="24">
        <v>2.4E-2</v>
      </c>
      <c r="G887" s="22"/>
    </row>
    <row r="888" spans="1:7" x14ac:dyDescent="0.25">
      <c r="A888" s="20" t="s">
        <v>588</v>
      </c>
      <c r="B888" s="20" t="s">
        <v>215</v>
      </c>
      <c r="C888" s="20" t="s">
        <v>215</v>
      </c>
      <c r="D888" s="20" t="s">
        <v>873</v>
      </c>
      <c r="E888" s="24">
        <v>4.0000000000000001E-3</v>
      </c>
      <c r="F888" s="24">
        <v>4.8000000000000001E-2</v>
      </c>
      <c r="G888" s="22"/>
    </row>
    <row r="889" spans="1:7" x14ac:dyDescent="0.25">
      <c r="A889" s="20" t="s">
        <v>588</v>
      </c>
      <c r="B889" s="20" t="s">
        <v>150</v>
      </c>
      <c r="C889" s="20" t="s">
        <v>150</v>
      </c>
      <c r="D889" s="20" t="s">
        <v>877</v>
      </c>
      <c r="E889" s="24">
        <v>0.18099999999999999</v>
      </c>
      <c r="F889" s="24">
        <v>1.0860000000000001</v>
      </c>
      <c r="G889" s="22"/>
    </row>
    <row r="890" spans="1:7" x14ac:dyDescent="0.25">
      <c r="A890" s="20" t="s">
        <v>595</v>
      </c>
      <c r="B890" s="20" t="s">
        <v>879</v>
      </c>
      <c r="C890" s="20" t="s">
        <v>879</v>
      </c>
      <c r="D890" s="20" t="s">
        <v>875</v>
      </c>
      <c r="E890" s="27">
        <v>1</v>
      </c>
      <c r="F890" s="27">
        <v>6</v>
      </c>
      <c r="G890" s="29">
        <v>0.26562999999999998</v>
      </c>
    </row>
    <row r="891" spans="1:7" x14ac:dyDescent="0.25">
      <c r="A891" s="20" t="s">
        <v>595</v>
      </c>
      <c r="B891" s="20" t="s">
        <v>880</v>
      </c>
      <c r="C891" s="20" t="s">
        <v>880</v>
      </c>
      <c r="D891" s="20" t="s">
        <v>875</v>
      </c>
      <c r="E891" s="27">
        <v>1</v>
      </c>
      <c r="F891" s="27">
        <v>6</v>
      </c>
      <c r="G891" s="28">
        <v>5.5300000000000002E-2</v>
      </c>
    </row>
    <row r="892" spans="1:7" x14ac:dyDescent="0.25">
      <c r="A892" s="20" t="s">
        <v>588</v>
      </c>
      <c r="B892" s="20" t="s">
        <v>65</v>
      </c>
      <c r="C892" s="20" t="s">
        <v>65</v>
      </c>
      <c r="D892" s="20" t="s">
        <v>875</v>
      </c>
      <c r="E892" s="24">
        <v>3.0000000000000001E-3</v>
      </c>
      <c r="F892" s="24">
        <v>1.7999999999999999E-2</v>
      </c>
      <c r="G892" s="22"/>
    </row>
    <row r="893" spans="1:7" x14ac:dyDescent="0.25">
      <c r="A893" s="20" t="s">
        <v>588</v>
      </c>
      <c r="B893" s="20" t="s">
        <v>67</v>
      </c>
      <c r="C893" s="20" t="s">
        <v>67</v>
      </c>
      <c r="D893" s="20" t="s">
        <v>875</v>
      </c>
      <c r="E893" s="24">
        <v>3.6999999999999998E-2</v>
      </c>
      <c r="F893" s="24">
        <v>0.222</v>
      </c>
      <c r="G893" s="22"/>
    </row>
    <row r="894" spans="1:7" x14ac:dyDescent="0.25">
      <c r="A894" s="20" t="s">
        <v>588</v>
      </c>
      <c r="B894" s="20" t="s">
        <v>146</v>
      </c>
      <c r="C894" s="20" t="s">
        <v>146</v>
      </c>
      <c r="D894" s="20" t="s">
        <v>875</v>
      </c>
      <c r="E894" s="24">
        <v>2.1999999999999999E-2</v>
      </c>
      <c r="F894" s="24">
        <v>0.13200000000000001</v>
      </c>
      <c r="G894" s="22"/>
    </row>
    <row r="895" spans="1:7" x14ac:dyDescent="0.25">
      <c r="A895" s="20" t="s">
        <v>588</v>
      </c>
      <c r="B895" s="20" t="s">
        <v>155</v>
      </c>
      <c r="C895" s="20" t="s">
        <v>155</v>
      </c>
      <c r="D895" s="20" t="s">
        <v>875</v>
      </c>
      <c r="E895" s="24">
        <v>1E-3</v>
      </c>
      <c r="F895" s="24">
        <v>6.0000000000000001E-3</v>
      </c>
      <c r="G895" s="22"/>
    </row>
    <row r="896" spans="1:7" x14ac:dyDescent="0.25">
      <c r="A896" s="20" t="s">
        <v>588</v>
      </c>
      <c r="B896" s="20" t="s">
        <v>156</v>
      </c>
      <c r="C896" s="20" t="s">
        <v>156</v>
      </c>
      <c r="D896" s="20" t="s">
        <v>875</v>
      </c>
      <c r="E896" s="24">
        <v>3.0000000000000001E-3</v>
      </c>
      <c r="F896" s="24">
        <v>1.7999999999999999E-2</v>
      </c>
      <c r="G896" s="22"/>
    </row>
    <row r="897" spans="1:7" x14ac:dyDescent="0.25">
      <c r="A897" s="20" t="s">
        <v>588</v>
      </c>
      <c r="B897" s="20" t="s">
        <v>215</v>
      </c>
      <c r="C897" s="20" t="s">
        <v>215</v>
      </c>
      <c r="D897" s="20" t="s">
        <v>875</v>
      </c>
      <c r="E897" s="24">
        <v>7.0000000000000001E-3</v>
      </c>
      <c r="F897" s="24">
        <v>4.2000000000000003E-2</v>
      </c>
      <c r="G897" s="22"/>
    </row>
    <row r="898" spans="1:7" x14ac:dyDescent="0.25">
      <c r="A898" s="20" t="s">
        <v>588</v>
      </c>
      <c r="B898" s="20" t="s">
        <v>115</v>
      </c>
      <c r="C898" s="20" t="s">
        <v>115</v>
      </c>
      <c r="D898" s="20" t="s">
        <v>879</v>
      </c>
      <c r="E898" s="26">
        <v>0.42096</v>
      </c>
      <c r="F898" s="26">
        <v>2.52576</v>
      </c>
      <c r="G898" s="22"/>
    </row>
    <row r="899" spans="1:7" x14ac:dyDescent="0.25">
      <c r="A899" s="20" t="s">
        <v>585</v>
      </c>
      <c r="B899" s="20" t="s">
        <v>881</v>
      </c>
      <c r="C899" s="20" t="s">
        <v>881</v>
      </c>
      <c r="D899" s="20" t="s">
        <v>855</v>
      </c>
      <c r="E899" s="27">
        <v>1</v>
      </c>
      <c r="F899" s="27">
        <v>1</v>
      </c>
      <c r="G899" s="28">
        <v>0.12859999999999999</v>
      </c>
    </row>
    <row r="900" spans="1:7" x14ac:dyDescent="0.25">
      <c r="A900" s="20" t="s">
        <v>595</v>
      </c>
      <c r="B900" s="20" t="s">
        <v>882</v>
      </c>
      <c r="C900" s="20" t="s">
        <v>882</v>
      </c>
      <c r="D900" s="20" t="s">
        <v>855</v>
      </c>
      <c r="E900" s="27">
        <v>1</v>
      </c>
      <c r="F900" s="27">
        <v>1</v>
      </c>
      <c r="G900" s="29">
        <v>2.5486900000000001</v>
      </c>
    </row>
    <row r="901" spans="1:7" x14ac:dyDescent="0.25">
      <c r="A901" s="20" t="s">
        <v>595</v>
      </c>
      <c r="B901" s="20" t="s">
        <v>883</v>
      </c>
      <c r="C901" s="20" t="s">
        <v>883</v>
      </c>
      <c r="D901" s="20" t="s">
        <v>855</v>
      </c>
      <c r="E901" s="27">
        <v>1</v>
      </c>
      <c r="F901" s="27">
        <v>1</v>
      </c>
      <c r="G901" s="28">
        <v>0.90410000000000001</v>
      </c>
    </row>
    <row r="902" spans="1:7" x14ac:dyDescent="0.25">
      <c r="A902" s="20" t="s">
        <v>595</v>
      </c>
      <c r="B902" s="20" t="s">
        <v>884</v>
      </c>
      <c r="C902" s="20" t="s">
        <v>884</v>
      </c>
      <c r="D902" s="20" t="s">
        <v>855</v>
      </c>
      <c r="E902" s="27">
        <v>1</v>
      </c>
      <c r="F902" s="27">
        <v>1</v>
      </c>
      <c r="G902" s="28">
        <v>0.90410000000000001</v>
      </c>
    </row>
    <row r="903" spans="1:7" x14ac:dyDescent="0.25">
      <c r="A903" s="20" t="s">
        <v>595</v>
      </c>
      <c r="B903" s="20" t="s">
        <v>885</v>
      </c>
      <c r="C903" s="20" t="s">
        <v>885</v>
      </c>
      <c r="D903" s="20" t="s">
        <v>855</v>
      </c>
      <c r="E903" s="27">
        <v>1</v>
      </c>
      <c r="F903" s="27">
        <v>1</v>
      </c>
      <c r="G903" s="29">
        <v>2.955E-2</v>
      </c>
    </row>
    <row r="904" spans="1:7" ht="22.5" x14ac:dyDescent="0.25">
      <c r="A904" s="20" t="s">
        <v>620</v>
      </c>
      <c r="B904" s="20" t="s">
        <v>886</v>
      </c>
      <c r="C904" s="20" t="s">
        <v>268</v>
      </c>
      <c r="D904" s="20" t="s">
        <v>855</v>
      </c>
      <c r="E904" s="27">
        <v>1</v>
      </c>
      <c r="F904" s="27">
        <v>1</v>
      </c>
      <c r="G904" s="28">
        <v>7.1599999999999997E-2</v>
      </c>
    </row>
    <row r="905" spans="1:7" ht="22.5" x14ac:dyDescent="0.25">
      <c r="A905" s="20" t="s">
        <v>620</v>
      </c>
      <c r="B905" s="20" t="s">
        <v>864</v>
      </c>
      <c r="C905" s="20" t="s">
        <v>263</v>
      </c>
      <c r="D905" s="20" t="s">
        <v>855</v>
      </c>
      <c r="E905" s="27">
        <v>1</v>
      </c>
      <c r="F905" s="27">
        <v>1</v>
      </c>
      <c r="G905" s="29">
        <v>1.567E-2</v>
      </c>
    </row>
    <row r="906" spans="1:7" ht="22.5" x14ac:dyDescent="0.25">
      <c r="A906" s="20" t="s">
        <v>620</v>
      </c>
      <c r="B906" s="20" t="s">
        <v>865</v>
      </c>
      <c r="C906" s="20" t="s">
        <v>264</v>
      </c>
      <c r="D906" s="20" t="s">
        <v>855</v>
      </c>
      <c r="E906" s="27">
        <v>1</v>
      </c>
      <c r="F906" s="27">
        <v>1</v>
      </c>
      <c r="G906" s="29">
        <v>3.4499999999999999E-3</v>
      </c>
    </row>
    <row r="907" spans="1:7" ht="22.5" x14ac:dyDescent="0.25">
      <c r="A907" s="20" t="s">
        <v>620</v>
      </c>
      <c r="B907" s="20" t="s">
        <v>866</v>
      </c>
      <c r="C907" s="20" t="s">
        <v>265</v>
      </c>
      <c r="D907" s="20" t="s">
        <v>855</v>
      </c>
      <c r="E907" s="27">
        <v>4</v>
      </c>
      <c r="F907" s="27">
        <v>4</v>
      </c>
      <c r="G907" s="29">
        <v>6.0699999999999999E-3</v>
      </c>
    </row>
    <row r="908" spans="1:7" x14ac:dyDescent="0.25">
      <c r="A908" s="20" t="s">
        <v>588</v>
      </c>
      <c r="B908" s="20" t="s">
        <v>65</v>
      </c>
      <c r="C908" s="20" t="s">
        <v>65</v>
      </c>
      <c r="D908" s="20" t="s">
        <v>855</v>
      </c>
      <c r="E908" s="24">
        <v>3.5999999999999997E-2</v>
      </c>
      <c r="F908" s="24">
        <v>3.5999999999999997E-2</v>
      </c>
      <c r="G908" s="22"/>
    </row>
    <row r="909" spans="1:7" x14ac:dyDescent="0.25">
      <c r="A909" s="20" t="s">
        <v>588</v>
      </c>
      <c r="B909" s="20" t="s">
        <v>67</v>
      </c>
      <c r="C909" s="20" t="s">
        <v>67</v>
      </c>
      <c r="D909" s="20" t="s">
        <v>855</v>
      </c>
      <c r="E909" s="24">
        <v>0.255</v>
      </c>
      <c r="F909" s="24">
        <v>0.255</v>
      </c>
      <c r="G909" s="22"/>
    </row>
    <row r="910" spans="1:7" x14ac:dyDescent="0.25">
      <c r="A910" s="20" t="s">
        <v>588</v>
      </c>
      <c r="B910" s="20" t="s">
        <v>146</v>
      </c>
      <c r="C910" s="20" t="s">
        <v>146</v>
      </c>
      <c r="D910" s="20" t="s">
        <v>855</v>
      </c>
      <c r="E910" s="25">
        <v>0.15</v>
      </c>
      <c r="F910" s="25">
        <v>0.15</v>
      </c>
      <c r="G910" s="22"/>
    </row>
    <row r="911" spans="1:7" x14ac:dyDescent="0.25">
      <c r="A911" s="20" t="s">
        <v>588</v>
      </c>
      <c r="B911" s="20" t="s">
        <v>155</v>
      </c>
      <c r="C911" s="20" t="s">
        <v>155</v>
      </c>
      <c r="D911" s="20" t="s">
        <v>855</v>
      </c>
      <c r="E911" s="24">
        <v>2.1999999999999999E-2</v>
      </c>
      <c r="F911" s="24">
        <v>2.1999999999999999E-2</v>
      </c>
      <c r="G911" s="22"/>
    </row>
    <row r="912" spans="1:7" x14ac:dyDescent="0.25">
      <c r="A912" s="20" t="s">
        <v>588</v>
      </c>
      <c r="B912" s="20" t="s">
        <v>156</v>
      </c>
      <c r="C912" s="20" t="s">
        <v>156</v>
      </c>
      <c r="D912" s="20" t="s">
        <v>855</v>
      </c>
      <c r="E912" s="24">
        <v>3.3000000000000002E-2</v>
      </c>
      <c r="F912" s="24">
        <v>3.3000000000000002E-2</v>
      </c>
      <c r="G912" s="22"/>
    </row>
    <row r="913" spans="1:7" x14ac:dyDescent="0.25">
      <c r="A913" s="20" t="s">
        <v>588</v>
      </c>
      <c r="B913" s="20" t="s">
        <v>215</v>
      </c>
      <c r="C913" s="20" t="s">
        <v>215</v>
      </c>
      <c r="D913" s="20" t="s">
        <v>855</v>
      </c>
      <c r="E913" s="24">
        <v>7.1999999999999995E-2</v>
      </c>
      <c r="F913" s="24">
        <v>7.1999999999999995E-2</v>
      </c>
      <c r="G913" s="22"/>
    </row>
    <row r="914" spans="1:7" x14ac:dyDescent="0.25">
      <c r="A914" s="20" t="s">
        <v>588</v>
      </c>
      <c r="B914" s="20" t="s">
        <v>115</v>
      </c>
      <c r="C914" s="20" t="s">
        <v>115</v>
      </c>
      <c r="D914" s="20" t="s">
        <v>882</v>
      </c>
      <c r="E914" s="26">
        <v>3.4071400000000001</v>
      </c>
      <c r="F914" s="26">
        <v>3.4071400000000001</v>
      </c>
      <c r="G914" s="22"/>
    </row>
    <row r="915" spans="1:7" x14ac:dyDescent="0.25">
      <c r="A915" s="20" t="s">
        <v>588</v>
      </c>
      <c r="B915" s="20" t="s">
        <v>119</v>
      </c>
      <c r="C915" s="20" t="s">
        <v>119</v>
      </c>
      <c r="D915" s="20" t="s">
        <v>883</v>
      </c>
      <c r="E915" s="26">
        <v>1.30552</v>
      </c>
      <c r="F915" s="26">
        <v>1.30552</v>
      </c>
      <c r="G915" s="22"/>
    </row>
    <row r="916" spans="1:7" x14ac:dyDescent="0.25">
      <c r="A916" s="20" t="s">
        <v>588</v>
      </c>
      <c r="B916" s="20" t="s">
        <v>119</v>
      </c>
      <c r="C916" s="20" t="s">
        <v>119</v>
      </c>
      <c r="D916" s="20" t="s">
        <v>884</v>
      </c>
      <c r="E916" s="26">
        <v>1.30552</v>
      </c>
      <c r="F916" s="26">
        <v>1.30552</v>
      </c>
      <c r="G916" s="22"/>
    </row>
    <row r="917" spans="1:7" x14ac:dyDescent="0.25">
      <c r="A917" s="20" t="s">
        <v>588</v>
      </c>
      <c r="B917" s="20" t="s">
        <v>65</v>
      </c>
      <c r="C917" s="20" t="s">
        <v>65</v>
      </c>
      <c r="D917" s="20" t="s">
        <v>885</v>
      </c>
      <c r="E917" s="24">
        <v>1E-3</v>
      </c>
      <c r="F917" s="24">
        <v>1E-3</v>
      </c>
      <c r="G917" s="22"/>
    </row>
    <row r="918" spans="1:7" x14ac:dyDescent="0.25">
      <c r="A918" s="20" t="s">
        <v>588</v>
      </c>
      <c r="B918" s="20" t="s">
        <v>86</v>
      </c>
      <c r="C918" s="20" t="s">
        <v>86</v>
      </c>
      <c r="D918" s="20" t="s">
        <v>885</v>
      </c>
      <c r="E918" s="25">
        <v>7.0000000000000007E-2</v>
      </c>
      <c r="F918" s="25">
        <v>7.0000000000000007E-2</v>
      </c>
      <c r="G918" s="22"/>
    </row>
    <row r="919" spans="1:7" x14ac:dyDescent="0.25">
      <c r="A919" s="20" t="s">
        <v>588</v>
      </c>
      <c r="B919" s="20" t="s">
        <v>155</v>
      </c>
      <c r="C919" s="20" t="s">
        <v>155</v>
      </c>
      <c r="D919" s="20" t="s">
        <v>885</v>
      </c>
      <c r="E919" s="24">
        <v>1E-3</v>
      </c>
      <c r="F919" s="24">
        <v>1E-3</v>
      </c>
      <c r="G919" s="22"/>
    </row>
    <row r="920" spans="1:7" x14ac:dyDescent="0.25">
      <c r="A920" s="20" t="s">
        <v>588</v>
      </c>
      <c r="B920" s="20" t="s">
        <v>156</v>
      </c>
      <c r="C920" s="20" t="s">
        <v>156</v>
      </c>
      <c r="D920" s="20" t="s">
        <v>885</v>
      </c>
      <c r="E920" s="24">
        <v>1E-3</v>
      </c>
      <c r="F920" s="24">
        <v>1E-3</v>
      </c>
      <c r="G920" s="22"/>
    </row>
    <row r="921" spans="1:7" x14ac:dyDescent="0.25">
      <c r="A921" s="20" t="s">
        <v>588</v>
      </c>
      <c r="B921" s="20" t="s">
        <v>215</v>
      </c>
      <c r="C921" s="20" t="s">
        <v>215</v>
      </c>
      <c r="D921" s="20" t="s">
        <v>885</v>
      </c>
      <c r="E921" s="24">
        <v>1E-3</v>
      </c>
      <c r="F921" s="24">
        <v>1E-3</v>
      </c>
      <c r="G921" s="22"/>
    </row>
    <row r="922" spans="1:7" x14ac:dyDescent="0.25">
      <c r="A922" s="20" t="s">
        <v>595</v>
      </c>
      <c r="B922" s="20" t="s">
        <v>887</v>
      </c>
      <c r="C922" s="20" t="s">
        <v>887</v>
      </c>
      <c r="D922" s="20" t="s">
        <v>881</v>
      </c>
      <c r="E922" s="27">
        <v>1</v>
      </c>
      <c r="F922" s="27">
        <v>1</v>
      </c>
      <c r="G922" s="29">
        <v>7.6719999999999997E-2</v>
      </c>
    </row>
    <row r="923" spans="1:7" x14ac:dyDescent="0.25">
      <c r="A923" s="20" t="s">
        <v>595</v>
      </c>
      <c r="B923" s="20" t="s">
        <v>888</v>
      </c>
      <c r="C923" s="20" t="s">
        <v>888</v>
      </c>
      <c r="D923" s="20" t="s">
        <v>881</v>
      </c>
      <c r="E923" s="27">
        <v>1</v>
      </c>
      <c r="F923" s="27">
        <v>1</v>
      </c>
      <c r="G923" s="29">
        <v>1.1379999999999999E-2</v>
      </c>
    </row>
    <row r="924" spans="1:7" ht="22.5" x14ac:dyDescent="0.25">
      <c r="A924" s="20" t="s">
        <v>620</v>
      </c>
      <c r="B924" s="20" t="s">
        <v>889</v>
      </c>
      <c r="C924" s="20" t="s">
        <v>269</v>
      </c>
      <c r="D924" s="20" t="s">
        <v>881</v>
      </c>
      <c r="E924" s="27">
        <v>1</v>
      </c>
      <c r="F924" s="27">
        <v>1</v>
      </c>
      <c r="G924" s="28">
        <v>5.0000000000000001E-4</v>
      </c>
    </row>
    <row r="925" spans="1:7" ht="22.5" x14ac:dyDescent="0.25">
      <c r="A925" s="20" t="s">
        <v>620</v>
      </c>
      <c r="B925" s="20" t="s">
        <v>141</v>
      </c>
      <c r="C925" s="20" t="s">
        <v>141</v>
      </c>
      <c r="D925" s="20" t="s">
        <v>881</v>
      </c>
      <c r="E925" s="27">
        <v>1</v>
      </c>
      <c r="F925" s="27">
        <v>1</v>
      </c>
      <c r="G925" s="31">
        <v>0.04</v>
      </c>
    </row>
    <row r="926" spans="1:7" x14ac:dyDescent="0.25">
      <c r="A926" s="20" t="s">
        <v>588</v>
      </c>
      <c r="B926" s="20" t="s">
        <v>133</v>
      </c>
      <c r="C926" s="20" t="s">
        <v>133</v>
      </c>
      <c r="D926" s="20" t="s">
        <v>881</v>
      </c>
      <c r="E926" s="24">
        <v>5.0000000000000001E-3</v>
      </c>
      <c r="F926" s="24">
        <v>5.0000000000000001E-3</v>
      </c>
      <c r="G926" s="22"/>
    </row>
    <row r="927" spans="1:7" x14ac:dyDescent="0.25">
      <c r="A927" s="20" t="s">
        <v>588</v>
      </c>
      <c r="B927" s="20" t="s">
        <v>64</v>
      </c>
      <c r="C927" s="20" t="s">
        <v>64</v>
      </c>
      <c r="D927" s="20" t="s">
        <v>887</v>
      </c>
      <c r="E927" s="24">
        <v>2E-3</v>
      </c>
      <c r="F927" s="24">
        <v>2E-3</v>
      </c>
      <c r="G927" s="22"/>
    </row>
    <row r="928" spans="1:7" x14ac:dyDescent="0.25">
      <c r="A928" s="20" t="s">
        <v>588</v>
      </c>
      <c r="B928" s="20" t="s">
        <v>100</v>
      </c>
      <c r="C928" s="20" t="s">
        <v>100</v>
      </c>
      <c r="D928" s="20" t="s">
        <v>887</v>
      </c>
      <c r="E928" s="25">
        <v>0.37</v>
      </c>
      <c r="F928" s="25">
        <v>0.37</v>
      </c>
      <c r="G928" s="22"/>
    </row>
    <row r="929" spans="1:7" x14ac:dyDescent="0.25">
      <c r="A929" s="20" t="s">
        <v>588</v>
      </c>
      <c r="B929" s="20" t="s">
        <v>139</v>
      </c>
      <c r="C929" s="20" t="s">
        <v>139</v>
      </c>
      <c r="D929" s="20" t="s">
        <v>887</v>
      </c>
      <c r="E929" s="24">
        <v>1E-3</v>
      </c>
      <c r="F929" s="24">
        <v>1E-3</v>
      </c>
      <c r="G929" s="22"/>
    </row>
    <row r="930" spans="1:7" x14ac:dyDescent="0.25">
      <c r="A930" s="20" t="s">
        <v>588</v>
      </c>
      <c r="B930" s="20" t="s">
        <v>156</v>
      </c>
      <c r="C930" s="20" t="s">
        <v>156</v>
      </c>
      <c r="D930" s="20" t="s">
        <v>887</v>
      </c>
      <c r="E930" s="24">
        <v>1E-3</v>
      </c>
      <c r="F930" s="24">
        <v>1E-3</v>
      </c>
      <c r="G930" s="22"/>
    </row>
    <row r="931" spans="1:7" x14ac:dyDescent="0.25">
      <c r="A931" s="20" t="s">
        <v>588</v>
      </c>
      <c r="B931" s="20" t="s">
        <v>64</v>
      </c>
      <c r="C931" s="20" t="s">
        <v>64</v>
      </c>
      <c r="D931" s="20" t="s">
        <v>888</v>
      </c>
      <c r="E931" s="24">
        <v>1E-3</v>
      </c>
      <c r="F931" s="24">
        <v>1E-3</v>
      </c>
      <c r="G931" s="22"/>
    </row>
    <row r="932" spans="1:7" x14ac:dyDescent="0.25">
      <c r="A932" s="20" t="s">
        <v>588</v>
      </c>
      <c r="B932" s="20" t="s">
        <v>86</v>
      </c>
      <c r="C932" s="20" t="s">
        <v>86</v>
      </c>
      <c r="D932" s="20" t="s">
        <v>888</v>
      </c>
      <c r="E932" s="24">
        <v>4.5999999999999999E-2</v>
      </c>
      <c r="F932" s="24">
        <v>4.5999999999999999E-2</v>
      </c>
      <c r="G932" s="22"/>
    </row>
    <row r="933" spans="1:7" x14ac:dyDescent="0.25">
      <c r="A933" s="20" t="s">
        <v>588</v>
      </c>
      <c r="B933" s="20" t="s">
        <v>139</v>
      </c>
      <c r="C933" s="20" t="s">
        <v>139</v>
      </c>
      <c r="D933" s="20" t="s">
        <v>888</v>
      </c>
      <c r="E933" s="24">
        <v>1E-3</v>
      </c>
      <c r="F933" s="24">
        <v>1E-3</v>
      </c>
      <c r="G933" s="22"/>
    </row>
    <row r="934" spans="1:7" x14ac:dyDescent="0.25">
      <c r="A934" s="20" t="s">
        <v>588</v>
      </c>
      <c r="B934" s="20" t="s">
        <v>156</v>
      </c>
      <c r="C934" s="20" t="s">
        <v>156</v>
      </c>
      <c r="D934" s="20" t="s">
        <v>888</v>
      </c>
      <c r="E934" s="24">
        <v>1E-3</v>
      </c>
      <c r="F934" s="24">
        <v>1E-3</v>
      </c>
      <c r="G934" s="22"/>
    </row>
    <row r="935" spans="1:7" x14ac:dyDescent="0.25">
      <c r="A935" s="20" t="s">
        <v>585</v>
      </c>
      <c r="B935" s="20" t="s">
        <v>890</v>
      </c>
      <c r="C935" s="20" t="s">
        <v>890</v>
      </c>
      <c r="D935" s="20" t="s">
        <v>856</v>
      </c>
      <c r="E935" s="27">
        <v>1</v>
      </c>
      <c r="F935" s="27">
        <v>1</v>
      </c>
      <c r="G935" s="29">
        <v>96.794070000000005</v>
      </c>
    </row>
    <row r="936" spans="1:7" x14ac:dyDescent="0.25">
      <c r="A936" s="20" t="s">
        <v>585</v>
      </c>
      <c r="B936" s="20" t="s">
        <v>891</v>
      </c>
      <c r="C936" s="20" t="s">
        <v>891</v>
      </c>
      <c r="D936" s="20" t="s">
        <v>856</v>
      </c>
      <c r="E936" s="27">
        <v>1</v>
      </c>
      <c r="F936" s="27">
        <v>1</v>
      </c>
      <c r="G936" s="29">
        <v>713.98123999999996</v>
      </c>
    </row>
    <row r="937" spans="1:7" x14ac:dyDescent="0.25">
      <c r="A937" s="20" t="s">
        <v>585</v>
      </c>
      <c r="B937" s="20" t="s">
        <v>892</v>
      </c>
      <c r="C937" s="20" t="s">
        <v>892</v>
      </c>
      <c r="D937" s="20" t="s">
        <v>856</v>
      </c>
      <c r="E937" s="27">
        <v>2</v>
      </c>
      <c r="F937" s="27">
        <v>2</v>
      </c>
      <c r="G937" s="29">
        <v>16.679320000000001</v>
      </c>
    </row>
    <row r="938" spans="1:7" x14ac:dyDescent="0.25">
      <c r="A938" s="20" t="s">
        <v>585</v>
      </c>
      <c r="B938" s="20" t="s">
        <v>893</v>
      </c>
      <c r="C938" s="20" t="s">
        <v>893</v>
      </c>
      <c r="D938" s="20" t="s">
        <v>856</v>
      </c>
      <c r="E938" s="27">
        <v>6</v>
      </c>
      <c r="F938" s="27">
        <v>6</v>
      </c>
      <c r="G938" s="29">
        <v>35.856319999999997</v>
      </c>
    </row>
    <row r="939" spans="1:7" x14ac:dyDescent="0.25">
      <c r="A939" s="20" t="s">
        <v>588</v>
      </c>
      <c r="B939" s="20" t="s">
        <v>65</v>
      </c>
      <c r="C939" s="20" t="s">
        <v>65</v>
      </c>
      <c r="D939" s="20" t="s">
        <v>856</v>
      </c>
      <c r="E939" s="24">
        <v>8.016</v>
      </c>
      <c r="F939" s="24">
        <v>8.016</v>
      </c>
      <c r="G939" s="22"/>
    </row>
    <row r="940" spans="1:7" x14ac:dyDescent="0.25">
      <c r="A940" s="20" t="s">
        <v>588</v>
      </c>
      <c r="B940" s="20" t="s">
        <v>67</v>
      </c>
      <c r="C940" s="20" t="s">
        <v>67</v>
      </c>
      <c r="D940" s="20" t="s">
        <v>856</v>
      </c>
      <c r="E940" s="24">
        <v>0.81699999999999995</v>
      </c>
      <c r="F940" s="24">
        <v>0.81699999999999995</v>
      </c>
      <c r="G940" s="22"/>
    </row>
    <row r="941" spans="1:7" x14ac:dyDescent="0.25">
      <c r="A941" s="20" t="s">
        <v>588</v>
      </c>
      <c r="B941" s="20" t="s">
        <v>146</v>
      </c>
      <c r="C941" s="20" t="s">
        <v>146</v>
      </c>
      <c r="D941" s="20" t="s">
        <v>856</v>
      </c>
      <c r="E941" s="24">
        <v>0.48099999999999998</v>
      </c>
      <c r="F941" s="24">
        <v>0.48099999999999998</v>
      </c>
      <c r="G941" s="22"/>
    </row>
    <row r="942" spans="1:7" x14ac:dyDescent="0.25">
      <c r="A942" s="20" t="s">
        <v>588</v>
      </c>
      <c r="B942" s="20" t="s">
        <v>155</v>
      </c>
      <c r="C942" s="20" t="s">
        <v>155</v>
      </c>
      <c r="D942" s="20" t="s">
        <v>856</v>
      </c>
      <c r="E942" s="24">
        <v>2.4049999999999998</v>
      </c>
      <c r="F942" s="24">
        <v>2.4049999999999998</v>
      </c>
      <c r="G942" s="22"/>
    </row>
    <row r="943" spans="1:7" x14ac:dyDescent="0.25">
      <c r="A943" s="20" t="s">
        <v>588</v>
      </c>
      <c r="B943" s="20" t="s">
        <v>156</v>
      </c>
      <c r="C943" s="20" t="s">
        <v>156</v>
      </c>
      <c r="D943" s="20" t="s">
        <v>856</v>
      </c>
      <c r="E943" s="24">
        <v>8.016</v>
      </c>
      <c r="F943" s="24">
        <v>8.016</v>
      </c>
      <c r="G943" s="22"/>
    </row>
    <row r="944" spans="1:7" x14ac:dyDescent="0.25">
      <c r="A944" s="20" t="s">
        <v>588</v>
      </c>
      <c r="B944" s="20" t="s">
        <v>215</v>
      </c>
      <c r="C944" s="20" t="s">
        <v>215</v>
      </c>
      <c r="D944" s="20" t="s">
        <v>856</v>
      </c>
      <c r="E944" s="24">
        <v>16.032</v>
      </c>
      <c r="F944" s="24">
        <v>16.032</v>
      </c>
      <c r="G944" s="22"/>
    </row>
    <row r="945" spans="1:7" x14ac:dyDescent="0.25">
      <c r="A945" s="20" t="s">
        <v>595</v>
      </c>
      <c r="B945" s="20" t="s">
        <v>894</v>
      </c>
      <c r="C945" s="20" t="s">
        <v>894</v>
      </c>
      <c r="D945" s="20" t="s">
        <v>890</v>
      </c>
      <c r="E945" s="27">
        <v>1</v>
      </c>
      <c r="F945" s="27">
        <v>1</v>
      </c>
      <c r="G945" s="29">
        <v>21.613520000000001</v>
      </c>
    </row>
    <row r="946" spans="1:7" x14ac:dyDescent="0.25">
      <c r="A946" s="20" t="s">
        <v>595</v>
      </c>
      <c r="B946" s="20" t="s">
        <v>895</v>
      </c>
      <c r="C946" s="20" t="s">
        <v>895</v>
      </c>
      <c r="D946" s="20" t="s">
        <v>890</v>
      </c>
      <c r="E946" s="27">
        <v>1</v>
      </c>
      <c r="F946" s="27">
        <v>1</v>
      </c>
      <c r="G946" s="29">
        <v>16.85669</v>
      </c>
    </row>
    <row r="947" spans="1:7" x14ac:dyDescent="0.25">
      <c r="A947" s="20" t="s">
        <v>595</v>
      </c>
      <c r="B947" s="20" t="s">
        <v>896</v>
      </c>
      <c r="C947" s="20" t="s">
        <v>896</v>
      </c>
      <c r="D947" s="20" t="s">
        <v>890</v>
      </c>
      <c r="E947" s="27">
        <v>1</v>
      </c>
      <c r="F947" s="27">
        <v>1</v>
      </c>
      <c r="G947" s="29">
        <v>16.836639999999999</v>
      </c>
    </row>
    <row r="948" spans="1:7" x14ac:dyDescent="0.25">
      <c r="A948" s="20" t="s">
        <v>595</v>
      </c>
      <c r="B948" s="20" t="s">
        <v>897</v>
      </c>
      <c r="C948" s="20" t="s">
        <v>897</v>
      </c>
      <c r="D948" s="20" t="s">
        <v>890</v>
      </c>
      <c r="E948" s="27">
        <v>2</v>
      </c>
      <c r="F948" s="27">
        <v>2</v>
      </c>
      <c r="G948" s="29">
        <v>6.8853799999999996</v>
      </c>
    </row>
    <row r="949" spans="1:7" x14ac:dyDescent="0.25">
      <c r="A949" s="20" t="s">
        <v>595</v>
      </c>
      <c r="B949" s="20" t="s">
        <v>898</v>
      </c>
      <c r="C949" s="20" t="s">
        <v>898</v>
      </c>
      <c r="D949" s="20" t="s">
        <v>890</v>
      </c>
      <c r="E949" s="27">
        <v>1</v>
      </c>
      <c r="F949" s="27">
        <v>1</v>
      </c>
      <c r="G949" s="29">
        <v>2.7834500000000002</v>
      </c>
    </row>
    <row r="950" spans="1:7" x14ac:dyDescent="0.25">
      <c r="A950" s="20" t="s">
        <v>595</v>
      </c>
      <c r="B950" s="20" t="s">
        <v>899</v>
      </c>
      <c r="C950" s="20" t="s">
        <v>899</v>
      </c>
      <c r="D950" s="20" t="s">
        <v>890</v>
      </c>
      <c r="E950" s="27">
        <v>1</v>
      </c>
      <c r="F950" s="27">
        <v>1</v>
      </c>
      <c r="G950" s="29">
        <v>2.7834500000000002</v>
      </c>
    </row>
    <row r="951" spans="1:7" x14ac:dyDescent="0.25">
      <c r="A951" s="20" t="s">
        <v>595</v>
      </c>
      <c r="B951" s="20" t="s">
        <v>900</v>
      </c>
      <c r="C951" s="20" t="s">
        <v>900</v>
      </c>
      <c r="D951" s="20" t="s">
        <v>890</v>
      </c>
      <c r="E951" s="27">
        <v>2</v>
      </c>
      <c r="F951" s="27">
        <v>2</v>
      </c>
      <c r="G951" s="29">
        <v>0.20841999999999999</v>
      </c>
    </row>
    <row r="952" spans="1:7" x14ac:dyDescent="0.25">
      <c r="A952" s="20" t="s">
        <v>595</v>
      </c>
      <c r="B952" s="20" t="s">
        <v>901</v>
      </c>
      <c r="C952" s="20" t="s">
        <v>901</v>
      </c>
      <c r="D952" s="20" t="s">
        <v>890</v>
      </c>
      <c r="E952" s="27">
        <v>1</v>
      </c>
      <c r="F952" s="27">
        <v>1</v>
      </c>
      <c r="G952" s="28">
        <v>16.906400000000001</v>
      </c>
    </row>
    <row r="953" spans="1:7" x14ac:dyDescent="0.25">
      <c r="A953" s="20" t="s">
        <v>595</v>
      </c>
      <c r="B953" s="20" t="s">
        <v>902</v>
      </c>
      <c r="C953" s="20" t="s">
        <v>902</v>
      </c>
      <c r="D953" s="20" t="s">
        <v>890</v>
      </c>
      <c r="E953" s="27">
        <v>2</v>
      </c>
      <c r="F953" s="27">
        <v>2</v>
      </c>
      <c r="G953" s="29">
        <v>2.41316</v>
      </c>
    </row>
    <row r="954" spans="1:7" x14ac:dyDescent="0.25">
      <c r="A954" s="20" t="s">
        <v>588</v>
      </c>
      <c r="B954" s="20" t="s">
        <v>67</v>
      </c>
      <c r="C954" s="20" t="s">
        <v>67</v>
      </c>
      <c r="D954" s="20" t="s">
        <v>890</v>
      </c>
      <c r="E954" s="24">
        <v>0.63100000000000001</v>
      </c>
      <c r="F954" s="24">
        <v>0.63100000000000001</v>
      </c>
      <c r="G954" s="22"/>
    </row>
    <row r="955" spans="1:7" x14ac:dyDescent="0.25">
      <c r="A955" s="20" t="s">
        <v>588</v>
      </c>
      <c r="B955" s="20" t="s">
        <v>146</v>
      </c>
      <c r="C955" s="20" t="s">
        <v>146</v>
      </c>
      <c r="D955" s="20" t="s">
        <v>890</v>
      </c>
      <c r="E955" s="24">
        <v>0.371</v>
      </c>
      <c r="F955" s="24">
        <v>0.371</v>
      </c>
      <c r="G955" s="22"/>
    </row>
    <row r="956" spans="1:7" x14ac:dyDescent="0.25">
      <c r="A956" s="20" t="s">
        <v>588</v>
      </c>
      <c r="B956" s="20" t="s">
        <v>67</v>
      </c>
      <c r="C956" s="20" t="s">
        <v>67</v>
      </c>
      <c r="D956" s="20" t="s">
        <v>894</v>
      </c>
      <c r="E956" s="24">
        <v>2.9000000000000001E-2</v>
      </c>
      <c r="F956" s="24">
        <v>2.9000000000000001E-2</v>
      </c>
      <c r="G956" s="22"/>
    </row>
    <row r="957" spans="1:7" x14ac:dyDescent="0.25">
      <c r="A957" s="20" t="s">
        <v>588</v>
      </c>
      <c r="B957" s="20" t="s">
        <v>118</v>
      </c>
      <c r="C957" s="20" t="s">
        <v>118</v>
      </c>
      <c r="D957" s="20" t="s">
        <v>894</v>
      </c>
      <c r="E957" s="26">
        <v>26.286180000000002</v>
      </c>
      <c r="F957" s="26">
        <v>26.286180000000002</v>
      </c>
      <c r="G957" s="22"/>
    </row>
    <row r="958" spans="1:7" x14ac:dyDescent="0.25">
      <c r="A958" s="20" t="s">
        <v>588</v>
      </c>
      <c r="B958" s="20" t="s">
        <v>146</v>
      </c>
      <c r="C958" s="20" t="s">
        <v>146</v>
      </c>
      <c r="D958" s="20" t="s">
        <v>894</v>
      </c>
      <c r="E958" s="24">
        <v>1.7000000000000001E-2</v>
      </c>
      <c r="F958" s="24">
        <v>1.7000000000000001E-2</v>
      </c>
      <c r="G958" s="22"/>
    </row>
    <row r="959" spans="1:7" x14ac:dyDescent="0.25">
      <c r="A959" s="20" t="s">
        <v>588</v>
      </c>
      <c r="B959" s="20" t="s">
        <v>118</v>
      </c>
      <c r="C959" s="20" t="s">
        <v>118</v>
      </c>
      <c r="D959" s="20" t="s">
        <v>895</v>
      </c>
      <c r="E959" s="26">
        <v>20.47578</v>
      </c>
      <c r="F959" s="26">
        <v>20.47578</v>
      </c>
      <c r="G959" s="22"/>
    </row>
    <row r="960" spans="1:7" x14ac:dyDescent="0.25">
      <c r="A960" s="20" t="s">
        <v>588</v>
      </c>
      <c r="B960" s="20" t="s">
        <v>118</v>
      </c>
      <c r="C960" s="20" t="s">
        <v>118</v>
      </c>
      <c r="D960" s="20" t="s">
        <v>896</v>
      </c>
      <c r="E960" s="26">
        <v>20.47578</v>
      </c>
      <c r="F960" s="26">
        <v>20.47578</v>
      </c>
      <c r="G960" s="22"/>
    </row>
    <row r="961" spans="1:7" x14ac:dyDescent="0.25">
      <c r="A961" s="20" t="s">
        <v>588</v>
      </c>
      <c r="B961" s="20" t="s">
        <v>811</v>
      </c>
      <c r="C961" s="20" t="s">
        <v>257</v>
      </c>
      <c r="D961" s="20" t="s">
        <v>897</v>
      </c>
      <c r="E961" s="26">
        <v>8.7055900000000008</v>
      </c>
      <c r="F961" s="26">
        <v>17.411180000000002</v>
      </c>
      <c r="G961" s="22"/>
    </row>
    <row r="962" spans="1:7" x14ac:dyDescent="0.25">
      <c r="A962" s="20" t="s">
        <v>588</v>
      </c>
      <c r="B962" s="20" t="s">
        <v>122</v>
      </c>
      <c r="C962" s="20" t="s">
        <v>122</v>
      </c>
      <c r="D962" s="20" t="s">
        <v>898</v>
      </c>
      <c r="E962" s="26">
        <v>4.7823500000000001</v>
      </c>
      <c r="F962" s="26">
        <v>4.7823500000000001</v>
      </c>
      <c r="G962" s="22"/>
    </row>
    <row r="963" spans="1:7" x14ac:dyDescent="0.25">
      <c r="A963" s="20" t="s">
        <v>588</v>
      </c>
      <c r="B963" s="20" t="s">
        <v>122</v>
      </c>
      <c r="C963" s="20" t="s">
        <v>122</v>
      </c>
      <c r="D963" s="20" t="s">
        <v>899</v>
      </c>
      <c r="E963" s="26">
        <v>4.7823500000000001</v>
      </c>
      <c r="F963" s="26">
        <v>4.7823500000000001</v>
      </c>
      <c r="G963" s="22"/>
    </row>
    <row r="964" spans="1:7" x14ac:dyDescent="0.25">
      <c r="A964" s="20" t="s">
        <v>588</v>
      </c>
      <c r="B964" s="20" t="s">
        <v>118</v>
      </c>
      <c r="C964" s="20" t="s">
        <v>118</v>
      </c>
      <c r="D964" s="20" t="s">
        <v>900</v>
      </c>
      <c r="E964" s="26">
        <v>0.25717000000000001</v>
      </c>
      <c r="F964" s="26">
        <v>0.51434000000000002</v>
      </c>
      <c r="G964" s="22"/>
    </row>
    <row r="965" spans="1:7" x14ac:dyDescent="0.25">
      <c r="A965" s="20" t="s">
        <v>588</v>
      </c>
      <c r="B965" s="20" t="s">
        <v>118</v>
      </c>
      <c r="C965" s="20" t="s">
        <v>118</v>
      </c>
      <c r="D965" s="20" t="s">
        <v>901</v>
      </c>
      <c r="E965" s="26">
        <v>20.326149999999998</v>
      </c>
      <c r="F965" s="26">
        <v>20.326149999999998</v>
      </c>
      <c r="G965" s="22"/>
    </row>
    <row r="966" spans="1:7" x14ac:dyDescent="0.25">
      <c r="A966" s="20" t="s">
        <v>588</v>
      </c>
      <c r="B966" s="20" t="s">
        <v>85</v>
      </c>
      <c r="C966" s="20" t="s">
        <v>85</v>
      </c>
      <c r="D966" s="20" t="s">
        <v>902</v>
      </c>
      <c r="E966" s="24">
        <v>2.4279999999999999</v>
      </c>
      <c r="F966" s="24">
        <v>4.8559999999999999</v>
      </c>
      <c r="G966" s="22"/>
    </row>
    <row r="967" spans="1:7" x14ac:dyDescent="0.25">
      <c r="A967" s="20" t="s">
        <v>585</v>
      </c>
      <c r="B967" s="20" t="s">
        <v>903</v>
      </c>
      <c r="C967" s="20" t="s">
        <v>903</v>
      </c>
      <c r="D967" s="20" t="s">
        <v>891</v>
      </c>
      <c r="E967" s="27">
        <v>1</v>
      </c>
      <c r="F967" s="27">
        <v>1</v>
      </c>
      <c r="G967" s="28">
        <v>44.2896</v>
      </c>
    </row>
    <row r="968" spans="1:7" x14ac:dyDescent="0.25">
      <c r="A968" s="20" t="s">
        <v>585</v>
      </c>
      <c r="B968" s="20" t="s">
        <v>904</v>
      </c>
      <c r="C968" s="20" t="s">
        <v>904</v>
      </c>
      <c r="D968" s="20" t="s">
        <v>891</v>
      </c>
      <c r="E968" s="27">
        <v>1</v>
      </c>
      <c r="F968" s="27">
        <v>1</v>
      </c>
      <c r="G968" s="28">
        <v>45.846400000000003</v>
      </c>
    </row>
    <row r="969" spans="1:7" x14ac:dyDescent="0.25">
      <c r="A969" s="20" t="s">
        <v>585</v>
      </c>
      <c r="B969" s="20" t="s">
        <v>905</v>
      </c>
      <c r="C969" s="20" t="s">
        <v>905</v>
      </c>
      <c r="D969" s="20" t="s">
        <v>891</v>
      </c>
      <c r="E969" s="27">
        <v>1</v>
      </c>
      <c r="F969" s="27">
        <v>1</v>
      </c>
      <c r="G969" s="29">
        <v>49.07349</v>
      </c>
    </row>
    <row r="970" spans="1:7" x14ac:dyDescent="0.25">
      <c r="A970" s="20" t="s">
        <v>585</v>
      </c>
      <c r="B970" s="20" t="s">
        <v>906</v>
      </c>
      <c r="C970" s="20" t="s">
        <v>906</v>
      </c>
      <c r="D970" s="20" t="s">
        <v>891</v>
      </c>
      <c r="E970" s="27">
        <v>1</v>
      </c>
      <c r="F970" s="27">
        <v>1</v>
      </c>
      <c r="G970" s="29">
        <v>49.07349</v>
      </c>
    </row>
    <row r="971" spans="1:7" x14ac:dyDescent="0.25">
      <c r="A971" s="20" t="s">
        <v>595</v>
      </c>
      <c r="B971" s="20" t="s">
        <v>907</v>
      </c>
      <c r="C971" s="20" t="s">
        <v>907</v>
      </c>
      <c r="D971" s="20" t="s">
        <v>891</v>
      </c>
      <c r="E971" s="27">
        <v>6</v>
      </c>
      <c r="F971" s="27">
        <v>6</v>
      </c>
      <c r="G971" s="29">
        <v>16.795179999999998</v>
      </c>
    </row>
    <row r="972" spans="1:7" x14ac:dyDescent="0.25">
      <c r="A972" s="20" t="s">
        <v>595</v>
      </c>
      <c r="B972" s="20" t="s">
        <v>908</v>
      </c>
      <c r="C972" s="20" t="s">
        <v>908</v>
      </c>
      <c r="D972" s="20" t="s">
        <v>891</v>
      </c>
      <c r="E972" s="27">
        <v>4</v>
      </c>
      <c r="F972" s="27">
        <v>4</v>
      </c>
      <c r="G972" s="29">
        <v>48.569650000000003</v>
      </c>
    </row>
    <row r="973" spans="1:7" x14ac:dyDescent="0.25">
      <c r="A973" s="20" t="s">
        <v>595</v>
      </c>
      <c r="B973" s="20" t="s">
        <v>909</v>
      </c>
      <c r="C973" s="20" t="s">
        <v>909</v>
      </c>
      <c r="D973" s="20" t="s">
        <v>891</v>
      </c>
      <c r="E973" s="27">
        <v>16</v>
      </c>
      <c r="F973" s="27">
        <v>16</v>
      </c>
      <c r="G973" s="29">
        <v>5.74498</v>
      </c>
    </row>
    <row r="974" spans="1:7" x14ac:dyDescent="0.25">
      <c r="A974" s="20" t="s">
        <v>595</v>
      </c>
      <c r="B974" s="20" t="s">
        <v>910</v>
      </c>
      <c r="C974" s="20" t="s">
        <v>910</v>
      </c>
      <c r="D974" s="20" t="s">
        <v>891</v>
      </c>
      <c r="E974" s="27">
        <v>16</v>
      </c>
      <c r="F974" s="27">
        <v>16</v>
      </c>
      <c r="G974" s="29">
        <v>1.6086400000000001</v>
      </c>
    </row>
    <row r="975" spans="1:7" x14ac:dyDescent="0.25">
      <c r="A975" s="20" t="s">
        <v>595</v>
      </c>
      <c r="B975" s="20" t="s">
        <v>911</v>
      </c>
      <c r="C975" s="20" t="s">
        <v>911</v>
      </c>
      <c r="D975" s="20" t="s">
        <v>891</v>
      </c>
      <c r="E975" s="27">
        <v>16</v>
      </c>
      <c r="F975" s="27">
        <v>16</v>
      </c>
      <c r="G975" s="29">
        <v>0.57099</v>
      </c>
    </row>
    <row r="976" spans="1:7" x14ac:dyDescent="0.25">
      <c r="A976" s="20" t="s">
        <v>595</v>
      </c>
      <c r="B976" s="20" t="s">
        <v>912</v>
      </c>
      <c r="C976" s="20" t="s">
        <v>912</v>
      </c>
      <c r="D976" s="20" t="s">
        <v>891</v>
      </c>
      <c r="E976" s="27">
        <v>30</v>
      </c>
      <c r="F976" s="27">
        <v>30</v>
      </c>
      <c r="G976" s="29">
        <v>2.8133900000000001</v>
      </c>
    </row>
    <row r="977" spans="1:7" x14ac:dyDescent="0.25">
      <c r="A977" s="20" t="s">
        <v>595</v>
      </c>
      <c r="B977" s="20" t="s">
        <v>913</v>
      </c>
      <c r="C977" s="20" t="s">
        <v>913</v>
      </c>
      <c r="D977" s="20" t="s">
        <v>891</v>
      </c>
      <c r="E977" s="27">
        <v>4</v>
      </c>
      <c r="F977" s="27">
        <v>4</v>
      </c>
      <c r="G977" s="29">
        <v>4.8632299999999997</v>
      </c>
    </row>
    <row r="978" spans="1:7" x14ac:dyDescent="0.25">
      <c r="A978" s="20" t="s">
        <v>588</v>
      </c>
      <c r="B978" s="20" t="s">
        <v>67</v>
      </c>
      <c r="C978" s="20" t="s">
        <v>67</v>
      </c>
      <c r="D978" s="20" t="s">
        <v>891</v>
      </c>
      <c r="E978" s="24">
        <v>5.8559999999999999</v>
      </c>
      <c r="F978" s="24">
        <v>5.8559999999999999</v>
      </c>
      <c r="G978" s="22"/>
    </row>
    <row r="979" spans="1:7" x14ac:dyDescent="0.25">
      <c r="A979" s="20" t="s">
        <v>588</v>
      </c>
      <c r="B979" s="20" t="s">
        <v>146</v>
      </c>
      <c r="C979" s="20" t="s">
        <v>146</v>
      </c>
      <c r="D979" s="20" t="s">
        <v>891</v>
      </c>
      <c r="E979" s="24">
        <v>3.4449999999999998</v>
      </c>
      <c r="F979" s="24">
        <v>3.4449999999999998</v>
      </c>
      <c r="G979" s="22"/>
    </row>
    <row r="980" spans="1:7" x14ac:dyDescent="0.25">
      <c r="A980" s="20" t="s">
        <v>588</v>
      </c>
      <c r="B980" s="20" t="s">
        <v>115</v>
      </c>
      <c r="C980" s="20" t="s">
        <v>115</v>
      </c>
      <c r="D980" s="20" t="s">
        <v>907</v>
      </c>
      <c r="E980" s="26">
        <v>20.118179999999999</v>
      </c>
      <c r="F980" s="26">
        <v>120.70908</v>
      </c>
      <c r="G980" s="22"/>
    </row>
    <row r="981" spans="1:7" x14ac:dyDescent="0.25">
      <c r="A981" s="20" t="s">
        <v>588</v>
      </c>
      <c r="B981" s="20" t="s">
        <v>118</v>
      </c>
      <c r="C981" s="20" t="s">
        <v>118</v>
      </c>
      <c r="D981" s="20" t="s">
        <v>908</v>
      </c>
      <c r="E981" s="26">
        <v>58.218710000000002</v>
      </c>
      <c r="F981" s="26">
        <v>232.87484000000001</v>
      </c>
      <c r="G981" s="22"/>
    </row>
    <row r="982" spans="1:7" x14ac:dyDescent="0.25">
      <c r="A982" s="20" t="s">
        <v>588</v>
      </c>
      <c r="B982" s="20" t="s">
        <v>206</v>
      </c>
      <c r="C982" s="20" t="s">
        <v>206</v>
      </c>
      <c r="D982" s="20" t="s">
        <v>909</v>
      </c>
      <c r="E982" s="24">
        <v>5.7809999999999997</v>
      </c>
      <c r="F982" s="24">
        <v>92.495999999999995</v>
      </c>
      <c r="G982" s="22"/>
    </row>
    <row r="983" spans="1:7" x14ac:dyDescent="0.25">
      <c r="A983" s="20" t="s">
        <v>588</v>
      </c>
      <c r="B983" s="20" t="s">
        <v>110</v>
      </c>
      <c r="C983" s="20" t="s">
        <v>110</v>
      </c>
      <c r="D983" s="20" t="s">
        <v>910</v>
      </c>
      <c r="E983" s="32">
        <v>1.9311</v>
      </c>
      <c r="F983" s="32">
        <v>30.897600000000001</v>
      </c>
      <c r="G983" s="22"/>
    </row>
    <row r="984" spans="1:7" x14ac:dyDescent="0.25">
      <c r="A984" s="20" t="s">
        <v>588</v>
      </c>
      <c r="B984" s="20" t="s">
        <v>122</v>
      </c>
      <c r="C984" s="20" t="s">
        <v>122</v>
      </c>
      <c r="D984" s="20" t="s">
        <v>911</v>
      </c>
      <c r="E984" s="26">
        <v>0.68577999999999995</v>
      </c>
      <c r="F984" s="26">
        <v>10.972479999999999</v>
      </c>
      <c r="G984" s="22"/>
    </row>
    <row r="985" spans="1:7" x14ac:dyDescent="0.25">
      <c r="A985" s="20" t="s">
        <v>588</v>
      </c>
      <c r="B985" s="20" t="s">
        <v>118</v>
      </c>
      <c r="C985" s="20" t="s">
        <v>118</v>
      </c>
      <c r="D985" s="20" t="s">
        <v>912</v>
      </c>
      <c r="E985" s="26">
        <v>5.5306699999999998</v>
      </c>
      <c r="F985" s="32">
        <v>165.92009999999999</v>
      </c>
      <c r="G985" s="22"/>
    </row>
    <row r="986" spans="1:7" x14ac:dyDescent="0.25">
      <c r="A986" s="20" t="s">
        <v>588</v>
      </c>
      <c r="B986" s="20" t="s">
        <v>118</v>
      </c>
      <c r="C986" s="20" t="s">
        <v>118</v>
      </c>
      <c r="D986" s="20" t="s">
        <v>913</v>
      </c>
      <c r="E986" s="26">
        <v>5.8358800000000004</v>
      </c>
      <c r="F986" s="26">
        <v>23.343520000000002</v>
      </c>
      <c r="G986" s="22"/>
    </row>
    <row r="987" spans="1:7" x14ac:dyDescent="0.25">
      <c r="A987" s="20" t="s">
        <v>595</v>
      </c>
      <c r="B987" s="20" t="s">
        <v>914</v>
      </c>
      <c r="C987" s="20" t="s">
        <v>914</v>
      </c>
      <c r="D987" s="20" t="s">
        <v>903</v>
      </c>
      <c r="E987" s="27">
        <v>1</v>
      </c>
      <c r="F987" s="27">
        <v>1</v>
      </c>
      <c r="G987" s="29">
        <v>41.252780000000001</v>
      </c>
    </row>
    <row r="988" spans="1:7" x14ac:dyDescent="0.25">
      <c r="A988" s="20" t="s">
        <v>595</v>
      </c>
      <c r="B988" s="20" t="s">
        <v>915</v>
      </c>
      <c r="C988" s="20" t="s">
        <v>915</v>
      </c>
      <c r="D988" s="20" t="s">
        <v>903</v>
      </c>
      <c r="E988" s="27">
        <v>2</v>
      </c>
      <c r="F988" s="27">
        <v>2</v>
      </c>
      <c r="G988" s="28">
        <v>5.4100000000000002E-2</v>
      </c>
    </row>
    <row r="989" spans="1:7" x14ac:dyDescent="0.25">
      <c r="A989" s="20" t="s">
        <v>595</v>
      </c>
      <c r="B989" s="20" t="s">
        <v>916</v>
      </c>
      <c r="C989" s="20" t="s">
        <v>916</v>
      </c>
      <c r="D989" s="20" t="s">
        <v>903</v>
      </c>
      <c r="E989" s="27">
        <v>1</v>
      </c>
      <c r="F989" s="27">
        <v>1</v>
      </c>
      <c r="G989" s="29">
        <v>1.46061</v>
      </c>
    </row>
    <row r="990" spans="1:7" x14ac:dyDescent="0.25">
      <c r="A990" s="20" t="s">
        <v>595</v>
      </c>
      <c r="B990" s="20" t="s">
        <v>917</v>
      </c>
      <c r="C990" s="20" t="s">
        <v>917</v>
      </c>
      <c r="D990" s="20" t="s">
        <v>903</v>
      </c>
      <c r="E990" s="27">
        <v>1</v>
      </c>
      <c r="F990" s="27">
        <v>1</v>
      </c>
      <c r="G990" s="29">
        <v>1.45506</v>
      </c>
    </row>
    <row r="991" spans="1:7" x14ac:dyDescent="0.25">
      <c r="A991" s="20" t="s">
        <v>595</v>
      </c>
      <c r="B991" s="20" t="s">
        <v>918</v>
      </c>
      <c r="C991" s="20" t="s">
        <v>918</v>
      </c>
      <c r="D991" s="20" t="s">
        <v>903</v>
      </c>
      <c r="E991" s="27">
        <v>2</v>
      </c>
      <c r="F991" s="27">
        <v>2</v>
      </c>
      <c r="G991" s="29">
        <v>6.4799999999999996E-3</v>
      </c>
    </row>
    <row r="992" spans="1:7" x14ac:dyDescent="0.25">
      <c r="A992" s="20" t="s">
        <v>588</v>
      </c>
      <c r="B992" s="20" t="s">
        <v>67</v>
      </c>
      <c r="C992" s="20" t="s">
        <v>67</v>
      </c>
      <c r="D992" s="20" t="s">
        <v>903</v>
      </c>
      <c r="E992" s="24">
        <v>0.38600000000000001</v>
      </c>
      <c r="F992" s="24">
        <v>0.38600000000000001</v>
      </c>
      <c r="G992" s="22"/>
    </row>
    <row r="993" spans="1:7" x14ac:dyDescent="0.25">
      <c r="A993" s="20" t="s">
        <v>588</v>
      </c>
      <c r="B993" s="20" t="s">
        <v>146</v>
      </c>
      <c r="C993" s="20" t="s">
        <v>146</v>
      </c>
      <c r="D993" s="20" t="s">
        <v>903</v>
      </c>
      <c r="E993" s="24">
        <v>0.22700000000000001</v>
      </c>
      <c r="F993" s="24">
        <v>0.22700000000000001</v>
      </c>
      <c r="G993" s="22"/>
    </row>
    <row r="994" spans="1:7" x14ac:dyDescent="0.25">
      <c r="A994" s="20" t="s">
        <v>588</v>
      </c>
      <c r="B994" s="20" t="s">
        <v>115</v>
      </c>
      <c r="C994" s="20" t="s">
        <v>115</v>
      </c>
      <c r="D994" s="20" t="s">
        <v>914</v>
      </c>
      <c r="E994" s="26">
        <v>52.064639999999997</v>
      </c>
      <c r="F994" s="26">
        <v>52.064639999999997</v>
      </c>
      <c r="G994" s="22"/>
    </row>
    <row r="995" spans="1:7" x14ac:dyDescent="0.25">
      <c r="A995" s="20" t="s">
        <v>588</v>
      </c>
      <c r="B995" s="20" t="s">
        <v>98</v>
      </c>
      <c r="C995" s="20" t="s">
        <v>98</v>
      </c>
      <c r="D995" s="20" t="s">
        <v>880</v>
      </c>
      <c r="E995" s="25">
        <v>0.27</v>
      </c>
      <c r="F995" s="25">
        <v>1.62</v>
      </c>
      <c r="G995" s="22"/>
    </row>
    <row r="996" spans="1:7" x14ac:dyDescent="0.25">
      <c r="A996" s="20" t="s">
        <v>588</v>
      </c>
      <c r="B996" s="20" t="s">
        <v>115</v>
      </c>
      <c r="C996" s="20" t="s">
        <v>115</v>
      </c>
      <c r="D996" s="20" t="s">
        <v>915</v>
      </c>
      <c r="E996" s="26">
        <v>6.3589999999999994E-2</v>
      </c>
      <c r="F996" s="26">
        <v>0.76307999999999998</v>
      </c>
      <c r="G996" s="22"/>
    </row>
    <row r="997" spans="1:7" x14ac:dyDescent="0.25">
      <c r="A997" s="20" t="s">
        <v>588</v>
      </c>
      <c r="B997" s="20" t="s">
        <v>115</v>
      </c>
      <c r="C997" s="20" t="s">
        <v>115</v>
      </c>
      <c r="D997" s="20" t="s">
        <v>916</v>
      </c>
      <c r="E997" s="26">
        <v>1.7447699999999999</v>
      </c>
      <c r="F997" s="26">
        <v>1.7447699999999999</v>
      </c>
      <c r="G997" s="22"/>
    </row>
    <row r="998" spans="1:7" x14ac:dyDescent="0.25">
      <c r="A998" s="20" t="s">
        <v>588</v>
      </c>
      <c r="B998" s="20" t="s">
        <v>115</v>
      </c>
      <c r="C998" s="20" t="s">
        <v>115</v>
      </c>
      <c r="D998" s="20" t="s">
        <v>917</v>
      </c>
      <c r="E998" s="26">
        <v>1.7447699999999999</v>
      </c>
      <c r="F998" s="26">
        <v>1.7447699999999999</v>
      </c>
      <c r="G998" s="22"/>
    </row>
    <row r="999" spans="1:7" x14ac:dyDescent="0.25">
      <c r="A999" s="20" t="s">
        <v>588</v>
      </c>
      <c r="B999" s="20" t="s">
        <v>115</v>
      </c>
      <c r="C999" s="20" t="s">
        <v>115</v>
      </c>
      <c r="D999" s="20" t="s">
        <v>918</v>
      </c>
      <c r="E999" s="26">
        <v>7.77E-3</v>
      </c>
      <c r="F999" s="26">
        <v>1.554E-2</v>
      </c>
      <c r="G999" s="22"/>
    </row>
    <row r="1000" spans="1:7" x14ac:dyDescent="0.25">
      <c r="A1000" s="20" t="s">
        <v>595</v>
      </c>
      <c r="B1000" s="20" t="s">
        <v>915</v>
      </c>
      <c r="C1000" s="20" t="s">
        <v>915</v>
      </c>
      <c r="D1000" s="20" t="s">
        <v>904</v>
      </c>
      <c r="E1000" s="27">
        <v>2</v>
      </c>
      <c r="F1000" s="27">
        <v>2</v>
      </c>
      <c r="G1000" s="28">
        <v>5.4100000000000002E-2</v>
      </c>
    </row>
    <row r="1001" spans="1:7" x14ac:dyDescent="0.25">
      <c r="A1001" s="20" t="s">
        <v>595</v>
      </c>
      <c r="B1001" s="20" t="s">
        <v>919</v>
      </c>
      <c r="C1001" s="20" t="s">
        <v>919</v>
      </c>
      <c r="D1001" s="20" t="s">
        <v>904</v>
      </c>
      <c r="E1001" s="27">
        <v>1</v>
      </c>
      <c r="F1001" s="27">
        <v>1</v>
      </c>
      <c r="G1001" s="29">
        <v>42.686439999999997</v>
      </c>
    </row>
    <row r="1002" spans="1:7" x14ac:dyDescent="0.25">
      <c r="A1002" s="20" t="s">
        <v>595</v>
      </c>
      <c r="B1002" s="20" t="s">
        <v>920</v>
      </c>
      <c r="C1002" s="20" t="s">
        <v>920</v>
      </c>
      <c r="D1002" s="20" t="s">
        <v>904</v>
      </c>
      <c r="E1002" s="27">
        <v>2</v>
      </c>
      <c r="F1002" s="27">
        <v>2</v>
      </c>
      <c r="G1002" s="28">
        <v>1.5194000000000001</v>
      </c>
    </row>
    <row r="1003" spans="1:7" x14ac:dyDescent="0.25">
      <c r="A1003" s="20" t="s">
        <v>595</v>
      </c>
      <c r="B1003" s="20" t="s">
        <v>921</v>
      </c>
      <c r="C1003" s="20" t="s">
        <v>921</v>
      </c>
      <c r="D1003" s="20" t="s">
        <v>904</v>
      </c>
      <c r="E1003" s="27">
        <v>2</v>
      </c>
      <c r="F1003" s="27">
        <v>2</v>
      </c>
      <c r="G1003" s="29">
        <v>6.4799999999999996E-3</v>
      </c>
    </row>
    <row r="1004" spans="1:7" x14ac:dyDescent="0.25">
      <c r="A1004" s="20" t="s">
        <v>588</v>
      </c>
      <c r="B1004" s="20" t="s">
        <v>67</v>
      </c>
      <c r="C1004" s="20" t="s">
        <v>67</v>
      </c>
      <c r="D1004" s="20" t="s">
        <v>904</v>
      </c>
      <c r="E1004" s="24">
        <v>0.247</v>
      </c>
      <c r="F1004" s="24">
        <v>0.247</v>
      </c>
      <c r="G1004" s="22"/>
    </row>
    <row r="1005" spans="1:7" x14ac:dyDescent="0.25">
      <c r="A1005" s="20" t="s">
        <v>588</v>
      </c>
      <c r="B1005" s="20" t="s">
        <v>146</v>
      </c>
      <c r="C1005" s="20" t="s">
        <v>146</v>
      </c>
      <c r="D1005" s="20" t="s">
        <v>904</v>
      </c>
      <c r="E1005" s="24">
        <v>0.14499999999999999</v>
      </c>
      <c r="F1005" s="24">
        <v>0.14499999999999999</v>
      </c>
      <c r="G1005" s="22"/>
    </row>
    <row r="1006" spans="1:7" x14ac:dyDescent="0.25">
      <c r="A1006" s="20" t="s">
        <v>588</v>
      </c>
      <c r="B1006" s="20" t="s">
        <v>115</v>
      </c>
      <c r="C1006" s="20" t="s">
        <v>115</v>
      </c>
      <c r="D1006" s="20" t="s">
        <v>919</v>
      </c>
      <c r="E1006" s="26">
        <v>51.82206</v>
      </c>
      <c r="F1006" s="26">
        <v>51.82206</v>
      </c>
      <c r="G1006" s="22"/>
    </row>
    <row r="1007" spans="1:7" x14ac:dyDescent="0.25">
      <c r="A1007" s="20" t="s">
        <v>588</v>
      </c>
      <c r="B1007" s="20" t="s">
        <v>115</v>
      </c>
      <c r="C1007" s="20" t="s">
        <v>115</v>
      </c>
      <c r="D1007" s="20" t="s">
        <v>920</v>
      </c>
      <c r="E1007" s="26">
        <v>1.8804799999999999</v>
      </c>
      <c r="F1007" s="26">
        <v>3.7609599999999999</v>
      </c>
      <c r="G1007" s="22"/>
    </row>
    <row r="1008" spans="1:7" x14ac:dyDescent="0.25">
      <c r="A1008" s="20" t="s">
        <v>588</v>
      </c>
      <c r="B1008" s="20" t="s">
        <v>115</v>
      </c>
      <c r="C1008" s="20" t="s">
        <v>115</v>
      </c>
      <c r="D1008" s="20" t="s">
        <v>921</v>
      </c>
      <c r="E1008" s="26">
        <v>7.77E-3</v>
      </c>
      <c r="F1008" s="26">
        <v>1.554E-2</v>
      </c>
      <c r="G1008" s="22"/>
    </row>
    <row r="1009" spans="1:7" x14ac:dyDescent="0.25">
      <c r="A1009" s="20" t="s">
        <v>595</v>
      </c>
      <c r="B1009" s="20" t="s">
        <v>922</v>
      </c>
      <c r="C1009" s="20" t="s">
        <v>922</v>
      </c>
      <c r="D1009" s="20" t="s">
        <v>905</v>
      </c>
      <c r="E1009" s="27">
        <v>1</v>
      </c>
      <c r="F1009" s="27">
        <v>1</v>
      </c>
      <c r="G1009" s="29">
        <v>0.73284000000000005</v>
      </c>
    </row>
    <row r="1010" spans="1:7" x14ac:dyDescent="0.25">
      <c r="A1010" s="20" t="s">
        <v>595</v>
      </c>
      <c r="B1010" s="20" t="s">
        <v>923</v>
      </c>
      <c r="C1010" s="20" t="s">
        <v>923</v>
      </c>
      <c r="D1010" s="20" t="s">
        <v>905</v>
      </c>
      <c r="E1010" s="27">
        <v>1</v>
      </c>
      <c r="F1010" s="27">
        <v>1</v>
      </c>
      <c r="G1010" s="29">
        <v>48.34066</v>
      </c>
    </row>
    <row r="1011" spans="1:7" x14ac:dyDescent="0.25">
      <c r="A1011" s="20" t="s">
        <v>588</v>
      </c>
      <c r="B1011" s="20" t="s">
        <v>67</v>
      </c>
      <c r="C1011" s="20" t="s">
        <v>67</v>
      </c>
      <c r="D1011" s="20" t="s">
        <v>905</v>
      </c>
      <c r="E1011" s="24">
        <v>0.10199999999999999</v>
      </c>
      <c r="F1011" s="24">
        <v>0.10199999999999999</v>
      </c>
      <c r="G1011" s="22"/>
    </row>
    <row r="1012" spans="1:7" x14ac:dyDescent="0.25">
      <c r="A1012" s="20" t="s">
        <v>588</v>
      </c>
      <c r="B1012" s="20" t="s">
        <v>146</v>
      </c>
      <c r="C1012" s="20" t="s">
        <v>146</v>
      </c>
      <c r="D1012" s="20" t="s">
        <v>905</v>
      </c>
      <c r="E1012" s="25">
        <v>0.06</v>
      </c>
      <c r="F1012" s="25">
        <v>0.06</v>
      </c>
      <c r="G1012" s="22"/>
    </row>
    <row r="1013" spans="1:7" x14ac:dyDescent="0.25">
      <c r="A1013" s="20" t="s">
        <v>595</v>
      </c>
      <c r="B1013" s="20" t="s">
        <v>922</v>
      </c>
      <c r="C1013" s="20" t="s">
        <v>922</v>
      </c>
      <c r="D1013" s="20" t="s">
        <v>906</v>
      </c>
      <c r="E1013" s="27">
        <v>1</v>
      </c>
      <c r="F1013" s="27">
        <v>1</v>
      </c>
      <c r="G1013" s="29">
        <v>0.73284000000000005</v>
      </c>
    </row>
    <row r="1014" spans="1:7" x14ac:dyDescent="0.25">
      <c r="A1014" s="20" t="s">
        <v>595</v>
      </c>
      <c r="B1014" s="20" t="s">
        <v>924</v>
      </c>
      <c r="C1014" s="20" t="s">
        <v>924</v>
      </c>
      <c r="D1014" s="20" t="s">
        <v>906</v>
      </c>
      <c r="E1014" s="27">
        <v>1</v>
      </c>
      <c r="F1014" s="27">
        <v>1</v>
      </c>
      <c r="G1014" s="29">
        <v>48.34066</v>
      </c>
    </row>
    <row r="1015" spans="1:7" x14ac:dyDescent="0.25">
      <c r="A1015" s="20" t="s">
        <v>588</v>
      </c>
      <c r="B1015" s="20" t="s">
        <v>67</v>
      </c>
      <c r="C1015" s="20" t="s">
        <v>67</v>
      </c>
      <c r="D1015" s="20" t="s">
        <v>906</v>
      </c>
      <c r="E1015" s="24">
        <v>0.10199999999999999</v>
      </c>
      <c r="F1015" s="24">
        <v>0.10199999999999999</v>
      </c>
      <c r="G1015" s="22"/>
    </row>
    <row r="1016" spans="1:7" x14ac:dyDescent="0.25">
      <c r="A1016" s="20" t="s">
        <v>588</v>
      </c>
      <c r="B1016" s="20" t="s">
        <v>146</v>
      </c>
      <c r="C1016" s="20" t="s">
        <v>146</v>
      </c>
      <c r="D1016" s="20" t="s">
        <v>906</v>
      </c>
      <c r="E1016" s="25">
        <v>0.06</v>
      </c>
      <c r="F1016" s="25">
        <v>0.06</v>
      </c>
      <c r="G1016" s="22"/>
    </row>
    <row r="1017" spans="1:7" x14ac:dyDescent="0.25">
      <c r="A1017" s="20" t="s">
        <v>588</v>
      </c>
      <c r="B1017" s="20" t="s">
        <v>118</v>
      </c>
      <c r="C1017" s="20" t="s">
        <v>118</v>
      </c>
      <c r="D1017" s="20" t="s">
        <v>922</v>
      </c>
      <c r="E1017" s="26">
        <v>0.87614999999999998</v>
      </c>
      <c r="F1017" s="32">
        <v>1.7523</v>
      </c>
      <c r="G1017" s="22"/>
    </row>
    <row r="1018" spans="1:7" x14ac:dyDescent="0.25">
      <c r="A1018" s="20" t="s">
        <v>588</v>
      </c>
      <c r="B1018" s="20" t="s">
        <v>118</v>
      </c>
      <c r="C1018" s="20" t="s">
        <v>118</v>
      </c>
      <c r="D1018" s="20" t="s">
        <v>923</v>
      </c>
      <c r="E1018" s="26">
        <v>58.218710000000002</v>
      </c>
      <c r="F1018" s="26">
        <v>58.218710000000002</v>
      </c>
      <c r="G1018" s="22"/>
    </row>
    <row r="1019" spans="1:7" x14ac:dyDescent="0.25">
      <c r="A1019" s="20" t="s">
        <v>588</v>
      </c>
      <c r="B1019" s="20" t="s">
        <v>118</v>
      </c>
      <c r="C1019" s="20" t="s">
        <v>118</v>
      </c>
      <c r="D1019" s="20" t="s">
        <v>924</v>
      </c>
      <c r="E1019" s="26">
        <v>58.218710000000002</v>
      </c>
      <c r="F1019" s="26">
        <v>58.218710000000002</v>
      </c>
      <c r="G1019" s="22"/>
    </row>
    <row r="1020" spans="1:7" x14ac:dyDescent="0.25">
      <c r="A1020" s="20" t="s">
        <v>595</v>
      </c>
      <c r="B1020" s="20" t="s">
        <v>915</v>
      </c>
      <c r="C1020" s="20" t="s">
        <v>915</v>
      </c>
      <c r="D1020" s="20" t="s">
        <v>892</v>
      </c>
      <c r="E1020" s="27">
        <v>4</v>
      </c>
      <c r="F1020" s="27">
        <v>8</v>
      </c>
      <c r="G1020" s="28">
        <v>5.4100000000000002E-2</v>
      </c>
    </row>
    <row r="1021" spans="1:7" x14ac:dyDescent="0.25">
      <c r="A1021" s="20" t="s">
        <v>595</v>
      </c>
      <c r="B1021" s="20" t="s">
        <v>925</v>
      </c>
      <c r="C1021" s="20" t="s">
        <v>925</v>
      </c>
      <c r="D1021" s="20" t="s">
        <v>892</v>
      </c>
      <c r="E1021" s="27">
        <v>1</v>
      </c>
      <c r="F1021" s="27">
        <v>2</v>
      </c>
      <c r="G1021" s="29">
        <v>16.437010000000001</v>
      </c>
    </row>
    <row r="1022" spans="1:7" x14ac:dyDescent="0.25">
      <c r="A1022" s="20" t="s">
        <v>595</v>
      </c>
      <c r="B1022" s="20" t="s">
        <v>926</v>
      </c>
      <c r="C1022" s="20" t="s">
        <v>926</v>
      </c>
      <c r="D1022" s="20" t="s">
        <v>892</v>
      </c>
      <c r="E1022" s="27">
        <v>4</v>
      </c>
      <c r="F1022" s="27">
        <v>8</v>
      </c>
      <c r="G1022" s="29">
        <v>6.4799999999999996E-3</v>
      </c>
    </row>
    <row r="1023" spans="1:7" x14ac:dyDescent="0.25">
      <c r="A1023" s="20" t="s">
        <v>588</v>
      </c>
      <c r="B1023" s="20" t="s">
        <v>67</v>
      </c>
      <c r="C1023" s="20" t="s">
        <v>67</v>
      </c>
      <c r="D1023" s="20" t="s">
        <v>892</v>
      </c>
      <c r="E1023" s="24">
        <v>0.10199999999999999</v>
      </c>
      <c r="F1023" s="24">
        <v>0.20399999999999999</v>
      </c>
      <c r="G1023" s="22"/>
    </row>
    <row r="1024" spans="1:7" x14ac:dyDescent="0.25">
      <c r="A1024" s="20" t="s">
        <v>588</v>
      </c>
      <c r="B1024" s="20" t="s">
        <v>146</v>
      </c>
      <c r="C1024" s="20" t="s">
        <v>146</v>
      </c>
      <c r="D1024" s="20" t="s">
        <v>892</v>
      </c>
      <c r="E1024" s="25">
        <v>0.06</v>
      </c>
      <c r="F1024" s="25">
        <v>0.12</v>
      </c>
      <c r="G1024" s="22"/>
    </row>
    <row r="1025" spans="1:7" x14ac:dyDescent="0.25">
      <c r="A1025" s="20" t="s">
        <v>588</v>
      </c>
      <c r="B1025" s="20" t="s">
        <v>118</v>
      </c>
      <c r="C1025" s="20" t="s">
        <v>118</v>
      </c>
      <c r="D1025" s="20" t="s">
        <v>925</v>
      </c>
      <c r="E1025" s="26">
        <v>36.551630000000003</v>
      </c>
      <c r="F1025" s="26">
        <v>73.103260000000006</v>
      </c>
      <c r="G1025" s="22"/>
    </row>
    <row r="1026" spans="1:7" x14ac:dyDescent="0.25">
      <c r="A1026" s="20" t="s">
        <v>588</v>
      </c>
      <c r="B1026" s="20" t="s">
        <v>115</v>
      </c>
      <c r="C1026" s="20" t="s">
        <v>115</v>
      </c>
      <c r="D1026" s="20" t="s">
        <v>926</v>
      </c>
      <c r="E1026" s="26">
        <v>7.77E-3</v>
      </c>
      <c r="F1026" s="26">
        <v>6.216E-2</v>
      </c>
      <c r="G1026" s="22"/>
    </row>
    <row r="1027" spans="1:7" x14ac:dyDescent="0.25">
      <c r="A1027" s="20" t="s">
        <v>595</v>
      </c>
      <c r="B1027" s="20" t="s">
        <v>927</v>
      </c>
      <c r="C1027" s="20" t="s">
        <v>927</v>
      </c>
      <c r="D1027" s="20" t="s">
        <v>893</v>
      </c>
      <c r="E1027" s="27">
        <v>1</v>
      </c>
      <c r="F1027" s="27">
        <v>6</v>
      </c>
      <c r="G1027" s="29">
        <v>15.347530000000001</v>
      </c>
    </row>
    <row r="1028" spans="1:7" x14ac:dyDescent="0.25">
      <c r="A1028" s="20" t="s">
        <v>595</v>
      </c>
      <c r="B1028" s="20" t="s">
        <v>928</v>
      </c>
      <c r="C1028" s="20" t="s">
        <v>928</v>
      </c>
      <c r="D1028" s="20" t="s">
        <v>893</v>
      </c>
      <c r="E1028" s="27">
        <v>1</v>
      </c>
      <c r="F1028" s="27">
        <v>6</v>
      </c>
      <c r="G1028" s="29">
        <v>9.1729800000000008</v>
      </c>
    </row>
    <row r="1029" spans="1:7" x14ac:dyDescent="0.25">
      <c r="A1029" s="20" t="s">
        <v>595</v>
      </c>
      <c r="B1029" s="20" t="s">
        <v>929</v>
      </c>
      <c r="C1029" s="20" t="s">
        <v>929</v>
      </c>
      <c r="D1029" s="20" t="s">
        <v>893</v>
      </c>
      <c r="E1029" s="27">
        <v>1</v>
      </c>
      <c r="F1029" s="27">
        <v>6</v>
      </c>
      <c r="G1029" s="29">
        <v>11.33582</v>
      </c>
    </row>
    <row r="1030" spans="1:7" x14ac:dyDescent="0.25">
      <c r="A1030" s="20" t="s">
        <v>588</v>
      </c>
      <c r="B1030" s="20" t="s">
        <v>67</v>
      </c>
      <c r="C1030" s="20" t="s">
        <v>67</v>
      </c>
      <c r="D1030" s="20" t="s">
        <v>893</v>
      </c>
      <c r="E1030" s="24">
        <v>0.81599999999999995</v>
      </c>
      <c r="F1030" s="24">
        <v>4.8959999999999999</v>
      </c>
      <c r="G1030" s="22"/>
    </row>
    <row r="1031" spans="1:7" x14ac:dyDescent="0.25">
      <c r="A1031" s="20" t="s">
        <v>588</v>
      </c>
      <c r="B1031" s="20" t="s">
        <v>146</v>
      </c>
      <c r="C1031" s="20" t="s">
        <v>146</v>
      </c>
      <c r="D1031" s="20" t="s">
        <v>893</v>
      </c>
      <c r="E1031" s="25">
        <v>0.48</v>
      </c>
      <c r="F1031" s="25">
        <v>2.88</v>
      </c>
      <c r="G1031" s="22"/>
    </row>
    <row r="1032" spans="1:7" x14ac:dyDescent="0.25">
      <c r="A1032" s="20" t="s">
        <v>588</v>
      </c>
      <c r="B1032" s="20" t="s">
        <v>115</v>
      </c>
      <c r="C1032" s="20" t="s">
        <v>115</v>
      </c>
      <c r="D1032" s="20" t="s">
        <v>927</v>
      </c>
      <c r="E1032" s="26">
        <v>18.495519999999999</v>
      </c>
      <c r="F1032" s="26">
        <v>110.97311999999999</v>
      </c>
      <c r="G1032" s="22"/>
    </row>
    <row r="1033" spans="1:7" x14ac:dyDescent="0.25">
      <c r="A1033" s="20" t="s">
        <v>588</v>
      </c>
      <c r="B1033" s="20" t="s">
        <v>115</v>
      </c>
      <c r="C1033" s="20" t="s">
        <v>115</v>
      </c>
      <c r="D1033" s="20" t="s">
        <v>928</v>
      </c>
      <c r="E1033" s="26">
        <v>11.001049999999999</v>
      </c>
      <c r="F1033" s="32">
        <v>66.006299999999996</v>
      </c>
      <c r="G1033" s="22"/>
    </row>
    <row r="1034" spans="1:7" x14ac:dyDescent="0.25">
      <c r="A1034" s="20" t="s">
        <v>588</v>
      </c>
      <c r="B1034" s="20" t="s">
        <v>115</v>
      </c>
      <c r="C1034" s="20" t="s">
        <v>115</v>
      </c>
      <c r="D1034" s="20" t="s">
        <v>929</v>
      </c>
      <c r="E1034" s="26">
        <v>13.476290000000001</v>
      </c>
      <c r="F1034" s="26">
        <v>80.857740000000007</v>
      </c>
      <c r="G1034" s="22"/>
    </row>
    <row r="1035" spans="1:7" x14ac:dyDescent="0.25">
      <c r="A1035" s="20" t="s">
        <v>588</v>
      </c>
      <c r="B1035" s="20" t="s">
        <v>65</v>
      </c>
      <c r="C1035" s="20" t="s">
        <v>65</v>
      </c>
      <c r="D1035" s="20" t="s">
        <v>930</v>
      </c>
      <c r="E1035" s="24">
        <v>5.0000000000000001E-3</v>
      </c>
      <c r="F1035" s="24">
        <v>5.0000000000000001E-3</v>
      </c>
      <c r="G1035" s="22"/>
    </row>
    <row r="1036" spans="1:7" x14ac:dyDescent="0.25">
      <c r="A1036" s="20" t="s">
        <v>588</v>
      </c>
      <c r="B1036" s="20" t="s">
        <v>84</v>
      </c>
      <c r="C1036" s="20" t="s">
        <v>84</v>
      </c>
      <c r="D1036" s="20" t="s">
        <v>930</v>
      </c>
      <c r="E1036" s="24">
        <v>7.0990000000000002</v>
      </c>
      <c r="F1036" s="24">
        <v>7.0990000000000002</v>
      </c>
      <c r="G1036" s="22"/>
    </row>
    <row r="1037" spans="1:7" x14ac:dyDescent="0.25">
      <c r="A1037" s="20" t="s">
        <v>588</v>
      </c>
      <c r="B1037" s="20" t="s">
        <v>155</v>
      </c>
      <c r="C1037" s="20" t="s">
        <v>155</v>
      </c>
      <c r="D1037" s="20" t="s">
        <v>930</v>
      </c>
      <c r="E1037" s="24">
        <v>2E-3</v>
      </c>
      <c r="F1037" s="24">
        <v>2E-3</v>
      </c>
      <c r="G1037" s="22"/>
    </row>
    <row r="1038" spans="1:7" x14ac:dyDescent="0.25">
      <c r="A1038" s="20" t="s">
        <v>588</v>
      </c>
      <c r="B1038" s="20" t="s">
        <v>156</v>
      </c>
      <c r="C1038" s="20" t="s">
        <v>156</v>
      </c>
      <c r="D1038" s="20" t="s">
        <v>930</v>
      </c>
      <c r="E1038" s="24">
        <v>5.0000000000000001E-3</v>
      </c>
      <c r="F1038" s="24">
        <v>5.0000000000000001E-3</v>
      </c>
      <c r="G1038" s="22"/>
    </row>
    <row r="1039" spans="1:7" x14ac:dyDescent="0.25">
      <c r="A1039" s="20" t="s">
        <v>588</v>
      </c>
      <c r="B1039" s="20" t="s">
        <v>215</v>
      </c>
      <c r="C1039" s="20" t="s">
        <v>215</v>
      </c>
      <c r="D1039" s="20" t="s">
        <v>930</v>
      </c>
      <c r="E1039" s="25">
        <v>0.01</v>
      </c>
      <c r="F1039" s="25">
        <v>0.01</v>
      </c>
      <c r="G1039" s="22"/>
    </row>
    <row r="1040" spans="1:7" x14ac:dyDescent="0.25">
      <c r="A1040" s="20" t="s">
        <v>588</v>
      </c>
      <c r="B1040" s="20" t="s">
        <v>65</v>
      </c>
      <c r="C1040" s="20" t="s">
        <v>65</v>
      </c>
      <c r="D1040" s="20" t="s">
        <v>931</v>
      </c>
      <c r="E1040" s="24">
        <v>8.0000000000000002E-3</v>
      </c>
      <c r="F1040" s="24">
        <v>8.0000000000000002E-3</v>
      </c>
      <c r="G1040" s="22"/>
    </row>
    <row r="1041" spans="1:7" x14ac:dyDescent="0.25">
      <c r="A1041" s="20" t="s">
        <v>588</v>
      </c>
      <c r="B1041" s="20" t="s">
        <v>87</v>
      </c>
      <c r="C1041" s="20" t="s">
        <v>87</v>
      </c>
      <c r="D1041" s="20" t="s">
        <v>931</v>
      </c>
      <c r="E1041" s="24">
        <v>17.936</v>
      </c>
      <c r="F1041" s="24">
        <v>17.936</v>
      </c>
      <c r="G1041" s="22"/>
    </row>
    <row r="1042" spans="1:7" x14ac:dyDescent="0.25">
      <c r="A1042" s="20" t="s">
        <v>588</v>
      </c>
      <c r="B1042" s="20" t="s">
        <v>155</v>
      </c>
      <c r="C1042" s="20" t="s">
        <v>155</v>
      </c>
      <c r="D1042" s="20" t="s">
        <v>931</v>
      </c>
      <c r="E1042" s="24">
        <v>3.0000000000000001E-3</v>
      </c>
      <c r="F1042" s="24">
        <v>3.0000000000000001E-3</v>
      </c>
      <c r="G1042" s="22"/>
    </row>
    <row r="1043" spans="1:7" x14ac:dyDescent="0.25">
      <c r="A1043" s="20" t="s">
        <v>588</v>
      </c>
      <c r="B1043" s="20" t="s">
        <v>156</v>
      </c>
      <c r="C1043" s="20" t="s">
        <v>156</v>
      </c>
      <c r="D1043" s="20" t="s">
        <v>931</v>
      </c>
      <c r="E1043" s="24">
        <v>8.0000000000000002E-3</v>
      </c>
      <c r="F1043" s="24">
        <v>8.0000000000000002E-3</v>
      </c>
      <c r="G1043" s="22"/>
    </row>
    <row r="1044" spans="1:7" x14ac:dyDescent="0.25">
      <c r="A1044" s="20" t="s">
        <v>588</v>
      </c>
      <c r="B1044" s="20" t="s">
        <v>215</v>
      </c>
      <c r="C1044" s="20" t="s">
        <v>215</v>
      </c>
      <c r="D1044" s="20" t="s">
        <v>931</v>
      </c>
      <c r="E1044" s="24">
        <v>2.5000000000000001E-2</v>
      </c>
      <c r="F1044" s="24">
        <v>2.5000000000000001E-2</v>
      </c>
      <c r="G1044" s="22"/>
    </row>
    <row r="1045" spans="1:7" x14ac:dyDescent="0.25">
      <c r="A1045" s="20" t="s">
        <v>595</v>
      </c>
      <c r="B1045" s="20" t="s">
        <v>932</v>
      </c>
      <c r="C1045" s="20" t="s">
        <v>932</v>
      </c>
      <c r="D1045" s="20" t="s">
        <v>933</v>
      </c>
      <c r="E1045" s="27">
        <v>1</v>
      </c>
      <c r="F1045" s="27">
        <v>1</v>
      </c>
      <c r="G1045" s="29">
        <v>1.3894899999999999</v>
      </c>
    </row>
    <row r="1046" spans="1:7" x14ac:dyDescent="0.25">
      <c r="A1046" s="20" t="s">
        <v>595</v>
      </c>
      <c r="B1046" s="20" t="s">
        <v>934</v>
      </c>
      <c r="C1046" s="20" t="s">
        <v>934</v>
      </c>
      <c r="D1046" s="20" t="s">
        <v>933</v>
      </c>
      <c r="E1046" s="27">
        <v>1</v>
      </c>
      <c r="F1046" s="27">
        <v>1</v>
      </c>
      <c r="G1046" s="29">
        <v>0.15864</v>
      </c>
    </row>
    <row r="1047" spans="1:7" x14ac:dyDescent="0.25">
      <c r="A1047" s="20" t="s">
        <v>588</v>
      </c>
      <c r="B1047" s="20" t="s">
        <v>65</v>
      </c>
      <c r="C1047" s="20" t="s">
        <v>65</v>
      </c>
      <c r="D1047" s="20" t="s">
        <v>933</v>
      </c>
      <c r="E1047" s="24">
        <v>8.0000000000000002E-3</v>
      </c>
      <c r="F1047" s="24">
        <v>8.0000000000000002E-3</v>
      </c>
      <c r="G1047" s="22"/>
    </row>
    <row r="1048" spans="1:7" x14ac:dyDescent="0.25">
      <c r="A1048" s="20" t="s">
        <v>588</v>
      </c>
      <c r="B1048" s="20" t="s">
        <v>67</v>
      </c>
      <c r="C1048" s="20" t="s">
        <v>67</v>
      </c>
      <c r="D1048" s="20" t="s">
        <v>933</v>
      </c>
      <c r="E1048" s="24">
        <v>2.5999999999999999E-2</v>
      </c>
      <c r="F1048" s="24">
        <v>2.5999999999999999E-2</v>
      </c>
      <c r="G1048" s="22"/>
    </row>
    <row r="1049" spans="1:7" x14ac:dyDescent="0.25">
      <c r="A1049" s="20" t="s">
        <v>588</v>
      </c>
      <c r="B1049" s="20" t="s">
        <v>146</v>
      </c>
      <c r="C1049" s="20" t="s">
        <v>146</v>
      </c>
      <c r="D1049" s="20" t="s">
        <v>933</v>
      </c>
      <c r="E1049" s="24">
        <v>1.6E-2</v>
      </c>
      <c r="F1049" s="24">
        <v>1.6E-2</v>
      </c>
      <c r="G1049" s="22"/>
    </row>
    <row r="1050" spans="1:7" x14ac:dyDescent="0.25">
      <c r="A1050" s="20" t="s">
        <v>588</v>
      </c>
      <c r="B1050" s="20" t="s">
        <v>155</v>
      </c>
      <c r="C1050" s="20" t="s">
        <v>155</v>
      </c>
      <c r="D1050" s="20" t="s">
        <v>933</v>
      </c>
      <c r="E1050" s="24">
        <v>2E-3</v>
      </c>
      <c r="F1050" s="24">
        <v>2E-3</v>
      </c>
      <c r="G1050" s="22"/>
    </row>
    <row r="1051" spans="1:7" x14ac:dyDescent="0.25">
      <c r="A1051" s="20" t="s">
        <v>588</v>
      </c>
      <c r="B1051" s="20" t="s">
        <v>156</v>
      </c>
      <c r="C1051" s="20" t="s">
        <v>156</v>
      </c>
      <c r="D1051" s="20" t="s">
        <v>933</v>
      </c>
      <c r="E1051" s="24">
        <v>7.0000000000000001E-3</v>
      </c>
      <c r="F1051" s="24">
        <v>7.0000000000000001E-3</v>
      </c>
      <c r="G1051" s="22"/>
    </row>
    <row r="1052" spans="1:7" x14ac:dyDescent="0.25">
      <c r="A1052" s="20" t="s">
        <v>588</v>
      </c>
      <c r="B1052" s="20" t="s">
        <v>215</v>
      </c>
      <c r="C1052" s="20" t="s">
        <v>215</v>
      </c>
      <c r="D1052" s="20" t="s">
        <v>933</v>
      </c>
      <c r="E1052" s="24">
        <v>1.6E-2</v>
      </c>
      <c r="F1052" s="24">
        <v>1.6E-2</v>
      </c>
      <c r="G1052" s="22"/>
    </row>
    <row r="1053" spans="1:7" x14ac:dyDescent="0.25">
      <c r="A1053" s="20" t="s">
        <v>595</v>
      </c>
      <c r="B1053" s="20" t="s">
        <v>935</v>
      </c>
      <c r="C1053" s="20" t="s">
        <v>935</v>
      </c>
      <c r="D1053" s="20" t="s">
        <v>936</v>
      </c>
      <c r="E1053" s="27">
        <v>1</v>
      </c>
      <c r="F1053" s="27">
        <v>1</v>
      </c>
      <c r="G1053" s="29">
        <v>2.0832199999999998</v>
      </c>
    </row>
    <row r="1054" spans="1:7" x14ac:dyDescent="0.25">
      <c r="A1054" s="20" t="s">
        <v>595</v>
      </c>
      <c r="B1054" s="20" t="s">
        <v>934</v>
      </c>
      <c r="C1054" s="20" t="s">
        <v>934</v>
      </c>
      <c r="D1054" s="20" t="s">
        <v>936</v>
      </c>
      <c r="E1054" s="27">
        <v>1</v>
      </c>
      <c r="F1054" s="27">
        <v>1</v>
      </c>
      <c r="G1054" s="29">
        <v>0.15864</v>
      </c>
    </row>
    <row r="1055" spans="1:7" x14ac:dyDescent="0.25">
      <c r="A1055" s="20" t="s">
        <v>588</v>
      </c>
      <c r="B1055" s="20" t="s">
        <v>65</v>
      </c>
      <c r="C1055" s="20" t="s">
        <v>65</v>
      </c>
      <c r="D1055" s="20" t="s">
        <v>936</v>
      </c>
      <c r="E1055" s="24">
        <v>1.0999999999999999E-2</v>
      </c>
      <c r="F1055" s="24">
        <v>1.0999999999999999E-2</v>
      </c>
      <c r="G1055" s="22"/>
    </row>
    <row r="1056" spans="1:7" x14ac:dyDescent="0.25">
      <c r="A1056" s="20" t="s">
        <v>588</v>
      </c>
      <c r="B1056" s="20" t="s">
        <v>67</v>
      </c>
      <c r="C1056" s="20" t="s">
        <v>67</v>
      </c>
      <c r="D1056" s="20" t="s">
        <v>936</v>
      </c>
      <c r="E1056" s="24">
        <v>2.7E-2</v>
      </c>
      <c r="F1056" s="24">
        <v>2.7E-2</v>
      </c>
      <c r="G1056" s="22"/>
    </row>
    <row r="1057" spans="1:7" x14ac:dyDescent="0.25">
      <c r="A1057" s="20" t="s">
        <v>588</v>
      </c>
      <c r="B1057" s="20" t="s">
        <v>146</v>
      </c>
      <c r="C1057" s="20" t="s">
        <v>146</v>
      </c>
      <c r="D1057" s="20" t="s">
        <v>936</v>
      </c>
      <c r="E1057" s="24">
        <v>1.6E-2</v>
      </c>
      <c r="F1057" s="24">
        <v>1.6E-2</v>
      </c>
      <c r="G1057" s="22"/>
    </row>
    <row r="1058" spans="1:7" x14ac:dyDescent="0.25">
      <c r="A1058" s="20" t="s">
        <v>588</v>
      </c>
      <c r="B1058" s="20" t="s">
        <v>155</v>
      </c>
      <c r="C1058" s="20" t="s">
        <v>155</v>
      </c>
      <c r="D1058" s="20" t="s">
        <v>936</v>
      </c>
      <c r="E1058" s="24">
        <v>3.0000000000000001E-3</v>
      </c>
      <c r="F1058" s="24">
        <v>3.0000000000000001E-3</v>
      </c>
      <c r="G1058" s="22"/>
    </row>
    <row r="1059" spans="1:7" x14ac:dyDescent="0.25">
      <c r="A1059" s="20" t="s">
        <v>588</v>
      </c>
      <c r="B1059" s="20" t="s">
        <v>156</v>
      </c>
      <c r="C1059" s="20" t="s">
        <v>156</v>
      </c>
      <c r="D1059" s="20" t="s">
        <v>936</v>
      </c>
      <c r="E1059" s="25">
        <v>0.01</v>
      </c>
      <c r="F1059" s="25">
        <v>0.01</v>
      </c>
      <c r="G1059" s="22"/>
    </row>
    <row r="1060" spans="1:7" x14ac:dyDescent="0.25">
      <c r="A1060" s="20" t="s">
        <v>588</v>
      </c>
      <c r="B1060" s="20" t="s">
        <v>215</v>
      </c>
      <c r="C1060" s="20" t="s">
        <v>215</v>
      </c>
      <c r="D1060" s="20" t="s">
        <v>936</v>
      </c>
      <c r="E1060" s="24">
        <v>2.1999999999999999E-2</v>
      </c>
      <c r="F1060" s="24">
        <v>2.1999999999999999E-2</v>
      </c>
      <c r="G1060" s="22"/>
    </row>
    <row r="1061" spans="1:7" x14ac:dyDescent="0.25">
      <c r="A1061" s="20" t="s">
        <v>588</v>
      </c>
      <c r="B1061" s="20" t="s">
        <v>84</v>
      </c>
      <c r="C1061" s="20" t="s">
        <v>84</v>
      </c>
      <c r="D1061" s="20" t="s">
        <v>932</v>
      </c>
      <c r="E1061" s="24">
        <v>7.2569999999999997</v>
      </c>
      <c r="F1061" s="24">
        <v>7.2569999999999997</v>
      </c>
      <c r="G1061" s="22"/>
    </row>
    <row r="1062" spans="1:7" x14ac:dyDescent="0.25">
      <c r="A1062" s="20" t="s">
        <v>588</v>
      </c>
      <c r="B1062" s="20" t="s">
        <v>84</v>
      </c>
      <c r="C1062" s="20" t="s">
        <v>84</v>
      </c>
      <c r="D1062" s="20" t="s">
        <v>935</v>
      </c>
      <c r="E1062" s="24">
        <v>10.569000000000001</v>
      </c>
      <c r="F1062" s="24">
        <v>10.569000000000001</v>
      </c>
      <c r="G1062" s="22"/>
    </row>
    <row r="1063" spans="1:7" x14ac:dyDescent="0.25">
      <c r="A1063" s="20" t="s">
        <v>588</v>
      </c>
      <c r="B1063" s="20" t="s">
        <v>67</v>
      </c>
      <c r="C1063" s="20" t="s">
        <v>67</v>
      </c>
      <c r="D1063" s="20" t="s">
        <v>934</v>
      </c>
      <c r="E1063" s="24">
        <v>3.0000000000000001E-3</v>
      </c>
      <c r="F1063" s="24">
        <v>6.0000000000000001E-3</v>
      </c>
      <c r="G1063" s="22"/>
    </row>
    <row r="1064" spans="1:7" x14ac:dyDescent="0.25">
      <c r="A1064" s="20" t="s">
        <v>588</v>
      </c>
      <c r="B1064" s="20" t="s">
        <v>113</v>
      </c>
      <c r="C1064" s="20" t="s">
        <v>113</v>
      </c>
      <c r="D1064" s="20" t="s">
        <v>934</v>
      </c>
      <c r="E1064" s="26">
        <v>0.25924000000000003</v>
      </c>
      <c r="F1064" s="26">
        <v>0.51848000000000005</v>
      </c>
      <c r="G1064" s="22"/>
    </row>
    <row r="1065" spans="1:7" x14ac:dyDescent="0.25">
      <c r="A1065" s="20" t="s">
        <v>588</v>
      </c>
      <c r="B1065" s="20" t="s">
        <v>146</v>
      </c>
      <c r="C1065" s="20" t="s">
        <v>146</v>
      </c>
      <c r="D1065" s="20" t="s">
        <v>934</v>
      </c>
      <c r="E1065" s="24">
        <v>2E-3</v>
      </c>
      <c r="F1065" s="24">
        <v>4.0000000000000001E-3</v>
      </c>
      <c r="G1065" s="22"/>
    </row>
    <row r="1066" spans="1:7" x14ac:dyDescent="0.25">
      <c r="A1066" s="20" t="s">
        <v>585</v>
      </c>
      <c r="B1066" s="20" t="s">
        <v>937</v>
      </c>
      <c r="C1066" s="20" t="s">
        <v>937</v>
      </c>
      <c r="D1066" s="20" t="s">
        <v>938</v>
      </c>
      <c r="E1066" s="27">
        <v>1</v>
      </c>
      <c r="F1066" s="27">
        <v>1</v>
      </c>
      <c r="G1066" s="29">
        <v>2.5620699999999998</v>
      </c>
    </row>
    <row r="1067" spans="1:7" x14ac:dyDescent="0.25">
      <c r="A1067" s="20" t="s">
        <v>595</v>
      </c>
      <c r="B1067" s="20" t="s">
        <v>939</v>
      </c>
      <c r="C1067" s="20" t="s">
        <v>939</v>
      </c>
      <c r="D1067" s="20" t="s">
        <v>938</v>
      </c>
      <c r="E1067" s="27">
        <v>1</v>
      </c>
      <c r="F1067" s="27">
        <v>1</v>
      </c>
      <c r="G1067" s="29">
        <v>0.50590999999999997</v>
      </c>
    </row>
    <row r="1068" spans="1:7" x14ac:dyDescent="0.25">
      <c r="A1068" s="20" t="s">
        <v>595</v>
      </c>
      <c r="B1068" s="20" t="s">
        <v>940</v>
      </c>
      <c r="C1068" s="20" t="s">
        <v>940</v>
      </c>
      <c r="D1068" s="20" t="s">
        <v>938</v>
      </c>
      <c r="E1068" s="27">
        <v>1</v>
      </c>
      <c r="F1068" s="27">
        <v>1</v>
      </c>
      <c r="G1068" s="28">
        <v>0.31180000000000002</v>
      </c>
    </row>
    <row r="1069" spans="1:7" x14ac:dyDescent="0.25">
      <c r="A1069" s="20" t="s">
        <v>595</v>
      </c>
      <c r="B1069" s="20" t="s">
        <v>941</v>
      </c>
      <c r="C1069" s="20" t="s">
        <v>941</v>
      </c>
      <c r="D1069" s="20" t="s">
        <v>938</v>
      </c>
      <c r="E1069" s="27">
        <v>1</v>
      </c>
      <c r="F1069" s="27">
        <v>1</v>
      </c>
      <c r="G1069" s="29">
        <v>2.3310000000000001E-2</v>
      </c>
    </row>
    <row r="1070" spans="1:7" x14ac:dyDescent="0.25">
      <c r="A1070" s="20" t="s">
        <v>595</v>
      </c>
      <c r="B1070" s="20" t="s">
        <v>942</v>
      </c>
      <c r="C1070" s="20" t="s">
        <v>943</v>
      </c>
      <c r="D1070" s="20" t="s">
        <v>938</v>
      </c>
      <c r="E1070" s="27">
        <v>1</v>
      </c>
      <c r="F1070" s="27">
        <v>1</v>
      </c>
      <c r="G1070" s="29">
        <v>1.6820000000000002E-2</v>
      </c>
    </row>
    <row r="1071" spans="1:7" x14ac:dyDescent="0.25">
      <c r="A1071" s="20" t="s">
        <v>595</v>
      </c>
      <c r="B1071" s="20" t="s">
        <v>944</v>
      </c>
      <c r="C1071" s="20" t="s">
        <v>944</v>
      </c>
      <c r="D1071" s="20" t="s">
        <v>938</v>
      </c>
      <c r="E1071" s="27">
        <v>1</v>
      </c>
      <c r="F1071" s="27">
        <v>1</v>
      </c>
      <c r="G1071" s="29">
        <v>3.8789999999999998E-2</v>
      </c>
    </row>
    <row r="1072" spans="1:7" ht="22.5" x14ac:dyDescent="0.25">
      <c r="A1072" s="20" t="s">
        <v>620</v>
      </c>
      <c r="B1072" s="20" t="s">
        <v>648</v>
      </c>
      <c r="C1072" s="20" t="s">
        <v>218</v>
      </c>
      <c r="D1072" s="20" t="s">
        <v>938</v>
      </c>
      <c r="E1072" s="27">
        <v>1</v>
      </c>
      <c r="F1072" s="27">
        <v>1</v>
      </c>
      <c r="G1072" s="29">
        <v>1.325E-2</v>
      </c>
    </row>
    <row r="1073" spans="1:7" ht="22.5" x14ac:dyDescent="0.25">
      <c r="A1073" s="20" t="s">
        <v>620</v>
      </c>
      <c r="B1073" s="20" t="s">
        <v>732</v>
      </c>
      <c r="C1073" s="20" t="s">
        <v>234</v>
      </c>
      <c r="D1073" s="20" t="s">
        <v>938</v>
      </c>
      <c r="E1073" s="27">
        <v>4</v>
      </c>
      <c r="F1073" s="27">
        <v>4</v>
      </c>
      <c r="G1073" s="29">
        <v>1.7350000000000001E-2</v>
      </c>
    </row>
    <row r="1074" spans="1:7" ht="22.5" x14ac:dyDescent="0.25">
      <c r="A1074" s="20" t="s">
        <v>620</v>
      </c>
      <c r="B1074" s="20" t="s">
        <v>945</v>
      </c>
      <c r="C1074" s="20" t="s">
        <v>270</v>
      </c>
      <c r="D1074" s="20" t="s">
        <v>938</v>
      </c>
      <c r="E1074" s="27">
        <v>2</v>
      </c>
      <c r="F1074" s="27">
        <v>2</v>
      </c>
      <c r="G1074" s="29">
        <v>6.8999999999999997E-4</v>
      </c>
    </row>
    <row r="1075" spans="1:7" ht="22.5" x14ac:dyDescent="0.25">
      <c r="A1075" s="20" t="s">
        <v>620</v>
      </c>
      <c r="B1075" s="20" t="s">
        <v>746</v>
      </c>
      <c r="C1075" s="20" t="s">
        <v>245</v>
      </c>
      <c r="D1075" s="20" t="s">
        <v>938</v>
      </c>
      <c r="E1075" s="27">
        <v>4</v>
      </c>
      <c r="F1075" s="27">
        <v>4</v>
      </c>
      <c r="G1075" s="29">
        <v>5.5500000000000002E-3</v>
      </c>
    </row>
    <row r="1076" spans="1:7" ht="22.5" x14ac:dyDescent="0.25">
      <c r="A1076" s="20" t="s">
        <v>620</v>
      </c>
      <c r="B1076" s="20" t="s">
        <v>710</v>
      </c>
      <c r="C1076" s="20" t="s">
        <v>228</v>
      </c>
      <c r="D1076" s="20" t="s">
        <v>938</v>
      </c>
      <c r="E1076" s="27">
        <v>4</v>
      </c>
      <c r="F1076" s="27">
        <v>4</v>
      </c>
      <c r="G1076" s="29">
        <v>1.0300000000000001E-3</v>
      </c>
    </row>
    <row r="1077" spans="1:7" ht="22.5" x14ac:dyDescent="0.25">
      <c r="A1077" s="20" t="s">
        <v>620</v>
      </c>
      <c r="B1077" s="20" t="s">
        <v>737</v>
      </c>
      <c r="C1077" s="20" t="s">
        <v>240</v>
      </c>
      <c r="D1077" s="20" t="s">
        <v>938</v>
      </c>
      <c r="E1077" s="27">
        <v>4</v>
      </c>
      <c r="F1077" s="27">
        <v>4</v>
      </c>
      <c r="G1077" s="29">
        <v>1.73E-3</v>
      </c>
    </row>
    <row r="1078" spans="1:7" ht="22.5" x14ac:dyDescent="0.25">
      <c r="A1078" s="20" t="s">
        <v>597</v>
      </c>
      <c r="B1078" s="20" t="s">
        <v>946</v>
      </c>
      <c r="C1078" s="20" t="s">
        <v>946</v>
      </c>
      <c r="D1078" s="20" t="s">
        <v>938</v>
      </c>
      <c r="E1078" s="27">
        <v>1</v>
      </c>
      <c r="F1078" s="27">
        <v>1</v>
      </c>
      <c r="G1078" s="37">
        <v>12</v>
      </c>
    </row>
    <row r="1079" spans="1:7" x14ac:dyDescent="0.25">
      <c r="A1079" s="20" t="s">
        <v>588</v>
      </c>
      <c r="B1079" s="20" t="s">
        <v>91</v>
      </c>
      <c r="C1079" s="20" t="s">
        <v>91</v>
      </c>
      <c r="D1079" s="20" t="s">
        <v>939</v>
      </c>
      <c r="E1079" s="33">
        <v>0.9</v>
      </c>
      <c r="F1079" s="33">
        <v>0.9</v>
      </c>
      <c r="G1079" s="22"/>
    </row>
    <row r="1080" spans="1:7" x14ac:dyDescent="0.25">
      <c r="A1080" s="20" t="s">
        <v>588</v>
      </c>
      <c r="B1080" s="20" t="s">
        <v>65</v>
      </c>
      <c r="C1080" s="20" t="s">
        <v>65</v>
      </c>
      <c r="D1080" s="20" t="s">
        <v>940</v>
      </c>
      <c r="E1080" s="24">
        <v>2E-3</v>
      </c>
      <c r="F1080" s="24">
        <v>2E-3</v>
      </c>
      <c r="G1080" s="22"/>
    </row>
    <row r="1081" spans="1:7" x14ac:dyDescent="0.25">
      <c r="A1081" s="20" t="s">
        <v>588</v>
      </c>
      <c r="B1081" s="20" t="s">
        <v>100</v>
      </c>
      <c r="C1081" s="20" t="s">
        <v>100</v>
      </c>
      <c r="D1081" s="20" t="s">
        <v>940</v>
      </c>
      <c r="E1081" s="33">
        <v>1.3</v>
      </c>
      <c r="F1081" s="33">
        <v>1.3</v>
      </c>
      <c r="G1081" s="22"/>
    </row>
    <row r="1082" spans="1:7" x14ac:dyDescent="0.25">
      <c r="A1082" s="20" t="s">
        <v>588</v>
      </c>
      <c r="B1082" s="20" t="s">
        <v>155</v>
      </c>
      <c r="C1082" s="20" t="s">
        <v>155</v>
      </c>
      <c r="D1082" s="20" t="s">
        <v>940</v>
      </c>
      <c r="E1082" s="24">
        <v>1E-3</v>
      </c>
      <c r="F1082" s="24">
        <v>1E-3</v>
      </c>
      <c r="G1082" s="22"/>
    </row>
    <row r="1083" spans="1:7" x14ac:dyDescent="0.25">
      <c r="A1083" s="20" t="s">
        <v>588</v>
      </c>
      <c r="B1083" s="20" t="s">
        <v>156</v>
      </c>
      <c r="C1083" s="20" t="s">
        <v>156</v>
      </c>
      <c r="D1083" s="20" t="s">
        <v>940</v>
      </c>
      <c r="E1083" s="24">
        <v>1E-3</v>
      </c>
      <c r="F1083" s="24">
        <v>1E-3</v>
      </c>
      <c r="G1083" s="22"/>
    </row>
    <row r="1084" spans="1:7" x14ac:dyDescent="0.25">
      <c r="A1084" s="20" t="s">
        <v>588</v>
      </c>
      <c r="B1084" s="20" t="s">
        <v>215</v>
      </c>
      <c r="C1084" s="20" t="s">
        <v>215</v>
      </c>
      <c r="D1084" s="20" t="s">
        <v>940</v>
      </c>
      <c r="E1084" s="24">
        <v>3.0000000000000001E-3</v>
      </c>
      <c r="F1084" s="24">
        <v>3.0000000000000001E-3</v>
      </c>
      <c r="G1084" s="22"/>
    </row>
    <row r="1085" spans="1:7" x14ac:dyDescent="0.25">
      <c r="A1085" s="20" t="s">
        <v>588</v>
      </c>
      <c r="B1085" s="20" t="s">
        <v>65</v>
      </c>
      <c r="C1085" s="20" t="s">
        <v>65</v>
      </c>
      <c r="D1085" s="20" t="s">
        <v>941</v>
      </c>
      <c r="E1085" s="24">
        <v>1E-3</v>
      </c>
      <c r="F1085" s="24">
        <v>1E-3</v>
      </c>
      <c r="G1085" s="22"/>
    </row>
    <row r="1086" spans="1:7" x14ac:dyDescent="0.25">
      <c r="A1086" s="20" t="s">
        <v>588</v>
      </c>
      <c r="B1086" s="20" t="s">
        <v>116</v>
      </c>
      <c r="C1086" s="20" t="s">
        <v>116</v>
      </c>
      <c r="D1086" s="20" t="s">
        <v>941</v>
      </c>
      <c r="E1086" s="26">
        <v>4.3560000000000001E-2</v>
      </c>
      <c r="F1086" s="26">
        <v>4.3560000000000001E-2</v>
      </c>
      <c r="G1086" s="22"/>
    </row>
    <row r="1087" spans="1:7" x14ac:dyDescent="0.25">
      <c r="A1087" s="20" t="s">
        <v>588</v>
      </c>
      <c r="B1087" s="20" t="s">
        <v>155</v>
      </c>
      <c r="C1087" s="20" t="s">
        <v>155</v>
      </c>
      <c r="D1087" s="20" t="s">
        <v>941</v>
      </c>
      <c r="E1087" s="24">
        <v>1E-3</v>
      </c>
      <c r="F1087" s="24">
        <v>1E-3</v>
      </c>
      <c r="G1087" s="22"/>
    </row>
    <row r="1088" spans="1:7" x14ac:dyDescent="0.25">
      <c r="A1088" s="20" t="s">
        <v>588</v>
      </c>
      <c r="B1088" s="20" t="s">
        <v>156</v>
      </c>
      <c r="C1088" s="20" t="s">
        <v>156</v>
      </c>
      <c r="D1088" s="20" t="s">
        <v>941</v>
      </c>
      <c r="E1088" s="24">
        <v>1E-3</v>
      </c>
      <c r="F1088" s="24">
        <v>1E-3</v>
      </c>
      <c r="G1088" s="22"/>
    </row>
    <row r="1089" spans="1:7" x14ac:dyDescent="0.25">
      <c r="A1089" s="20" t="s">
        <v>588</v>
      </c>
      <c r="B1089" s="20" t="s">
        <v>215</v>
      </c>
      <c r="C1089" s="20" t="s">
        <v>215</v>
      </c>
      <c r="D1089" s="20" t="s">
        <v>941</v>
      </c>
      <c r="E1089" s="24">
        <v>1E-3</v>
      </c>
      <c r="F1089" s="24">
        <v>1E-3</v>
      </c>
      <c r="G1089" s="22"/>
    </row>
    <row r="1090" spans="1:7" x14ac:dyDescent="0.25">
      <c r="A1090" s="20" t="s">
        <v>595</v>
      </c>
      <c r="B1090" s="20" t="s">
        <v>947</v>
      </c>
      <c r="C1090" s="20" t="s">
        <v>947</v>
      </c>
      <c r="D1090" s="20" t="s">
        <v>937</v>
      </c>
      <c r="E1090" s="27">
        <v>1</v>
      </c>
      <c r="F1090" s="27">
        <v>1</v>
      </c>
      <c r="G1090" s="29">
        <v>2.37845</v>
      </c>
    </row>
    <row r="1091" spans="1:7" x14ac:dyDescent="0.25">
      <c r="A1091" s="20" t="s">
        <v>595</v>
      </c>
      <c r="B1091" s="20" t="s">
        <v>948</v>
      </c>
      <c r="C1091" s="20" t="s">
        <v>948</v>
      </c>
      <c r="D1091" s="20" t="s">
        <v>937</v>
      </c>
      <c r="E1091" s="27">
        <v>1</v>
      </c>
      <c r="F1091" s="27">
        <v>1</v>
      </c>
      <c r="G1091" s="29">
        <v>0.18361</v>
      </c>
    </row>
    <row r="1092" spans="1:7" x14ac:dyDescent="0.25">
      <c r="A1092" s="20" t="s">
        <v>588</v>
      </c>
      <c r="B1092" s="20" t="s">
        <v>65</v>
      </c>
      <c r="C1092" s="20" t="s">
        <v>65</v>
      </c>
      <c r="D1092" s="20" t="s">
        <v>937</v>
      </c>
      <c r="E1092" s="24">
        <v>1.2E-2</v>
      </c>
      <c r="F1092" s="24">
        <v>1.2E-2</v>
      </c>
      <c r="G1092" s="22"/>
    </row>
    <row r="1093" spans="1:7" x14ac:dyDescent="0.25">
      <c r="A1093" s="20" t="s">
        <v>588</v>
      </c>
      <c r="B1093" s="20" t="s">
        <v>67</v>
      </c>
      <c r="C1093" s="20" t="s">
        <v>67</v>
      </c>
      <c r="D1093" s="20" t="s">
        <v>937</v>
      </c>
      <c r="E1093" s="24">
        <v>6.8000000000000005E-2</v>
      </c>
      <c r="F1093" s="24">
        <v>6.8000000000000005E-2</v>
      </c>
      <c r="G1093" s="22"/>
    </row>
    <row r="1094" spans="1:7" x14ac:dyDescent="0.25">
      <c r="A1094" s="20" t="s">
        <v>588</v>
      </c>
      <c r="B1094" s="20" t="s">
        <v>146</v>
      </c>
      <c r="C1094" s="20" t="s">
        <v>146</v>
      </c>
      <c r="D1094" s="20" t="s">
        <v>937</v>
      </c>
      <c r="E1094" s="25">
        <v>0.04</v>
      </c>
      <c r="F1094" s="25">
        <v>0.04</v>
      </c>
      <c r="G1094" s="22"/>
    </row>
    <row r="1095" spans="1:7" x14ac:dyDescent="0.25">
      <c r="A1095" s="20" t="s">
        <v>588</v>
      </c>
      <c r="B1095" s="20" t="s">
        <v>155</v>
      </c>
      <c r="C1095" s="20" t="s">
        <v>155</v>
      </c>
      <c r="D1095" s="20" t="s">
        <v>937</v>
      </c>
      <c r="E1095" s="24">
        <v>7.0000000000000001E-3</v>
      </c>
      <c r="F1095" s="24">
        <v>7.0000000000000001E-3</v>
      </c>
      <c r="G1095" s="22"/>
    </row>
    <row r="1096" spans="1:7" x14ac:dyDescent="0.25">
      <c r="A1096" s="20" t="s">
        <v>588</v>
      </c>
      <c r="B1096" s="20" t="s">
        <v>200</v>
      </c>
      <c r="C1096" s="20" t="s">
        <v>200</v>
      </c>
      <c r="D1096" s="20" t="s">
        <v>937</v>
      </c>
      <c r="E1096" s="24">
        <v>1E-3</v>
      </c>
      <c r="F1096" s="24">
        <v>1E-3</v>
      </c>
      <c r="G1096" s="22"/>
    </row>
    <row r="1097" spans="1:7" x14ac:dyDescent="0.25">
      <c r="A1097" s="20" t="s">
        <v>588</v>
      </c>
      <c r="B1097" s="20" t="s">
        <v>215</v>
      </c>
      <c r="C1097" s="20" t="s">
        <v>215</v>
      </c>
      <c r="D1097" s="20" t="s">
        <v>937</v>
      </c>
      <c r="E1097" s="24">
        <v>2.4E-2</v>
      </c>
      <c r="F1097" s="24">
        <v>2.4E-2</v>
      </c>
      <c r="G1097" s="22"/>
    </row>
    <row r="1098" spans="1:7" x14ac:dyDescent="0.25">
      <c r="A1098" s="20" t="s">
        <v>588</v>
      </c>
      <c r="B1098" s="20" t="s">
        <v>122</v>
      </c>
      <c r="C1098" s="20" t="s">
        <v>122</v>
      </c>
      <c r="D1098" s="20" t="s">
        <v>947</v>
      </c>
      <c r="E1098" s="26">
        <v>3.2284199999999998</v>
      </c>
      <c r="F1098" s="26">
        <v>3.2284199999999998</v>
      </c>
      <c r="G1098" s="22"/>
    </row>
    <row r="1099" spans="1:7" x14ac:dyDescent="0.25">
      <c r="A1099" s="20" t="s">
        <v>588</v>
      </c>
      <c r="B1099" s="20" t="s">
        <v>122</v>
      </c>
      <c r="C1099" s="20" t="s">
        <v>122</v>
      </c>
      <c r="D1099" s="20" t="s">
        <v>948</v>
      </c>
      <c r="E1099" s="26">
        <v>0.23738000000000001</v>
      </c>
      <c r="F1099" s="26">
        <v>0.23738000000000001</v>
      </c>
      <c r="G1099" s="22"/>
    </row>
    <row r="1100" spans="1:7" x14ac:dyDescent="0.25">
      <c r="A1100" s="20" t="s">
        <v>588</v>
      </c>
      <c r="B1100" s="20" t="s">
        <v>124</v>
      </c>
      <c r="C1100" s="20" t="s">
        <v>124</v>
      </c>
      <c r="D1100" s="20" t="s">
        <v>949</v>
      </c>
      <c r="E1100" s="26">
        <v>3.1617500000000001</v>
      </c>
      <c r="F1100" s="32">
        <v>69.558499999999995</v>
      </c>
      <c r="G1100" s="22"/>
    </row>
    <row r="1101" spans="1:7" x14ac:dyDescent="0.25">
      <c r="A1101" s="20" t="s">
        <v>588</v>
      </c>
      <c r="B1101" s="20" t="s">
        <v>130</v>
      </c>
      <c r="C1101" s="20" t="s">
        <v>130</v>
      </c>
      <c r="D1101" s="20" t="s">
        <v>950</v>
      </c>
      <c r="E1101" s="26">
        <v>10.89493</v>
      </c>
      <c r="F1101" s="26">
        <v>65.369579999999999</v>
      </c>
      <c r="G1101" s="22"/>
    </row>
    <row r="1102" spans="1:7" x14ac:dyDescent="0.25">
      <c r="A1102" s="20" t="s">
        <v>588</v>
      </c>
      <c r="B1102" s="20" t="s">
        <v>131</v>
      </c>
      <c r="C1102" s="20" t="s">
        <v>131</v>
      </c>
      <c r="D1102" s="20" t="s">
        <v>951</v>
      </c>
      <c r="E1102" s="26">
        <v>10.317729999999999</v>
      </c>
      <c r="F1102" s="26">
        <v>61.906379999999999</v>
      </c>
      <c r="G1102" s="22"/>
    </row>
    <row r="1103" spans="1:7" x14ac:dyDescent="0.25">
      <c r="A1103" s="20" t="s">
        <v>588</v>
      </c>
      <c r="B1103" s="20" t="s">
        <v>104</v>
      </c>
      <c r="C1103" s="20" t="s">
        <v>104</v>
      </c>
      <c r="D1103" s="20" t="s">
        <v>952</v>
      </c>
      <c r="E1103" s="25">
        <v>0.05</v>
      </c>
      <c r="F1103" s="33">
        <v>0.6</v>
      </c>
      <c r="G1103" s="22"/>
    </row>
    <row r="1104" spans="1:7" x14ac:dyDescent="0.25">
      <c r="A1104" s="20" t="s">
        <v>588</v>
      </c>
      <c r="B1104" s="20" t="s">
        <v>130</v>
      </c>
      <c r="C1104" s="20" t="s">
        <v>130</v>
      </c>
      <c r="D1104" s="20" t="s">
        <v>953</v>
      </c>
      <c r="E1104" s="26">
        <v>7.0650000000000004E-2</v>
      </c>
      <c r="F1104" s="26">
        <v>1.7662500000000001</v>
      </c>
      <c r="G1104" s="22"/>
    </row>
    <row r="1105" spans="1:7" x14ac:dyDescent="0.25">
      <c r="A1105" s="20" t="s">
        <v>588</v>
      </c>
      <c r="B1105" s="20" t="s">
        <v>65</v>
      </c>
      <c r="C1105" s="20" t="s">
        <v>65</v>
      </c>
      <c r="D1105" s="20" t="s">
        <v>954</v>
      </c>
      <c r="E1105" s="24">
        <v>8.1000000000000003E-2</v>
      </c>
      <c r="F1105" s="24">
        <v>8.1000000000000003E-2</v>
      </c>
      <c r="G1105" s="22"/>
    </row>
    <row r="1106" spans="1:7" x14ac:dyDescent="0.25">
      <c r="A1106" s="20" t="s">
        <v>588</v>
      </c>
      <c r="B1106" s="20" t="s">
        <v>109</v>
      </c>
      <c r="C1106" s="20" t="s">
        <v>109</v>
      </c>
      <c r="D1106" s="20" t="s">
        <v>954</v>
      </c>
      <c r="E1106" s="26">
        <v>7.78634</v>
      </c>
      <c r="F1106" s="26">
        <v>7.78634</v>
      </c>
      <c r="G1106" s="22"/>
    </row>
    <row r="1107" spans="1:7" x14ac:dyDescent="0.25">
      <c r="A1107" s="20" t="s">
        <v>588</v>
      </c>
      <c r="B1107" s="20" t="s">
        <v>155</v>
      </c>
      <c r="C1107" s="20" t="s">
        <v>155</v>
      </c>
      <c r="D1107" s="20" t="s">
        <v>954</v>
      </c>
      <c r="E1107" s="24">
        <v>3.5000000000000003E-2</v>
      </c>
      <c r="F1107" s="24">
        <v>3.5000000000000003E-2</v>
      </c>
      <c r="G1107" s="22"/>
    </row>
    <row r="1108" spans="1:7" x14ac:dyDescent="0.25">
      <c r="A1108" s="20" t="s">
        <v>588</v>
      </c>
      <c r="B1108" s="20" t="s">
        <v>156</v>
      </c>
      <c r="C1108" s="20" t="s">
        <v>156</v>
      </c>
      <c r="D1108" s="20" t="s">
        <v>954</v>
      </c>
      <c r="E1108" s="24">
        <v>8.1000000000000003E-2</v>
      </c>
      <c r="F1108" s="24">
        <v>8.1000000000000003E-2</v>
      </c>
      <c r="G1108" s="22"/>
    </row>
    <row r="1109" spans="1:7" x14ac:dyDescent="0.25">
      <c r="A1109" s="20" t="s">
        <v>588</v>
      </c>
      <c r="B1109" s="20" t="s">
        <v>215</v>
      </c>
      <c r="C1109" s="20" t="s">
        <v>215</v>
      </c>
      <c r="D1109" s="20" t="s">
        <v>954</v>
      </c>
      <c r="E1109" s="24">
        <v>0.26400000000000001</v>
      </c>
      <c r="F1109" s="24">
        <v>0.26400000000000001</v>
      </c>
      <c r="G1109" s="22"/>
    </row>
    <row r="1110" spans="1:7" x14ac:dyDescent="0.25">
      <c r="A1110" s="20" t="s">
        <v>588</v>
      </c>
      <c r="B1110" s="20" t="s">
        <v>65</v>
      </c>
      <c r="C1110" s="20" t="s">
        <v>65</v>
      </c>
      <c r="D1110" s="20" t="s">
        <v>955</v>
      </c>
      <c r="E1110" s="24">
        <v>8.4000000000000005E-2</v>
      </c>
      <c r="F1110" s="24">
        <v>8.4000000000000005E-2</v>
      </c>
      <c r="G1110" s="22"/>
    </row>
    <row r="1111" spans="1:7" x14ac:dyDescent="0.25">
      <c r="A1111" s="20" t="s">
        <v>588</v>
      </c>
      <c r="B1111" s="20" t="s">
        <v>109</v>
      </c>
      <c r="C1111" s="20" t="s">
        <v>109</v>
      </c>
      <c r="D1111" s="20" t="s">
        <v>955</v>
      </c>
      <c r="E1111" s="26">
        <v>7.7131100000000004</v>
      </c>
      <c r="F1111" s="26">
        <v>7.7131100000000004</v>
      </c>
      <c r="G1111" s="22"/>
    </row>
    <row r="1112" spans="1:7" x14ac:dyDescent="0.25">
      <c r="A1112" s="20" t="s">
        <v>588</v>
      </c>
      <c r="B1112" s="20" t="s">
        <v>155</v>
      </c>
      <c r="C1112" s="20" t="s">
        <v>155</v>
      </c>
      <c r="D1112" s="20" t="s">
        <v>955</v>
      </c>
      <c r="E1112" s="24">
        <v>3.5999999999999997E-2</v>
      </c>
      <c r="F1112" s="24">
        <v>3.5999999999999997E-2</v>
      </c>
      <c r="G1112" s="22"/>
    </row>
    <row r="1113" spans="1:7" x14ac:dyDescent="0.25">
      <c r="A1113" s="20" t="s">
        <v>588</v>
      </c>
      <c r="B1113" s="20" t="s">
        <v>156</v>
      </c>
      <c r="C1113" s="20" t="s">
        <v>156</v>
      </c>
      <c r="D1113" s="20" t="s">
        <v>955</v>
      </c>
      <c r="E1113" s="24">
        <v>8.4000000000000005E-2</v>
      </c>
      <c r="F1113" s="24">
        <v>8.4000000000000005E-2</v>
      </c>
      <c r="G1113" s="22"/>
    </row>
    <row r="1114" spans="1:7" x14ac:dyDescent="0.25">
      <c r="A1114" s="20" t="s">
        <v>588</v>
      </c>
      <c r="B1114" s="20" t="s">
        <v>215</v>
      </c>
      <c r="C1114" s="20" t="s">
        <v>215</v>
      </c>
      <c r="D1114" s="20" t="s">
        <v>955</v>
      </c>
      <c r="E1114" s="24">
        <v>0.27400000000000002</v>
      </c>
      <c r="F1114" s="24">
        <v>0.27400000000000002</v>
      </c>
      <c r="G1114" s="22"/>
    </row>
    <row r="1115" spans="1:7" x14ac:dyDescent="0.25">
      <c r="A1115" s="20" t="s">
        <v>588</v>
      </c>
      <c r="B1115" s="20" t="s">
        <v>128</v>
      </c>
      <c r="C1115" s="20" t="s">
        <v>128</v>
      </c>
      <c r="D1115" s="20" t="s">
        <v>956</v>
      </c>
      <c r="E1115" s="26">
        <v>0.53164</v>
      </c>
      <c r="F1115" s="26">
        <v>25.518719999999998</v>
      </c>
      <c r="G1115" s="22"/>
    </row>
    <row r="1116" spans="1:7" x14ac:dyDescent="0.25">
      <c r="A1116" s="20" t="s">
        <v>588</v>
      </c>
      <c r="B1116" s="20" t="s">
        <v>124</v>
      </c>
      <c r="C1116" s="20" t="s">
        <v>124</v>
      </c>
      <c r="D1116" s="20" t="s">
        <v>957</v>
      </c>
      <c r="E1116" s="26">
        <v>0.51478000000000002</v>
      </c>
      <c r="F1116" s="26">
        <v>12.35472</v>
      </c>
      <c r="G1116" s="22"/>
    </row>
    <row r="1117" spans="1:7" x14ac:dyDescent="0.25">
      <c r="A1117" s="20" t="s">
        <v>588</v>
      </c>
      <c r="B1117" s="20" t="s">
        <v>124</v>
      </c>
      <c r="C1117" s="20" t="s">
        <v>124</v>
      </c>
      <c r="D1117" s="20" t="s">
        <v>958</v>
      </c>
      <c r="E1117" s="26">
        <v>0.59572000000000003</v>
      </c>
      <c r="F1117" s="26">
        <v>2.3828800000000001</v>
      </c>
      <c r="G1117" s="22"/>
    </row>
    <row r="1118" spans="1:7" x14ac:dyDescent="0.25">
      <c r="A1118" s="20" t="s">
        <v>588</v>
      </c>
      <c r="B1118" s="20" t="s">
        <v>125</v>
      </c>
      <c r="C1118" s="20" t="s">
        <v>125</v>
      </c>
      <c r="D1118" s="20" t="s">
        <v>638</v>
      </c>
      <c r="E1118" s="26">
        <v>5.2522900000000003</v>
      </c>
      <c r="F1118" s="26">
        <v>126.05495999999999</v>
      </c>
      <c r="G1118" s="22"/>
    </row>
    <row r="1119" spans="1:7" x14ac:dyDescent="0.25">
      <c r="A1119" s="20" t="s">
        <v>588</v>
      </c>
      <c r="B1119" s="20" t="s">
        <v>45</v>
      </c>
      <c r="C1119" s="20" t="s">
        <v>45</v>
      </c>
      <c r="D1119" s="20" t="s">
        <v>640</v>
      </c>
      <c r="E1119" s="26">
        <v>3.8228900000000001</v>
      </c>
      <c r="F1119" s="26">
        <v>183.49871999999999</v>
      </c>
      <c r="G1119" s="22"/>
    </row>
    <row r="1120" spans="1:7" x14ac:dyDescent="0.25">
      <c r="A1120" s="20" t="s">
        <v>588</v>
      </c>
      <c r="B1120" s="20" t="s">
        <v>131</v>
      </c>
      <c r="C1120" s="20" t="s">
        <v>131</v>
      </c>
      <c r="D1120" s="20" t="s">
        <v>959</v>
      </c>
      <c r="E1120" s="32">
        <v>1.0038</v>
      </c>
      <c r="F1120" s="25">
        <v>50.19</v>
      </c>
      <c r="G1120" s="22"/>
    </row>
    <row r="1121" spans="1:7" x14ac:dyDescent="0.25">
      <c r="A1121" s="20" t="s">
        <v>588</v>
      </c>
      <c r="B1121" s="20" t="s">
        <v>131</v>
      </c>
      <c r="C1121" s="20" t="s">
        <v>131</v>
      </c>
      <c r="D1121" s="20" t="s">
        <v>960</v>
      </c>
      <c r="E1121" s="26">
        <v>8.9493799999999997</v>
      </c>
      <c r="F1121" s="26">
        <v>53.696280000000002</v>
      </c>
      <c r="G1121" s="22"/>
    </row>
    <row r="1122" spans="1:7" x14ac:dyDescent="0.25">
      <c r="A1122" s="20" t="s">
        <v>588</v>
      </c>
      <c r="B1122" s="20" t="s">
        <v>131</v>
      </c>
      <c r="C1122" s="20" t="s">
        <v>131</v>
      </c>
      <c r="D1122" s="20" t="s">
        <v>961</v>
      </c>
      <c r="E1122" s="26">
        <v>2.1631300000000002</v>
      </c>
      <c r="F1122" s="26">
        <v>34.610080000000004</v>
      </c>
      <c r="G1122" s="22"/>
    </row>
    <row r="1123" spans="1:7" x14ac:dyDescent="0.25">
      <c r="A1123" s="20" t="s">
        <v>595</v>
      </c>
      <c r="B1123" s="20" t="s">
        <v>962</v>
      </c>
      <c r="C1123" s="20" t="s">
        <v>962</v>
      </c>
      <c r="D1123" s="20" t="s">
        <v>963</v>
      </c>
      <c r="E1123" s="27">
        <v>1</v>
      </c>
      <c r="F1123" s="27">
        <v>6</v>
      </c>
      <c r="G1123" s="29">
        <v>8.4740900000000003</v>
      </c>
    </row>
    <row r="1124" spans="1:7" x14ac:dyDescent="0.25">
      <c r="A1124" s="20" t="s">
        <v>595</v>
      </c>
      <c r="B1124" s="20" t="s">
        <v>964</v>
      </c>
      <c r="C1124" s="20" t="s">
        <v>964</v>
      </c>
      <c r="D1124" s="20" t="s">
        <v>963</v>
      </c>
      <c r="E1124" s="27">
        <v>2</v>
      </c>
      <c r="F1124" s="27">
        <v>12</v>
      </c>
      <c r="G1124" s="29">
        <v>0.33068999999999998</v>
      </c>
    </row>
    <row r="1125" spans="1:7" x14ac:dyDescent="0.25">
      <c r="A1125" s="20" t="s">
        <v>595</v>
      </c>
      <c r="B1125" s="20" t="s">
        <v>965</v>
      </c>
      <c r="C1125" s="20" t="s">
        <v>965</v>
      </c>
      <c r="D1125" s="20" t="s">
        <v>963</v>
      </c>
      <c r="E1125" s="27">
        <v>1</v>
      </c>
      <c r="F1125" s="27">
        <v>6</v>
      </c>
      <c r="G1125" s="29">
        <v>10.598280000000001</v>
      </c>
    </row>
    <row r="1126" spans="1:7" ht="22.5" x14ac:dyDescent="0.25">
      <c r="A1126" s="20" t="s">
        <v>620</v>
      </c>
      <c r="B1126" s="20" t="s">
        <v>966</v>
      </c>
      <c r="C1126" s="20" t="s">
        <v>271</v>
      </c>
      <c r="D1126" s="20" t="s">
        <v>963</v>
      </c>
      <c r="E1126" s="27">
        <v>2</v>
      </c>
      <c r="F1126" s="27">
        <v>12</v>
      </c>
      <c r="G1126" s="29">
        <v>5.2700000000000004E-3</v>
      </c>
    </row>
    <row r="1127" spans="1:7" x14ac:dyDescent="0.25">
      <c r="A1127" s="20" t="s">
        <v>588</v>
      </c>
      <c r="B1127" s="20" t="s">
        <v>65</v>
      </c>
      <c r="C1127" s="20" t="s">
        <v>65</v>
      </c>
      <c r="D1127" s="20" t="s">
        <v>963</v>
      </c>
      <c r="E1127" s="24">
        <v>0.20599999999999999</v>
      </c>
      <c r="F1127" s="24">
        <v>1.236</v>
      </c>
      <c r="G1127" s="22"/>
    </row>
    <row r="1128" spans="1:7" x14ac:dyDescent="0.25">
      <c r="A1128" s="20" t="s">
        <v>588</v>
      </c>
      <c r="B1128" s="20" t="s">
        <v>67</v>
      </c>
      <c r="C1128" s="20" t="s">
        <v>67</v>
      </c>
      <c r="D1128" s="20" t="s">
        <v>963</v>
      </c>
      <c r="E1128" s="25">
        <v>0.97</v>
      </c>
      <c r="F1128" s="25">
        <v>5.82</v>
      </c>
      <c r="G1128" s="22"/>
    </row>
    <row r="1129" spans="1:7" x14ac:dyDescent="0.25">
      <c r="A1129" s="20" t="s">
        <v>588</v>
      </c>
      <c r="B1129" s="20" t="s">
        <v>146</v>
      </c>
      <c r="C1129" s="20" t="s">
        <v>146</v>
      </c>
      <c r="D1129" s="20" t="s">
        <v>963</v>
      </c>
      <c r="E1129" s="25">
        <v>0.56999999999999995</v>
      </c>
      <c r="F1129" s="25">
        <v>3.42</v>
      </c>
      <c r="G1129" s="22"/>
    </row>
    <row r="1130" spans="1:7" x14ac:dyDescent="0.25">
      <c r="A1130" s="20" t="s">
        <v>588</v>
      </c>
      <c r="B1130" s="20" t="s">
        <v>155</v>
      </c>
      <c r="C1130" s="20" t="s">
        <v>155</v>
      </c>
      <c r="D1130" s="20" t="s">
        <v>963</v>
      </c>
      <c r="E1130" s="24">
        <v>6.2E-2</v>
      </c>
      <c r="F1130" s="24">
        <v>0.372</v>
      </c>
      <c r="G1130" s="22"/>
    </row>
    <row r="1131" spans="1:7" x14ac:dyDescent="0.25">
      <c r="A1131" s="20" t="s">
        <v>588</v>
      </c>
      <c r="B1131" s="20" t="s">
        <v>156</v>
      </c>
      <c r="C1131" s="20" t="s">
        <v>156</v>
      </c>
      <c r="D1131" s="20" t="s">
        <v>963</v>
      </c>
      <c r="E1131" s="24">
        <v>0.189</v>
      </c>
      <c r="F1131" s="24">
        <v>1.1339999999999999</v>
      </c>
      <c r="G1131" s="22"/>
    </row>
    <row r="1132" spans="1:7" x14ac:dyDescent="0.25">
      <c r="A1132" s="20" t="s">
        <v>588</v>
      </c>
      <c r="B1132" s="20" t="s">
        <v>215</v>
      </c>
      <c r="C1132" s="20" t="s">
        <v>215</v>
      </c>
      <c r="D1132" s="20" t="s">
        <v>963</v>
      </c>
      <c r="E1132" s="24">
        <v>0.41299999999999998</v>
      </c>
      <c r="F1132" s="24">
        <v>2.4780000000000002</v>
      </c>
      <c r="G1132" s="22"/>
    </row>
    <row r="1133" spans="1:7" x14ac:dyDescent="0.25">
      <c r="A1133" s="20" t="s">
        <v>588</v>
      </c>
      <c r="B1133" s="20" t="s">
        <v>115</v>
      </c>
      <c r="C1133" s="20" t="s">
        <v>115</v>
      </c>
      <c r="D1133" s="20" t="s">
        <v>962</v>
      </c>
      <c r="E1133" s="26">
        <v>10.150880000000001</v>
      </c>
      <c r="F1133" s="26">
        <v>60.905279999999998</v>
      </c>
      <c r="G1133" s="22"/>
    </row>
    <row r="1134" spans="1:7" x14ac:dyDescent="0.25">
      <c r="A1134" s="20" t="s">
        <v>588</v>
      </c>
      <c r="B1134" s="20" t="s">
        <v>115</v>
      </c>
      <c r="C1134" s="20" t="s">
        <v>115</v>
      </c>
      <c r="D1134" s="20" t="s">
        <v>964</v>
      </c>
      <c r="E1134" s="26">
        <v>0.40778999999999999</v>
      </c>
      <c r="F1134" s="26">
        <v>4.8934800000000003</v>
      </c>
      <c r="G1134" s="22"/>
    </row>
    <row r="1135" spans="1:7" x14ac:dyDescent="0.25">
      <c r="A1135" s="20" t="s">
        <v>588</v>
      </c>
      <c r="B1135" s="20" t="s">
        <v>115</v>
      </c>
      <c r="C1135" s="20" t="s">
        <v>115</v>
      </c>
      <c r="D1135" s="20" t="s">
        <v>965</v>
      </c>
      <c r="E1135" s="26">
        <v>12.620010000000001</v>
      </c>
      <c r="F1135" s="26">
        <v>75.720060000000004</v>
      </c>
      <c r="G1135" s="22"/>
    </row>
    <row r="1136" spans="1:7" x14ac:dyDescent="0.25">
      <c r="A1136" s="20" t="s">
        <v>585</v>
      </c>
      <c r="B1136" s="20" t="s">
        <v>967</v>
      </c>
      <c r="C1136" s="20" t="s">
        <v>967</v>
      </c>
      <c r="D1136" s="20" t="s">
        <v>968</v>
      </c>
      <c r="E1136" s="27">
        <v>1</v>
      </c>
      <c r="F1136" s="27">
        <v>1</v>
      </c>
      <c r="G1136" s="29">
        <v>51.414940000000001</v>
      </c>
    </row>
    <row r="1137" spans="1:7" x14ac:dyDescent="0.25">
      <c r="A1137" s="20" t="s">
        <v>585</v>
      </c>
      <c r="B1137" s="20" t="s">
        <v>969</v>
      </c>
      <c r="C1137" s="20" t="s">
        <v>969</v>
      </c>
      <c r="D1137" s="20" t="s">
        <v>968</v>
      </c>
      <c r="E1137" s="27">
        <v>2</v>
      </c>
      <c r="F1137" s="27">
        <v>2</v>
      </c>
      <c r="G1137" s="29">
        <v>0.96531999999999996</v>
      </c>
    </row>
    <row r="1138" spans="1:7" x14ac:dyDescent="0.25">
      <c r="A1138" s="20" t="s">
        <v>585</v>
      </c>
      <c r="B1138" s="20" t="s">
        <v>970</v>
      </c>
      <c r="C1138" s="20" t="s">
        <v>970</v>
      </c>
      <c r="D1138" s="20" t="s">
        <v>968</v>
      </c>
      <c r="E1138" s="27">
        <v>2</v>
      </c>
      <c r="F1138" s="27">
        <v>2</v>
      </c>
      <c r="G1138" s="29">
        <v>1.3881399999999999</v>
      </c>
    </row>
    <row r="1139" spans="1:7" x14ac:dyDescent="0.25">
      <c r="A1139" s="20" t="s">
        <v>595</v>
      </c>
      <c r="B1139" s="20" t="s">
        <v>971</v>
      </c>
      <c r="C1139" s="20" t="s">
        <v>971</v>
      </c>
      <c r="D1139" s="20" t="s">
        <v>968</v>
      </c>
      <c r="E1139" s="27">
        <v>1</v>
      </c>
      <c r="F1139" s="27">
        <v>1</v>
      </c>
      <c r="G1139" s="29">
        <v>18.784520000000001</v>
      </c>
    </row>
    <row r="1140" spans="1:7" x14ac:dyDescent="0.25">
      <c r="A1140" s="20" t="s">
        <v>595</v>
      </c>
      <c r="B1140" s="20" t="s">
        <v>972</v>
      </c>
      <c r="C1140" s="20" t="s">
        <v>972</v>
      </c>
      <c r="D1140" s="20" t="s">
        <v>968</v>
      </c>
      <c r="E1140" s="27">
        <v>1</v>
      </c>
      <c r="F1140" s="27">
        <v>1</v>
      </c>
      <c r="G1140" s="29">
        <v>6.77142</v>
      </c>
    </row>
    <row r="1141" spans="1:7" x14ac:dyDescent="0.25">
      <c r="A1141" s="20" t="s">
        <v>595</v>
      </c>
      <c r="B1141" s="20" t="s">
        <v>973</v>
      </c>
      <c r="C1141" s="20" t="s">
        <v>973</v>
      </c>
      <c r="D1141" s="20" t="s">
        <v>968</v>
      </c>
      <c r="E1141" s="27">
        <v>1</v>
      </c>
      <c r="F1141" s="27">
        <v>1</v>
      </c>
      <c r="G1141" s="29">
        <v>18.80153</v>
      </c>
    </row>
    <row r="1142" spans="1:7" x14ac:dyDescent="0.25">
      <c r="A1142" s="20" t="s">
        <v>595</v>
      </c>
      <c r="B1142" s="20" t="s">
        <v>974</v>
      </c>
      <c r="C1142" s="20" t="s">
        <v>974</v>
      </c>
      <c r="D1142" s="20" t="s">
        <v>968</v>
      </c>
      <c r="E1142" s="27">
        <v>2</v>
      </c>
      <c r="F1142" s="27">
        <v>2</v>
      </c>
      <c r="G1142" s="29">
        <v>5.0034400000000003</v>
      </c>
    </row>
    <row r="1143" spans="1:7" x14ac:dyDescent="0.25">
      <c r="A1143" s="20" t="s">
        <v>595</v>
      </c>
      <c r="B1143" s="20" t="s">
        <v>975</v>
      </c>
      <c r="C1143" s="20" t="s">
        <v>975</v>
      </c>
      <c r="D1143" s="20" t="s">
        <v>968</v>
      </c>
      <c r="E1143" s="27">
        <v>36</v>
      </c>
      <c r="F1143" s="27">
        <v>36</v>
      </c>
      <c r="G1143" s="29">
        <v>1.1076900000000001</v>
      </c>
    </row>
    <row r="1144" spans="1:7" x14ac:dyDescent="0.25">
      <c r="A1144" s="20" t="s">
        <v>595</v>
      </c>
      <c r="B1144" s="20" t="s">
        <v>976</v>
      </c>
      <c r="C1144" s="20" t="s">
        <v>976</v>
      </c>
      <c r="D1144" s="20" t="s">
        <v>968</v>
      </c>
      <c r="E1144" s="27">
        <v>1</v>
      </c>
      <c r="F1144" s="27">
        <v>1</v>
      </c>
      <c r="G1144" s="29">
        <v>5.7039200000000001</v>
      </c>
    </row>
    <row r="1145" spans="1:7" x14ac:dyDescent="0.25">
      <c r="A1145" s="20" t="s">
        <v>595</v>
      </c>
      <c r="B1145" s="20" t="s">
        <v>977</v>
      </c>
      <c r="C1145" s="20" t="s">
        <v>977</v>
      </c>
      <c r="D1145" s="20" t="s">
        <v>968</v>
      </c>
      <c r="E1145" s="27">
        <v>1</v>
      </c>
      <c r="F1145" s="27">
        <v>1</v>
      </c>
      <c r="G1145" s="29">
        <v>5.7039200000000001</v>
      </c>
    </row>
    <row r="1146" spans="1:7" x14ac:dyDescent="0.25">
      <c r="A1146" s="20" t="s">
        <v>595</v>
      </c>
      <c r="B1146" s="20" t="s">
        <v>978</v>
      </c>
      <c r="C1146" s="20" t="s">
        <v>978</v>
      </c>
      <c r="D1146" s="20" t="s">
        <v>968</v>
      </c>
      <c r="E1146" s="27">
        <v>1</v>
      </c>
      <c r="F1146" s="27">
        <v>1</v>
      </c>
      <c r="G1146" s="29">
        <v>2.5409099999999998</v>
      </c>
    </row>
    <row r="1147" spans="1:7" x14ac:dyDescent="0.25">
      <c r="A1147" s="20" t="s">
        <v>595</v>
      </c>
      <c r="B1147" s="20" t="s">
        <v>979</v>
      </c>
      <c r="C1147" s="20" t="s">
        <v>979</v>
      </c>
      <c r="D1147" s="20" t="s">
        <v>968</v>
      </c>
      <c r="E1147" s="27">
        <v>12</v>
      </c>
      <c r="F1147" s="27">
        <v>12</v>
      </c>
      <c r="G1147" s="29">
        <v>2.2768199999999998</v>
      </c>
    </row>
    <row r="1148" spans="1:7" x14ac:dyDescent="0.25">
      <c r="A1148" s="20" t="s">
        <v>595</v>
      </c>
      <c r="B1148" s="20" t="s">
        <v>980</v>
      </c>
      <c r="C1148" s="20" t="s">
        <v>980</v>
      </c>
      <c r="D1148" s="20" t="s">
        <v>968</v>
      </c>
      <c r="E1148" s="27">
        <v>12</v>
      </c>
      <c r="F1148" s="27">
        <v>12</v>
      </c>
      <c r="G1148" s="29">
        <v>13.92244</v>
      </c>
    </row>
    <row r="1149" spans="1:7" x14ac:dyDescent="0.25">
      <c r="A1149" s="20" t="s">
        <v>595</v>
      </c>
      <c r="B1149" s="20" t="s">
        <v>981</v>
      </c>
      <c r="C1149" s="20" t="s">
        <v>981</v>
      </c>
      <c r="D1149" s="20" t="s">
        <v>968</v>
      </c>
      <c r="E1149" s="27">
        <v>4</v>
      </c>
      <c r="F1149" s="27">
        <v>4</v>
      </c>
      <c r="G1149" s="29">
        <v>26.90352</v>
      </c>
    </row>
    <row r="1150" spans="1:7" x14ac:dyDescent="0.25">
      <c r="A1150" s="20" t="s">
        <v>595</v>
      </c>
      <c r="B1150" s="20" t="s">
        <v>982</v>
      </c>
      <c r="C1150" s="20" t="s">
        <v>982</v>
      </c>
      <c r="D1150" s="20" t="s">
        <v>968</v>
      </c>
      <c r="E1150" s="27">
        <v>2</v>
      </c>
      <c r="F1150" s="27">
        <v>2</v>
      </c>
      <c r="G1150" s="29">
        <v>1.6249800000000001</v>
      </c>
    </row>
    <row r="1151" spans="1:7" x14ac:dyDescent="0.25">
      <c r="A1151" s="20" t="s">
        <v>595</v>
      </c>
      <c r="B1151" s="20" t="s">
        <v>983</v>
      </c>
      <c r="C1151" s="20" t="s">
        <v>983</v>
      </c>
      <c r="D1151" s="20" t="s">
        <v>968</v>
      </c>
      <c r="E1151" s="27">
        <v>96</v>
      </c>
      <c r="F1151" s="27">
        <v>96</v>
      </c>
      <c r="G1151" s="29">
        <v>8.8010000000000005E-2</v>
      </c>
    </row>
    <row r="1152" spans="1:7" x14ac:dyDescent="0.25">
      <c r="A1152" s="20" t="s">
        <v>595</v>
      </c>
      <c r="B1152" s="20" t="s">
        <v>984</v>
      </c>
      <c r="C1152" s="20" t="s">
        <v>984</v>
      </c>
      <c r="D1152" s="20" t="s">
        <v>968</v>
      </c>
      <c r="E1152" s="27">
        <v>12</v>
      </c>
      <c r="F1152" s="27">
        <v>12</v>
      </c>
      <c r="G1152" s="29">
        <v>5.5744800000000003</v>
      </c>
    </row>
    <row r="1153" spans="1:7" x14ac:dyDescent="0.25">
      <c r="A1153" s="20" t="s">
        <v>595</v>
      </c>
      <c r="B1153" s="20" t="s">
        <v>985</v>
      </c>
      <c r="C1153" s="20" t="s">
        <v>985</v>
      </c>
      <c r="D1153" s="20" t="s">
        <v>968</v>
      </c>
      <c r="E1153" s="27">
        <v>4</v>
      </c>
      <c r="F1153" s="27">
        <v>4</v>
      </c>
      <c r="G1153" s="29">
        <v>5.4679999999999999E-2</v>
      </c>
    </row>
    <row r="1154" spans="1:7" x14ac:dyDescent="0.25">
      <c r="A1154" s="20" t="s">
        <v>595</v>
      </c>
      <c r="B1154" s="20" t="s">
        <v>986</v>
      </c>
      <c r="C1154" s="20" t="s">
        <v>986</v>
      </c>
      <c r="D1154" s="20" t="s">
        <v>968</v>
      </c>
      <c r="E1154" s="27">
        <v>5</v>
      </c>
      <c r="F1154" s="27">
        <v>5</v>
      </c>
      <c r="G1154" s="29">
        <v>24.27975</v>
      </c>
    </row>
    <row r="1155" spans="1:7" x14ac:dyDescent="0.25">
      <c r="A1155" s="20" t="s">
        <v>595</v>
      </c>
      <c r="B1155" s="20" t="s">
        <v>987</v>
      </c>
      <c r="C1155" s="20" t="s">
        <v>987</v>
      </c>
      <c r="D1155" s="20" t="s">
        <v>968</v>
      </c>
      <c r="E1155" s="27">
        <v>5</v>
      </c>
      <c r="F1155" s="27">
        <v>5</v>
      </c>
      <c r="G1155" s="29">
        <v>24.27976</v>
      </c>
    </row>
    <row r="1156" spans="1:7" x14ac:dyDescent="0.25">
      <c r="A1156" s="20" t="s">
        <v>595</v>
      </c>
      <c r="B1156" s="20" t="s">
        <v>988</v>
      </c>
      <c r="C1156" s="20" t="s">
        <v>988</v>
      </c>
      <c r="D1156" s="20" t="s">
        <v>968</v>
      </c>
      <c r="E1156" s="27">
        <v>2</v>
      </c>
      <c r="F1156" s="27">
        <v>2</v>
      </c>
      <c r="G1156" s="29">
        <v>3.2065399999999999</v>
      </c>
    </row>
    <row r="1157" spans="1:7" x14ac:dyDescent="0.25">
      <c r="A1157" s="20" t="s">
        <v>595</v>
      </c>
      <c r="B1157" s="20" t="s">
        <v>989</v>
      </c>
      <c r="C1157" s="20" t="s">
        <v>989</v>
      </c>
      <c r="D1157" s="20" t="s">
        <v>968</v>
      </c>
      <c r="E1157" s="27">
        <v>48</v>
      </c>
      <c r="F1157" s="27">
        <v>48</v>
      </c>
      <c r="G1157" s="29">
        <v>0.11040999999999999</v>
      </c>
    </row>
    <row r="1158" spans="1:7" x14ac:dyDescent="0.25">
      <c r="A1158" s="20" t="s">
        <v>595</v>
      </c>
      <c r="B1158" s="20" t="s">
        <v>990</v>
      </c>
      <c r="C1158" s="20" t="s">
        <v>990</v>
      </c>
      <c r="D1158" s="20" t="s">
        <v>968</v>
      </c>
      <c r="E1158" s="27">
        <v>24</v>
      </c>
      <c r="F1158" s="27">
        <v>24</v>
      </c>
      <c r="G1158" s="29">
        <v>0.18654999999999999</v>
      </c>
    </row>
    <row r="1159" spans="1:7" x14ac:dyDescent="0.25">
      <c r="A1159" s="20" t="s">
        <v>595</v>
      </c>
      <c r="B1159" s="20" t="s">
        <v>991</v>
      </c>
      <c r="C1159" s="20" t="s">
        <v>991</v>
      </c>
      <c r="D1159" s="20" t="s">
        <v>968</v>
      </c>
      <c r="E1159" s="27">
        <v>1</v>
      </c>
      <c r="F1159" s="27">
        <v>1</v>
      </c>
      <c r="G1159" s="29">
        <v>21.603290000000001</v>
      </c>
    </row>
    <row r="1160" spans="1:7" x14ac:dyDescent="0.25">
      <c r="A1160" s="20" t="s">
        <v>595</v>
      </c>
      <c r="B1160" s="20" t="s">
        <v>992</v>
      </c>
      <c r="C1160" s="20" t="s">
        <v>992</v>
      </c>
      <c r="D1160" s="20" t="s">
        <v>968</v>
      </c>
      <c r="E1160" s="27">
        <v>1</v>
      </c>
      <c r="F1160" s="27">
        <v>1</v>
      </c>
      <c r="G1160" s="29">
        <v>21.62397</v>
      </c>
    </row>
    <row r="1161" spans="1:7" x14ac:dyDescent="0.25">
      <c r="A1161" s="20" t="s">
        <v>595</v>
      </c>
      <c r="B1161" s="20" t="s">
        <v>993</v>
      </c>
      <c r="C1161" s="20" t="s">
        <v>993</v>
      </c>
      <c r="D1161" s="20" t="s">
        <v>968</v>
      </c>
      <c r="E1161" s="27">
        <v>4</v>
      </c>
      <c r="F1161" s="27">
        <v>4</v>
      </c>
      <c r="G1161" s="29">
        <v>18.36824</v>
      </c>
    </row>
    <row r="1162" spans="1:7" x14ac:dyDescent="0.25">
      <c r="A1162" s="20" t="s">
        <v>595</v>
      </c>
      <c r="B1162" s="20" t="s">
        <v>994</v>
      </c>
      <c r="C1162" s="20" t="s">
        <v>994</v>
      </c>
      <c r="D1162" s="20" t="s">
        <v>968</v>
      </c>
      <c r="E1162" s="27">
        <v>3</v>
      </c>
      <c r="F1162" s="27">
        <v>3</v>
      </c>
      <c r="G1162" s="29">
        <v>6.8217699999999999</v>
      </c>
    </row>
    <row r="1163" spans="1:7" x14ac:dyDescent="0.25">
      <c r="A1163" s="20" t="s">
        <v>595</v>
      </c>
      <c r="B1163" s="20" t="s">
        <v>995</v>
      </c>
      <c r="C1163" s="20" t="s">
        <v>995</v>
      </c>
      <c r="D1163" s="20" t="s">
        <v>968</v>
      </c>
      <c r="E1163" s="27">
        <v>3</v>
      </c>
      <c r="F1163" s="27">
        <v>3</v>
      </c>
      <c r="G1163" s="29">
        <v>6.8217699999999999</v>
      </c>
    </row>
    <row r="1164" spans="1:7" x14ac:dyDescent="0.25">
      <c r="A1164" s="20" t="s">
        <v>595</v>
      </c>
      <c r="B1164" s="20" t="s">
        <v>996</v>
      </c>
      <c r="C1164" s="20" t="s">
        <v>996</v>
      </c>
      <c r="D1164" s="20" t="s">
        <v>968</v>
      </c>
      <c r="E1164" s="27">
        <v>3</v>
      </c>
      <c r="F1164" s="27">
        <v>3</v>
      </c>
      <c r="G1164" s="29">
        <v>4.5624399999999996</v>
      </c>
    </row>
    <row r="1165" spans="1:7" x14ac:dyDescent="0.25">
      <c r="A1165" s="20" t="s">
        <v>595</v>
      </c>
      <c r="B1165" s="20" t="s">
        <v>997</v>
      </c>
      <c r="C1165" s="20" t="s">
        <v>997</v>
      </c>
      <c r="D1165" s="20" t="s">
        <v>968</v>
      </c>
      <c r="E1165" s="27">
        <v>1</v>
      </c>
      <c r="F1165" s="27">
        <v>1</v>
      </c>
      <c r="G1165" s="29">
        <v>2.41317</v>
      </c>
    </row>
    <row r="1166" spans="1:7" ht="22.5" x14ac:dyDescent="0.25">
      <c r="A1166" s="20" t="s">
        <v>620</v>
      </c>
      <c r="B1166" s="20" t="s">
        <v>998</v>
      </c>
      <c r="C1166" s="20" t="s">
        <v>277</v>
      </c>
      <c r="D1166" s="20" t="s">
        <v>968</v>
      </c>
      <c r="E1166" s="27">
        <v>50</v>
      </c>
      <c r="F1166" s="27">
        <v>50</v>
      </c>
      <c r="G1166" s="29">
        <v>1.4599999999999999E-3</v>
      </c>
    </row>
    <row r="1167" spans="1:7" ht="22.5" x14ac:dyDescent="0.25">
      <c r="A1167" s="20" t="s">
        <v>620</v>
      </c>
      <c r="B1167" s="20" t="s">
        <v>999</v>
      </c>
      <c r="C1167" s="20" t="s">
        <v>276</v>
      </c>
      <c r="D1167" s="20" t="s">
        <v>968</v>
      </c>
      <c r="E1167" s="27">
        <v>4</v>
      </c>
      <c r="F1167" s="27">
        <v>4</v>
      </c>
      <c r="G1167" s="28">
        <v>7.3000000000000001E-3</v>
      </c>
    </row>
    <row r="1168" spans="1:7" ht="22.5" x14ac:dyDescent="0.25">
      <c r="A1168" s="20" t="s">
        <v>620</v>
      </c>
      <c r="B1168" s="20" t="s">
        <v>622</v>
      </c>
      <c r="C1168" s="20" t="s">
        <v>256</v>
      </c>
      <c r="D1168" s="20" t="s">
        <v>968</v>
      </c>
      <c r="E1168" s="30">
        <v>1760</v>
      </c>
      <c r="F1168" s="30">
        <v>1760</v>
      </c>
      <c r="G1168" s="28">
        <v>1.52E-2</v>
      </c>
    </row>
    <row r="1169" spans="1:7" ht="22.5" x14ac:dyDescent="0.25">
      <c r="A1169" s="20" t="s">
        <v>620</v>
      </c>
      <c r="B1169" s="20" t="s">
        <v>1000</v>
      </c>
      <c r="C1169" s="20" t="s">
        <v>275</v>
      </c>
      <c r="D1169" s="20" t="s">
        <v>968</v>
      </c>
      <c r="E1169" s="27">
        <v>4</v>
      </c>
      <c r="F1169" s="27">
        <v>4</v>
      </c>
      <c r="G1169" s="29">
        <v>1.99E-3</v>
      </c>
    </row>
    <row r="1170" spans="1:7" ht="22.5" x14ac:dyDescent="0.25">
      <c r="A1170" s="20" t="s">
        <v>620</v>
      </c>
      <c r="B1170" s="20" t="s">
        <v>1001</v>
      </c>
      <c r="C1170" s="20" t="s">
        <v>274</v>
      </c>
      <c r="D1170" s="20" t="s">
        <v>968</v>
      </c>
      <c r="E1170" s="27">
        <v>450</v>
      </c>
      <c r="F1170" s="27">
        <v>450</v>
      </c>
      <c r="G1170" s="29">
        <v>9.5300000000000003E-3</v>
      </c>
    </row>
    <row r="1171" spans="1:7" ht="22.5" x14ac:dyDescent="0.25">
      <c r="A1171" s="20" t="s">
        <v>620</v>
      </c>
      <c r="B1171" s="20" t="s">
        <v>1002</v>
      </c>
      <c r="C1171" s="20" t="s">
        <v>273</v>
      </c>
      <c r="D1171" s="20" t="s">
        <v>968</v>
      </c>
      <c r="E1171" s="27">
        <v>4</v>
      </c>
      <c r="F1171" s="27">
        <v>4</v>
      </c>
      <c r="G1171" s="28">
        <v>8.0000000000000004E-4</v>
      </c>
    </row>
    <row r="1172" spans="1:7" ht="22.5" x14ac:dyDescent="0.25">
      <c r="A1172" s="20" t="s">
        <v>620</v>
      </c>
      <c r="B1172" s="20" t="s">
        <v>871</v>
      </c>
      <c r="C1172" s="20" t="s">
        <v>266</v>
      </c>
      <c r="D1172" s="20" t="s">
        <v>968</v>
      </c>
      <c r="E1172" s="27">
        <v>4</v>
      </c>
      <c r="F1172" s="27">
        <v>4</v>
      </c>
      <c r="G1172" s="28">
        <v>3.3E-3</v>
      </c>
    </row>
    <row r="1173" spans="1:7" ht="22.5" x14ac:dyDescent="0.25">
      <c r="A1173" s="20" t="s">
        <v>620</v>
      </c>
      <c r="B1173" s="20" t="s">
        <v>625</v>
      </c>
      <c r="C1173" s="20" t="s">
        <v>219</v>
      </c>
      <c r="D1173" s="20" t="s">
        <v>968</v>
      </c>
      <c r="E1173" s="30">
        <v>2200</v>
      </c>
      <c r="F1173" s="30">
        <v>2200</v>
      </c>
      <c r="G1173" s="29">
        <v>7.1399999999999996E-3</v>
      </c>
    </row>
    <row r="1174" spans="1:7" ht="22.5" x14ac:dyDescent="0.25">
      <c r="A1174" s="20" t="s">
        <v>620</v>
      </c>
      <c r="B1174" s="20" t="s">
        <v>1003</v>
      </c>
      <c r="C1174" s="20" t="s">
        <v>272</v>
      </c>
      <c r="D1174" s="20" t="s">
        <v>968</v>
      </c>
      <c r="E1174" s="27">
        <v>4</v>
      </c>
      <c r="F1174" s="27">
        <v>4</v>
      </c>
      <c r="G1174" s="29">
        <v>1.2999999999999999E-4</v>
      </c>
    </row>
    <row r="1175" spans="1:7" x14ac:dyDescent="0.25">
      <c r="A1175" s="20" t="s">
        <v>586</v>
      </c>
      <c r="B1175" s="20" t="s">
        <v>634</v>
      </c>
      <c r="C1175" s="20" t="s">
        <v>634</v>
      </c>
      <c r="D1175" s="20" t="s">
        <v>968</v>
      </c>
      <c r="E1175" s="27">
        <v>1</v>
      </c>
      <c r="F1175" s="27">
        <v>1</v>
      </c>
      <c r="G1175" s="22"/>
    </row>
    <row r="1176" spans="1:7" x14ac:dyDescent="0.25">
      <c r="A1176" s="20" t="s">
        <v>588</v>
      </c>
      <c r="B1176" s="20" t="s">
        <v>128</v>
      </c>
      <c r="C1176" s="20" t="s">
        <v>128</v>
      </c>
      <c r="D1176" s="20" t="s">
        <v>971</v>
      </c>
      <c r="E1176" s="26">
        <v>22.719539999999999</v>
      </c>
      <c r="F1176" s="26">
        <v>22.719539999999999</v>
      </c>
      <c r="G1176" s="22"/>
    </row>
    <row r="1177" spans="1:7" x14ac:dyDescent="0.25">
      <c r="A1177" s="20" t="s">
        <v>588</v>
      </c>
      <c r="B1177" s="20" t="s">
        <v>128</v>
      </c>
      <c r="C1177" s="20" t="s">
        <v>128</v>
      </c>
      <c r="D1177" s="20" t="s">
        <v>972</v>
      </c>
      <c r="E1177" s="26">
        <v>8.1958500000000001</v>
      </c>
      <c r="F1177" s="26">
        <v>8.1958500000000001</v>
      </c>
      <c r="G1177" s="22"/>
    </row>
    <row r="1178" spans="1:7" x14ac:dyDescent="0.25">
      <c r="A1178" s="20" t="s">
        <v>588</v>
      </c>
      <c r="B1178" s="20" t="s">
        <v>128</v>
      </c>
      <c r="C1178" s="20" t="s">
        <v>128</v>
      </c>
      <c r="D1178" s="20" t="s">
        <v>973</v>
      </c>
      <c r="E1178" s="26">
        <v>22.719539999999999</v>
      </c>
      <c r="F1178" s="26">
        <v>22.719539999999999</v>
      </c>
      <c r="G1178" s="22"/>
    </row>
    <row r="1179" spans="1:7" x14ac:dyDescent="0.25">
      <c r="A1179" s="20" t="s">
        <v>588</v>
      </c>
      <c r="B1179" s="20" t="s">
        <v>131</v>
      </c>
      <c r="C1179" s="20" t="s">
        <v>131</v>
      </c>
      <c r="D1179" s="20" t="s">
        <v>974</v>
      </c>
      <c r="E1179" s="26">
        <v>6.1748099999999999</v>
      </c>
      <c r="F1179" s="26">
        <v>74.097719999999995</v>
      </c>
      <c r="G1179" s="22"/>
    </row>
    <row r="1180" spans="1:7" x14ac:dyDescent="0.25">
      <c r="A1180" s="20" t="s">
        <v>588</v>
      </c>
      <c r="B1180" s="20" t="s">
        <v>210</v>
      </c>
      <c r="C1180" s="20" t="s">
        <v>210</v>
      </c>
      <c r="D1180" s="20" t="s">
        <v>975</v>
      </c>
      <c r="E1180" s="24">
        <v>1.151</v>
      </c>
      <c r="F1180" s="24">
        <v>246.31399999999999</v>
      </c>
      <c r="G1180" s="22"/>
    </row>
    <row r="1181" spans="1:7" x14ac:dyDescent="0.25">
      <c r="A1181" s="20" t="s">
        <v>588</v>
      </c>
      <c r="B1181" s="20" t="s">
        <v>131</v>
      </c>
      <c r="C1181" s="20" t="s">
        <v>131</v>
      </c>
      <c r="D1181" s="20" t="s">
        <v>976</v>
      </c>
      <c r="E1181" s="26">
        <v>6.8784799999999997</v>
      </c>
      <c r="F1181" s="26">
        <v>6.8784799999999997</v>
      </c>
      <c r="G1181" s="22"/>
    </row>
    <row r="1182" spans="1:7" x14ac:dyDescent="0.25">
      <c r="A1182" s="20" t="s">
        <v>588</v>
      </c>
      <c r="B1182" s="20" t="s">
        <v>131</v>
      </c>
      <c r="C1182" s="20" t="s">
        <v>131</v>
      </c>
      <c r="D1182" s="20" t="s">
        <v>977</v>
      </c>
      <c r="E1182" s="26">
        <v>6.8784799999999997</v>
      </c>
      <c r="F1182" s="26">
        <v>6.8784799999999997</v>
      </c>
      <c r="G1182" s="22"/>
    </row>
    <row r="1183" spans="1:7" x14ac:dyDescent="0.25">
      <c r="A1183" s="20" t="s">
        <v>588</v>
      </c>
      <c r="B1183" s="20" t="s">
        <v>45</v>
      </c>
      <c r="C1183" s="20" t="s">
        <v>45</v>
      </c>
      <c r="D1183" s="20" t="s">
        <v>633</v>
      </c>
      <c r="E1183" s="26">
        <v>10.49737</v>
      </c>
      <c r="F1183" s="26">
        <v>251.93688</v>
      </c>
      <c r="G1183" s="22"/>
    </row>
    <row r="1184" spans="1:7" x14ac:dyDescent="0.25">
      <c r="A1184" s="20" t="s">
        <v>588</v>
      </c>
      <c r="B1184" s="20" t="s">
        <v>45</v>
      </c>
      <c r="C1184" s="20" t="s">
        <v>45</v>
      </c>
      <c r="D1184" s="20" t="s">
        <v>630</v>
      </c>
      <c r="E1184" s="26">
        <v>10.524850000000001</v>
      </c>
      <c r="F1184" s="38">
        <v>2778.5603999999998</v>
      </c>
      <c r="G1184" s="22"/>
    </row>
    <row r="1185" spans="1:7" x14ac:dyDescent="0.25">
      <c r="A1185" s="20" t="s">
        <v>588</v>
      </c>
      <c r="B1185" s="20" t="s">
        <v>131</v>
      </c>
      <c r="C1185" s="20" t="s">
        <v>131</v>
      </c>
      <c r="D1185" s="20" t="s">
        <v>978</v>
      </c>
      <c r="E1185" s="26">
        <v>3.02834</v>
      </c>
      <c r="F1185" s="26">
        <v>3.02834</v>
      </c>
      <c r="G1185" s="22"/>
    </row>
    <row r="1186" spans="1:7" x14ac:dyDescent="0.25">
      <c r="A1186" s="20" t="s">
        <v>588</v>
      </c>
      <c r="B1186" s="20" t="s">
        <v>131</v>
      </c>
      <c r="C1186" s="20" t="s">
        <v>131</v>
      </c>
      <c r="D1186" s="20" t="s">
        <v>979</v>
      </c>
      <c r="E1186" s="26">
        <v>2.7346599999999999</v>
      </c>
      <c r="F1186" s="26">
        <v>128.52902</v>
      </c>
      <c r="G1186" s="22"/>
    </row>
    <row r="1187" spans="1:7" x14ac:dyDescent="0.25">
      <c r="A1187" s="20" t="s">
        <v>588</v>
      </c>
      <c r="B1187" s="20" t="s">
        <v>130</v>
      </c>
      <c r="C1187" s="20" t="s">
        <v>130</v>
      </c>
      <c r="D1187" s="20" t="s">
        <v>980</v>
      </c>
      <c r="E1187" s="26">
        <v>17.404019999999999</v>
      </c>
      <c r="F1187" s="26">
        <v>208.84824</v>
      </c>
      <c r="G1187" s="22"/>
    </row>
    <row r="1188" spans="1:7" x14ac:dyDescent="0.25">
      <c r="A1188" s="20" t="s">
        <v>588</v>
      </c>
      <c r="B1188" s="20" t="s">
        <v>191</v>
      </c>
      <c r="C1188" s="20" t="s">
        <v>191</v>
      </c>
      <c r="D1188" s="20" t="s">
        <v>981</v>
      </c>
      <c r="E1188" s="24">
        <v>27.565999999999999</v>
      </c>
      <c r="F1188" s="24">
        <v>661.58399999999995</v>
      </c>
      <c r="G1188" s="22"/>
    </row>
    <row r="1189" spans="1:7" x14ac:dyDescent="0.25">
      <c r="A1189" s="20" t="s">
        <v>588</v>
      </c>
      <c r="B1189" s="20" t="s">
        <v>128</v>
      </c>
      <c r="C1189" s="20" t="s">
        <v>128</v>
      </c>
      <c r="D1189" s="20" t="s">
        <v>982</v>
      </c>
      <c r="E1189" s="26">
        <v>1.99759</v>
      </c>
      <c r="F1189" s="26">
        <v>15.98072</v>
      </c>
      <c r="G1189" s="22"/>
    </row>
    <row r="1190" spans="1:7" x14ac:dyDescent="0.25">
      <c r="A1190" s="20" t="s">
        <v>588</v>
      </c>
      <c r="B1190" s="20" t="s">
        <v>126</v>
      </c>
      <c r="C1190" s="20" t="s">
        <v>126</v>
      </c>
      <c r="D1190" s="20" t="s">
        <v>983</v>
      </c>
      <c r="E1190" s="26">
        <v>0.10739</v>
      </c>
      <c r="F1190" s="26">
        <v>61.856639999999999</v>
      </c>
      <c r="G1190" s="22"/>
    </row>
    <row r="1191" spans="1:7" x14ac:dyDescent="0.25">
      <c r="A1191" s="20" t="s">
        <v>588</v>
      </c>
      <c r="B1191" s="20" t="s">
        <v>131</v>
      </c>
      <c r="C1191" s="20" t="s">
        <v>131</v>
      </c>
      <c r="D1191" s="20" t="s">
        <v>984</v>
      </c>
      <c r="E1191" s="26">
        <v>6.8869600000000002</v>
      </c>
      <c r="F1191" s="26">
        <v>495.86112000000003</v>
      </c>
      <c r="G1191" s="22"/>
    </row>
    <row r="1192" spans="1:7" x14ac:dyDescent="0.25">
      <c r="A1192" s="20" t="s">
        <v>588</v>
      </c>
      <c r="B1192" s="20" t="s">
        <v>131</v>
      </c>
      <c r="C1192" s="20" t="s">
        <v>131</v>
      </c>
      <c r="D1192" s="20" t="s">
        <v>985</v>
      </c>
      <c r="E1192" s="26">
        <v>8.2239999999999994E-2</v>
      </c>
      <c r="F1192" s="26">
        <v>1.3158399999999999</v>
      </c>
      <c r="G1192" s="22"/>
    </row>
    <row r="1193" spans="1:7" x14ac:dyDescent="0.25">
      <c r="A1193" s="20" t="s">
        <v>588</v>
      </c>
      <c r="B1193" s="20" t="s">
        <v>125</v>
      </c>
      <c r="C1193" s="20" t="s">
        <v>125</v>
      </c>
      <c r="D1193" s="20" t="s">
        <v>635</v>
      </c>
      <c r="E1193" s="26">
        <v>9.8453300000000006</v>
      </c>
      <c r="F1193" s="26">
        <v>472.57584000000003</v>
      </c>
      <c r="G1193" s="22"/>
    </row>
    <row r="1194" spans="1:7" x14ac:dyDescent="0.25">
      <c r="A1194" s="20" t="s">
        <v>588</v>
      </c>
      <c r="B1194" s="20" t="s">
        <v>131</v>
      </c>
      <c r="C1194" s="20" t="s">
        <v>131</v>
      </c>
      <c r="D1194" s="20" t="s">
        <v>986</v>
      </c>
      <c r="E1194" s="26">
        <v>30.22803</v>
      </c>
      <c r="F1194" s="26">
        <v>151.14015000000001</v>
      </c>
      <c r="G1194" s="22"/>
    </row>
    <row r="1195" spans="1:7" x14ac:dyDescent="0.25">
      <c r="A1195" s="20" t="s">
        <v>588</v>
      </c>
      <c r="B1195" s="20" t="s">
        <v>131</v>
      </c>
      <c r="C1195" s="20" t="s">
        <v>131</v>
      </c>
      <c r="D1195" s="20" t="s">
        <v>987</v>
      </c>
      <c r="E1195" s="26">
        <v>30.22803</v>
      </c>
      <c r="F1195" s="26">
        <v>151.14015000000001</v>
      </c>
      <c r="G1195" s="22"/>
    </row>
    <row r="1196" spans="1:7" x14ac:dyDescent="0.25">
      <c r="A1196" s="20" t="s">
        <v>588</v>
      </c>
      <c r="B1196" s="20" t="s">
        <v>128</v>
      </c>
      <c r="C1196" s="20" t="s">
        <v>128</v>
      </c>
      <c r="D1196" s="20" t="s">
        <v>988</v>
      </c>
      <c r="E1196" s="26">
        <v>3.92178</v>
      </c>
      <c r="F1196" s="26">
        <v>31.37424</v>
      </c>
      <c r="G1196" s="22"/>
    </row>
    <row r="1197" spans="1:7" x14ac:dyDescent="0.25">
      <c r="A1197" s="20" t="s">
        <v>588</v>
      </c>
      <c r="B1197" s="20" t="s">
        <v>128</v>
      </c>
      <c r="C1197" s="20" t="s">
        <v>128</v>
      </c>
      <c r="D1197" s="20" t="s">
        <v>989</v>
      </c>
      <c r="E1197" s="26">
        <v>0.13367000000000001</v>
      </c>
      <c r="F1197" s="26">
        <v>6.4161599999999996</v>
      </c>
      <c r="G1197" s="22"/>
    </row>
    <row r="1198" spans="1:7" x14ac:dyDescent="0.25">
      <c r="A1198" s="20" t="s">
        <v>588</v>
      </c>
      <c r="B1198" s="20" t="s">
        <v>126</v>
      </c>
      <c r="C1198" s="20" t="s">
        <v>126</v>
      </c>
      <c r="D1198" s="20" t="s">
        <v>636</v>
      </c>
      <c r="E1198" s="26">
        <v>0.51254999999999995</v>
      </c>
      <c r="F1198" s="32">
        <v>12.3012</v>
      </c>
      <c r="G1198" s="22"/>
    </row>
    <row r="1199" spans="1:7" x14ac:dyDescent="0.25">
      <c r="A1199" s="20" t="s">
        <v>588</v>
      </c>
      <c r="B1199" s="20" t="s">
        <v>128</v>
      </c>
      <c r="C1199" s="20" t="s">
        <v>128</v>
      </c>
      <c r="D1199" s="20" t="s">
        <v>990</v>
      </c>
      <c r="E1199" s="26">
        <v>0.22891</v>
      </c>
      <c r="F1199" s="26">
        <v>5.4938399999999996</v>
      </c>
      <c r="G1199" s="22"/>
    </row>
    <row r="1200" spans="1:7" x14ac:dyDescent="0.25">
      <c r="A1200" s="20" t="s">
        <v>588</v>
      </c>
      <c r="B1200" s="20" t="s">
        <v>128</v>
      </c>
      <c r="C1200" s="20" t="s">
        <v>128</v>
      </c>
      <c r="D1200" s="20" t="s">
        <v>991</v>
      </c>
      <c r="E1200" s="26">
        <v>26.130990000000001</v>
      </c>
      <c r="F1200" s="26">
        <v>26.130990000000001</v>
      </c>
      <c r="G1200" s="22"/>
    </row>
    <row r="1201" spans="1:7" x14ac:dyDescent="0.25">
      <c r="A1201" s="20" t="s">
        <v>588</v>
      </c>
      <c r="B1201" s="20" t="s">
        <v>128</v>
      </c>
      <c r="C1201" s="20" t="s">
        <v>128</v>
      </c>
      <c r="D1201" s="20" t="s">
        <v>992</v>
      </c>
      <c r="E1201" s="26">
        <v>26.130990000000001</v>
      </c>
      <c r="F1201" s="26">
        <v>26.130990000000001</v>
      </c>
      <c r="G1201" s="22"/>
    </row>
    <row r="1202" spans="1:7" x14ac:dyDescent="0.25">
      <c r="A1202" s="20" t="s">
        <v>588</v>
      </c>
      <c r="B1202" s="20" t="s">
        <v>128</v>
      </c>
      <c r="C1202" s="20" t="s">
        <v>128</v>
      </c>
      <c r="D1202" s="20" t="s">
        <v>993</v>
      </c>
      <c r="E1202" s="26">
        <v>19.795280000000002</v>
      </c>
      <c r="F1202" s="26">
        <v>79.181120000000007</v>
      </c>
      <c r="G1202" s="22"/>
    </row>
    <row r="1203" spans="1:7" x14ac:dyDescent="0.25">
      <c r="A1203" s="20" t="s">
        <v>588</v>
      </c>
      <c r="B1203" s="20" t="s">
        <v>128</v>
      </c>
      <c r="C1203" s="20" t="s">
        <v>128</v>
      </c>
      <c r="D1203" s="20" t="s">
        <v>994</v>
      </c>
      <c r="E1203" s="26">
        <v>10.18168</v>
      </c>
      <c r="F1203" s="32">
        <v>50.9084</v>
      </c>
      <c r="G1203" s="22"/>
    </row>
    <row r="1204" spans="1:7" x14ac:dyDescent="0.25">
      <c r="A1204" s="20" t="s">
        <v>588</v>
      </c>
      <c r="B1204" s="20" t="s">
        <v>128</v>
      </c>
      <c r="C1204" s="20" t="s">
        <v>128</v>
      </c>
      <c r="D1204" s="20" t="s">
        <v>995</v>
      </c>
      <c r="E1204" s="26">
        <v>10.18168</v>
      </c>
      <c r="F1204" s="32">
        <v>50.9084</v>
      </c>
      <c r="G1204" s="22"/>
    </row>
    <row r="1205" spans="1:7" x14ac:dyDescent="0.25">
      <c r="A1205" s="20" t="s">
        <v>588</v>
      </c>
      <c r="B1205" s="20" t="s">
        <v>128</v>
      </c>
      <c r="C1205" s="20" t="s">
        <v>128</v>
      </c>
      <c r="D1205" s="20" t="s">
        <v>996</v>
      </c>
      <c r="E1205" s="26">
        <v>5.4892200000000004</v>
      </c>
      <c r="F1205" s="26">
        <v>71.359859999999998</v>
      </c>
      <c r="G1205" s="22"/>
    </row>
    <row r="1206" spans="1:7" x14ac:dyDescent="0.25">
      <c r="A1206" s="20" t="s">
        <v>588</v>
      </c>
      <c r="B1206" s="20" t="s">
        <v>131</v>
      </c>
      <c r="C1206" s="20" t="s">
        <v>131</v>
      </c>
      <c r="D1206" s="20" t="s">
        <v>997</v>
      </c>
      <c r="E1206" s="32">
        <v>3.1008</v>
      </c>
      <c r="F1206" s="24">
        <v>15.504</v>
      </c>
      <c r="G1206" s="22"/>
    </row>
    <row r="1207" spans="1:7" x14ac:dyDescent="0.25">
      <c r="A1207" s="20" t="s">
        <v>585</v>
      </c>
      <c r="B1207" s="20" t="s">
        <v>1004</v>
      </c>
      <c r="C1207" s="20" t="s">
        <v>1004</v>
      </c>
      <c r="D1207" s="20" t="s">
        <v>967</v>
      </c>
      <c r="E1207" s="27">
        <v>2</v>
      </c>
      <c r="F1207" s="27">
        <v>2</v>
      </c>
      <c r="G1207" s="28">
        <v>10.6226</v>
      </c>
    </row>
    <row r="1208" spans="1:7" x14ac:dyDescent="0.25">
      <c r="A1208" s="20" t="s">
        <v>595</v>
      </c>
      <c r="B1208" s="20" t="s">
        <v>1005</v>
      </c>
      <c r="C1208" s="20" t="s">
        <v>1005</v>
      </c>
      <c r="D1208" s="20" t="s">
        <v>967</v>
      </c>
      <c r="E1208" s="27">
        <v>1</v>
      </c>
      <c r="F1208" s="27">
        <v>1</v>
      </c>
      <c r="G1208" s="29">
        <v>24.17606</v>
      </c>
    </row>
    <row r="1209" spans="1:7" x14ac:dyDescent="0.25">
      <c r="A1209" s="20" t="s">
        <v>595</v>
      </c>
      <c r="B1209" s="20" t="s">
        <v>1006</v>
      </c>
      <c r="C1209" s="20" t="s">
        <v>1006</v>
      </c>
      <c r="D1209" s="20" t="s">
        <v>967</v>
      </c>
      <c r="E1209" s="27">
        <v>8</v>
      </c>
      <c r="F1209" s="27">
        <v>8</v>
      </c>
      <c r="G1209" s="28">
        <v>3.4200000000000001E-2</v>
      </c>
    </row>
    <row r="1210" spans="1:7" x14ac:dyDescent="0.25">
      <c r="A1210" s="20" t="s">
        <v>595</v>
      </c>
      <c r="B1210" s="20" t="s">
        <v>1007</v>
      </c>
      <c r="C1210" s="20" t="s">
        <v>1007</v>
      </c>
      <c r="D1210" s="20" t="s">
        <v>967</v>
      </c>
      <c r="E1210" s="27">
        <v>2</v>
      </c>
      <c r="F1210" s="27">
        <v>2</v>
      </c>
      <c r="G1210" s="29">
        <v>1.09711</v>
      </c>
    </row>
    <row r="1211" spans="1:7" x14ac:dyDescent="0.25">
      <c r="A1211" s="20" t="s">
        <v>595</v>
      </c>
      <c r="B1211" s="20" t="s">
        <v>1008</v>
      </c>
      <c r="C1211" s="20" t="s">
        <v>1008</v>
      </c>
      <c r="D1211" s="20" t="s">
        <v>967</v>
      </c>
      <c r="E1211" s="27">
        <v>4</v>
      </c>
      <c r="F1211" s="27">
        <v>4</v>
      </c>
      <c r="G1211" s="29">
        <v>9.776E-2</v>
      </c>
    </row>
    <row r="1212" spans="1:7" ht="22.5" x14ac:dyDescent="0.25">
      <c r="A1212" s="20" t="s">
        <v>620</v>
      </c>
      <c r="B1212" s="20" t="s">
        <v>1009</v>
      </c>
      <c r="C1212" s="20" t="s">
        <v>279</v>
      </c>
      <c r="D1212" s="20" t="s">
        <v>967</v>
      </c>
      <c r="E1212" s="27">
        <v>4</v>
      </c>
      <c r="F1212" s="27">
        <v>4</v>
      </c>
      <c r="G1212" s="28">
        <v>6.4999999999999997E-3</v>
      </c>
    </row>
    <row r="1213" spans="1:7" ht="22.5" x14ac:dyDescent="0.25">
      <c r="A1213" s="20" t="s">
        <v>620</v>
      </c>
      <c r="B1213" s="20" t="s">
        <v>999</v>
      </c>
      <c r="C1213" s="20" t="s">
        <v>276</v>
      </c>
      <c r="D1213" s="20" t="s">
        <v>967</v>
      </c>
      <c r="E1213" s="27">
        <v>16</v>
      </c>
      <c r="F1213" s="27">
        <v>16</v>
      </c>
      <c r="G1213" s="28">
        <v>7.3000000000000001E-3</v>
      </c>
    </row>
    <row r="1214" spans="1:7" ht="22.5" x14ac:dyDescent="0.25">
      <c r="A1214" s="20" t="s">
        <v>620</v>
      </c>
      <c r="B1214" s="20" t="s">
        <v>622</v>
      </c>
      <c r="C1214" s="20" t="s">
        <v>256</v>
      </c>
      <c r="D1214" s="20" t="s">
        <v>967</v>
      </c>
      <c r="E1214" s="27">
        <v>8</v>
      </c>
      <c r="F1214" s="27">
        <v>8</v>
      </c>
      <c r="G1214" s="28">
        <v>1.52E-2</v>
      </c>
    </row>
    <row r="1215" spans="1:7" ht="22.5" x14ac:dyDescent="0.25">
      <c r="A1215" s="20" t="s">
        <v>620</v>
      </c>
      <c r="B1215" s="20" t="s">
        <v>1010</v>
      </c>
      <c r="C1215" s="20" t="s">
        <v>278</v>
      </c>
      <c r="D1215" s="20" t="s">
        <v>967</v>
      </c>
      <c r="E1215" s="27">
        <v>32</v>
      </c>
      <c r="F1215" s="27">
        <v>32</v>
      </c>
      <c r="G1215" s="29">
        <v>1.2199999999999999E-3</v>
      </c>
    </row>
    <row r="1216" spans="1:7" ht="22.5" x14ac:dyDescent="0.25">
      <c r="A1216" s="20" t="s">
        <v>620</v>
      </c>
      <c r="B1216" s="20" t="s">
        <v>1002</v>
      </c>
      <c r="C1216" s="20" t="s">
        <v>273</v>
      </c>
      <c r="D1216" s="20" t="s">
        <v>967</v>
      </c>
      <c r="E1216" s="27">
        <v>32</v>
      </c>
      <c r="F1216" s="27">
        <v>32</v>
      </c>
      <c r="G1216" s="28">
        <v>8.0000000000000004E-4</v>
      </c>
    </row>
    <row r="1217" spans="1:7" ht="22.5" x14ac:dyDescent="0.25">
      <c r="A1217" s="20" t="s">
        <v>620</v>
      </c>
      <c r="B1217" s="20" t="s">
        <v>871</v>
      </c>
      <c r="C1217" s="20" t="s">
        <v>266</v>
      </c>
      <c r="D1217" s="20" t="s">
        <v>967</v>
      </c>
      <c r="E1217" s="27">
        <v>17</v>
      </c>
      <c r="F1217" s="27">
        <v>17</v>
      </c>
      <c r="G1217" s="28">
        <v>3.3E-3</v>
      </c>
    </row>
    <row r="1218" spans="1:7" ht="22.5" x14ac:dyDescent="0.25">
      <c r="A1218" s="20" t="s">
        <v>620</v>
      </c>
      <c r="B1218" s="20" t="s">
        <v>625</v>
      </c>
      <c r="C1218" s="20" t="s">
        <v>219</v>
      </c>
      <c r="D1218" s="20" t="s">
        <v>967</v>
      </c>
      <c r="E1218" s="27">
        <v>8</v>
      </c>
      <c r="F1218" s="27">
        <v>8</v>
      </c>
      <c r="G1218" s="29">
        <v>7.1399999999999996E-3</v>
      </c>
    </row>
    <row r="1219" spans="1:7" ht="22.5" x14ac:dyDescent="0.25">
      <c r="A1219" s="20" t="s">
        <v>620</v>
      </c>
      <c r="B1219" s="20" t="s">
        <v>140</v>
      </c>
      <c r="C1219" s="20" t="s">
        <v>140</v>
      </c>
      <c r="D1219" s="20" t="s">
        <v>967</v>
      </c>
      <c r="E1219" s="27">
        <v>8</v>
      </c>
      <c r="F1219" s="27">
        <v>8</v>
      </c>
      <c r="G1219" s="29">
        <v>1.6900000000000001E-3</v>
      </c>
    </row>
    <row r="1220" spans="1:7" ht="22.5" x14ac:dyDescent="0.25">
      <c r="A1220" s="20" t="s">
        <v>620</v>
      </c>
      <c r="B1220" s="20" t="s">
        <v>1003</v>
      </c>
      <c r="C1220" s="20" t="s">
        <v>272</v>
      </c>
      <c r="D1220" s="20" t="s">
        <v>967</v>
      </c>
      <c r="E1220" s="27">
        <v>32</v>
      </c>
      <c r="F1220" s="27">
        <v>32</v>
      </c>
      <c r="G1220" s="29">
        <v>1.2999999999999999E-4</v>
      </c>
    </row>
    <row r="1221" spans="1:7" ht="22.5" x14ac:dyDescent="0.25">
      <c r="A1221" s="20" t="s">
        <v>620</v>
      </c>
      <c r="B1221" s="20" t="s">
        <v>1011</v>
      </c>
      <c r="C1221" s="20" t="s">
        <v>280</v>
      </c>
      <c r="D1221" s="20" t="s">
        <v>967</v>
      </c>
      <c r="E1221" s="27">
        <v>8</v>
      </c>
      <c r="F1221" s="27">
        <v>8</v>
      </c>
      <c r="G1221" s="29">
        <v>4.2999999999999999E-4</v>
      </c>
    </row>
    <row r="1222" spans="1:7" ht="22.5" x14ac:dyDescent="0.25">
      <c r="A1222" s="20" t="s">
        <v>620</v>
      </c>
      <c r="B1222" s="20" t="s">
        <v>212</v>
      </c>
      <c r="C1222" s="20" t="s">
        <v>212</v>
      </c>
      <c r="D1222" s="20" t="s">
        <v>967</v>
      </c>
      <c r="E1222" s="27">
        <v>8</v>
      </c>
      <c r="F1222" s="27">
        <v>8</v>
      </c>
      <c r="G1222" s="29">
        <v>6.9999999999999994E-5</v>
      </c>
    </row>
    <row r="1223" spans="1:7" x14ac:dyDescent="0.25">
      <c r="A1223" s="20" t="s">
        <v>597</v>
      </c>
      <c r="B1223" s="20" t="s">
        <v>14</v>
      </c>
      <c r="C1223" s="20" t="s">
        <v>14</v>
      </c>
      <c r="D1223" s="20" t="s">
        <v>967</v>
      </c>
      <c r="E1223" s="27">
        <v>2</v>
      </c>
      <c r="F1223" s="27">
        <v>2</v>
      </c>
      <c r="G1223" s="29">
        <v>0.36993999999999999</v>
      </c>
    </row>
    <row r="1224" spans="1:7" x14ac:dyDescent="0.25">
      <c r="A1224" s="20" t="s">
        <v>597</v>
      </c>
      <c r="B1224" s="20" t="s">
        <v>15</v>
      </c>
      <c r="C1224" s="20" t="s">
        <v>15</v>
      </c>
      <c r="D1224" s="20" t="s">
        <v>967</v>
      </c>
      <c r="E1224" s="27">
        <v>4</v>
      </c>
      <c r="F1224" s="27">
        <v>4</v>
      </c>
      <c r="G1224" s="29">
        <v>5.6570000000000002E-2</v>
      </c>
    </row>
    <row r="1225" spans="1:7" x14ac:dyDescent="0.25">
      <c r="A1225" s="20" t="s">
        <v>597</v>
      </c>
      <c r="B1225" s="20" t="s">
        <v>16</v>
      </c>
      <c r="C1225" s="20" t="s">
        <v>16</v>
      </c>
      <c r="D1225" s="20" t="s">
        <v>967</v>
      </c>
      <c r="E1225" s="27">
        <v>4</v>
      </c>
      <c r="F1225" s="27">
        <v>4</v>
      </c>
      <c r="G1225" s="29">
        <v>2.0840000000000001E-2</v>
      </c>
    </row>
    <row r="1226" spans="1:7" x14ac:dyDescent="0.25">
      <c r="A1226" s="20" t="s">
        <v>597</v>
      </c>
      <c r="B1226" s="20" t="s">
        <v>148</v>
      </c>
      <c r="C1226" s="20" t="s">
        <v>148</v>
      </c>
      <c r="D1226" s="20" t="s">
        <v>967</v>
      </c>
      <c r="E1226" s="25">
        <v>5.72</v>
      </c>
      <c r="F1226" s="25">
        <v>5.72</v>
      </c>
      <c r="G1226" s="22"/>
    </row>
    <row r="1227" spans="1:7" x14ac:dyDescent="0.25">
      <c r="A1227" s="20" t="s">
        <v>588</v>
      </c>
      <c r="B1227" s="20" t="s">
        <v>130</v>
      </c>
      <c r="C1227" s="20" t="s">
        <v>130</v>
      </c>
      <c r="D1227" s="20" t="s">
        <v>1005</v>
      </c>
      <c r="E1227" s="26">
        <v>48.285829999999997</v>
      </c>
      <c r="F1227" s="26">
        <v>48.285829999999997</v>
      </c>
      <c r="G1227" s="22"/>
    </row>
    <row r="1228" spans="1:7" x14ac:dyDescent="0.25">
      <c r="A1228" s="20" t="s">
        <v>588</v>
      </c>
      <c r="B1228" s="20" t="s">
        <v>130</v>
      </c>
      <c r="C1228" s="20" t="s">
        <v>130</v>
      </c>
      <c r="D1228" s="20" t="s">
        <v>1006</v>
      </c>
      <c r="E1228" s="26">
        <v>4.333E-2</v>
      </c>
      <c r="F1228" s="26">
        <v>1.5598799999999999</v>
      </c>
      <c r="G1228" s="22"/>
    </row>
    <row r="1229" spans="1:7" x14ac:dyDescent="0.25">
      <c r="A1229" s="20" t="s">
        <v>588</v>
      </c>
      <c r="B1229" s="20" t="s">
        <v>130</v>
      </c>
      <c r="C1229" s="20" t="s">
        <v>130</v>
      </c>
      <c r="D1229" s="20" t="s">
        <v>1007</v>
      </c>
      <c r="E1229" s="26">
        <v>1.2570399999999999</v>
      </c>
      <c r="F1229" s="26">
        <v>13.827439999999999</v>
      </c>
      <c r="G1229" s="22"/>
    </row>
    <row r="1230" spans="1:7" x14ac:dyDescent="0.25">
      <c r="A1230" s="20" t="s">
        <v>588</v>
      </c>
      <c r="B1230" s="20" t="s">
        <v>130</v>
      </c>
      <c r="C1230" s="20" t="s">
        <v>130</v>
      </c>
      <c r="D1230" s="20" t="s">
        <v>1012</v>
      </c>
      <c r="E1230" s="26">
        <v>6.1039999999999997E-2</v>
      </c>
      <c r="F1230" s="26">
        <v>0.36624000000000001</v>
      </c>
      <c r="G1230" s="22"/>
    </row>
    <row r="1231" spans="1:7" x14ac:dyDescent="0.25">
      <c r="A1231" s="20" t="s">
        <v>588</v>
      </c>
      <c r="B1231" s="20" t="s">
        <v>131</v>
      </c>
      <c r="C1231" s="20" t="s">
        <v>131</v>
      </c>
      <c r="D1231" s="20" t="s">
        <v>1008</v>
      </c>
      <c r="E1231" s="26">
        <v>0.11869</v>
      </c>
      <c r="F1231" s="26">
        <v>1.8990400000000001</v>
      </c>
      <c r="G1231" s="22"/>
    </row>
    <row r="1232" spans="1:7" x14ac:dyDescent="0.25">
      <c r="A1232" s="20" t="s">
        <v>595</v>
      </c>
      <c r="B1232" s="20" t="s">
        <v>1013</v>
      </c>
      <c r="C1232" s="20" t="s">
        <v>1013</v>
      </c>
      <c r="D1232" s="20" t="s">
        <v>1004</v>
      </c>
      <c r="E1232" s="27">
        <v>1</v>
      </c>
      <c r="F1232" s="27">
        <v>6</v>
      </c>
      <c r="G1232" s="29">
        <v>10.44234</v>
      </c>
    </row>
    <row r="1233" spans="1:7" x14ac:dyDescent="0.25">
      <c r="A1233" s="20" t="s">
        <v>595</v>
      </c>
      <c r="B1233" s="20" t="s">
        <v>1014</v>
      </c>
      <c r="C1233" s="20" t="s">
        <v>1014</v>
      </c>
      <c r="D1233" s="20" t="s">
        <v>1004</v>
      </c>
      <c r="E1233" s="27">
        <v>1</v>
      </c>
      <c r="F1233" s="27">
        <v>6</v>
      </c>
      <c r="G1233" s="29">
        <v>7.9399999999999991E-3</v>
      </c>
    </row>
    <row r="1234" spans="1:7" x14ac:dyDescent="0.25">
      <c r="A1234" s="20" t="s">
        <v>595</v>
      </c>
      <c r="B1234" s="20" t="s">
        <v>1015</v>
      </c>
      <c r="C1234" s="20" t="s">
        <v>1015</v>
      </c>
      <c r="D1234" s="20" t="s">
        <v>1004</v>
      </c>
      <c r="E1234" s="27">
        <v>1</v>
      </c>
      <c r="F1234" s="27">
        <v>6</v>
      </c>
      <c r="G1234" s="29">
        <v>0.16846</v>
      </c>
    </row>
    <row r="1235" spans="1:7" ht="22.5" x14ac:dyDescent="0.25">
      <c r="A1235" s="20" t="s">
        <v>620</v>
      </c>
      <c r="B1235" s="20" t="s">
        <v>1016</v>
      </c>
      <c r="C1235" s="20" t="s">
        <v>282</v>
      </c>
      <c r="D1235" s="20" t="s">
        <v>1004</v>
      </c>
      <c r="E1235" s="27">
        <v>4</v>
      </c>
      <c r="F1235" s="27">
        <v>24</v>
      </c>
      <c r="G1235" s="29">
        <v>3.9399999999999999E-3</v>
      </c>
    </row>
    <row r="1236" spans="1:7" ht="22.5" x14ac:dyDescent="0.25">
      <c r="A1236" s="20" t="s">
        <v>620</v>
      </c>
      <c r="B1236" s="20" t="s">
        <v>1017</v>
      </c>
      <c r="C1236" s="20" t="s">
        <v>281</v>
      </c>
      <c r="D1236" s="20" t="s">
        <v>1004</v>
      </c>
      <c r="E1236" s="27">
        <v>4</v>
      </c>
      <c r="F1236" s="27">
        <v>24</v>
      </c>
      <c r="G1236" s="28">
        <v>1.8E-3</v>
      </c>
    </row>
    <row r="1237" spans="1:7" x14ac:dyDescent="0.25">
      <c r="A1237" s="20" t="s">
        <v>588</v>
      </c>
      <c r="B1237" s="20" t="s">
        <v>130</v>
      </c>
      <c r="C1237" s="20" t="s">
        <v>130</v>
      </c>
      <c r="D1237" s="20" t="s">
        <v>1013</v>
      </c>
      <c r="E1237" s="26">
        <v>12.604150000000001</v>
      </c>
      <c r="F1237" s="32">
        <v>75.624899999999997</v>
      </c>
      <c r="G1237" s="22"/>
    </row>
    <row r="1238" spans="1:7" ht="22.5" x14ac:dyDescent="0.25">
      <c r="A1238" s="20" t="s">
        <v>588</v>
      </c>
      <c r="B1238" s="20" t="s">
        <v>142</v>
      </c>
      <c r="C1238" s="20" t="s">
        <v>142</v>
      </c>
      <c r="D1238" s="20" t="s">
        <v>1014</v>
      </c>
      <c r="E1238" s="32">
        <v>9.4999999999999998E-3</v>
      </c>
      <c r="F1238" s="24">
        <v>7.5999999999999998E-2</v>
      </c>
      <c r="G1238" s="22"/>
    </row>
    <row r="1239" spans="1:7" x14ac:dyDescent="0.25">
      <c r="A1239" s="20" t="s">
        <v>588</v>
      </c>
      <c r="B1239" s="20" t="s">
        <v>44</v>
      </c>
      <c r="C1239" s="20" t="s">
        <v>44</v>
      </c>
      <c r="D1239" s="20" t="s">
        <v>1015</v>
      </c>
      <c r="E1239" s="24">
        <v>4.0000000000000001E-3</v>
      </c>
      <c r="F1239" s="24">
        <v>3.2000000000000001E-2</v>
      </c>
      <c r="G1239" s="22"/>
    </row>
    <row r="1240" spans="1:7" x14ac:dyDescent="0.25">
      <c r="A1240" s="20" t="s">
        <v>588</v>
      </c>
      <c r="B1240" s="20" t="s">
        <v>120</v>
      </c>
      <c r="C1240" s="20" t="s">
        <v>120</v>
      </c>
      <c r="D1240" s="20" t="s">
        <v>1015</v>
      </c>
      <c r="E1240" s="26">
        <v>0.40836</v>
      </c>
      <c r="F1240" s="26">
        <v>3.26688</v>
      </c>
      <c r="G1240" s="22"/>
    </row>
    <row r="1241" spans="1:7" x14ac:dyDescent="0.25">
      <c r="A1241" s="20" t="s">
        <v>588</v>
      </c>
      <c r="B1241" s="20" t="s">
        <v>139</v>
      </c>
      <c r="C1241" s="20" t="s">
        <v>139</v>
      </c>
      <c r="D1241" s="20" t="s">
        <v>1015</v>
      </c>
      <c r="E1241" s="24">
        <v>1E-3</v>
      </c>
      <c r="F1241" s="24">
        <v>8.0000000000000002E-3</v>
      </c>
      <c r="G1241" s="22"/>
    </row>
    <row r="1242" spans="1:7" x14ac:dyDescent="0.25">
      <c r="A1242" s="20" t="s">
        <v>588</v>
      </c>
      <c r="B1242" s="20" t="s">
        <v>156</v>
      </c>
      <c r="C1242" s="20" t="s">
        <v>156</v>
      </c>
      <c r="D1242" s="20" t="s">
        <v>1015</v>
      </c>
      <c r="E1242" s="24">
        <v>1E-3</v>
      </c>
      <c r="F1242" s="24">
        <v>8.0000000000000002E-3</v>
      </c>
      <c r="G1242" s="22"/>
    </row>
    <row r="1243" spans="1:7" x14ac:dyDescent="0.25">
      <c r="A1243" s="20" t="s">
        <v>588</v>
      </c>
      <c r="B1243" s="20" t="s">
        <v>202</v>
      </c>
      <c r="C1243" s="20" t="s">
        <v>202</v>
      </c>
      <c r="D1243" s="20" t="s">
        <v>1015</v>
      </c>
      <c r="E1243" s="24">
        <v>3.0000000000000001E-3</v>
      </c>
      <c r="F1243" s="24">
        <v>2.4E-2</v>
      </c>
      <c r="G1243" s="22"/>
    </row>
    <row r="1244" spans="1:7" x14ac:dyDescent="0.25">
      <c r="A1244" s="20" t="s">
        <v>595</v>
      </c>
      <c r="B1244" s="20" t="s">
        <v>1018</v>
      </c>
      <c r="C1244" s="20" t="s">
        <v>1018</v>
      </c>
      <c r="D1244" s="20" t="s">
        <v>969</v>
      </c>
      <c r="E1244" s="27">
        <v>3</v>
      </c>
      <c r="F1244" s="27">
        <v>24</v>
      </c>
      <c r="G1244" s="29">
        <v>5.8900000000000003E-3</v>
      </c>
    </row>
    <row r="1245" spans="1:7" x14ac:dyDescent="0.25">
      <c r="A1245" s="20" t="s">
        <v>595</v>
      </c>
      <c r="B1245" s="20" t="s">
        <v>1019</v>
      </c>
      <c r="C1245" s="20" t="s">
        <v>1019</v>
      </c>
      <c r="D1245" s="20" t="s">
        <v>969</v>
      </c>
      <c r="E1245" s="27">
        <v>1</v>
      </c>
      <c r="F1245" s="27">
        <v>8</v>
      </c>
      <c r="G1245" s="29">
        <v>0.88463999999999998</v>
      </c>
    </row>
    <row r="1246" spans="1:7" x14ac:dyDescent="0.25">
      <c r="A1246" s="20" t="s">
        <v>595</v>
      </c>
      <c r="B1246" s="20" t="s">
        <v>1020</v>
      </c>
      <c r="C1246" s="20" t="s">
        <v>1020</v>
      </c>
      <c r="D1246" s="20" t="s">
        <v>969</v>
      </c>
      <c r="E1246" s="27">
        <v>1</v>
      </c>
      <c r="F1246" s="27">
        <v>8</v>
      </c>
      <c r="G1246" s="29">
        <v>4.9770000000000002E-2</v>
      </c>
    </row>
    <row r="1247" spans="1:7" ht="22.5" x14ac:dyDescent="0.25">
      <c r="A1247" s="20" t="s">
        <v>620</v>
      </c>
      <c r="B1247" s="20" t="s">
        <v>998</v>
      </c>
      <c r="C1247" s="20" t="s">
        <v>277</v>
      </c>
      <c r="D1247" s="20" t="s">
        <v>969</v>
      </c>
      <c r="E1247" s="27">
        <v>7</v>
      </c>
      <c r="F1247" s="27">
        <v>56</v>
      </c>
      <c r="G1247" s="29">
        <v>1.4599999999999999E-3</v>
      </c>
    </row>
    <row r="1248" spans="1:7" x14ac:dyDescent="0.25">
      <c r="A1248" s="20" t="s">
        <v>588</v>
      </c>
      <c r="B1248" s="20" t="s">
        <v>124</v>
      </c>
      <c r="C1248" s="20" t="s">
        <v>124</v>
      </c>
      <c r="D1248" s="20" t="s">
        <v>1018</v>
      </c>
      <c r="E1248" s="26">
        <v>7.1900000000000002E-3</v>
      </c>
      <c r="F1248" s="26">
        <v>0.17255999999999999</v>
      </c>
      <c r="G1248" s="22"/>
    </row>
    <row r="1249" spans="1:7" x14ac:dyDescent="0.25">
      <c r="A1249" s="20" t="s">
        <v>588</v>
      </c>
      <c r="B1249" s="20" t="s">
        <v>124</v>
      </c>
      <c r="C1249" s="20" t="s">
        <v>124</v>
      </c>
      <c r="D1249" s="20" t="s">
        <v>1019</v>
      </c>
      <c r="E1249" s="26">
        <v>1.36778</v>
      </c>
      <c r="F1249" s="26">
        <v>10.94224</v>
      </c>
      <c r="G1249" s="22"/>
    </row>
    <row r="1250" spans="1:7" x14ac:dyDescent="0.25">
      <c r="A1250" s="20" t="s">
        <v>588</v>
      </c>
      <c r="B1250" s="20" t="s">
        <v>124</v>
      </c>
      <c r="C1250" s="20" t="s">
        <v>124</v>
      </c>
      <c r="D1250" s="20" t="s">
        <v>1020</v>
      </c>
      <c r="E1250" s="26">
        <v>0.10174</v>
      </c>
      <c r="F1250" s="26">
        <v>0.81391999999999998</v>
      </c>
      <c r="G1250" s="22"/>
    </row>
    <row r="1251" spans="1:7" x14ac:dyDescent="0.25">
      <c r="A1251" s="20" t="s">
        <v>595</v>
      </c>
      <c r="B1251" s="20" t="s">
        <v>1021</v>
      </c>
      <c r="C1251" s="20" t="s">
        <v>1021</v>
      </c>
      <c r="D1251" s="20" t="s">
        <v>970</v>
      </c>
      <c r="E1251" s="27">
        <v>1</v>
      </c>
      <c r="F1251" s="27">
        <v>12</v>
      </c>
      <c r="G1251" s="29">
        <v>1.37768</v>
      </c>
    </row>
    <row r="1252" spans="1:7" ht="22.5" x14ac:dyDescent="0.25">
      <c r="A1252" s="20" t="s">
        <v>620</v>
      </c>
      <c r="B1252" s="20" t="s">
        <v>1022</v>
      </c>
      <c r="C1252" s="20" t="s">
        <v>283</v>
      </c>
      <c r="D1252" s="20" t="s">
        <v>970</v>
      </c>
      <c r="E1252" s="27">
        <v>2</v>
      </c>
      <c r="F1252" s="27">
        <v>24</v>
      </c>
      <c r="G1252" s="29">
        <v>8.9499999999999996E-3</v>
      </c>
    </row>
    <row r="1253" spans="1:7" ht="22.5" x14ac:dyDescent="0.25">
      <c r="A1253" s="20" t="s">
        <v>620</v>
      </c>
      <c r="B1253" s="20" t="s">
        <v>60</v>
      </c>
      <c r="C1253" s="20" t="s">
        <v>60</v>
      </c>
      <c r="D1253" s="20" t="s">
        <v>970</v>
      </c>
      <c r="E1253" s="27">
        <v>2</v>
      </c>
      <c r="F1253" s="27">
        <v>24</v>
      </c>
      <c r="G1253" s="29">
        <v>5.2300000000000003E-3</v>
      </c>
    </row>
    <row r="1254" spans="1:7" x14ac:dyDescent="0.25">
      <c r="A1254" s="20" t="s">
        <v>588</v>
      </c>
      <c r="B1254" s="20" t="s">
        <v>131</v>
      </c>
      <c r="C1254" s="20" t="s">
        <v>131</v>
      </c>
      <c r="D1254" s="20" t="s">
        <v>1021</v>
      </c>
      <c r="E1254" s="26">
        <v>1.6625399999999999</v>
      </c>
      <c r="F1254" s="26">
        <v>19.950479999999999</v>
      </c>
      <c r="G1254" s="22"/>
    </row>
    <row r="1255" spans="1:7" x14ac:dyDescent="0.25">
      <c r="A1255" s="20" t="s">
        <v>585</v>
      </c>
      <c r="B1255" s="20" t="s">
        <v>969</v>
      </c>
      <c r="C1255" s="20" t="s">
        <v>969</v>
      </c>
      <c r="D1255" s="20" t="s">
        <v>1023</v>
      </c>
      <c r="E1255" s="27">
        <v>1</v>
      </c>
      <c r="F1255" s="27">
        <v>4</v>
      </c>
      <c r="G1255" s="29">
        <v>0.96531999999999996</v>
      </c>
    </row>
    <row r="1256" spans="1:7" x14ac:dyDescent="0.25">
      <c r="A1256" s="20" t="s">
        <v>585</v>
      </c>
      <c r="B1256" s="20" t="s">
        <v>970</v>
      </c>
      <c r="C1256" s="20" t="s">
        <v>970</v>
      </c>
      <c r="D1256" s="20" t="s">
        <v>1023</v>
      </c>
      <c r="E1256" s="27">
        <v>2</v>
      </c>
      <c r="F1256" s="27">
        <v>8</v>
      </c>
      <c r="G1256" s="29">
        <v>1.3881399999999999</v>
      </c>
    </row>
    <row r="1257" spans="1:7" x14ac:dyDescent="0.25">
      <c r="A1257" s="20" t="s">
        <v>585</v>
      </c>
      <c r="B1257" s="20" t="s">
        <v>1024</v>
      </c>
      <c r="C1257" s="20" t="s">
        <v>1024</v>
      </c>
      <c r="D1257" s="20" t="s">
        <v>1023</v>
      </c>
      <c r="E1257" s="27">
        <v>1</v>
      </c>
      <c r="F1257" s="27">
        <v>4</v>
      </c>
      <c r="G1257" s="29">
        <v>47.093870000000003</v>
      </c>
    </row>
    <row r="1258" spans="1:7" x14ac:dyDescent="0.25">
      <c r="A1258" s="20" t="s">
        <v>595</v>
      </c>
      <c r="B1258" s="20" t="s">
        <v>974</v>
      </c>
      <c r="C1258" s="20" t="s">
        <v>974</v>
      </c>
      <c r="D1258" s="20" t="s">
        <v>1023</v>
      </c>
      <c r="E1258" s="27">
        <v>2</v>
      </c>
      <c r="F1258" s="27">
        <v>8</v>
      </c>
      <c r="G1258" s="29">
        <v>5.0034400000000003</v>
      </c>
    </row>
    <row r="1259" spans="1:7" x14ac:dyDescent="0.25">
      <c r="A1259" s="20" t="s">
        <v>595</v>
      </c>
      <c r="B1259" s="20" t="s">
        <v>975</v>
      </c>
      <c r="C1259" s="20" t="s">
        <v>975</v>
      </c>
      <c r="D1259" s="20" t="s">
        <v>1023</v>
      </c>
      <c r="E1259" s="27">
        <v>36</v>
      </c>
      <c r="F1259" s="27">
        <v>144</v>
      </c>
      <c r="G1259" s="29">
        <v>1.1076900000000001</v>
      </c>
    </row>
    <row r="1260" spans="1:7" x14ac:dyDescent="0.25">
      <c r="A1260" s="20" t="s">
        <v>595</v>
      </c>
      <c r="B1260" s="20" t="s">
        <v>979</v>
      </c>
      <c r="C1260" s="20" t="s">
        <v>979</v>
      </c>
      <c r="D1260" s="20" t="s">
        <v>1023</v>
      </c>
      <c r="E1260" s="27">
        <v>6</v>
      </c>
      <c r="F1260" s="27">
        <v>24</v>
      </c>
      <c r="G1260" s="29">
        <v>2.2768199999999998</v>
      </c>
    </row>
    <row r="1261" spans="1:7" x14ac:dyDescent="0.25">
      <c r="A1261" s="20" t="s">
        <v>595</v>
      </c>
      <c r="B1261" s="20" t="s">
        <v>981</v>
      </c>
      <c r="C1261" s="20" t="s">
        <v>981</v>
      </c>
      <c r="D1261" s="20" t="s">
        <v>1023</v>
      </c>
      <c r="E1261" s="27">
        <v>4</v>
      </c>
      <c r="F1261" s="27">
        <v>16</v>
      </c>
      <c r="G1261" s="29">
        <v>26.90352</v>
      </c>
    </row>
    <row r="1262" spans="1:7" x14ac:dyDescent="0.25">
      <c r="A1262" s="20" t="s">
        <v>595</v>
      </c>
      <c r="B1262" s="20" t="s">
        <v>982</v>
      </c>
      <c r="C1262" s="20" t="s">
        <v>982</v>
      </c>
      <c r="D1262" s="20" t="s">
        <v>1023</v>
      </c>
      <c r="E1262" s="27">
        <v>1</v>
      </c>
      <c r="F1262" s="27">
        <v>4</v>
      </c>
      <c r="G1262" s="29">
        <v>1.6249800000000001</v>
      </c>
    </row>
    <row r="1263" spans="1:7" x14ac:dyDescent="0.25">
      <c r="A1263" s="20" t="s">
        <v>595</v>
      </c>
      <c r="B1263" s="20" t="s">
        <v>983</v>
      </c>
      <c r="C1263" s="20" t="s">
        <v>983</v>
      </c>
      <c r="D1263" s="20" t="s">
        <v>1023</v>
      </c>
      <c r="E1263" s="27">
        <v>96</v>
      </c>
      <c r="F1263" s="27">
        <v>384</v>
      </c>
      <c r="G1263" s="29">
        <v>8.8010000000000005E-2</v>
      </c>
    </row>
    <row r="1264" spans="1:7" x14ac:dyDescent="0.25">
      <c r="A1264" s="20" t="s">
        <v>595</v>
      </c>
      <c r="B1264" s="20" t="s">
        <v>984</v>
      </c>
      <c r="C1264" s="20" t="s">
        <v>984</v>
      </c>
      <c r="D1264" s="20" t="s">
        <v>1023</v>
      </c>
      <c r="E1264" s="27">
        <v>12</v>
      </c>
      <c r="F1264" s="27">
        <v>48</v>
      </c>
      <c r="G1264" s="29">
        <v>5.5744800000000003</v>
      </c>
    </row>
    <row r="1265" spans="1:7" x14ac:dyDescent="0.25">
      <c r="A1265" s="20" t="s">
        <v>595</v>
      </c>
      <c r="B1265" s="20" t="s">
        <v>985</v>
      </c>
      <c r="C1265" s="20" t="s">
        <v>985</v>
      </c>
      <c r="D1265" s="20" t="s">
        <v>1023</v>
      </c>
      <c r="E1265" s="27">
        <v>2</v>
      </c>
      <c r="F1265" s="27">
        <v>8</v>
      </c>
      <c r="G1265" s="29">
        <v>5.4679999999999999E-2</v>
      </c>
    </row>
    <row r="1266" spans="1:7" x14ac:dyDescent="0.25">
      <c r="A1266" s="20" t="s">
        <v>595</v>
      </c>
      <c r="B1266" s="20" t="s">
        <v>988</v>
      </c>
      <c r="C1266" s="20" t="s">
        <v>988</v>
      </c>
      <c r="D1266" s="20" t="s">
        <v>1023</v>
      </c>
      <c r="E1266" s="27">
        <v>1</v>
      </c>
      <c r="F1266" s="27">
        <v>4</v>
      </c>
      <c r="G1266" s="29">
        <v>3.2065399999999999</v>
      </c>
    </row>
    <row r="1267" spans="1:7" x14ac:dyDescent="0.25">
      <c r="A1267" s="20" t="s">
        <v>595</v>
      </c>
      <c r="B1267" s="20" t="s">
        <v>996</v>
      </c>
      <c r="C1267" s="20" t="s">
        <v>996</v>
      </c>
      <c r="D1267" s="20" t="s">
        <v>1023</v>
      </c>
      <c r="E1267" s="27">
        <v>2</v>
      </c>
      <c r="F1267" s="27">
        <v>8</v>
      </c>
      <c r="G1267" s="29">
        <v>4.5624399999999996</v>
      </c>
    </row>
    <row r="1268" spans="1:7" x14ac:dyDescent="0.25">
      <c r="A1268" s="20" t="s">
        <v>595</v>
      </c>
      <c r="B1268" s="20" t="s">
        <v>997</v>
      </c>
      <c r="C1268" s="20" t="s">
        <v>997</v>
      </c>
      <c r="D1268" s="20" t="s">
        <v>1023</v>
      </c>
      <c r="E1268" s="27">
        <v>1</v>
      </c>
      <c r="F1268" s="27">
        <v>4</v>
      </c>
      <c r="G1268" s="29">
        <v>2.41317</v>
      </c>
    </row>
    <row r="1269" spans="1:7" x14ac:dyDescent="0.25">
      <c r="A1269" s="20" t="s">
        <v>595</v>
      </c>
      <c r="B1269" s="20" t="s">
        <v>1025</v>
      </c>
      <c r="C1269" s="20" t="s">
        <v>1025</v>
      </c>
      <c r="D1269" s="20" t="s">
        <v>1023</v>
      </c>
      <c r="E1269" s="27">
        <v>1</v>
      </c>
      <c r="F1269" s="27">
        <v>4</v>
      </c>
      <c r="G1269" s="29">
        <v>18.784520000000001</v>
      </c>
    </row>
    <row r="1270" spans="1:7" x14ac:dyDescent="0.25">
      <c r="A1270" s="20" t="s">
        <v>595</v>
      </c>
      <c r="B1270" s="20" t="s">
        <v>1026</v>
      </c>
      <c r="C1270" s="20" t="s">
        <v>1026</v>
      </c>
      <c r="D1270" s="20" t="s">
        <v>1023</v>
      </c>
      <c r="E1270" s="27">
        <v>1</v>
      </c>
      <c r="F1270" s="27">
        <v>4</v>
      </c>
      <c r="G1270" s="29">
        <v>6.7628199999999996</v>
      </c>
    </row>
    <row r="1271" spans="1:7" x14ac:dyDescent="0.25">
      <c r="A1271" s="20" t="s">
        <v>595</v>
      </c>
      <c r="B1271" s="20" t="s">
        <v>1027</v>
      </c>
      <c r="C1271" s="20" t="s">
        <v>1027</v>
      </c>
      <c r="D1271" s="20" t="s">
        <v>1023</v>
      </c>
      <c r="E1271" s="27">
        <v>1</v>
      </c>
      <c r="F1271" s="27">
        <v>4</v>
      </c>
      <c r="G1271" s="29">
        <v>18.802420000000001</v>
      </c>
    </row>
    <row r="1272" spans="1:7" x14ac:dyDescent="0.25">
      <c r="A1272" s="20" t="s">
        <v>595</v>
      </c>
      <c r="B1272" s="20" t="s">
        <v>1028</v>
      </c>
      <c r="C1272" s="20" t="s">
        <v>1028</v>
      </c>
      <c r="D1272" s="20" t="s">
        <v>1023</v>
      </c>
      <c r="E1272" s="27">
        <v>1</v>
      </c>
      <c r="F1272" s="27">
        <v>4</v>
      </c>
      <c r="G1272" s="29">
        <v>5.7001499999999998</v>
      </c>
    </row>
    <row r="1273" spans="1:7" x14ac:dyDescent="0.25">
      <c r="A1273" s="20" t="s">
        <v>595</v>
      </c>
      <c r="B1273" s="20" t="s">
        <v>1029</v>
      </c>
      <c r="C1273" s="20" t="s">
        <v>1029</v>
      </c>
      <c r="D1273" s="20" t="s">
        <v>1023</v>
      </c>
      <c r="E1273" s="27">
        <v>1</v>
      </c>
      <c r="F1273" s="27">
        <v>4</v>
      </c>
      <c r="G1273" s="29">
        <v>5.7001499999999998</v>
      </c>
    </row>
    <row r="1274" spans="1:7" x14ac:dyDescent="0.25">
      <c r="A1274" s="20" t="s">
        <v>595</v>
      </c>
      <c r="B1274" s="20" t="s">
        <v>1030</v>
      </c>
      <c r="C1274" s="20" t="s">
        <v>1030</v>
      </c>
      <c r="D1274" s="20" t="s">
        <v>1023</v>
      </c>
      <c r="E1274" s="27">
        <v>1</v>
      </c>
      <c r="F1274" s="27">
        <v>4</v>
      </c>
      <c r="G1274" s="29">
        <v>12.73462</v>
      </c>
    </row>
    <row r="1275" spans="1:7" x14ac:dyDescent="0.25">
      <c r="A1275" s="20" t="s">
        <v>595</v>
      </c>
      <c r="B1275" s="20" t="s">
        <v>1031</v>
      </c>
      <c r="C1275" s="20" t="s">
        <v>1031</v>
      </c>
      <c r="D1275" s="20" t="s">
        <v>1023</v>
      </c>
      <c r="E1275" s="27">
        <v>1</v>
      </c>
      <c r="F1275" s="27">
        <v>4</v>
      </c>
      <c r="G1275" s="29">
        <v>7.4151100000000003</v>
      </c>
    </row>
    <row r="1276" spans="1:7" x14ac:dyDescent="0.25">
      <c r="A1276" s="20" t="s">
        <v>595</v>
      </c>
      <c r="B1276" s="20" t="s">
        <v>1032</v>
      </c>
      <c r="C1276" s="20" t="s">
        <v>1032</v>
      </c>
      <c r="D1276" s="20" t="s">
        <v>1023</v>
      </c>
      <c r="E1276" s="27">
        <v>1</v>
      </c>
      <c r="F1276" s="27">
        <v>4</v>
      </c>
      <c r="G1276" s="29">
        <v>21.607769999999999</v>
      </c>
    </row>
    <row r="1277" spans="1:7" x14ac:dyDescent="0.25">
      <c r="A1277" s="20" t="s">
        <v>595</v>
      </c>
      <c r="B1277" s="20" t="s">
        <v>1033</v>
      </c>
      <c r="C1277" s="20" t="s">
        <v>1033</v>
      </c>
      <c r="D1277" s="20" t="s">
        <v>1023</v>
      </c>
      <c r="E1277" s="27">
        <v>1</v>
      </c>
      <c r="F1277" s="27">
        <v>4</v>
      </c>
      <c r="G1277" s="29">
        <v>21.622119999999999</v>
      </c>
    </row>
    <row r="1278" spans="1:7" x14ac:dyDescent="0.25">
      <c r="A1278" s="20" t="s">
        <v>595</v>
      </c>
      <c r="B1278" s="20" t="s">
        <v>1034</v>
      </c>
      <c r="C1278" s="20" t="s">
        <v>1034</v>
      </c>
      <c r="D1278" s="20" t="s">
        <v>1023</v>
      </c>
      <c r="E1278" s="27">
        <v>12</v>
      </c>
      <c r="F1278" s="27">
        <v>48</v>
      </c>
      <c r="G1278" s="28">
        <v>14.3817</v>
      </c>
    </row>
    <row r="1279" spans="1:7" x14ac:dyDescent="0.25">
      <c r="A1279" s="20" t="s">
        <v>595</v>
      </c>
      <c r="B1279" s="20" t="s">
        <v>1035</v>
      </c>
      <c r="C1279" s="20" t="s">
        <v>1035</v>
      </c>
      <c r="D1279" s="20" t="s">
        <v>1023</v>
      </c>
      <c r="E1279" s="27">
        <v>5</v>
      </c>
      <c r="F1279" s="27">
        <v>20</v>
      </c>
      <c r="G1279" s="29">
        <v>24.96865</v>
      </c>
    </row>
    <row r="1280" spans="1:7" x14ac:dyDescent="0.25">
      <c r="A1280" s="20" t="s">
        <v>595</v>
      </c>
      <c r="B1280" s="20" t="s">
        <v>1036</v>
      </c>
      <c r="C1280" s="20" t="s">
        <v>1036</v>
      </c>
      <c r="D1280" s="20" t="s">
        <v>1023</v>
      </c>
      <c r="E1280" s="27">
        <v>5</v>
      </c>
      <c r="F1280" s="27">
        <v>20</v>
      </c>
      <c r="G1280" s="29">
        <v>24.96865</v>
      </c>
    </row>
    <row r="1281" spans="1:7" x14ac:dyDescent="0.25">
      <c r="A1281" s="20" t="s">
        <v>595</v>
      </c>
      <c r="B1281" s="20" t="s">
        <v>1037</v>
      </c>
      <c r="C1281" s="20" t="s">
        <v>1037</v>
      </c>
      <c r="D1281" s="20" t="s">
        <v>1023</v>
      </c>
      <c r="E1281" s="27">
        <v>2</v>
      </c>
      <c r="F1281" s="27">
        <v>8</v>
      </c>
      <c r="G1281" s="29">
        <v>6.8238799999999999</v>
      </c>
    </row>
    <row r="1282" spans="1:7" x14ac:dyDescent="0.25">
      <c r="A1282" s="20" t="s">
        <v>595</v>
      </c>
      <c r="B1282" s="20" t="s">
        <v>1038</v>
      </c>
      <c r="C1282" s="20" t="s">
        <v>1038</v>
      </c>
      <c r="D1282" s="20" t="s">
        <v>1023</v>
      </c>
      <c r="E1282" s="27">
        <v>2</v>
      </c>
      <c r="F1282" s="27">
        <v>8</v>
      </c>
      <c r="G1282" s="29">
        <v>6.8238799999999999</v>
      </c>
    </row>
    <row r="1283" spans="1:7" x14ac:dyDescent="0.25">
      <c r="A1283" s="20" t="s">
        <v>595</v>
      </c>
      <c r="B1283" s="20" t="s">
        <v>1039</v>
      </c>
      <c r="C1283" s="20" t="s">
        <v>1039</v>
      </c>
      <c r="D1283" s="20" t="s">
        <v>1023</v>
      </c>
      <c r="E1283" s="27">
        <v>1</v>
      </c>
      <c r="F1283" s="27">
        <v>4</v>
      </c>
      <c r="G1283" s="29">
        <v>18.373249999999999</v>
      </c>
    </row>
    <row r="1284" spans="1:7" x14ac:dyDescent="0.25">
      <c r="A1284" s="20" t="s">
        <v>595</v>
      </c>
      <c r="B1284" s="20" t="s">
        <v>1040</v>
      </c>
      <c r="C1284" s="20" t="s">
        <v>1040</v>
      </c>
      <c r="D1284" s="20" t="s">
        <v>1023</v>
      </c>
      <c r="E1284" s="27">
        <v>1</v>
      </c>
      <c r="F1284" s="27">
        <v>4</v>
      </c>
      <c r="G1284" s="29">
        <v>18.371729999999999</v>
      </c>
    </row>
    <row r="1285" spans="1:7" ht="22.5" x14ac:dyDescent="0.25">
      <c r="A1285" s="20" t="s">
        <v>620</v>
      </c>
      <c r="B1285" s="20" t="s">
        <v>998</v>
      </c>
      <c r="C1285" s="20" t="s">
        <v>277</v>
      </c>
      <c r="D1285" s="20" t="s">
        <v>1023</v>
      </c>
      <c r="E1285" s="27">
        <v>8</v>
      </c>
      <c r="F1285" s="27">
        <v>32</v>
      </c>
      <c r="G1285" s="29">
        <v>1.4599999999999999E-3</v>
      </c>
    </row>
    <row r="1286" spans="1:7" ht="22.5" x14ac:dyDescent="0.25">
      <c r="A1286" s="20" t="s">
        <v>620</v>
      </c>
      <c r="B1286" s="20" t="s">
        <v>999</v>
      </c>
      <c r="C1286" s="20" t="s">
        <v>276</v>
      </c>
      <c r="D1286" s="20" t="s">
        <v>1023</v>
      </c>
      <c r="E1286" s="27">
        <v>4</v>
      </c>
      <c r="F1286" s="27">
        <v>16</v>
      </c>
      <c r="G1286" s="28">
        <v>7.3000000000000001E-3</v>
      </c>
    </row>
    <row r="1287" spans="1:7" ht="22.5" x14ac:dyDescent="0.25">
      <c r="A1287" s="20" t="s">
        <v>620</v>
      </c>
      <c r="B1287" s="20" t="s">
        <v>622</v>
      </c>
      <c r="C1287" s="20" t="s">
        <v>256</v>
      </c>
      <c r="D1287" s="20" t="s">
        <v>1023</v>
      </c>
      <c r="E1287" s="30">
        <v>2280</v>
      </c>
      <c r="F1287" s="30">
        <v>9120</v>
      </c>
      <c r="G1287" s="28">
        <v>1.52E-2</v>
      </c>
    </row>
    <row r="1288" spans="1:7" ht="22.5" x14ac:dyDescent="0.25">
      <c r="A1288" s="20" t="s">
        <v>620</v>
      </c>
      <c r="B1288" s="20" t="s">
        <v>1000</v>
      </c>
      <c r="C1288" s="20" t="s">
        <v>275</v>
      </c>
      <c r="D1288" s="20" t="s">
        <v>1023</v>
      </c>
      <c r="E1288" s="27">
        <v>2</v>
      </c>
      <c r="F1288" s="27">
        <v>8</v>
      </c>
      <c r="G1288" s="29">
        <v>1.99E-3</v>
      </c>
    </row>
    <row r="1289" spans="1:7" ht="22.5" x14ac:dyDescent="0.25">
      <c r="A1289" s="20" t="s">
        <v>620</v>
      </c>
      <c r="B1289" s="20" t="s">
        <v>1001</v>
      </c>
      <c r="C1289" s="20" t="s">
        <v>274</v>
      </c>
      <c r="D1289" s="20" t="s">
        <v>1023</v>
      </c>
      <c r="E1289" s="27">
        <v>395</v>
      </c>
      <c r="F1289" s="30">
        <v>1580</v>
      </c>
      <c r="G1289" s="29">
        <v>9.5300000000000003E-3</v>
      </c>
    </row>
    <row r="1290" spans="1:7" ht="22.5" x14ac:dyDescent="0.25">
      <c r="A1290" s="20" t="s">
        <v>620</v>
      </c>
      <c r="B1290" s="20" t="s">
        <v>1002</v>
      </c>
      <c r="C1290" s="20" t="s">
        <v>273</v>
      </c>
      <c r="D1290" s="20" t="s">
        <v>1023</v>
      </c>
      <c r="E1290" s="27">
        <v>2</v>
      </c>
      <c r="F1290" s="27">
        <v>8</v>
      </c>
      <c r="G1290" s="28">
        <v>8.0000000000000004E-4</v>
      </c>
    </row>
    <row r="1291" spans="1:7" ht="22.5" x14ac:dyDescent="0.25">
      <c r="A1291" s="20" t="s">
        <v>620</v>
      </c>
      <c r="B1291" s="20" t="s">
        <v>871</v>
      </c>
      <c r="C1291" s="20" t="s">
        <v>266</v>
      </c>
      <c r="D1291" s="20" t="s">
        <v>1023</v>
      </c>
      <c r="E1291" s="27">
        <v>4</v>
      </c>
      <c r="F1291" s="27">
        <v>16</v>
      </c>
      <c r="G1291" s="28">
        <v>3.3E-3</v>
      </c>
    </row>
    <row r="1292" spans="1:7" ht="22.5" x14ac:dyDescent="0.25">
      <c r="A1292" s="20" t="s">
        <v>620</v>
      </c>
      <c r="B1292" s="20" t="s">
        <v>625</v>
      </c>
      <c r="C1292" s="20" t="s">
        <v>219</v>
      </c>
      <c r="D1292" s="20" t="s">
        <v>1023</v>
      </c>
      <c r="E1292" s="30">
        <v>2675</v>
      </c>
      <c r="F1292" s="30">
        <v>10700</v>
      </c>
      <c r="G1292" s="29">
        <v>7.1399999999999996E-3</v>
      </c>
    </row>
    <row r="1293" spans="1:7" ht="22.5" x14ac:dyDescent="0.25">
      <c r="A1293" s="20" t="s">
        <v>620</v>
      </c>
      <c r="B1293" s="20" t="s">
        <v>1003</v>
      </c>
      <c r="C1293" s="20" t="s">
        <v>272</v>
      </c>
      <c r="D1293" s="20" t="s">
        <v>1023</v>
      </c>
      <c r="E1293" s="27">
        <v>2</v>
      </c>
      <c r="F1293" s="27">
        <v>8</v>
      </c>
      <c r="G1293" s="29">
        <v>1.2999999999999999E-4</v>
      </c>
    </row>
    <row r="1294" spans="1:7" x14ac:dyDescent="0.25">
      <c r="A1294" s="20" t="s">
        <v>586</v>
      </c>
      <c r="B1294" s="20" t="s">
        <v>637</v>
      </c>
      <c r="C1294" s="20" t="s">
        <v>637</v>
      </c>
      <c r="D1294" s="20" t="s">
        <v>1023</v>
      </c>
      <c r="E1294" s="27">
        <v>1</v>
      </c>
      <c r="F1294" s="27">
        <v>4</v>
      </c>
      <c r="G1294" s="22"/>
    </row>
    <row r="1295" spans="1:7" x14ac:dyDescent="0.25">
      <c r="A1295" s="20" t="s">
        <v>588</v>
      </c>
      <c r="B1295" s="20" t="s">
        <v>128</v>
      </c>
      <c r="C1295" s="20" t="s">
        <v>128</v>
      </c>
      <c r="D1295" s="20" t="s">
        <v>1025</v>
      </c>
      <c r="E1295" s="26">
        <v>22.719539999999999</v>
      </c>
      <c r="F1295" s="32">
        <v>113.5977</v>
      </c>
      <c r="G1295" s="22"/>
    </row>
    <row r="1296" spans="1:7" x14ac:dyDescent="0.25">
      <c r="A1296" s="20" t="s">
        <v>588</v>
      </c>
      <c r="B1296" s="20" t="s">
        <v>128</v>
      </c>
      <c r="C1296" s="20" t="s">
        <v>128</v>
      </c>
      <c r="D1296" s="20" t="s">
        <v>1026</v>
      </c>
      <c r="E1296" s="26">
        <v>8.1958500000000001</v>
      </c>
      <c r="F1296" s="32">
        <v>32.7834</v>
      </c>
      <c r="G1296" s="22"/>
    </row>
    <row r="1297" spans="1:7" x14ac:dyDescent="0.25">
      <c r="A1297" s="20" t="s">
        <v>588</v>
      </c>
      <c r="B1297" s="20" t="s">
        <v>128</v>
      </c>
      <c r="C1297" s="20" t="s">
        <v>128</v>
      </c>
      <c r="D1297" s="20" t="s">
        <v>1027</v>
      </c>
      <c r="E1297" s="26">
        <v>22.719539999999999</v>
      </c>
      <c r="F1297" s="32">
        <v>113.5977</v>
      </c>
      <c r="G1297" s="22"/>
    </row>
    <row r="1298" spans="1:7" x14ac:dyDescent="0.25">
      <c r="A1298" s="20" t="s">
        <v>588</v>
      </c>
      <c r="B1298" s="20" t="s">
        <v>131</v>
      </c>
      <c r="C1298" s="20" t="s">
        <v>131</v>
      </c>
      <c r="D1298" s="20" t="s">
        <v>1028</v>
      </c>
      <c r="E1298" s="26">
        <v>6.8784799999999997</v>
      </c>
      <c r="F1298" s="32">
        <v>34.392400000000002</v>
      </c>
      <c r="G1298" s="22"/>
    </row>
    <row r="1299" spans="1:7" x14ac:dyDescent="0.25">
      <c r="A1299" s="20" t="s">
        <v>588</v>
      </c>
      <c r="B1299" s="20" t="s">
        <v>131</v>
      </c>
      <c r="C1299" s="20" t="s">
        <v>131</v>
      </c>
      <c r="D1299" s="20" t="s">
        <v>1029</v>
      </c>
      <c r="E1299" s="26">
        <v>6.8784799999999997</v>
      </c>
      <c r="F1299" s="32">
        <v>34.392400000000002</v>
      </c>
      <c r="G1299" s="22"/>
    </row>
    <row r="1300" spans="1:7" x14ac:dyDescent="0.25">
      <c r="A1300" s="20" t="s">
        <v>588</v>
      </c>
      <c r="B1300" s="20" t="s">
        <v>128</v>
      </c>
      <c r="C1300" s="20" t="s">
        <v>128</v>
      </c>
      <c r="D1300" s="20" t="s">
        <v>1030</v>
      </c>
      <c r="E1300" s="26">
        <v>15.421760000000001</v>
      </c>
      <c r="F1300" s="26">
        <v>61.687040000000003</v>
      </c>
      <c r="G1300" s="22"/>
    </row>
    <row r="1301" spans="1:7" x14ac:dyDescent="0.25">
      <c r="A1301" s="20" t="s">
        <v>588</v>
      </c>
      <c r="B1301" s="20" t="s">
        <v>128</v>
      </c>
      <c r="C1301" s="20" t="s">
        <v>128</v>
      </c>
      <c r="D1301" s="20" t="s">
        <v>1031</v>
      </c>
      <c r="E1301" s="26">
        <v>9.0721399999999992</v>
      </c>
      <c r="F1301" s="32">
        <v>45.360700000000001</v>
      </c>
      <c r="G1301" s="22"/>
    </row>
    <row r="1302" spans="1:7" x14ac:dyDescent="0.25">
      <c r="A1302" s="20" t="s">
        <v>588</v>
      </c>
      <c r="B1302" s="20" t="s">
        <v>128</v>
      </c>
      <c r="C1302" s="20" t="s">
        <v>128</v>
      </c>
      <c r="D1302" s="20" t="s">
        <v>1032</v>
      </c>
      <c r="E1302" s="26">
        <v>26.09582</v>
      </c>
      <c r="F1302" s="32">
        <v>130.47909999999999</v>
      </c>
      <c r="G1302" s="22"/>
    </row>
    <row r="1303" spans="1:7" x14ac:dyDescent="0.25">
      <c r="A1303" s="20" t="s">
        <v>588</v>
      </c>
      <c r="B1303" s="20" t="s">
        <v>128</v>
      </c>
      <c r="C1303" s="20" t="s">
        <v>128</v>
      </c>
      <c r="D1303" s="20" t="s">
        <v>1033</v>
      </c>
      <c r="E1303" s="26">
        <v>26.09582</v>
      </c>
      <c r="F1303" s="32">
        <v>130.47909999999999</v>
      </c>
      <c r="G1303" s="22"/>
    </row>
    <row r="1304" spans="1:7" x14ac:dyDescent="0.25">
      <c r="A1304" s="20" t="s">
        <v>588</v>
      </c>
      <c r="B1304" s="20" t="s">
        <v>126</v>
      </c>
      <c r="C1304" s="20" t="s">
        <v>126</v>
      </c>
      <c r="D1304" s="20" t="s">
        <v>632</v>
      </c>
      <c r="E1304" s="26">
        <v>10.49737</v>
      </c>
      <c r="F1304" s="38">
        <v>2519.3688000000002</v>
      </c>
      <c r="G1304" s="22"/>
    </row>
    <row r="1305" spans="1:7" x14ac:dyDescent="0.25">
      <c r="A1305" s="20" t="s">
        <v>588</v>
      </c>
      <c r="B1305" s="20" t="s">
        <v>130</v>
      </c>
      <c r="C1305" s="20" t="s">
        <v>130</v>
      </c>
      <c r="D1305" s="20" t="s">
        <v>1034</v>
      </c>
      <c r="E1305" s="26">
        <v>17.404019999999999</v>
      </c>
      <c r="F1305" s="26">
        <v>835.39296000000002</v>
      </c>
      <c r="G1305" s="22"/>
    </row>
    <row r="1306" spans="1:7" x14ac:dyDescent="0.25">
      <c r="A1306" s="20" t="s">
        <v>588</v>
      </c>
      <c r="B1306" s="20" t="s">
        <v>131</v>
      </c>
      <c r="C1306" s="20" t="s">
        <v>131</v>
      </c>
      <c r="D1306" s="20" t="s">
        <v>1035</v>
      </c>
      <c r="E1306" s="26">
        <v>30.159330000000001</v>
      </c>
      <c r="F1306" s="26">
        <v>753.98325</v>
      </c>
      <c r="G1306" s="22"/>
    </row>
    <row r="1307" spans="1:7" x14ac:dyDescent="0.25">
      <c r="A1307" s="20" t="s">
        <v>588</v>
      </c>
      <c r="B1307" s="20" t="s">
        <v>131</v>
      </c>
      <c r="C1307" s="20" t="s">
        <v>131</v>
      </c>
      <c r="D1307" s="20" t="s">
        <v>1036</v>
      </c>
      <c r="E1307" s="26">
        <v>30.159330000000001</v>
      </c>
      <c r="F1307" s="26">
        <v>753.98325</v>
      </c>
      <c r="G1307" s="22"/>
    </row>
    <row r="1308" spans="1:7" x14ac:dyDescent="0.25">
      <c r="A1308" s="20" t="s">
        <v>588</v>
      </c>
      <c r="B1308" s="20" t="s">
        <v>128</v>
      </c>
      <c r="C1308" s="20" t="s">
        <v>128</v>
      </c>
      <c r="D1308" s="20" t="s">
        <v>1037</v>
      </c>
      <c r="E1308" s="26">
        <v>10.207090000000001</v>
      </c>
      <c r="F1308" s="26">
        <v>81.656720000000007</v>
      </c>
      <c r="G1308" s="22"/>
    </row>
    <row r="1309" spans="1:7" x14ac:dyDescent="0.25">
      <c r="A1309" s="20" t="s">
        <v>588</v>
      </c>
      <c r="B1309" s="20" t="s">
        <v>128</v>
      </c>
      <c r="C1309" s="20" t="s">
        <v>128</v>
      </c>
      <c r="D1309" s="20" t="s">
        <v>1038</v>
      </c>
      <c r="E1309" s="26">
        <v>10.207090000000001</v>
      </c>
      <c r="F1309" s="26">
        <v>81.656720000000007</v>
      </c>
      <c r="G1309" s="22"/>
    </row>
    <row r="1310" spans="1:7" x14ac:dyDescent="0.25">
      <c r="A1310" s="20" t="s">
        <v>588</v>
      </c>
      <c r="B1310" s="20" t="s">
        <v>128</v>
      </c>
      <c r="C1310" s="20" t="s">
        <v>128</v>
      </c>
      <c r="D1310" s="20" t="s">
        <v>1039</v>
      </c>
      <c r="E1310" s="26">
        <v>22.315370000000001</v>
      </c>
      <c r="F1310" s="26">
        <v>89.261480000000006</v>
      </c>
      <c r="G1310" s="22"/>
    </row>
    <row r="1311" spans="1:7" x14ac:dyDescent="0.25">
      <c r="A1311" s="20" t="s">
        <v>588</v>
      </c>
      <c r="B1311" s="20" t="s">
        <v>128</v>
      </c>
      <c r="C1311" s="20" t="s">
        <v>128</v>
      </c>
      <c r="D1311" s="20" t="s">
        <v>1040</v>
      </c>
      <c r="E1311" s="26">
        <v>22.315370000000001</v>
      </c>
      <c r="F1311" s="26">
        <v>89.261480000000006</v>
      </c>
      <c r="G1311" s="22"/>
    </row>
    <row r="1312" spans="1:7" x14ac:dyDescent="0.25">
      <c r="A1312" s="20" t="s">
        <v>585</v>
      </c>
      <c r="B1312" s="20" t="s">
        <v>1004</v>
      </c>
      <c r="C1312" s="20" t="s">
        <v>1004</v>
      </c>
      <c r="D1312" s="20" t="s">
        <v>1024</v>
      </c>
      <c r="E1312" s="27">
        <v>1</v>
      </c>
      <c r="F1312" s="27">
        <v>4</v>
      </c>
      <c r="G1312" s="28">
        <v>10.6226</v>
      </c>
    </row>
    <row r="1313" spans="1:7" x14ac:dyDescent="0.25">
      <c r="A1313" s="20" t="s">
        <v>595</v>
      </c>
      <c r="B1313" s="20" t="s">
        <v>1006</v>
      </c>
      <c r="C1313" s="20" t="s">
        <v>1006</v>
      </c>
      <c r="D1313" s="20" t="s">
        <v>1024</v>
      </c>
      <c r="E1313" s="27">
        <v>4</v>
      </c>
      <c r="F1313" s="27">
        <v>16</v>
      </c>
      <c r="G1313" s="28">
        <v>3.4200000000000001E-2</v>
      </c>
    </row>
    <row r="1314" spans="1:7" x14ac:dyDescent="0.25">
      <c r="A1314" s="20" t="s">
        <v>595</v>
      </c>
      <c r="B1314" s="20" t="s">
        <v>1007</v>
      </c>
      <c r="C1314" s="20" t="s">
        <v>1007</v>
      </c>
      <c r="D1314" s="20" t="s">
        <v>1024</v>
      </c>
      <c r="E1314" s="27">
        <v>2</v>
      </c>
      <c r="F1314" s="27">
        <v>8</v>
      </c>
      <c r="G1314" s="29">
        <v>1.09711</v>
      </c>
    </row>
    <row r="1315" spans="1:7" x14ac:dyDescent="0.25">
      <c r="A1315" s="20" t="s">
        <v>595</v>
      </c>
      <c r="B1315" s="20" t="s">
        <v>1012</v>
      </c>
      <c r="C1315" s="20" t="s">
        <v>1012</v>
      </c>
      <c r="D1315" s="20" t="s">
        <v>1024</v>
      </c>
      <c r="E1315" s="27">
        <v>1</v>
      </c>
      <c r="F1315" s="27">
        <v>4</v>
      </c>
      <c r="G1315" s="29">
        <v>4.487E-2</v>
      </c>
    </row>
    <row r="1316" spans="1:7" x14ac:dyDescent="0.25">
      <c r="A1316" s="20" t="s">
        <v>595</v>
      </c>
      <c r="B1316" s="20" t="s">
        <v>1008</v>
      </c>
      <c r="C1316" s="20" t="s">
        <v>1008</v>
      </c>
      <c r="D1316" s="20" t="s">
        <v>1024</v>
      </c>
      <c r="E1316" s="27">
        <v>2</v>
      </c>
      <c r="F1316" s="27">
        <v>8</v>
      </c>
      <c r="G1316" s="29">
        <v>9.776E-2</v>
      </c>
    </row>
    <row r="1317" spans="1:7" x14ac:dyDescent="0.25">
      <c r="A1317" s="20" t="s">
        <v>595</v>
      </c>
      <c r="B1317" s="20" t="s">
        <v>1041</v>
      </c>
      <c r="C1317" s="20" t="s">
        <v>1041</v>
      </c>
      <c r="D1317" s="20" t="s">
        <v>1024</v>
      </c>
      <c r="E1317" s="27">
        <v>1</v>
      </c>
      <c r="F1317" s="27">
        <v>4</v>
      </c>
      <c r="G1317" s="28">
        <v>32.364100000000001</v>
      </c>
    </row>
    <row r="1318" spans="1:7" ht="22.5" x14ac:dyDescent="0.25">
      <c r="A1318" s="20" t="s">
        <v>620</v>
      </c>
      <c r="B1318" s="20" t="s">
        <v>1009</v>
      </c>
      <c r="C1318" s="20" t="s">
        <v>279</v>
      </c>
      <c r="D1318" s="20" t="s">
        <v>1024</v>
      </c>
      <c r="E1318" s="27">
        <v>2</v>
      </c>
      <c r="F1318" s="27">
        <v>8</v>
      </c>
      <c r="G1318" s="28">
        <v>6.4999999999999997E-3</v>
      </c>
    </row>
    <row r="1319" spans="1:7" ht="22.5" x14ac:dyDescent="0.25">
      <c r="A1319" s="20" t="s">
        <v>620</v>
      </c>
      <c r="B1319" s="20" t="s">
        <v>999</v>
      </c>
      <c r="C1319" s="20" t="s">
        <v>276</v>
      </c>
      <c r="D1319" s="20" t="s">
        <v>1024</v>
      </c>
      <c r="E1319" s="27">
        <v>8</v>
      </c>
      <c r="F1319" s="27">
        <v>32</v>
      </c>
      <c r="G1319" s="28">
        <v>7.3000000000000001E-3</v>
      </c>
    </row>
    <row r="1320" spans="1:7" ht="22.5" x14ac:dyDescent="0.25">
      <c r="A1320" s="20" t="s">
        <v>620</v>
      </c>
      <c r="B1320" s="20" t="s">
        <v>622</v>
      </c>
      <c r="C1320" s="20" t="s">
        <v>256</v>
      </c>
      <c r="D1320" s="20" t="s">
        <v>1024</v>
      </c>
      <c r="E1320" s="27">
        <v>8</v>
      </c>
      <c r="F1320" s="27">
        <v>32</v>
      </c>
      <c r="G1320" s="28">
        <v>1.52E-2</v>
      </c>
    </row>
    <row r="1321" spans="1:7" ht="22.5" x14ac:dyDescent="0.25">
      <c r="A1321" s="20" t="s">
        <v>620</v>
      </c>
      <c r="B1321" s="20" t="s">
        <v>1010</v>
      </c>
      <c r="C1321" s="20" t="s">
        <v>278</v>
      </c>
      <c r="D1321" s="20" t="s">
        <v>1024</v>
      </c>
      <c r="E1321" s="27">
        <v>16</v>
      </c>
      <c r="F1321" s="27">
        <v>64</v>
      </c>
      <c r="G1321" s="29">
        <v>1.2199999999999999E-3</v>
      </c>
    </row>
    <row r="1322" spans="1:7" ht="22.5" x14ac:dyDescent="0.25">
      <c r="A1322" s="20" t="s">
        <v>620</v>
      </c>
      <c r="B1322" s="20" t="s">
        <v>1002</v>
      </c>
      <c r="C1322" s="20" t="s">
        <v>273</v>
      </c>
      <c r="D1322" s="20" t="s">
        <v>1024</v>
      </c>
      <c r="E1322" s="27">
        <v>16</v>
      </c>
      <c r="F1322" s="27">
        <v>64</v>
      </c>
      <c r="G1322" s="28">
        <v>8.0000000000000004E-4</v>
      </c>
    </row>
    <row r="1323" spans="1:7" ht="22.5" x14ac:dyDescent="0.25">
      <c r="A1323" s="20" t="s">
        <v>620</v>
      </c>
      <c r="B1323" s="20" t="s">
        <v>871</v>
      </c>
      <c r="C1323" s="20" t="s">
        <v>266</v>
      </c>
      <c r="D1323" s="20" t="s">
        <v>1024</v>
      </c>
      <c r="E1323" s="27">
        <v>8</v>
      </c>
      <c r="F1323" s="27">
        <v>32</v>
      </c>
      <c r="G1323" s="28">
        <v>3.3E-3</v>
      </c>
    </row>
    <row r="1324" spans="1:7" ht="22.5" x14ac:dyDescent="0.25">
      <c r="A1324" s="20" t="s">
        <v>620</v>
      </c>
      <c r="B1324" s="20" t="s">
        <v>625</v>
      </c>
      <c r="C1324" s="20" t="s">
        <v>219</v>
      </c>
      <c r="D1324" s="20" t="s">
        <v>1024</v>
      </c>
      <c r="E1324" s="27">
        <v>8</v>
      </c>
      <c r="F1324" s="27">
        <v>32</v>
      </c>
      <c r="G1324" s="29">
        <v>7.1399999999999996E-3</v>
      </c>
    </row>
    <row r="1325" spans="1:7" ht="22.5" x14ac:dyDescent="0.25">
      <c r="A1325" s="20" t="s">
        <v>620</v>
      </c>
      <c r="B1325" s="20" t="s">
        <v>140</v>
      </c>
      <c r="C1325" s="20" t="s">
        <v>140</v>
      </c>
      <c r="D1325" s="20" t="s">
        <v>1024</v>
      </c>
      <c r="E1325" s="27">
        <v>4</v>
      </c>
      <c r="F1325" s="27">
        <v>16</v>
      </c>
      <c r="G1325" s="29">
        <v>1.6900000000000001E-3</v>
      </c>
    </row>
    <row r="1326" spans="1:7" ht="22.5" x14ac:dyDescent="0.25">
      <c r="A1326" s="20" t="s">
        <v>620</v>
      </c>
      <c r="B1326" s="20" t="s">
        <v>1003</v>
      </c>
      <c r="C1326" s="20" t="s">
        <v>272</v>
      </c>
      <c r="D1326" s="20" t="s">
        <v>1024</v>
      </c>
      <c r="E1326" s="27">
        <v>16</v>
      </c>
      <c r="F1326" s="27">
        <v>64</v>
      </c>
      <c r="G1326" s="29">
        <v>1.2999999999999999E-4</v>
      </c>
    </row>
    <row r="1327" spans="1:7" ht="22.5" x14ac:dyDescent="0.25">
      <c r="A1327" s="20" t="s">
        <v>620</v>
      </c>
      <c r="B1327" s="20" t="s">
        <v>1011</v>
      </c>
      <c r="C1327" s="20" t="s">
        <v>280</v>
      </c>
      <c r="D1327" s="20" t="s">
        <v>1024</v>
      </c>
      <c r="E1327" s="27">
        <v>4</v>
      </c>
      <c r="F1327" s="27">
        <v>16</v>
      </c>
      <c r="G1327" s="29">
        <v>4.2999999999999999E-4</v>
      </c>
    </row>
    <row r="1328" spans="1:7" ht="22.5" x14ac:dyDescent="0.25">
      <c r="A1328" s="20" t="s">
        <v>620</v>
      </c>
      <c r="B1328" s="20" t="s">
        <v>212</v>
      </c>
      <c r="C1328" s="20" t="s">
        <v>212</v>
      </c>
      <c r="D1328" s="20" t="s">
        <v>1024</v>
      </c>
      <c r="E1328" s="27">
        <v>4</v>
      </c>
      <c r="F1328" s="27">
        <v>16</v>
      </c>
      <c r="G1328" s="29">
        <v>6.9999999999999994E-5</v>
      </c>
    </row>
    <row r="1329" spans="1:7" x14ac:dyDescent="0.25">
      <c r="A1329" s="20" t="s">
        <v>597</v>
      </c>
      <c r="B1329" s="20" t="s">
        <v>14</v>
      </c>
      <c r="C1329" s="20" t="s">
        <v>14</v>
      </c>
      <c r="D1329" s="20" t="s">
        <v>1024</v>
      </c>
      <c r="E1329" s="27">
        <v>1</v>
      </c>
      <c r="F1329" s="27">
        <v>4</v>
      </c>
      <c r="G1329" s="29">
        <v>0.36993999999999999</v>
      </c>
    </row>
    <row r="1330" spans="1:7" x14ac:dyDescent="0.25">
      <c r="A1330" s="20" t="s">
        <v>597</v>
      </c>
      <c r="B1330" s="20" t="s">
        <v>15</v>
      </c>
      <c r="C1330" s="20" t="s">
        <v>15</v>
      </c>
      <c r="D1330" s="20" t="s">
        <v>1024</v>
      </c>
      <c r="E1330" s="27">
        <v>2</v>
      </c>
      <c r="F1330" s="27">
        <v>8</v>
      </c>
      <c r="G1330" s="29">
        <v>5.6570000000000002E-2</v>
      </c>
    </row>
    <row r="1331" spans="1:7" x14ac:dyDescent="0.25">
      <c r="A1331" s="20" t="s">
        <v>597</v>
      </c>
      <c r="B1331" s="20" t="s">
        <v>16</v>
      </c>
      <c r="C1331" s="20" t="s">
        <v>16</v>
      </c>
      <c r="D1331" s="20" t="s">
        <v>1024</v>
      </c>
      <c r="E1331" s="27">
        <v>2</v>
      </c>
      <c r="F1331" s="27">
        <v>8</v>
      </c>
      <c r="G1331" s="29">
        <v>2.0840000000000001E-2</v>
      </c>
    </row>
    <row r="1332" spans="1:7" x14ac:dyDescent="0.25">
      <c r="A1332" s="20" t="s">
        <v>597</v>
      </c>
      <c r="B1332" s="20" t="s">
        <v>148</v>
      </c>
      <c r="C1332" s="20" t="s">
        <v>148</v>
      </c>
      <c r="D1332" s="20" t="s">
        <v>1024</v>
      </c>
      <c r="E1332" s="25">
        <v>2.86</v>
      </c>
      <c r="F1332" s="25">
        <v>11.44</v>
      </c>
      <c r="G1332" s="22"/>
    </row>
    <row r="1333" spans="1:7" x14ac:dyDescent="0.25">
      <c r="A1333" s="20" t="s">
        <v>588</v>
      </c>
      <c r="B1333" s="20" t="s">
        <v>130</v>
      </c>
      <c r="C1333" s="20" t="s">
        <v>130</v>
      </c>
      <c r="D1333" s="20" t="s">
        <v>1041</v>
      </c>
      <c r="E1333" s="26">
        <v>48.756529999999998</v>
      </c>
      <c r="F1333" s="26">
        <v>195.02611999999999</v>
      </c>
      <c r="G1333" s="22"/>
    </row>
    <row r="1334" spans="1:7" x14ac:dyDescent="0.25">
      <c r="A1334" s="20" t="s">
        <v>585</v>
      </c>
      <c r="B1334" s="20" t="s">
        <v>969</v>
      </c>
      <c r="C1334" s="20" t="s">
        <v>969</v>
      </c>
      <c r="D1334" s="20" t="s">
        <v>1042</v>
      </c>
      <c r="E1334" s="27">
        <v>2</v>
      </c>
      <c r="F1334" s="27">
        <v>2</v>
      </c>
      <c r="G1334" s="29">
        <v>0.96531999999999996</v>
      </c>
    </row>
    <row r="1335" spans="1:7" x14ac:dyDescent="0.25">
      <c r="A1335" s="20" t="s">
        <v>585</v>
      </c>
      <c r="B1335" s="20" t="s">
        <v>970</v>
      </c>
      <c r="C1335" s="20" t="s">
        <v>970</v>
      </c>
      <c r="D1335" s="20" t="s">
        <v>1042</v>
      </c>
      <c r="E1335" s="27">
        <v>2</v>
      </c>
      <c r="F1335" s="27">
        <v>2</v>
      </c>
      <c r="G1335" s="29">
        <v>1.3881399999999999</v>
      </c>
    </row>
    <row r="1336" spans="1:7" x14ac:dyDescent="0.25">
      <c r="A1336" s="20" t="s">
        <v>585</v>
      </c>
      <c r="B1336" s="20" t="s">
        <v>1043</v>
      </c>
      <c r="C1336" s="20" t="s">
        <v>1043</v>
      </c>
      <c r="D1336" s="20" t="s">
        <v>1042</v>
      </c>
      <c r="E1336" s="27">
        <v>1</v>
      </c>
      <c r="F1336" s="27">
        <v>1</v>
      </c>
      <c r="G1336" s="29">
        <v>50.519739999999999</v>
      </c>
    </row>
    <row r="1337" spans="1:7" x14ac:dyDescent="0.25">
      <c r="A1337" s="20" t="s">
        <v>595</v>
      </c>
      <c r="B1337" s="20" t="s">
        <v>974</v>
      </c>
      <c r="C1337" s="20" t="s">
        <v>974</v>
      </c>
      <c r="D1337" s="20" t="s">
        <v>1042</v>
      </c>
      <c r="E1337" s="27">
        <v>2</v>
      </c>
      <c r="F1337" s="27">
        <v>2</v>
      </c>
      <c r="G1337" s="29">
        <v>5.0034400000000003</v>
      </c>
    </row>
    <row r="1338" spans="1:7" x14ac:dyDescent="0.25">
      <c r="A1338" s="20" t="s">
        <v>595</v>
      </c>
      <c r="B1338" s="20" t="s">
        <v>975</v>
      </c>
      <c r="C1338" s="20" t="s">
        <v>975</v>
      </c>
      <c r="D1338" s="20" t="s">
        <v>1042</v>
      </c>
      <c r="E1338" s="27">
        <v>34</v>
      </c>
      <c r="F1338" s="27">
        <v>34</v>
      </c>
      <c r="G1338" s="29">
        <v>1.1076900000000001</v>
      </c>
    </row>
    <row r="1339" spans="1:7" x14ac:dyDescent="0.25">
      <c r="A1339" s="20" t="s">
        <v>595</v>
      </c>
      <c r="B1339" s="20" t="s">
        <v>979</v>
      </c>
      <c r="C1339" s="20" t="s">
        <v>979</v>
      </c>
      <c r="D1339" s="20" t="s">
        <v>1042</v>
      </c>
      <c r="E1339" s="27">
        <v>11</v>
      </c>
      <c r="F1339" s="27">
        <v>11</v>
      </c>
      <c r="G1339" s="29">
        <v>2.2768199999999998</v>
      </c>
    </row>
    <row r="1340" spans="1:7" x14ac:dyDescent="0.25">
      <c r="A1340" s="20" t="s">
        <v>595</v>
      </c>
      <c r="B1340" s="20" t="s">
        <v>981</v>
      </c>
      <c r="C1340" s="20" t="s">
        <v>981</v>
      </c>
      <c r="D1340" s="20" t="s">
        <v>1042</v>
      </c>
      <c r="E1340" s="27">
        <v>4</v>
      </c>
      <c r="F1340" s="27">
        <v>4</v>
      </c>
      <c r="G1340" s="29">
        <v>26.90352</v>
      </c>
    </row>
    <row r="1341" spans="1:7" x14ac:dyDescent="0.25">
      <c r="A1341" s="20" t="s">
        <v>595</v>
      </c>
      <c r="B1341" s="20" t="s">
        <v>982</v>
      </c>
      <c r="C1341" s="20" t="s">
        <v>982</v>
      </c>
      <c r="D1341" s="20" t="s">
        <v>1042</v>
      </c>
      <c r="E1341" s="27">
        <v>2</v>
      </c>
      <c r="F1341" s="27">
        <v>2</v>
      </c>
      <c r="G1341" s="29">
        <v>1.6249800000000001</v>
      </c>
    </row>
    <row r="1342" spans="1:7" x14ac:dyDescent="0.25">
      <c r="A1342" s="20" t="s">
        <v>595</v>
      </c>
      <c r="B1342" s="20" t="s">
        <v>983</v>
      </c>
      <c r="C1342" s="20" t="s">
        <v>983</v>
      </c>
      <c r="D1342" s="20" t="s">
        <v>1042</v>
      </c>
      <c r="E1342" s="27">
        <v>96</v>
      </c>
      <c r="F1342" s="27">
        <v>96</v>
      </c>
      <c r="G1342" s="29">
        <v>8.8010000000000005E-2</v>
      </c>
    </row>
    <row r="1343" spans="1:7" x14ac:dyDescent="0.25">
      <c r="A1343" s="20" t="s">
        <v>595</v>
      </c>
      <c r="B1343" s="20" t="s">
        <v>984</v>
      </c>
      <c r="C1343" s="20" t="s">
        <v>984</v>
      </c>
      <c r="D1343" s="20" t="s">
        <v>1042</v>
      </c>
      <c r="E1343" s="27">
        <v>12</v>
      </c>
      <c r="F1343" s="27">
        <v>12</v>
      </c>
      <c r="G1343" s="29">
        <v>5.5744800000000003</v>
      </c>
    </row>
    <row r="1344" spans="1:7" x14ac:dyDescent="0.25">
      <c r="A1344" s="20" t="s">
        <v>595</v>
      </c>
      <c r="B1344" s="20" t="s">
        <v>985</v>
      </c>
      <c r="C1344" s="20" t="s">
        <v>985</v>
      </c>
      <c r="D1344" s="20" t="s">
        <v>1042</v>
      </c>
      <c r="E1344" s="27">
        <v>4</v>
      </c>
      <c r="F1344" s="27">
        <v>4</v>
      </c>
      <c r="G1344" s="29">
        <v>5.4679999999999999E-2</v>
      </c>
    </row>
    <row r="1345" spans="1:7" x14ac:dyDescent="0.25">
      <c r="A1345" s="20" t="s">
        <v>595</v>
      </c>
      <c r="B1345" s="20" t="s">
        <v>988</v>
      </c>
      <c r="C1345" s="20" t="s">
        <v>988</v>
      </c>
      <c r="D1345" s="20" t="s">
        <v>1042</v>
      </c>
      <c r="E1345" s="27">
        <v>2</v>
      </c>
      <c r="F1345" s="27">
        <v>2</v>
      </c>
      <c r="G1345" s="29">
        <v>3.2065399999999999</v>
      </c>
    </row>
    <row r="1346" spans="1:7" x14ac:dyDescent="0.25">
      <c r="A1346" s="20" t="s">
        <v>595</v>
      </c>
      <c r="B1346" s="20" t="s">
        <v>994</v>
      </c>
      <c r="C1346" s="20" t="s">
        <v>994</v>
      </c>
      <c r="D1346" s="20" t="s">
        <v>1042</v>
      </c>
      <c r="E1346" s="27">
        <v>2</v>
      </c>
      <c r="F1346" s="27">
        <v>2</v>
      </c>
      <c r="G1346" s="29">
        <v>6.8217699999999999</v>
      </c>
    </row>
    <row r="1347" spans="1:7" x14ac:dyDescent="0.25">
      <c r="A1347" s="20" t="s">
        <v>595</v>
      </c>
      <c r="B1347" s="20" t="s">
        <v>995</v>
      </c>
      <c r="C1347" s="20" t="s">
        <v>995</v>
      </c>
      <c r="D1347" s="20" t="s">
        <v>1042</v>
      </c>
      <c r="E1347" s="27">
        <v>2</v>
      </c>
      <c r="F1347" s="27">
        <v>2</v>
      </c>
      <c r="G1347" s="29">
        <v>6.8217699999999999</v>
      </c>
    </row>
    <row r="1348" spans="1:7" x14ac:dyDescent="0.25">
      <c r="A1348" s="20" t="s">
        <v>595</v>
      </c>
      <c r="B1348" s="20" t="s">
        <v>996</v>
      </c>
      <c r="C1348" s="20" t="s">
        <v>996</v>
      </c>
      <c r="D1348" s="20" t="s">
        <v>1042</v>
      </c>
      <c r="E1348" s="27">
        <v>2</v>
      </c>
      <c r="F1348" s="27">
        <v>2</v>
      </c>
      <c r="G1348" s="29">
        <v>4.5624399999999996</v>
      </c>
    </row>
    <row r="1349" spans="1:7" x14ac:dyDescent="0.25">
      <c r="A1349" s="20" t="s">
        <v>595</v>
      </c>
      <c r="B1349" s="20" t="s">
        <v>1025</v>
      </c>
      <c r="C1349" s="20" t="s">
        <v>1025</v>
      </c>
      <c r="D1349" s="20" t="s">
        <v>1042</v>
      </c>
      <c r="E1349" s="27">
        <v>1</v>
      </c>
      <c r="F1349" s="27">
        <v>1</v>
      </c>
      <c r="G1349" s="29">
        <v>18.784520000000001</v>
      </c>
    </row>
    <row r="1350" spans="1:7" x14ac:dyDescent="0.25">
      <c r="A1350" s="20" t="s">
        <v>595</v>
      </c>
      <c r="B1350" s="20" t="s">
        <v>1027</v>
      </c>
      <c r="C1350" s="20" t="s">
        <v>1027</v>
      </c>
      <c r="D1350" s="20" t="s">
        <v>1042</v>
      </c>
      <c r="E1350" s="27">
        <v>1</v>
      </c>
      <c r="F1350" s="27">
        <v>1</v>
      </c>
      <c r="G1350" s="29">
        <v>18.802420000000001</v>
      </c>
    </row>
    <row r="1351" spans="1:7" x14ac:dyDescent="0.25">
      <c r="A1351" s="20" t="s">
        <v>595</v>
      </c>
      <c r="B1351" s="20" t="s">
        <v>1028</v>
      </c>
      <c r="C1351" s="20" t="s">
        <v>1028</v>
      </c>
      <c r="D1351" s="20" t="s">
        <v>1042</v>
      </c>
      <c r="E1351" s="27">
        <v>1</v>
      </c>
      <c r="F1351" s="27">
        <v>1</v>
      </c>
      <c r="G1351" s="29">
        <v>5.7001499999999998</v>
      </c>
    </row>
    <row r="1352" spans="1:7" x14ac:dyDescent="0.25">
      <c r="A1352" s="20" t="s">
        <v>595</v>
      </c>
      <c r="B1352" s="20" t="s">
        <v>1029</v>
      </c>
      <c r="C1352" s="20" t="s">
        <v>1029</v>
      </c>
      <c r="D1352" s="20" t="s">
        <v>1042</v>
      </c>
      <c r="E1352" s="27">
        <v>1</v>
      </c>
      <c r="F1352" s="27">
        <v>1</v>
      </c>
      <c r="G1352" s="29">
        <v>5.7001499999999998</v>
      </c>
    </row>
    <row r="1353" spans="1:7" x14ac:dyDescent="0.25">
      <c r="A1353" s="20" t="s">
        <v>595</v>
      </c>
      <c r="B1353" s="20" t="s">
        <v>1031</v>
      </c>
      <c r="C1353" s="20" t="s">
        <v>1031</v>
      </c>
      <c r="D1353" s="20" t="s">
        <v>1042</v>
      </c>
      <c r="E1353" s="27">
        <v>1</v>
      </c>
      <c r="F1353" s="27">
        <v>1</v>
      </c>
      <c r="G1353" s="29">
        <v>7.4151100000000003</v>
      </c>
    </row>
    <row r="1354" spans="1:7" x14ac:dyDescent="0.25">
      <c r="A1354" s="20" t="s">
        <v>595</v>
      </c>
      <c r="B1354" s="20" t="s">
        <v>1032</v>
      </c>
      <c r="C1354" s="20" t="s">
        <v>1032</v>
      </c>
      <c r="D1354" s="20" t="s">
        <v>1042</v>
      </c>
      <c r="E1354" s="27">
        <v>1</v>
      </c>
      <c r="F1354" s="27">
        <v>1</v>
      </c>
      <c r="G1354" s="29">
        <v>21.607769999999999</v>
      </c>
    </row>
    <row r="1355" spans="1:7" x14ac:dyDescent="0.25">
      <c r="A1355" s="20" t="s">
        <v>595</v>
      </c>
      <c r="B1355" s="20" t="s">
        <v>1033</v>
      </c>
      <c r="C1355" s="20" t="s">
        <v>1033</v>
      </c>
      <c r="D1355" s="20" t="s">
        <v>1042</v>
      </c>
      <c r="E1355" s="27">
        <v>1</v>
      </c>
      <c r="F1355" s="27">
        <v>1</v>
      </c>
      <c r="G1355" s="29">
        <v>21.622119999999999</v>
      </c>
    </row>
    <row r="1356" spans="1:7" x14ac:dyDescent="0.25">
      <c r="A1356" s="20" t="s">
        <v>595</v>
      </c>
      <c r="B1356" s="20" t="s">
        <v>1035</v>
      </c>
      <c r="C1356" s="20" t="s">
        <v>1035</v>
      </c>
      <c r="D1356" s="20" t="s">
        <v>1042</v>
      </c>
      <c r="E1356" s="27">
        <v>5</v>
      </c>
      <c r="F1356" s="27">
        <v>5</v>
      </c>
      <c r="G1356" s="29">
        <v>24.96865</v>
      </c>
    </row>
    <row r="1357" spans="1:7" x14ac:dyDescent="0.25">
      <c r="A1357" s="20" t="s">
        <v>595</v>
      </c>
      <c r="B1357" s="20" t="s">
        <v>1036</v>
      </c>
      <c r="C1357" s="20" t="s">
        <v>1036</v>
      </c>
      <c r="D1357" s="20" t="s">
        <v>1042</v>
      </c>
      <c r="E1357" s="27">
        <v>5</v>
      </c>
      <c r="F1357" s="27">
        <v>5</v>
      </c>
      <c r="G1357" s="29">
        <v>24.96865</v>
      </c>
    </row>
    <row r="1358" spans="1:7" x14ac:dyDescent="0.25">
      <c r="A1358" s="20" t="s">
        <v>595</v>
      </c>
      <c r="B1358" s="20" t="s">
        <v>1044</v>
      </c>
      <c r="C1358" s="20" t="s">
        <v>1044</v>
      </c>
      <c r="D1358" s="20" t="s">
        <v>1042</v>
      </c>
      <c r="E1358" s="27">
        <v>2</v>
      </c>
      <c r="F1358" s="27">
        <v>2</v>
      </c>
      <c r="G1358" s="29">
        <v>2.4657800000000001</v>
      </c>
    </row>
    <row r="1359" spans="1:7" x14ac:dyDescent="0.25">
      <c r="A1359" s="20" t="s">
        <v>595</v>
      </c>
      <c r="B1359" s="20" t="s">
        <v>1045</v>
      </c>
      <c r="C1359" s="20" t="s">
        <v>1045</v>
      </c>
      <c r="D1359" s="20" t="s">
        <v>1042</v>
      </c>
      <c r="E1359" s="27">
        <v>4</v>
      </c>
      <c r="F1359" s="27">
        <v>4</v>
      </c>
      <c r="G1359" s="28">
        <v>9.6617999999999995</v>
      </c>
    </row>
    <row r="1360" spans="1:7" x14ac:dyDescent="0.25">
      <c r="A1360" s="20" t="s">
        <v>595</v>
      </c>
      <c r="B1360" s="20" t="s">
        <v>1046</v>
      </c>
      <c r="C1360" s="20" t="s">
        <v>1046</v>
      </c>
      <c r="D1360" s="20" t="s">
        <v>1042</v>
      </c>
      <c r="E1360" s="27">
        <v>4</v>
      </c>
      <c r="F1360" s="27">
        <v>4</v>
      </c>
      <c r="G1360" s="29">
        <v>18.28969</v>
      </c>
    </row>
    <row r="1361" spans="1:7" x14ac:dyDescent="0.25">
      <c r="A1361" s="20" t="s">
        <v>595</v>
      </c>
      <c r="B1361" s="20" t="s">
        <v>1047</v>
      </c>
      <c r="C1361" s="20" t="s">
        <v>1047</v>
      </c>
      <c r="D1361" s="20" t="s">
        <v>1042</v>
      </c>
      <c r="E1361" s="27">
        <v>12</v>
      </c>
      <c r="F1361" s="27">
        <v>12</v>
      </c>
      <c r="G1361" s="29">
        <v>8.6290200000000006</v>
      </c>
    </row>
    <row r="1362" spans="1:7" x14ac:dyDescent="0.25">
      <c r="A1362" s="20" t="s">
        <v>595</v>
      </c>
      <c r="B1362" s="20" t="s">
        <v>1048</v>
      </c>
      <c r="C1362" s="20" t="s">
        <v>1048</v>
      </c>
      <c r="D1362" s="20" t="s">
        <v>1042</v>
      </c>
      <c r="E1362" s="27">
        <v>12</v>
      </c>
      <c r="F1362" s="27">
        <v>12</v>
      </c>
      <c r="G1362" s="29">
        <v>2.1309999999999999E-2</v>
      </c>
    </row>
    <row r="1363" spans="1:7" x14ac:dyDescent="0.25">
      <c r="A1363" s="20" t="s">
        <v>595</v>
      </c>
      <c r="B1363" s="20" t="s">
        <v>1049</v>
      </c>
      <c r="C1363" s="20" t="s">
        <v>1049</v>
      </c>
      <c r="D1363" s="20" t="s">
        <v>1042</v>
      </c>
      <c r="E1363" s="27">
        <v>8</v>
      </c>
      <c r="F1363" s="27">
        <v>8</v>
      </c>
      <c r="G1363" s="29">
        <v>0.29582999999999998</v>
      </c>
    </row>
    <row r="1364" spans="1:7" x14ac:dyDescent="0.25">
      <c r="A1364" s="20" t="s">
        <v>595</v>
      </c>
      <c r="B1364" s="20" t="s">
        <v>1050</v>
      </c>
      <c r="C1364" s="20" t="s">
        <v>1050</v>
      </c>
      <c r="D1364" s="20" t="s">
        <v>1042</v>
      </c>
      <c r="E1364" s="27">
        <v>1</v>
      </c>
      <c r="F1364" s="27">
        <v>1</v>
      </c>
      <c r="G1364" s="29">
        <v>6.77881</v>
      </c>
    </row>
    <row r="1365" spans="1:7" ht="22.5" x14ac:dyDescent="0.25">
      <c r="A1365" s="20" t="s">
        <v>620</v>
      </c>
      <c r="B1365" s="20" t="s">
        <v>998</v>
      </c>
      <c r="C1365" s="20" t="s">
        <v>277</v>
      </c>
      <c r="D1365" s="20" t="s">
        <v>1042</v>
      </c>
      <c r="E1365" s="27">
        <v>50</v>
      </c>
      <c r="F1365" s="27">
        <v>50</v>
      </c>
      <c r="G1365" s="29">
        <v>1.4599999999999999E-3</v>
      </c>
    </row>
    <row r="1366" spans="1:7" ht="22.5" x14ac:dyDescent="0.25">
      <c r="A1366" s="20" t="s">
        <v>620</v>
      </c>
      <c r="B1366" s="20" t="s">
        <v>999</v>
      </c>
      <c r="C1366" s="20" t="s">
        <v>276</v>
      </c>
      <c r="D1366" s="20" t="s">
        <v>1042</v>
      </c>
      <c r="E1366" s="27">
        <v>4</v>
      </c>
      <c r="F1366" s="27">
        <v>4</v>
      </c>
      <c r="G1366" s="28">
        <v>7.3000000000000001E-3</v>
      </c>
    </row>
    <row r="1367" spans="1:7" ht="22.5" x14ac:dyDescent="0.25">
      <c r="A1367" s="20" t="s">
        <v>620</v>
      </c>
      <c r="B1367" s="20" t="s">
        <v>622</v>
      </c>
      <c r="C1367" s="20" t="s">
        <v>256</v>
      </c>
      <c r="D1367" s="20" t="s">
        <v>1042</v>
      </c>
      <c r="E1367" s="30">
        <v>2310</v>
      </c>
      <c r="F1367" s="30">
        <v>2310</v>
      </c>
      <c r="G1367" s="28">
        <v>1.52E-2</v>
      </c>
    </row>
    <row r="1368" spans="1:7" ht="22.5" x14ac:dyDescent="0.25">
      <c r="A1368" s="20" t="s">
        <v>620</v>
      </c>
      <c r="B1368" s="20" t="s">
        <v>1000</v>
      </c>
      <c r="C1368" s="20" t="s">
        <v>275</v>
      </c>
      <c r="D1368" s="20" t="s">
        <v>1042</v>
      </c>
      <c r="E1368" s="27">
        <v>4</v>
      </c>
      <c r="F1368" s="27">
        <v>4</v>
      </c>
      <c r="G1368" s="29">
        <v>1.99E-3</v>
      </c>
    </row>
    <row r="1369" spans="1:7" ht="22.5" x14ac:dyDescent="0.25">
      <c r="A1369" s="20" t="s">
        <v>620</v>
      </c>
      <c r="B1369" s="20" t="s">
        <v>1001</v>
      </c>
      <c r="C1369" s="20" t="s">
        <v>274</v>
      </c>
      <c r="D1369" s="20" t="s">
        <v>1042</v>
      </c>
      <c r="E1369" s="27">
        <v>400</v>
      </c>
      <c r="F1369" s="27">
        <v>400</v>
      </c>
      <c r="G1369" s="29">
        <v>9.5300000000000003E-3</v>
      </c>
    </row>
    <row r="1370" spans="1:7" ht="22.5" x14ac:dyDescent="0.25">
      <c r="A1370" s="20" t="s">
        <v>620</v>
      </c>
      <c r="B1370" s="20" t="s">
        <v>1002</v>
      </c>
      <c r="C1370" s="20" t="s">
        <v>273</v>
      </c>
      <c r="D1370" s="20" t="s">
        <v>1042</v>
      </c>
      <c r="E1370" s="27">
        <v>4</v>
      </c>
      <c r="F1370" s="27">
        <v>4</v>
      </c>
      <c r="G1370" s="28">
        <v>8.0000000000000004E-4</v>
      </c>
    </row>
    <row r="1371" spans="1:7" ht="22.5" x14ac:dyDescent="0.25">
      <c r="A1371" s="20" t="s">
        <v>620</v>
      </c>
      <c r="B1371" s="20" t="s">
        <v>871</v>
      </c>
      <c r="C1371" s="20" t="s">
        <v>266</v>
      </c>
      <c r="D1371" s="20" t="s">
        <v>1042</v>
      </c>
      <c r="E1371" s="27">
        <v>4</v>
      </c>
      <c r="F1371" s="27">
        <v>4</v>
      </c>
      <c r="G1371" s="28">
        <v>3.3E-3</v>
      </c>
    </row>
    <row r="1372" spans="1:7" ht="22.5" x14ac:dyDescent="0.25">
      <c r="A1372" s="20" t="s">
        <v>620</v>
      </c>
      <c r="B1372" s="20" t="s">
        <v>625</v>
      </c>
      <c r="C1372" s="20" t="s">
        <v>219</v>
      </c>
      <c r="D1372" s="20" t="s">
        <v>1042</v>
      </c>
      <c r="E1372" s="30">
        <v>2700</v>
      </c>
      <c r="F1372" s="30">
        <v>2700</v>
      </c>
      <c r="G1372" s="29">
        <v>7.1399999999999996E-3</v>
      </c>
    </row>
    <row r="1373" spans="1:7" ht="22.5" x14ac:dyDescent="0.25">
      <c r="A1373" s="20" t="s">
        <v>620</v>
      </c>
      <c r="B1373" s="20" t="s">
        <v>1003</v>
      </c>
      <c r="C1373" s="20" t="s">
        <v>272</v>
      </c>
      <c r="D1373" s="20" t="s">
        <v>1042</v>
      </c>
      <c r="E1373" s="27">
        <v>4</v>
      </c>
      <c r="F1373" s="27">
        <v>4</v>
      </c>
      <c r="G1373" s="29">
        <v>1.2999999999999999E-4</v>
      </c>
    </row>
    <row r="1374" spans="1:7" x14ac:dyDescent="0.25">
      <c r="A1374" s="20" t="s">
        <v>586</v>
      </c>
      <c r="B1374" s="20" t="s">
        <v>631</v>
      </c>
      <c r="C1374" s="20" t="s">
        <v>631</v>
      </c>
      <c r="D1374" s="20" t="s">
        <v>1042</v>
      </c>
      <c r="E1374" s="27">
        <v>1</v>
      </c>
      <c r="F1374" s="27">
        <v>1</v>
      </c>
      <c r="G1374" s="22"/>
    </row>
    <row r="1375" spans="1:7" x14ac:dyDescent="0.25">
      <c r="A1375" s="20" t="s">
        <v>588</v>
      </c>
      <c r="B1375" s="20" t="s">
        <v>131</v>
      </c>
      <c r="C1375" s="20" t="s">
        <v>131</v>
      </c>
      <c r="D1375" s="20" t="s">
        <v>1044</v>
      </c>
      <c r="E1375" s="26">
        <v>3.1566399999999999</v>
      </c>
      <c r="F1375" s="26">
        <v>6.3132799999999998</v>
      </c>
      <c r="G1375" s="22"/>
    </row>
    <row r="1376" spans="1:7" x14ac:dyDescent="0.25">
      <c r="A1376" s="20" t="s">
        <v>588</v>
      </c>
      <c r="B1376" s="20" t="s">
        <v>44</v>
      </c>
      <c r="C1376" s="20" t="s">
        <v>44</v>
      </c>
      <c r="D1376" s="20" t="s">
        <v>1045</v>
      </c>
      <c r="E1376" s="24">
        <v>0.16300000000000001</v>
      </c>
      <c r="F1376" s="24">
        <v>0.65200000000000002</v>
      </c>
      <c r="G1376" s="22"/>
    </row>
    <row r="1377" spans="1:7" x14ac:dyDescent="0.25">
      <c r="A1377" s="20" t="s">
        <v>588</v>
      </c>
      <c r="B1377" s="20" t="s">
        <v>120</v>
      </c>
      <c r="C1377" s="20" t="s">
        <v>120</v>
      </c>
      <c r="D1377" s="20" t="s">
        <v>1045</v>
      </c>
      <c r="E1377" s="26">
        <v>12.22861</v>
      </c>
      <c r="F1377" s="26">
        <v>48.914439999999999</v>
      </c>
      <c r="G1377" s="22"/>
    </row>
    <row r="1378" spans="1:7" x14ac:dyDescent="0.25">
      <c r="A1378" s="20" t="s">
        <v>588</v>
      </c>
      <c r="B1378" s="20" t="s">
        <v>139</v>
      </c>
      <c r="C1378" s="20" t="s">
        <v>139</v>
      </c>
      <c r="D1378" s="20" t="s">
        <v>1045</v>
      </c>
      <c r="E1378" s="24">
        <v>1.7000000000000001E-2</v>
      </c>
      <c r="F1378" s="24">
        <v>6.8000000000000005E-2</v>
      </c>
      <c r="G1378" s="22"/>
    </row>
    <row r="1379" spans="1:7" x14ac:dyDescent="0.25">
      <c r="A1379" s="20" t="s">
        <v>588</v>
      </c>
      <c r="B1379" s="20" t="s">
        <v>156</v>
      </c>
      <c r="C1379" s="20" t="s">
        <v>156</v>
      </c>
      <c r="D1379" s="20" t="s">
        <v>1045</v>
      </c>
      <c r="E1379" s="25">
        <v>0.05</v>
      </c>
      <c r="F1379" s="33">
        <v>0.2</v>
      </c>
      <c r="G1379" s="22"/>
    </row>
    <row r="1380" spans="1:7" x14ac:dyDescent="0.25">
      <c r="A1380" s="20" t="s">
        <v>588</v>
      </c>
      <c r="B1380" s="20" t="s">
        <v>202</v>
      </c>
      <c r="C1380" s="20" t="s">
        <v>202</v>
      </c>
      <c r="D1380" s="20" t="s">
        <v>1045</v>
      </c>
      <c r="E1380" s="24">
        <v>0.113</v>
      </c>
      <c r="F1380" s="24">
        <v>0.45200000000000001</v>
      </c>
      <c r="G1380" s="22"/>
    </row>
    <row r="1381" spans="1:7" x14ac:dyDescent="0.25">
      <c r="A1381" s="20" t="s">
        <v>588</v>
      </c>
      <c r="B1381" s="20" t="s">
        <v>128</v>
      </c>
      <c r="C1381" s="20" t="s">
        <v>128</v>
      </c>
      <c r="D1381" s="20" t="s">
        <v>1046</v>
      </c>
      <c r="E1381" s="26">
        <v>22.21349</v>
      </c>
      <c r="F1381" s="26">
        <v>88.853960000000001</v>
      </c>
      <c r="G1381" s="22"/>
    </row>
    <row r="1382" spans="1:7" x14ac:dyDescent="0.25">
      <c r="A1382" s="20" t="s">
        <v>588</v>
      </c>
      <c r="B1382" s="20" t="s">
        <v>124</v>
      </c>
      <c r="C1382" s="20" t="s">
        <v>124</v>
      </c>
      <c r="D1382" s="20" t="s">
        <v>1047</v>
      </c>
      <c r="E1382" s="26">
        <v>10.43811</v>
      </c>
      <c r="F1382" s="26">
        <v>125.25732000000001</v>
      </c>
      <c r="G1382" s="22"/>
    </row>
    <row r="1383" spans="1:7" x14ac:dyDescent="0.25">
      <c r="A1383" s="20" t="s">
        <v>588</v>
      </c>
      <c r="B1383" s="20" t="s">
        <v>128</v>
      </c>
      <c r="C1383" s="20" t="s">
        <v>128</v>
      </c>
      <c r="D1383" s="20" t="s">
        <v>1048</v>
      </c>
      <c r="E1383" s="26">
        <v>2.572E-2</v>
      </c>
      <c r="F1383" s="26">
        <v>0.30864000000000003</v>
      </c>
      <c r="G1383" s="22"/>
    </row>
    <row r="1384" spans="1:7" x14ac:dyDescent="0.25">
      <c r="A1384" s="20" t="s">
        <v>588</v>
      </c>
      <c r="B1384" s="20" t="s">
        <v>44</v>
      </c>
      <c r="C1384" s="20" t="s">
        <v>44</v>
      </c>
      <c r="D1384" s="20" t="s">
        <v>1049</v>
      </c>
      <c r="E1384" s="24">
        <v>6.0000000000000001E-3</v>
      </c>
      <c r="F1384" s="24">
        <v>4.8000000000000001E-2</v>
      </c>
      <c r="G1384" s="22"/>
    </row>
    <row r="1385" spans="1:7" x14ac:dyDescent="0.25">
      <c r="A1385" s="20" t="s">
        <v>588</v>
      </c>
      <c r="B1385" s="20" t="s">
        <v>120</v>
      </c>
      <c r="C1385" s="20" t="s">
        <v>120</v>
      </c>
      <c r="D1385" s="20" t="s">
        <v>1049</v>
      </c>
      <c r="E1385" s="26">
        <v>0.37302999999999997</v>
      </c>
      <c r="F1385" s="26">
        <v>2.9842399999999998</v>
      </c>
      <c r="G1385" s="22"/>
    </row>
    <row r="1386" spans="1:7" x14ac:dyDescent="0.25">
      <c r="A1386" s="20" t="s">
        <v>588</v>
      </c>
      <c r="B1386" s="20" t="s">
        <v>139</v>
      </c>
      <c r="C1386" s="20" t="s">
        <v>139</v>
      </c>
      <c r="D1386" s="20" t="s">
        <v>1049</v>
      </c>
      <c r="E1386" s="24">
        <v>1E-3</v>
      </c>
      <c r="F1386" s="24">
        <v>8.0000000000000002E-3</v>
      </c>
      <c r="G1386" s="22"/>
    </row>
    <row r="1387" spans="1:7" x14ac:dyDescent="0.25">
      <c r="A1387" s="20" t="s">
        <v>588</v>
      </c>
      <c r="B1387" s="20" t="s">
        <v>156</v>
      </c>
      <c r="C1387" s="20" t="s">
        <v>156</v>
      </c>
      <c r="D1387" s="20" t="s">
        <v>1049</v>
      </c>
      <c r="E1387" s="24">
        <v>2E-3</v>
      </c>
      <c r="F1387" s="24">
        <v>1.6E-2</v>
      </c>
      <c r="G1387" s="22"/>
    </row>
    <row r="1388" spans="1:7" x14ac:dyDescent="0.25">
      <c r="A1388" s="20" t="s">
        <v>588</v>
      </c>
      <c r="B1388" s="20" t="s">
        <v>202</v>
      </c>
      <c r="C1388" s="20" t="s">
        <v>202</v>
      </c>
      <c r="D1388" s="20" t="s">
        <v>1049</v>
      </c>
      <c r="E1388" s="24">
        <v>4.0000000000000001E-3</v>
      </c>
      <c r="F1388" s="24">
        <v>3.2000000000000001E-2</v>
      </c>
      <c r="G1388" s="22"/>
    </row>
    <row r="1389" spans="1:7" x14ac:dyDescent="0.25">
      <c r="A1389" s="20" t="s">
        <v>588</v>
      </c>
      <c r="B1389" s="20" t="s">
        <v>128</v>
      </c>
      <c r="C1389" s="20" t="s">
        <v>128</v>
      </c>
      <c r="D1389" s="20" t="s">
        <v>1050</v>
      </c>
      <c r="E1389" s="26">
        <v>8.1958500000000001</v>
      </c>
      <c r="F1389" s="26">
        <v>8.1958500000000001</v>
      </c>
      <c r="G1389" s="22"/>
    </row>
    <row r="1390" spans="1:7" x14ac:dyDescent="0.25">
      <c r="A1390" s="20" t="s">
        <v>585</v>
      </c>
      <c r="B1390" s="20" t="s">
        <v>1051</v>
      </c>
      <c r="C1390" s="20" t="s">
        <v>1051</v>
      </c>
      <c r="D1390" s="20" t="s">
        <v>1043</v>
      </c>
      <c r="E1390" s="27">
        <v>2</v>
      </c>
      <c r="F1390" s="27">
        <v>2</v>
      </c>
      <c r="G1390" s="29">
        <v>10.63491</v>
      </c>
    </row>
    <row r="1391" spans="1:7" x14ac:dyDescent="0.25">
      <c r="A1391" s="20" t="s">
        <v>595</v>
      </c>
      <c r="B1391" s="20" t="s">
        <v>1006</v>
      </c>
      <c r="C1391" s="20" t="s">
        <v>1006</v>
      </c>
      <c r="D1391" s="20" t="s">
        <v>1043</v>
      </c>
      <c r="E1391" s="27">
        <v>12</v>
      </c>
      <c r="F1391" s="27">
        <v>12</v>
      </c>
      <c r="G1391" s="28">
        <v>3.4200000000000001E-2</v>
      </c>
    </row>
    <row r="1392" spans="1:7" x14ac:dyDescent="0.25">
      <c r="A1392" s="20" t="s">
        <v>595</v>
      </c>
      <c r="B1392" s="20" t="s">
        <v>1007</v>
      </c>
      <c r="C1392" s="20" t="s">
        <v>1007</v>
      </c>
      <c r="D1392" s="20" t="s">
        <v>1043</v>
      </c>
      <c r="E1392" s="27">
        <v>1</v>
      </c>
      <c r="F1392" s="27">
        <v>1</v>
      </c>
      <c r="G1392" s="29">
        <v>1.09711</v>
      </c>
    </row>
    <row r="1393" spans="1:7" x14ac:dyDescent="0.25">
      <c r="A1393" s="20" t="s">
        <v>595</v>
      </c>
      <c r="B1393" s="20" t="s">
        <v>1012</v>
      </c>
      <c r="C1393" s="20" t="s">
        <v>1012</v>
      </c>
      <c r="D1393" s="20" t="s">
        <v>1043</v>
      </c>
      <c r="E1393" s="27">
        <v>2</v>
      </c>
      <c r="F1393" s="27">
        <v>2</v>
      </c>
      <c r="G1393" s="29">
        <v>4.487E-2</v>
      </c>
    </row>
    <row r="1394" spans="1:7" x14ac:dyDescent="0.25">
      <c r="A1394" s="20" t="s">
        <v>595</v>
      </c>
      <c r="B1394" s="20" t="s">
        <v>1008</v>
      </c>
      <c r="C1394" s="20" t="s">
        <v>1008</v>
      </c>
      <c r="D1394" s="20" t="s">
        <v>1043</v>
      </c>
      <c r="E1394" s="27">
        <v>4</v>
      </c>
      <c r="F1394" s="27">
        <v>4</v>
      </c>
      <c r="G1394" s="29">
        <v>9.776E-2</v>
      </c>
    </row>
    <row r="1395" spans="1:7" x14ac:dyDescent="0.25">
      <c r="A1395" s="20" t="s">
        <v>595</v>
      </c>
      <c r="B1395" s="20" t="s">
        <v>1052</v>
      </c>
      <c r="C1395" s="20" t="s">
        <v>1052</v>
      </c>
      <c r="D1395" s="20" t="s">
        <v>1043</v>
      </c>
      <c r="E1395" s="27">
        <v>1</v>
      </c>
      <c r="F1395" s="27">
        <v>1</v>
      </c>
      <c r="G1395" s="29">
        <v>24.192409999999999</v>
      </c>
    </row>
    <row r="1396" spans="1:7" ht="22.5" x14ac:dyDescent="0.25">
      <c r="A1396" s="20" t="s">
        <v>620</v>
      </c>
      <c r="B1396" s="20" t="s">
        <v>1009</v>
      </c>
      <c r="C1396" s="20" t="s">
        <v>279</v>
      </c>
      <c r="D1396" s="20" t="s">
        <v>1043</v>
      </c>
      <c r="E1396" s="27">
        <v>4</v>
      </c>
      <c r="F1396" s="27">
        <v>4</v>
      </c>
      <c r="G1396" s="28">
        <v>6.4999999999999997E-3</v>
      </c>
    </row>
    <row r="1397" spans="1:7" ht="22.5" x14ac:dyDescent="0.25">
      <c r="A1397" s="20" t="s">
        <v>620</v>
      </c>
      <c r="B1397" s="20" t="s">
        <v>999</v>
      </c>
      <c r="C1397" s="20" t="s">
        <v>276</v>
      </c>
      <c r="D1397" s="20" t="s">
        <v>1043</v>
      </c>
      <c r="E1397" s="27">
        <v>16</v>
      </c>
      <c r="F1397" s="27">
        <v>16</v>
      </c>
      <c r="G1397" s="28">
        <v>7.3000000000000001E-3</v>
      </c>
    </row>
    <row r="1398" spans="1:7" ht="22.5" x14ac:dyDescent="0.25">
      <c r="A1398" s="20" t="s">
        <v>620</v>
      </c>
      <c r="B1398" s="20" t="s">
        <v>1010</v>
      </c>
      <c r="C1398" s="20" t="s">
        <v>278</v>
      </c>
      <c r="D1398" s="20" t="s">
        <v>1043</v>
      </c>
      <c r="E1398" s="27">
        <v>32</v>
      </c>
      <c r="F1398" s="27">
        <v>32</v>
      </c>
      <c r="G1398" s="29">
        <v>1.2199999999999999E-3</v>
      </c>
    </row>
    <row r="1399" spans="1:7" ht="22.5" x14ac:dyDescent="0.25">
      <c r="A1399" s="20" t="s">
        <v>620</v>
      </c>
      <c r="B1399" s="20" t="s">
        <v>1053</v>
      </c>
      <c r="C1399" s="20" t="s">
        <v>554</v>
      </c>
      <c r="D1399" s="20" t="s">
        <v>1043</v>
      </c>
      <c r="E1399" s="27">
        <v>4</v>
      </c>
      <c r="F1399" s="27">
        <v>4</v>
      </c>
      <c r="G1399" s="28">
        <v>1.2800000000000001E-2</v>
      </c>
    </row>
    <row r="1400" spans="1:7" ht="22.5" x14ac:dyDescent="0.25">
      <c r="A1400" s="20" t="s">
        <v>620</v>
      </c>
      <c r="B1400" s="20" t="s">
        <v>1002</v>
      </c>
      <c r="C1400" s="20" t="s">
        <v>273</v>
      </c>
      <c r="D1400" s="20" t="s">
        <v>1043</v>
      </c>
      <c r="E1400" s="27">
        <v>32</v>
      </c>
      <c r="F1400" s="27">
        <v>32</v>
      </c>
      <c r="G1400" s="28">
        <v>8.0000000000000004E-4</v>
      </c>
    </row>
    <row r="1401" spans="1:7" ht="22.5" x14ac:dyDescent="0.25">
      <c r="A1401" s="20" t="s">
        <v>620</v>
      </c>
      <c r="B1401" s="20" t="s">
        <v>871</v>
      </c>
      <c r="C1401" s="20" t="s">
        <v>266</v>
      </c>
      <c r="D1401" s="20" t="s">
        <v>1043</v>
      </c>
      <c r="E1401" s="27">
        <v>16</v>
      </c>
      <c r="F1401" s="27">
        <v>16</v>
      </c>
      <c r="G1401" s="28">
        <v>3.3E-3</v>
      </c>
    </row>
    <row r="1402" spans="1:7" ht="22.5" x14ac:dyDescent="0.25">
      <c r="A1402" s="20" t="s">
        <v>620</v>
      </c>
      <c r="B1402" s="20" t="s">
        <v>625</v>
      </c>
      <c r="C1402" s="20" t="s">
        <v>219</v>
      </c>
      <c r="D1402" s="20" t="s">
        <v>1043</v>
      </c>
      <c r="E1402" s="27">
        <v>4</v>
      </c>
      <c r="F1402" s="27">
        <v>4</v>
      </c>
      <c r="G1402" s="29">
        <v>7.1399999999999996E-3</v>
      </c>
    </row>
    <row r="1403" spans="1:7" ht="22.5" x14ac:dyDescent="0.25">
      <c r="A1403" s="20" t="s">
        <v>620</v>
      </c>
      <c r="B1403" s="20" t="s">
        <v>140</v>
      </c>
      <c r="C1403" s="20" t="s">
        <v>140</v>
      </c>
      <c r="D1403" s="20" t="s">
        <v>1043</v>
      </c>
      <c r="E1403" s="27">
        <v>8</v>
      </c>
      <c r="F1403" s="27">
        <v>8</v>
      </c>
      <c r="G1403" s="29">
        <v>1.6900000000000001E-3</v>
      </c>
    </row>
    <row r="1404" spans="1:7" ht="22.5" x14ac:dyDescent="0.25">
      <c r="A1404" s="20" t="s">
        <v>620</v>
      </c>
      <c r="B1404" s="20" t="s">
        <v>1003</v>
      </c>
      <c r="C1404" s="20" t="s">
        <v>272</v>
      </c>
      <c r="D1404" s="20" t="s">
        <v>1043</v>
      </c>
      <c r="E1404" s="27">
        <v>32</v>
      </c>
      <c r="F1404" s="27">
        <v>32</v>
      </c>
      <c r="G1404" s="29">
        <v>1.2999999999999999E-4</v>
      </c>
    </row>
    <row r="1405" spans="1:7" ht="22.5" x14ac:dyDescent="0.25">
      <c r="A1405" s="20" t="s">
        <v>620</v>
      </c>
      <c r="B1405" s="20" t="s">
        <v>1011</v>
      </c>
      <c r="C1405" s="20" t="s">
        <v>280</v>
      </c>
      <c r="D1405" s="20" t="s">
        <v>1043</v>
      </c>
      <c r="E1405" s="27">
        <v>8</v>
      </c>
      <c r="F1405" s="27">
        <v>8</v>
      </c>
      <c r="G1405" s="29">
        <v>4.2999999999999999E-4</v>
      </c>
    </row>
    <row r="1406" spans="1:7" ht="22.5" x14ac:dyDescent="0.25">
      <c r="A1406" s="20" t="s">
        <v>620</v>
      </c>
      <c r="B1406" s="20" t="s">
        <v>212</v>
      </c>
      <c r="C1406" s="20" t="s">
        <v>212</v>
      </c>
      <c r="D1406" s="20" t="s">
        <v>1043</v>
      </c>
      <c r="E1406" s="27">
        <v>8</v>
      </c>
      <c r="F1406" s="27">
        <v>8</v>
      </c>
      <c r="G1406" s="29">
        <v>6.9999999999999994E-5</v>
      </c>
    </row>
    <row r="1407" spans="1:7" x14ac:dyDescent="0.25">
      <c r="A1407" s="20" t="s">
        <v>597</v>
      </c>
      <c r="B1407" s="20" t="s">
        <v>14</v>
      </c>
      <c r="C1407" s="20" t="s">
        <v>14</v>
      </c>
      <c r="D1407" s="20" t="s">
        <v>1043</v>
      </c>
      <c r="E1407" s="27">
        <v>2</v>
      </c>
      <c r="F1407" s="27">
        <v>2</v>
      </c>
      <c r="G1407" s="29">
        <v>0.36993999999999999</v>
      </c>
    </row>
    <row r="1408" spans="1:7" x14ac:dyDescent="0.25">
      <c r="A1408" s="20" t="s">
        <v>597</v>
      </c>
      <c r="B1408" s="20" t="s">
        <v>15</v>
      </c>
      <c r="C1408" s="20" t="s">
        <v>15</v>
      </c>
      <c r="D1408" s="20" t="s">
        <v>1043</v>
      </c>
      <c r="E1408" s="27">
        <v>4</v>
      </c>
      <c r="F1408" s="27">
        <v>4</v>
      </c>
      <c r="G1408" s="29">
        <v>5.6570000000000002E-2</v>
      </c>
    </row>
    <row r="1409" spans="1:7" x14ac:dyDescent="0.25">
      <c r="A1409" s="20" t="s">
        <v>597</v>
      </c>
      <c r="B1409" s="20" t="s">
        <v>16</v>
      </c>
      <c r="C1409" s="20" t="s">
        <v>16</v>
      </c>
      <c r="D1409" s="20" t="s">
        <v>1043</v>
      </c>
      <c r="E1409" s="27">
        <v>4</v>
      </c>
      <c r="F1409" s="27">
        <v>4</v>
      </c>
      <c r="G1409" s="29">
        <v>2.0840000000000001E-2</v>
      </c>
    </row>
    <row r="1410" spans="1:7" x14ac:dyDescent="0.25">
      <c r="A1410" s="20" t="s">
        <v>597</v>
      </c>
      <c r="B1410" s="20" t="s">
        <v>148</v>
      </c>
      <c r="C1410" s="20" t="s">
        <v>148</v>
      </c>
      <c r="D1410" s="20" t="s">
        <v>1043</v>
      </c>
      <c r="E1410" s="25">
        <v>5.72</v>
      </c>
      <c r="F1410" s="25">
        <v>5.72</v>
      </c>
      <c r="G1410" s="22"/>
    </row>
    <row r="1411" spans="1:7" x14ac:dyDescent="0.25">
      <c r="A1411" s="20" t="s">
        <v>588</v>
      </c>
      <c r="B1411" s="20" t="s">
        <v>130</v>
      </c>
      <c r="C1411" s="20" t="s">
        <v>130</v>
      </c>
      <c r="D1411" s="20" t="s">
        <v>1052</v>
      </c>
      <c r="E1411" s="26">
        <v>48.74888</v>
      </c>
      <c r="F1411" s="26">
        <v>48.74888</v>
      </c>
      <c r="G1411" s="22"/>
    </row>
    <row r="1412" spans="1:7" x14ac:dyDescent="0.25">
      <c r="A1412" s="20" t="s">
        <v>595</v>
      </c>
      <c r="B1412" s="20" t="s">
        <v>1014</v>
      </c>
      <c r="C1412" s="20" t="s">
        <v>1014</v>
      </c>
      <c r="D1412" s="20" t="s">
        <v>1051</v>
      </c>
      <c r="E1412" s="27">
        <v>1</v>
      </c>
      <c r="F1412" s="27">
        <v>2</v>
      </c>
      <c r="G1412" s="29">
        <v>7.9399999999999991E-3</v>
      </c>
    </row>
    <row r="1413" spans="1:7" x14ac:dyDescent="0.25">
      <c r="A1413" s="20" t="s">
        <v>595</v>
      </c>
      <c r="B1413" s="20" t="s">
        <v>1015</v>
      </c>
      <c r="C1413" s="20" t="s">
        <v>1015</v>
      </c>
      <c r="D1413" s="20" t="s">
        <v>1051</v>
      </c>
      <c r="E1413" s="27">
        <v>1</v>
      </c>
      <c r="F1413" s="27">
        <v>2</v>
      </c>
      <c r="G1413" s="29">
        <v>0.16846</v>
      </c>
    </row>
    <row r="1414" spans="1:7" x14ac:dyDescent="0.25">
      <c r="A1414" s="20" t="s">
        <v>595</v>
      </c>
      <c r="B1414" s="20" t="s">
        <v>1054</v>
      </c>
      <c r="C1414" s="20" t="s">
        <v>1054</v>
      </c>
      <c r="D1414" s="20" t="s">
        <v>1051</v>
      </c>
      <c r="E1414" s="27">
        <v>1</v>
      </c>
      <c r="F1414" s="27">
        <v>2</v>
      </c>
      <c r="G1414" s="29">
        <v>10.454650000000001</v>
      </c>
    </row>
    <row r="1415" spans="1:7" ht="22.5" x14ac:dyDescent="0.25">
      <c r="A1415" s="20" t="s">
        <v>620</v>
      </c>
      <c r="B1415" s="20" t="s">
        <v>1016</v>
      </c>
      <c r="C1415" s="20" t="s">
        <v>282</v>
      </c>
      <c r="D1415" s="20" t="s">
        <v>1051</v>
      </c>
      <c r="E1415" s="27">
        <v>4</v>
      </c>
      <c r="F1415" s="27">
        <v>8</v>
      </c>
      <c r="G1415" s="29">
        <v>3.9399999999999999E-3</v>
      </c>
    </row>
    <row r="1416" spans="1:7" ht="22.5" x14ac:dyDescent="0.25">
      <c r="A1416" s="20" t="s">
        <v>620</v>
      </c>
      <c r="B1416" s="20" t="s">
        <v>1017</v>
      </c>
      <c r="C1416" s="20" t="s">
        <v>281</v>
      </c>
      <c r="D1416" s="20" t="s">
        <v>1051</v>
      </c>
      <c r="E1416" s="27">
        <v>4</v>
      </c>
      <c r="F1416" s="27">
        <v>8</v>
      </c>
      <c r="G1416" s="28">
        <v>1.8E-3</v>
      </c>
    </row>
    <row r="1417" spans="1:7" x14ac:dyDescent="0.25">
      <c r="A1417" s="20" t="s">
        <v>588</v>
      </c>
      <c r="B1417" s="20" t="s">
        <v>130</v>
      </c>
      <c r="C1417" s="20" t="s">
        <v>130</v>
      </c>
      <c r="D1417" s="20" t="s">
        <v>1054</v>
      </c>
      <c r="E1417" s="26">
        <v>12.635120000000001</v>
      </c>
      <c r="F1417" s="26">
        <v>25.270240000000001</v>
      </c>
      <c r="G1417" s="22"/>
    </row>
    <row r="1418" spans="1:7" x14ac:dyDescent="0.25">
      <c r="A1418" s="20" t="s">
        <v>585</v>
      </c>
      <c r="B1418" s="20" t="s">
        <v>1055</v>
      </c>
      <c r="C1418" s="20" t="s">
        <v>1055</v>
      </c>
      <c r="D1418" s="20" t="s">
        <v>1056</v>
      </c>
      <c r="E1418" s="27">
        <v>1</v>
      </c>
      <c r="F1418" s="27">
        <v>1</v>
      </c>
      <c r="G1418" s="29">
        <v>157.32232999999999</v>
      </c>
    </row>
    <row r="1419" spans="1:7" x14ac:dyDescent="0.25">
      <c r="A1419" s="20" t="s">
        <v>595</v>
      </c>
      <c r="B1419" s="20" t="s">
        <v>1057</v>
      </c>
      <c r="C1419" s="20" t="s">
        <v>1057</v>
      </c>
      <c r="D1419" s="20" t="s">
        <v>1056</v>
      </c>
      <c r="E1419" s="27">
        <v>2</v>
      </c>
      <c r="F1419" s="27">
        <v>2</v>
      </c>
      <c r="G1419" s="28">
        <v>19.948699999999999</v>
      </c>
    </row>
    <row r="1420" spans="1:7" x14ac:dyDescent="0.25">
      <c r="A1420" s="20" t="s">
        <v>595</v>
      </c>
      <c r="B1420" s="20" t="s">
        <v>1058</v>
      </c>
      <c r="C1420" s="20" t="s">
        <v>1058</v>
      </c>
      <c r="D1420" s="20" t="s">
        <v>1056</v>
      </c>
      <c r="E1420" s="27">
        <v>2</v>
      </c>
      <c r="F1420" s="27">
        <v>2</v>
      </c>
      <c r="G1420" s="29">
        <v>0.49761</v>
      </c>
    </row>
    <row r="1421" spans="1:7" x14ac:dyDescent="0.25">
      <c r="A1421" s="20" t="s">
        <v>595</v>
      </c>
      <c r="B1421" s="20" t="s">
        <v>1059</v>
      </c>
      <c r="C1421" s="20" t="s">
        <v>1059</v>
      </c>
      <c r="D1421" s="20" t="s">
        <v>1056</v>
      </c>
      <c r="E1421" s="27">
        <v>3</v>
      </c>
      <c r="F1421" s="27">
        <v>3</v>
      </c>
      <c r="G1421" s="29">
        <v>5.8953800000000003</v>
      </c>
    </row>
    <row r="1422" spans="1:7" x14ac:dyDescent="0.25">
      <c r="A1422" s="20" t="s">
        <v>595</v>
      </c>
      <c r="B1422" s="20" t="s">
        <v>1060</v>
      </c>
      <c r="C1422" s="20" t="s">
        <v>1060</v>
      </c>
      <c r="D1422" s="20" t="s">
        <v>1056</v>
      </c>
      <c r="E1422" s="27">
        <v>6</v>
      </c>
      <c r="F1422" s="27">
        <v>6</v>
      </c>
      <c r="G1422" s="29">
        <v>7.0056700000000003</v>
      </c>
    </row>
    <row r="1423" spans="1:7" x14ac:dyDescent="0.25">
      <c r="A1423" s="20" t="s">
        <v>595</v>
      </c>
      <c r="B1423" s="20" t="s">
        <v>1061</v>
      </c>
      <c r="C1423" s="20" t="s">
        <v>1061</v>
      </c>
      <c r="D1423" s="20" t="s">
        <v>1056</v>
      </c>
      <c r="E1423" s="27">
        <v>3</v>
      </c>
      <c r="F1423" s="27">
        <v>3</v>
      </c>
      <c r="G1423" s="29">
        <v>0.20745</v>
      </c>
    </row>
    <row r="1424" spans="1:7" x14ac:dyDescent="0.25">
      <c r="A1424" s="20" t="s">
        <v>595</v>
      </c>
      <c r="B1424" s="20" t="s">
        <v>1062</v>
      </c>
      <c r="C1424" s="20" t="s">
        <v>1062</v>
      </c>
      <c r="D1424" s="20" t="s">
        <v>1056</v>
      </c>
      <c r="E1424" s="27">
        <v>4</v>
      </c>
      <c r="F1424" s="27">
        <v>4</v>
      </c>
      <c r="G1424" s="29">
        <v>0.53691999999999995</v>
      </c>
    </row>
    <row r="1425" spans="1:7" x14ac:dyDescent="0.25">
      <c r="A1425" s="20" t="s">
        <v>595</v>
      </c>
      <c r="B1425" s="20" t="s">
        <v>1063</v>
      </c>
      <c r="C1425" s="20" t="s">
        <v>1063</v>
      </c>
      <c r="D1425" s="20" t="s">
        <v>1056</v>
      </c>
      <c r="E1425" s="27">
        <v>18</v>
      </c>
      <c r="F1425" s="27">
        <v>18</v>
      </c>
      <c r="G1425" s="29">
        <v>3.2050800000000002</v>
      </c>
    </row>
    <row r="1426" spans="1:7" x14ac:dyDescent="0.25">
      <c r="A1426" s="20" t="s">
        <v>595</v>
      </c>
      <c r="B1426" s="20" t="s">
        <v>1064</v>
      </c>
      <c r="C1426" s="20" t="s">
        <v>1064</v>
      </c>
      <c r="D1426" s="20" t="s">
        <v>1056</v>
      </c>
      <c r="E1426" s="27">
        <v>4</v>
      </c>
      <c r="F1426" s="27">
        <v>4</v>
      </c>
      <c r="G1426" s="29">
        <v>3.75509</v>
      </c>
    </row>
    <row r="1427" spans="1:7" x14ac:dyDescent="0.25">
      <c r="A1427" s="20" t="s">
        <v>595</v>
      </c>
      <c r="B1427" s="20" t="s">
        <v>1065</v>
      </c>
      <c r="C1427" s="20" t="s">
        <v>1065</v>
      </c>
      <c r="D1427" s="20" t="s">
        <v>1056</v>
      </c>
      <c r="E1427" s="27">
        <v>11</v>
      </c>
      <c r="F1427" s="27">
        <v>11</v>
      </c>
      <c r="G1427" s="29">
        <v>1.2133700000000001</v>
      </c>
    </row>
    <row r="1428" spans="1:7" ht="22.5" x14ac:dyDescent="0.25">
      <c r="A1428" s="20" t="s">
        <v>620</v>
      </c>
      <c r="B1428" s="20" t="s">
        <v>622</v>
      </c>
      <c r="C1428" s="20" t="s">
        <v>256</v>
      </c>
      <c r="D1428" s="20" t="s">
        <v>1056</v>
      </c>
      <c r="E1428" s="27">
        <v>436</v>
      </c>
      <c r="F1428" s="27">
        <v>436</v>
      </c>
      <c r="G1428" s="28">
        <v>1.52E-2</v>
      </c>
    </row>
    <row r="1429" spans="1:7" ht="22.5" x14ac:dyDescent="0.25">
      <c r="A1429" s="20" t="s">
        <v>620</v>
      </c>
      <c r="B1429" s="20" t="s">
        <v>1066</v>
      </c>
      <c r="C1429" s="20" t="s">
        <v>284</v>
      </c>
      <c r="D1429" s="20" t="s">
        <v>1056</v>
      </c>
      <c r="E1429" s="27">
        <v>18</v>
      </c>
      <c r="F1429" s="27">
        <v>18</v>
      </c>
      <c r="G1429" s="28">
        <v>2.53E-2</v>
      </c>
    </row>
    <row r="1430" spans="1:7" ht="22.5" x14ac:dyDescent="0.25">
      <c r="A1430" s="20" t="s">
        <v>620</v>
      </c>
      <c r="B1430" s="20" t="s">
        <v>1001</v>
      </c>
      <c r="C1430" s="20" t="s">
        <v>274</v>
      </c>
      <c r="D1430" s="20" t="s">
        <v>1056</v>
      </c>
      <c r="E1430" s="27">
        <v>192</v>
      </c>
      <c r="F1430" s="27">
        <v>192</v>
      </c>
      <c r="G1430" s="29">
        <v>9.5300000000000003E-3</v>
      </c>
    </row>
    <row r="1431" spans="1:7" ht="22.5" x14ac:dyDescent="0.25">
      <c r="A1431" s="20" t="s">
        <v>620</v>
      </c>
      <c r="B1431" s="20" t="s">
        <v>625</v>
      </c>
      <c r="C1431" s="20" t="s">
        <v>219</v>
      </c>
      <c r="D1431" s="20" t="s">
        <v>1056</v>
      </c>
      <c r="E1431" s="27">
        <v>646</v>
      </c>
      <c r="F1431" s="27">
        <v>646</v>
      </c>
      <c r="G1431" s="29">
        <v>7.1399999999999996E-3</v>
      </c>
    </row>
    <row r="1432" spans="1:7" x14ac:dyDescent="0.25">
      <c r="A1432" s="20" t="s">
        <v>586</v>
      </c>
      <c r="B1432" s="20" t="s">
        <v>627</v>
      </c>
      <c r="C1432" s="20" t="s">
        <v>627</v>
      </c>
      <c r="D1432" s="20" t="s">
        <v>1056</v>
      </c>
      <c r="E1432" s="27">
        <v>1</v>
      </c>
      <c r="F1432" s="27">
        <v>1</v>
      </c>
      <c r="G1432" s="22"/>
    </row>
    <row r="1433" spans="1:7" x14ac:dyDescent="0.25">
      <c r="A1433" s="20" t="s">
        <v>588</v>
      </c>
      <c r="B1433" s="20" t="s">
        <v>124</v>
      </c>
      <c r="C1433" s="20" t="s">
        <v>124</v>
      </c>
      <c r="D1433" s="20" t="s">
        <v>1057</v>
      </c>
      <c r="E1433" s="26">
        <v>25.77054</v>
      </c>
      <c r="F1433" s="26">
        <v>51.541080000000001</v>
      </c>
      <c r="G1433" s="22"/>
    </row>
    <row r="1434" spans="1:7" x14ac:dyDescent="0.25">
      <c r="A1434" s="20" t="s">
        <v>588</v>
      </c>
      <c r="B1434" s="20" t="s">
        <v>123</v>
      </c>
      <c r="C1434" s="20" t="s">
        <v>123</v>
      </c>
      <c r="D1434" s="20" t="s">
        <v>1058</v>
      </c>
      <c r="E1434" s="26">
        <v>0.60136999999999996</v>
      </c>
      <c r="F1434" s="26">
        <v>1.2027399999999999</v>
      </c>
      <c r="G1434" s="22"/>
    </row>
    <row r="1435" spans="1:7" x14ac:dyDescent="0.25">
      <c r="A1435" s="20" t="s">
        <v>588</v>
      </c>
      <c r="B1435" s="20" t="s">
        <v>128</v>
      </c>
      <c r="C1435" s="20" t="s">
        <v>128</v>
      </c>
      <c r="D1435" s="20" t="s">
        <v>1059</v>
      </c>
      <c r="E1435" s="26">
        <v>7.1280099999999997</v>
      </c>
      <c r="F1435" s="26">
        <v>21.384029999999999</v>
      </c>
      <c r="G1435" s="22"/>
    </row>
    <row r="1436" spans="1:7" x14ac:dyDescent="0.25">
      <c r="A1436" s="20" t="s">
        <v>588</v>
      </c>
      <c r="B1436" s="20" t="s">
        <v>130</v>
      </c>
      <c r="C1436" s="20" t="s">
        <v>130</v>
      </c>
      <c r="D1436" s="20" t="s">
        <v>1060</v>
      </c>
      <c r="E1436" s="24">
        <v>8.4480000000000004</v>
      </c>
      <c r="F1436" s="24">
        <v>50.688000000000002</v>
      </c>
      <c r="G1436" s="22"/>
    </row>
    <row r="1437" spans="1:7" x14ac:dyDescent="0.25">
      <c r="A1437" s="20" t="s">
        <v>588</v>
      </c>
      <c r="B1437" s="20" t="s">
        <v>128</v>
      </c>
      <c r="C1437" s="20" t="s">
        <v>128</v>
      </c>
      <c r="D1437" s="20" t="s">
        <v>1061</v>
      </c>
      <c r="E1437" s="26">
        <v>0.25115999999999999</v>
      </c>
      <c r="F1437" s="26">
        <v>0.75348000000000004</v>
      </c>
      <c r="G1437" s="22"/>
    </row>
    <row r="1438" spans="1:7" x14ac:dyDescent="0.25">
      <c r="A1438" s="20" t="s">
        <v>588</v>
      </c>
      <c r="B1438" s="20" t="s">
        <v>123</v>
      </c>
      <c r="C1438" s="20" t="s">
        <v>123</v>
      </c>
      <c r="D1438" s="20" t="s">
        <v>1062</v>
      </c>
      <c r="E1438" s="32">
        <v>0.65210000000000001</v>
      </c>
      <c r="F1438" s="32">
        <v>2.6084000000000001</v>
      </c>
      <c r="G1438" s="22"/>
    </row>
    <row r="1439" spans="1:7" x14ac:dyDescent="0.25">
      <c r="A1439" s="20" t="s">
        <v>588</v>
      </c>
      <c r="B1439" s="20" t="s">
        <v>124</v>
      </c>
      <c r="C1439" s="20" t="s">
        <v>124</v>
      </c>
      <c r="D1439" s="20" t="s">
        <v>1063</v>
      </c>
      <c r="E1439" s="26">
        <v>3.9371800000000001</v>
      </c>
      <c r="F1439" s="26">
        <v>70.869240000000005</v>
      </c>
      <c r="G1439" s="22"/>
    </row>
    <row r="1440" spans="1:7" x14ac:dyDescent="0.25">
      <c r="A1440" s="20" t="s">
        <v>588</v>
      </c>
      <c r="B1440" s="20" t="s">
        <v>124</v>
      </c>
      <c r="C1440" s="20" t="s">
        <v>124</v>
      </c>
      <c r="D1440" s="20" t="s">
        <v>1064</v>
      </c>
      <c r="E1440" s="26">
        <v>5.4052300000000004</v>
      </c>
      <c r="F1440" s="26">
        <v>21.620920000000002</v>
      </c>
      <c r="G1440" s="22"/>
    </row>
    <row r="1441" spans="1:7" x14ac:dyDescent="0.25">
      <c r="A1441" s="20" t="s">
        <v>588</v>
      </c>
      <c r="B1441" s="20" t="s">
        <v>131</v>
      </c>
      <c r="C1441" s="20" t="s">
        <v>131</v>
      </c>
      <c r="D1441" s="20" t="s">
        <v>1065</v>
      </c>
      <c r="E1441" s="26">
        <v>1.45991</v>
      </c>
      <c r="F1441" s="26">
        <v>16.059010000000001</v>
      </c>
      <c r="G1441" s="22"/>
    </row>
    <row r="1442" spans="1:7" x14ac:dyDescent="0.25">
      <c r="A1442" s="20" t="s">
        <v>588</v>
      </c>
      <c r="B1442" s="20" t="s">
        <v>45</v>
      </c>
      <c r="C1442" s="20" t="s">
        <v>45</v>
      </c>
      <c r="D1442" s="20" t="s">
        <v>626</v>
      </c>
      <c r="E1442" s="26">
        <v>8.5865200000000002</v>
      </c>
      <c r="F1442" s="26">
        <v>51.519120000000001</v>
      </c>
      <c r="G1442" s="22"/>
    </row>
    <row r="1443" spans="1:7" x14ac:dyDescent="0.25">
      <c r="A1443" s="20" t="s">
        <v>588</v>
      </c>
      <c r="B1443" s="20" t="s">
        <v>45</v>
      </c>
      <c r="C1443" s="20" t="s">
        <v>45</v>
      </c>
      <c r="D1443" s="20" t="s">
        <v>628</v>
      </c>
      <c r="E1443" s="26">
        <v>8.0261800000000001</v>
      </c>
      <c r="F1443" s="26">
        <v>192.62832</v>
      </c>
      <c r="G1443" s="22"/>
    </row>
    <row r="1444" spans="1:7" x14ac:dyDescent="0.25">
      <c r="A1444" s="20" t="s">
        <v>588</v>
      </c>
      <c r="B1444" s="20" t="s">
        <v>127</v>
      </c>
      <c r="C1444" s="20" t="s">
        <v>127</v>
      </c>
      <c r="D1444" s="20" t="s">
        <v>629</v>
      </c>
      <c r="E1444" s="24">
        <v>8.1189999999999998</v>
      </c>
      <c r="F1444" s="24">
        <v>194.85599999999999</v>
      </c>
      <c r="G1444" s="22"/>
    </row>
    <row r="1445" spans="1:7" x14ac:dyDescent="0.25">
      <c r="A1445" s="20" t="s">
        <v>595</v>
      </c>
      <c r="B1445" s="20" t="s">
        <v>1067</v>
      </c>
      <c r="C1445" s="20" t="s">
        <v>1067</v>
      </c>
      <c r="D1445" s="20" t="s">
        <v>1055</v>
      </c>
      <c r="E1445" s="27">
        <v>7</v>
      </c>
      <c r="F1445" s="27">
        <v>7</v>
      </c>
      <c r="G1445" s="29">
        <v>2.58155</v>
      </c>
    </row>
    <row r="1446" spans="1:7" x14ac:dyDescent="0.25">
      <c r="A1446" s="20" t="s">
        <v>595</v>
      </c>
      <c r="B1446" s="20" t="s">
        <v>1068</v>
      </c>
      <c r="C1446" s="20" t="s">
        <v>1068</v>
      </c>
      <c r="D1446" s="20" t="s">
        <v>1055</v>
      </c>
      <c r="E1446" s="27">
        <v>3</v>
      </c>
      <c r="F1446" s="27">
        <v>3</v>
      </c>
      <c r="G1446" s="29">
        <v>0.77581</v>
      </c>
    </row>
    <row r="1447" spans="1:7" x14ac:dyDescent="0.25">
      <c r="A1447" s="20" t="s">
        <v>595</v>
      </c>
      <c r="B1447" s="20" t="s">
        <v>1069</v>
      </c>
      <c r="C1447" s="20" t="s">
        <v>1069</v>
      </c>
      <c r="D1447" s="20" t="s">
        <v>1055</v>
      </c>
      <c r="E1447" s="27">
        <v>3</v>
      </c>
      <c r="F1447" s="27">
        <v>3</v>
      </c>
      <c r="G1447" s="29">
        <v>11.77399</v>
      </c>
    </row>
    <row r="1448" spans="1:7" x14ac:dyDescent="0.25">
      <c r="A1448" s="20" t="s">
        <v>595</v>
      </c>
      <c r="B1448" s="20" t="s">
        <v>1070</v>
      </c>
      <c r="C1448" s="20" t="s">
        <v>1070</v>
      </c>
      <c r="D1448" s="20" t="s">
        <v>1055</v>
      </c>
      <c r="E1448" s="27">
        <v>5</v>
      </c>
      <c r="F1448" s="27">
        <v>5</v>
      </c>
      <c r="G1448" s="29">
        <v>2.47926</v>
      </c>
    </row>
    <row r="1449" spans="1:7" x14ac:dyDescent="0.25">
      <c r="A1449" s="20" t="s">
        <v>595</v>
      </c>
      <c r="B1449" s="20" t="s">
        <v>1071</v>
      </c>
      <c r="C1449" s="20" t="s">
        <v>1071</v>
      </c>
      <c r="D1449" s="20" t="s">
        <v>1055</v>
      </c>
      <c r="E1449" s="27">
        <v>1</v>
      </c>
      <c r="F1449" s="27">
        <v>1</v>
      </c>
      <c r="G1449" s="29">
        <v>2.4681600000000001</v>
      </c>
    </row>
    <row r="1450" spans="1:7" x14ac:dyDescent="0.25">
      <c r="A1450" s="20" t="s">
        <v>595</v>
      </c>
      <c r="B1450" s="20" t="s">
        <v>1072</v>
      </c>
      <c r="C1450" s="20" t="s">
        <v>1072</v>
      </c>
      <c r="D1450" s="20" t="s">
        <v>1055</v>
      </c>
      <c r="E1450" s="27">
        <v>1</v>
      </c>
      <c r="F1450" s="27">
        <v>1</v>
      </c>
      <c r="G1450" s="29">
        <v>2.46244</v>
      </c>
    </row>
    <row r="1451" spans="1:7" x14ac:dyDescent="0.25">
      <c r="A1451" s="20" t="s">
        <v>595</v>
      </c>
      <c r="B1451" s="20" t="s">
        <v>1073</v>
      </c>
      <c r="C1451" s="20" t="s">
        <v>1073</v>
      </c>
      <c r="D1451" s="20" t="s">
        <v>1055</v>
      </c>
      <c r="E1451" s="27">
        <v>9</v>
      </c>
      <c r="F1451" s="27">
        <v>9</v>
      </c>
      <c r="G1451" s="29">
        <v>3.7842699999999998</v>
      </c>
    </row>
    <row r="1452" spans="1:7" x14ac:dyDescent="0.25">
      <c r="A1452" s="20" t="s">
        <v>595</v>
      </c>
      <c r="B1452" s="20" t="s">
        <v>1074</v>
      </c>
      <c r="C1452" s="20" t="s">
        <v>1074</v>
      </c>
      <c r="D1452" s="20" t="s">
        <v>1055</v>
      </c>
      <c r="E1452" s="27">
        <v>3</v>
      </c>
      <c r="F1452" s="27">
        <v>3</v>
      </c>
      <c r="G1452" s="29">
        <v>15.798260000000001</v>
      </c>
    </row>
    <row r="1453" spans="1:7" x14ac:dyDescent="0.25">
      <c r="A1453" s="20" t="s">
        <v>595</v>
      </c>
      <c r="B1453" s="20" t="s">
        <v>1075</v>
      </c>
      <c r="C1453" s="20" t="s">
        <v>1075</v>
      </c>
      <c r="D1453" s="20" t="s">
        <v>1055</v>
      </c>
      <c r="E1453" s="27">
        <v>18</v>
      </c>
      <c r="F1453" s="27">
        <v>18</v>
      </c>
      <c r="G1453" s="29">
        <v>9.3600000000000003E-3</v>
      </c>
    </row>
    <row r="1454" spans="1:7" x14ac:dyDescent="0.25">
      <c r="A1454" s="20" t="s">
        <v>595</v>
      </c>
      <c r="B1454" s="20" t="s">
        <v>1076</v>
      </c>
      <c r="C1454" s="20" t="s">
        <v>1076</v>
      </c>
      <c r="D1454" s="20" t="s">
        <v>1055</v>
      </c>
      <c r="E1454" s="27">
        <v>2</v>
      </c>
      <c r="F1454" s="27">
        <v>2</v>
      </c>
      <c r="G1454" s="29">
        <v>1.0061100000000001</v>
      </c>
    </row>
    <row r="1455" spans="1:7" x14ac:dyDescent="0.25">
      <c r="A1455" s="20" t="s">
        <v>588</v>
      </c>
      <c r="B1455" s="20" t="s">
        <v>131</v>
      </c>
      <c r="C1455" s="20" t="s">
        <v>131</v>
      </c>
      <c r="D1455" s="20" t="s">
        <v>1067</v>
      </c>
      <c r="E1455" s="32">
        <v>5.0762</v>
      </c>
      <c r="F1455" s="32">
        <v>35.5334</v>
      </c>
      <c r="G1455" s="22"/>
    </row>
    <row r="1456" spans="1:7" x14ac:dyDescent="0.25">
      <c r="A1456" s="20" t="s">
        <v>588</v>
      </c>
      <c r="B1456" s="20" t="s">
        <v>131</v>
      </c>
      <c r="C1456" s="20" t="s">
        <v>131</v>
      </c>
      <c r="D1456" s="20" t="s">
        <v>1068</v>
      </c>
      <c r="E1456" s="26">
        <v>1.0512699999999999</v>
      </c>
      <c r="F1456" s="26">
        <v>3.15381</v>
      </c>
      <c r="G1456" s="22"/>
    </row>
    <row r="1457" spans="1:7" x14ac:dyDescent="0.25">
      <c r="A1457" s="20" t="s">
        <v>588</v>
      </c>
      <c r="B1457" s="20" t="s">
        <v>131</v>
      </c>
      <c r="C1457" s="20" t="s">
        <v>131</v>
      </c>
      <c r="D1457" s="20" t="s">
        <v>1069</v>
      </c>
      <c r="E1457" s="24">
        <v>14.057</v>
      </c>
      <c r="F1457" s="24">
        <v>463.88099999999997</v>
      </c>
      <c r="G1457" s="22"/>
    </row>
    <row r="1458" spans="1:7" x14ac:dyDescent="0.25">
      <c r="A1458" s="20" t="s">
        <v>588</v>
      </c>
      <c r="B1458" s="20" t="s">
        <v>131</v>
      </c>
      <c r="C1458" s="20" t="s">
        <v>131</v>
      </c>
      <c r="D1458" s="20" t="s">
        <v>1070</v>
      </c>
      <c r="E1458" s="26">
        <v>2.9486500000000002</v>
      </c>
      <c r="F1458" s="26">
        <v>14.74325</v>
      </c>
      <c r="G1458" s="22"/>
    </row>
    <row r="1459" spans="1:7" x14ac:dyDescent="0.25">
      <c r="A1459" s="20" t="s">
        <v>588</v>
      </c>
      <c r="B1459" s="20" t="s">
        <v>131</v>
      </c>
      <c r="C1459" s="20" t="s">
        <v>131</v>
      </c>
      <c r="D1459" s="20" t="s">
        <v>1071</v>
      </c>
      <c r="E1459" s="26">
        <v>2.9486500000000002</v>
      </c>
      <c r="F1459" s="26">
        <v>2.9486500000000002</v>
      </c>
      <c r="G1459" s="22"/>
    </row>
    <row r="1460" spans="1:7" x14ac:dyDescent="0.25">
      <c r="A1460" s="20" t="s">
        <v>588</v>
      </c>
      <c r="B1460" s="20" t="s">
        <v>131</v>
      </c>
      <c r="C1460" s="20" t="s">
        <v>131</v>
      </c>
      <c r="D1460" s="20" t="s">
        <v>1072</v>
      </c>
      <c r="E1460" s="26">
        <v>2.9486500000000002</v>
      </c>
      <c r="F1460" s="26">
        <v>2.9486500000000002</v>
      </c>
      <c r="G1460" s="22"/>
    </row>
    <row r="1461" spans="1:7" x14ac:dyDescent="0.25">
      <c r="A1461" s="20" t="s">
        <v>588</v>
      </c>
      <c r="B1461" s="20" t="s">
        <v>131</v>
      </c>
      <c r="C1461" s="20" t="s">
        <v>131</v>
      </c>
      <c r="D1461" s="20" t="s">
        <v>1073</v>
      </c>
      <c r="E1461" s="26">
        <v>4.4818100000000003</v>
      </c>
      <c r="F1461" s="26">
        <v>443.69918999999999</v>
      </c>
      <c r="G1461" s="22"/>
    </row>
    <row r="1462" spans="1:7" x14ac:dyDescent="0.25">
      <c r="A1462" s="20" t="s">
        <v>588</v>
      </c>
      <c r="B1462" s="20" t="s">
        <v>130</v>
      </c>
      <c r="C1462" s="20" t="s">
        <v>130</v>
      </c>
      <c r="D1462" s="20" t="s">
        <v>1074</v>
      </c>
      <c r="E1462" s="25">
        <v>20.45</v>
      </c>
      <c r="F1462" s="25">
        <v>61.35</v>
      </c>
      <c r="G1462" s="22"/>
    </row>
    <row r="1463" spans="1:7" x14ac:dyDescent="0.25">
      <c r="A1463" s="20" t="s">
        <v>588</v>
      </c>
      <c r="B1463" s="20" t="s">
        <v>130</v>
      </c>
      <c r="C1463" s="20" t="s">
        <v>130</v>
      </c>
      <c r="D1463" s="20" t="s">
        <v>1075</v>
      </c>
      <c r="E1463" s="26">
        <v>1.933E-2</v>
      </c>
      <c r="F1463" s="26">
        <v>14.26554</v>
      </c>
      <c r="G1463" s="22"/>
    </row>
    <row r="1464" spans="1:7" x14ac:dyDescent="0.25">
      <c r="A1464" s="20" t="s">
        <v>588</v>
      </c>
      <c r="B1464" s="20" t="s">
        <v>131</v>
      </c>
      <c r="C1464" s="20" t="s">
        <v>131</v>
      </c>
      <c r="D1464" s="20" t="s">
        <v>1076</v>
      </c>
      <c r="E1464" s="26">
        <v>1.26322</v>
      </c>
      <c r="F1464" s="26">
        <v>2.52644</v>
      </c>
      <c r="G1464" s="22"/>
    </row>
    <row r="1465" spans="1:7" x14ac:dyDescent="0.25">
      <c r="A1465" s="20" t="s">
        <v>585</v>
      </c>
      <c r="B1465" s="20" t="s">
        <v>1077</v>
      </c>
      <c r="C1465" s="20" t="s">
        <v>1077</v>
      </c>
      <c r="D1465" s="20" t="s">
        <v>1078</v>
      </c>
      <c r="E1465" s="27">
        <v>1</v>
      </c>
      <c r="F1465" s="27">
        <v>1</v>
      </c>
      <c r="G1465" s="29">
        <v>28.810279999999999</v>
      </c>
    </row>
    <row r="1466" spans="1:7" x14ac:dyDescent="0.25">
      <c r="A1466" s="20" t="s">
        <v>585</v>
      </c>
      <c r="B1466" s="20" t="s">
        <v>1079</v>
      </c>
      <c r="C1466" s="20" t="s">
        <v>1079</v>
      </c>
      <c r="D1466" s="20" t="s">
        <v>1078</v>
      </c>
      <c r="E1466" s="27">
        <v>1</v>
      </c>
      <c r="F1466" s="27">
        <v>1</v>
      </c>
      <c r="G1466" s="29">
        <v>28.813359999999999</v>
      </c>
    </row>
    <row r="1467" spans="1:7" x14ac:dyDescent="0.25">
      <c r="A1467" s="20" t="s">
        <v>585</v>
      </c>
      <c r="B1467" s="20" t="s">
        <v>1080</v>
      </c>
      <c r="C1467" s="20" t="s">
        <v>1080</v>
      </c>
      <c r="D1467" s="20" t="s">
        <v>1078</v>
      </c>
      <c r="E1467" s="27">
        <v>1</v>
      </c>
      <c r="F1467" s="27">
        <v>1</v>
      </c>
      <c r="G1467" s="29">
        <v>20.365870000000001</v>
      </c>
    </row>
    <row r="1468" spans="1:7" x14ac:dyDescent="0.25">
      <c r="A1468" s="20" t="s">
        <v>585</v>
      </c>
      <c r="B1468" s="20" t="s">
        <v>1081</v>
      </c>
      <c r="C1468" s="20" t="s">
        <v>1081</v>
      </c>
      <c r="D1468" s="20" t="s">
        <v>1078</v>
      </c>
      <c r="E1468" s="27">
        <v>2</v>
      </c>
      <c r="F1468" s="27">
        <v>2</v>
      </c>
      <c r="G1468" s="28">
        <v>9.7375000000000007</v>
      </c>
    </row>
    <row r="1469" spans="1:7" x14ac:dyDescent="0.25">
      <c r="A1469" s="20" t="s">
        <v>585</v>
      </c>
      <c r="B1469" s="20" t="s">
        <v>1082</v>
      </c>
      <c r="C1469" s="20" t="s">
        <v>1082</v>
      </c>
      <c r="D1469" s="20" t="s">
        <v>1078</v>
      </c>
      <c r="E1469" s="27">
        <v>2</v>
      </c>
      <c r="F1469" s="27">
        <v>2</v>
      </c>
      <c r="G1469" s="29">
        <v>2.2124100000000002</v>
      </c>
    </row>
    <row r="1470" spans="1:7" x14ac:dyDescent="0.25">
      <c r="A1470" s="20" t="s">
        <v>585</v>
      </c>
      <c r="B1470" s="20" t="s">
        <v>1083</v>
      </c>
      <c r="C1470" s="20" t="s">
        <v>1083</v>
      </c>
      <c r="D1470" s="20" t="s">
        <v>1078</v>
      </c>
      <c r="E1470" s="27">
        <v>1</v>
      </c>
      <c r="F1470" s="27">
        <v>1</v>
      </c>
      <c r="G1470" s="29">
        <v>21.904620000000001</v>
      </c>
    </row>
    <row r="1471" spans="1:7" x14ac:dyDescent="0.25">
      <c r="A1471" s="20" t="s">
        <v>585</v>
      </c>
      <c r="B1471" s="20" t="s">
        <v>1084</v>
      </c>
      <c r="C1471" s="20" t="s">
        <v>1084</v>
      </c>
      <c r="D1471" s="20" t="s">
        <v>1078</v>
      </c>
      <c r="E1471" s="27">
        <v>1</v>
      </c>
      <c r="F1471" s="27">
        <v>1</v>
      </c>
      <c r="G1471" s="29">
        <v>113.03103</v>
      </c>
    </row>
    <row r="1472" spans="1:7" x14ac:dyDescent="0.25">
      <c r="A1472" s="20" t="s">
        <v>585</v>
      </c>
      <c r="B1472" s="20" t="s">
        <v>1085</v>
      </c>
      <c r="C1472" s="20" t="s">
        <v>1085</v>
      </c>
      <c r="D1472" s="20" t="s">
        <v>1078</v>
      </c>
      <c r="E1472" s="27">
        <v>1</v>
      </c>
      <c r="F1472" s="27">
        <v>1</v>
      </c>
      <c r="G1472" s="29">
        <v>6.6650200000000002</v>
      </c>
    </row>
    <row r="1473" spans="1:7" x14ac:dyDescent="0.25">
      <c r="A1473" s="20" t="s">
        <v>585</v>
      </c>
      <c r="B1473" s="20" t="s">
        <v>1086</v>
      </c>
      <c r="C1473" s="20" t="s">
        <v>1086</v>
      </c>
      <c r="D1473" s="20" t="s">
        <v>1078</v>
      </c>
      <c r="E1473" s="27">
        <v>1</v>
      </c>
      <c r="F1473" s="27">
        <v>1</v>
      </c>
      <c r="G1473" s="29">
        <v>19.211739999999999</v>
      </c>
    </row>
    <row r="1474" spans="1:7" x14ac:dyDescent="0.25">
      <c r="A1474" s="20" t="s">
        <v>595</v>
      </c>
      <c r="B1474" s="20" t="s">
        <v>1087</v>
      </c>
      <c r="C1474" s="20" t="s">
        <v>1087</v>
      </c>
      <c r="D1474" s="20" t="s">
        <v>1078</v>
      </c>
      <c r="E1474" s="27">
        <v>2</v>
      </c>
      <c r="F1474" s="27">
        <v>2</v>
      </c>
      <c r="G1474" s="29">
        <v>12.77689</v>
      </c>
    </row>
    <row r="1475" spans="1:7" x14ac:dyDescent="0.25">
      <c r="A1475" s="20" t="s">
        <v>595</v>
      </c>
      <c r="B1475" s="20" t="s">
        <v>1088</v>
      </c>
      <c r="C1475" s="20" t="s">
        <v>1088</v>
      </c>
      <c r="D1475" s="20" t="s">
        <v>1078</v>
      </c>
      <c r="E1475" s="27">
        <v>11</v>
      </c>
      <c r="F1475" s="27">
        <v>11</v>
      </c>
      <c r="G1475" s="29">
        <v>19.27468</v>
      </c>
    </row>
    <row r="1476" spans="1:7" x14ac:dyDescent="0.25">
      <c r="A1476" s="20" t="s">
        <v>595</v>
      </c>
      <c r="B1476" s="20" t="s">
        <v>1089</v>
      </c>
      <c r="C1476" s="20" t="s">
        <v>1089</v>
      </c>
      <c r="D1476" s="20" t="s">
        <v>1078</v>
      </c>
      <c r="E1476" s="27">
        <v>1</v>
      </c>
      <c r="F1476" s="27">
        <v>1</v>
      </c>
      <c r="G1476" s="29">
        <v>1.61625</v>
      </c>
    </row>
    <row r="1477" spans="1:7" x14ac:dyDescent="0.25">
      <c r="A1477" s="20" t="s">
        <v>595</v>
      </c>
      <c r="B1477" s="20" t="s">
        <v>1090</v>
      </c>
      <c r="C1477" s="20" t="s">
        <v>1090</v>
      </c>
      <c r="D1477" s="20" t="s">
        <v>1078</v>
      </c>
      <c r="E1477" s="27">
        <v>1</v>
      </c>
      <c r="F1477" s="27">
        <v>1</v>
      </c>
      <c r="G1477" s="29">
        <v>12.756270000000001</v>
      </c>
    </row>
    <row r="1478" spans="1:7" x14ac:dyDescent="0.25">
      <c r="A1478" s="20" t="s">
        <v>595</v>
      </c>
      <c r="B1478" s="20" t="s">
        <v>1091</v>
      </c>
      <c r="C1478" s="20" t="s">
        <v>1091</v>
      </c>
      <c r="D1478" s="20" t="s">
        <v>1078</v>
      </c>
      <c r="E1478" s="27">
        <v>1</v>
      </c>
      <c r="F1478" s="27">
        <v>1</v>
      </c>
      <c r="G1478" s="29">
        <v>2.44536</v>
      </c>
    </row>
    <row r="1479" spans="1:7" x14ac:dyDescent="0.25">
      <c r="A1479" s="20" t="s">
        <v>595</v>
      </c>
      <c r="B1479" s="20" t="s">
        <v>1092</v>
      </c>
      <c r="C1479" s="20" t="s">
        <v>1092</v>
      </c>
      <c r="D1479" s="20" t="s">
        <v>1078</v>
      </c>
      <c r="E1479" s="27">
        <v>1</v>
      </c>
      <c r="F1479" s="27">
        <v>1</v>
      </c>
      <c r="G1479" s="29">
        <v>24.748419999999999</v>
      </c>
    </row>
    <row r="1480" spans="1:7" x14ac:dyDescent="0.25">
      <c r="A1480" s="20" t="s">
        <v>595</v>
      </c>
      <c r="B1480" s="20" t="s">
        <v>1093</v>
      </c>
      <c r="C1480" s="20" t="s">
        <v>1093</v>
      </c>
      <c r="D1480" s="20" t="s">
        <v>1078</v>
      </c>
      <c r="E1480" s="27">
        <v>1</v>
      </c>
      <c r="F1480" s="27">
        <v>1</v>
      </c>
      <c r="G1480" s="29">
        <v>11.68929</v>
      </c>
    </row>
    <row r="1481" spans="1:7" x14ac:dyDescent="0.25">
      <c r="A1481" s="20" t="s">
        <v>595</v>
      </c>
      <c r="B1481" s="20" t="s">
        <v>1094</v>
      </c>
      <c r="C1481" s="20" t="s">
        <v>1094</v>
      </c>
      <c r="D1481" s="20" t="s">
        <v>1078</v>
      </c>
      <c r="E1481" s="27">
        <v>4</v>
      </c>
      <c r="F1481" s="27">
        <v>4</v>
      </c>
      <c r="G1481" s="29">
        <v>0.46046999999999999</v>
      </c>
    </row>
    <row r="1482" spans="1:7" x14ac:dyDescent="0.25">
      <c r="A1482" s="20" t="s">
        <v>595</v>
      </c>
      <c r="B1482" s="20" t="s">
        <v>1095</v>
      </c>
      <c r="C1482" s="20" t="s">
        <v>1095</v>
      </c>
      <c r="D1482" s="20" t="s">
        <v>1078</v>
      </c>
      <c r="E1482" s="27">
        <v>2</v>
      </c>
      <c r="F1482" s="27">
        <v>2</v>
      </c>
      <c r="G1482" s="29">
        <v>0.87734999999999996</v>
      </c>
    </row>
    <row r="1483" spans="1:7" x14ac:dyDescent="0.25">
      <c r="A1483" s="20" t="s">
        <v>595</v>
      </c>
      <c r="B1483" s="20" t="s">
        <v>1096</v>
      </c>
      <c r="C1483" s="20" t="s">
        <v>1096</v>
      </c>
      <c r="D1483" s="20" t="s">
        <v>1078</v>
      </c>
      <c r="E1483" s="27">
        <v>1</v>
      </c>
      <c r="F1483" s="27">
        <v>1</v>
      </c>
      <c r="G1483" s="29">
        <v>22.704139999999999</v>
      </c>
    </row>
    <row r="1484" spans="1:7" x14ac:dyDescent="0.25">
      <c r="A1484" s="20" t="s">
        <v>595</v>
      </c>
      <c r="B1484" s="20" t="s">
        <v>1097</v>
      </c>
      <c r="C1484" s="20" t="s">
        <v>1097</v>
      </c>
      <c r="D1484" s="20" t="s">
        <v>1078</v>
      </c>
      <c r="E1484" s="27">
        <v>2</v>
      </c>
      <c r="F1484" s="27">
        <v>2</v>
      </c>
      <c r="G1484" s="29">
        <v>9.9633800000000008</v>
      </c>
    </row>
    <row r="1485" spans="1:7" x14ac:dyDescent="0.25">
      <c r="A1485" s="20" t="s">
        <v>595</v>
      </c>
      <c r="B1485" s="20" t="s">
        <v>1098</v>
      </c>
      <c r="C1485" s="20" t="s">
        <v>1098</v>
      </c>
      <c r="D1485" s="20" t="s">
        <v>1078</v>
      </c>
      <c r="E1485" s="27">
        <v>4</v>
      </c>
      <c r="F1485" s="27">
        <v>4</v>
      </c>
      <c r="G1485" s="29">
        <v>4.6763700000000004</v>
      </c>
    </row>
    <row r="1486" spans="1:7" x14ac:dyDescent="0.25">
      <c r="A1486" s="20" t="s">
        <v>595</v>
      </c>
      <c r="B1486" s="20" t="s">
        <v>1099</v>
      </c>
      <c r="C1486" s="20" t="s">
        <v>1099</v>
      </c>
      <c r="D1486" s="20" t="s">
        <v>1078</v>
      </c>
      <c r="E1486" s="27">
        <v>2</v>
      </c>
      <c r="F1486" s="27">
        <v>2</v>
      </c>
      <c r="G1486" s="29">
        <v>16.989180000000001</v>
      </c>
    </row>
    <row r="1487" spans="1:7" x14ac:dyDescent="0.25">
      <c r="A1487" s="20" t="s">
        <v>595</v>
      </c>
      <c r="B1487" s="20" t="s">
        <v>705</v>
      </c>
      <c r="C1487" s="20" t="s">
        <v>705</v>
      </c>
      <c r="D1487" s="20" t="s">
        <v>1078</v>
      </c>
      <c r="E1487" s="27">
        <v>1</v>
      </c>
      <c r="F1487" s="27">
        <v>1</v>
      </c>
      <c r="G1487" s="29">
        <v>7.4569999999999997E-2</v>
      </c>
    </row>
    <row r="1488" spans="1:7" ht="22.5" x14ac:dyDescent="0.25">
      <c r="A1488" s="20" t="s">
        <v>620</v>
      </c>
      <c r="B1488" s="20" t="s">
        <v>622</v>
      </c>
      <c r="C1488" s="20" t="s">
        <v>256</v>
      </c>
      <c r="D1488" s="20" t="s">
        <v>1078</v>
      </c>
      <c r="E1488" s="27">
        <v>136</v>
      </c>
      <c r="F1488" s="27">
        <v>136</v>
      </c>
      <c r="G1488" s="28">
        <v>1.52E-2</v>
      </c>
    </row>
    <row r="1489" spans="1:7" ht="22.5" x14ac:dyDescent="0.25">
      <c r="A1489" s="20" t="s">
        <v>620</v>
      </c>
      <c r="B1489" s="20" t="s">
        <v>623</v>
      </c>
      <c r="C1489" s="20" t="s">
        <v>285</v>
      </c>
      <c r="D1489" s="20" t="s">
        <v>1078</v>
      </c>
      <c r="E1489" s="27">
        <v>40</v>
      </c>
      <c r="F1489" s="27">
        <v>40</v>
      </c>
      <c r="G1489" s="28">
        <v>1.67E-2</v>
      </c>
    </row>
    <row r="1490" spans="1:7" ht="22.5" x14ac:dyDescent="0.25">
      <c r="A1490" s="20" t="s">
        <v>620</v>
      </c>
      <c r="B1490" s="20" t="s">
        <v>1100</v>
      </c>
      <c r="C1490" s="20" t="s">
        <v>286</v>
      </c>
      <c r="D1490" s="20" t="s">
        <v>1078</v>
      </c>
      <c r="E1490" s="27">
        <v>1</v>
      </c>
      <c r="F1490" s="27">
        <v>1</v>
      </c>
      <c r="G1490" s="28">
        <v>2.1700000000000001E-2</v>
      </c>
    </row>
    <row r="1491" spans="1:7" ht="22.5" x14ac:dyDescent="0.25">
      <c r="A1491" s="20" t="s">
        <v>620</v>
      </c>
      <c r="B1491" s="20" t="s">
        <v>761</v>
      </c>
      <c r="C1491" s="20" t="s">
        <v>255</v>
      </c>
      <c r="D1491" s="20" t="s">
        <v>1078</v>
      </c>
      <c r="E1491" s="27">
        <v>4</v>
      </c>
      <c r="F1491" s="27">
        <v>4</v>
      </c>
      <c r="G1491" s="29">
        <v>3.696E-2</v>
      </c>
    </row>
    <row r="1492" spans="1:7" ht="22.5" x14ac:dyDescent="0.25">
      <c r="A1492" s="20" t="s">
        <v>620</v>
      </c>
      <c r="B1492" s="20" t="s">
        <v>1101</v>
      </c>
      <c r="C1492" s="20" t="s">
        <v>287</v>
      </c>
      <c r="D1492" s="20" t="s">
        <v>1078</v>
      </c>
      <c r="E1492" s="27">
        <v>8</v>
      </c>
      <c r="F1492" s="27">
        <v>8</v>
      </c>
      <c r="G1492" s="28">
        <v>0.11360000000000001</v>
      </c>
    </row>
    <row r="1493" spans="1:7" ht="22.5" x14ac:dyDescent="0.25">
      <c r="A1493" s="20" t="s">
        <v>620</v>
      </c>
      <c r="B1493" s="20" t="s">
        <v>1102</v>
      </c>
      <c r="C1493" s="20" t="s">
        <v>288</v>
      </c>
      <c r="D1493" s="20" t="s">
        <v>1078</v>
      </c>
      <c r="E1493" s="27">
        <v>12</v>
      </c>
      <c r="F1493" s="27">
        <v>12</v>
      </c>
      <c r="G1493" s="29">
        <v>3.2910000000000002E-2</v>
      </c>
    </row>
    <row r="1494" spans="1:7" ht="22.5" x14ac:dyDescent="0.25">
      <c r="A1494" s="20" t="s">
        <v>620</v>
      </c>
      <c r="B1494" s="20" t="s">
        <v>1103</v>
      </c>
      <c r="C1494" s="20" t="s">
        <v>289</v>
      </c>
      <c r="D1494" s="20" t="s">
        <v>1078</v>
      </c>
      <c r="E1494" s="27">
        <v>1</v>
      </c>
      <c r="F1494" s="27">
        <v>1</v>
      </c>
      <c r="G1494" s="29">
        <v>4.1200000000000004E-3</v>
      </c>
    </row>
    <row r="1495" spans="1:7" ht="22.5" x14ac:dyDescent="0.25">
      <c r="A1495" s="20" t="s">
        <v>620</v>
      </c>
      <c r="B1495" s="20" t="s">
        <v>745</v>
      </c>
      <c r="C1495" s="20" t="s">
        <v>246</v>
      </c>
      <c r="D1495" s="20" t="s">
        <v>1078</v>
      </c>
      <c r="E1495" s="27">
        <v>4</v>
      </c>
      <c r="F1495" s="27">
        <v>4</v>
      </c>
      <c r="G1495" s="29">
        <v>1.022E-2</v>
      </c>
    </row>
    <row r="1496" spans="1:7" ht="22.5" x14ac:dyDescent="0.25">
      <c r="A1496" s="20" t="s">
        <v>620</v>
      </c>
      <c r="B1496" s="20" t="s">
        <v>734</v>
      </c>
      <c r="C1496" s="20" t="s">
        <v>238</v>
      </c>
      <c r="D1496" s="20" t="s">
        <v>1078</v>
      </c>
      <c r="E1496" s="27">
        <v>8</v>
      </c>
      <c r="F1496" s="27">
        <v>8</v>
      </c>
      <c r="G1496" s="28">
        <v>4.65E-2</v>
      </c>
    </row>
    <row r="1497" spans="1:7" ht="22.5" x14ac:dyDescent="0.25">
      <c r="A1497" s="20" t="s">
        <v>620</v>
      </c>
      <c r="B1497" s="20" t="s">
        <v>871</v>
      </c>
      <c r="C1497" s="20" t="s">
        <v>266</v>
      </c>
      <c r="D1497" s="20" t="s">
        <v>1078</v>
      </c>
      <c r="E1497" s="27">
        <v>1</v>
      </c>
      <c r="F1497" s="27">
        <v>1</v>
      </c>
      <c r="G1497" s="28">
        <v>3.3E-3</v>
      </c>
    </row>
    <row r="1498" spans="1:7" ht="22.5" x14ac:dyDescent="0.25">
      <c r="A1498" s="20" t="s">
        <v>620</v>
      </c>
      <c r="B1498" s="20" t="s">
        <v>625</v>
      </c>
      <c r="C1498" s="20" t="s">
        <v>219</v>
      </c>
      <c r="D1498" s="20" t="s">
        <v>1078</v>
      </c>
      <c r="E1498" s="27">
        <v>190</v>
      </c>
      <c r="F1498" s="27">
        <v>190</v>
      </c>
      <c r="G1498" s="29">
        <v>7.1399999999999996E-3</v>
      </c>
    </row>
    <row r="1499" spans="1:7" ht="22.5" x14ac:dyDescent="0.25">
      <c r="A1499" s="20" t="s">
        <v>620</v>
      </c>
      <c r="B1499" s="20" t="s">
        <v>767</v>
      </c>
      <c r="C1499" s="20" t="s">
        <v>249</v>
      </c>
      <c r="D1499" s="20" t="s">
        <v>1078</v>
      </c>
      <c r="E1499" s="27">
        <v>4</v>
      </c>
      <c r="F1499" s="27">
        <v>4</v>
      </c>
      <c r="G1499" s="29">
        <v>2.0100000000000001E-3</v>
      </c>
    </row>
    <row r="1500" spans="1:7" ht="22.5" x14ac:dyDescent="0.25">
      <c r="A1500" s="20" t="s">
        <v>620</v>
      </c>
      <c r="B1500" s="20" t="s">
        <v>662</v>
      </c>
      <c r="C1500" s="20" t="s">
        <v>221</v>
      </c>
      <c r="D1500" s="20" t="s">
        <v>1078</v>
      </c>
      <c r="E1500" s="27">
        <v>8</v>
      </c>
      <c r="F1500" s="27">
        <v>8</v>
      </c>
      <c r="G1500" s="29">
        <v>1.098E-2</v>
      </c>
    </row>
    <row r="1501" spans="1:7" ht="22.5" x14ac:dyDescent="0.25">
      <c r="A1501" s="20" t="s">
        <v>620</v>
      </c>
      <c r="B1501" s="20" t="s">
        <v>737</v>
      </c>
      <c r="C1501" s="20" t="s">
        <v>240</v>
      </c>
      <c r="D1501" s="20" t="s">
        <v>1078</v>
      </c>
      <c r="E1501" s="27">
        <v>24</v>
      </c>
      <c r="F1501" s="27">
        <v>24</v>
      </c>
      <c r="G1501" s="29">
        <v>1.73E-3</v>
      </c>
    </row>
    <row r="1502" spans="1:7" x14ac:dyDescent="0.25">
      <c r="A1502" s="20" t="s">
        <v>597</v>
      </c>
      <c r="B1502" s="20" t="s">
        <v>5</v>
      </c>
      <c r="C1502" s="20" t="s">
        <v>5</v>
      </c>
      <c r="D1502" s="20" t="s">
        <v>1078</v>
      </c>
      <c r="E1502" s="27">
        <v>1</v>
      </c>
      <c r="F1502" s="27">
        <v>1</v>
      </c>
      <c r="G1502" s="37">
        <v>62</v>
      </c>
    </row>
    <row r="1503" spans="1:7" x14ac:dyDescent="0.25">
      <c r="A1503" s="20" t="s">
        <v>597</v>
      </c>
      <c r="B1503" s="20" t="s">
        <v>21</v>
      </c>
      <c r="C1503" s="20" t="s">
        <v>21</v>
      </c>
      <c r="D1503" s="20" t="s">
        <v>1078</v>
      </c>
      <c r="E1503" s="27">
        <v>1</v>
      </c>
      <c r="F1503" s="27">
        <v>1</v>
      </c>
      <c r="G1503" s="29">
        <v>0.23000999999999999</v>
      </c>
    </row>
    <row r="1504" spans="1:7" x14ac:dyDescent="0.25">
      <c r="A1504" s="20" t="s">
        <v>597</v>
      </c>
      <c r="B1504" s="20" t="s">
        <v>24</v>
      </c>
      <c r="C1504" s="20" t="s">
        <v>24</v>
      </c>
      <c r="D1504" s="20" t="s">
        <v>1078</v>
      </c>
      <c r="E1504" s="27">
        <v>1</v>
      </c>
      <c r="F1504" s="27">
        <v>1</v>
      </c>
      <c r="G1504" s="29">
        <v>0.96411999999999998</v>
      </c>
    </row>
    <row r="1505" spans="1:7" x14ac:dyDescent="0.25">
      <c r="A1505" s="20" t="s">
        <v>597</v>
      </c>
      <c r="B1505" s="20" t="s">
        <v>27</v>
      </c>
      <c r="C1505" s="20" t="s">
        <v>27</v>
      </c>
      <c r="D1505" s="20" t="s">
        <v>1078</v>
      </c>
      <c r="E1505" s="27">
        <v>1</v>
      </c>
      <c r="F1505" s="27">
        <v>1</v>
      </c>
      <c r="G1505" s="29">
        <v>2.01275</v>
      </c>
    </row>
    <row r="1506" spans="1:7" x14ac:dyDescent="0.25">
      <c r="A1506" s="20" t="s">
        <v>597</v>
      </c>
      <c r="B1506" s="20" t="s">
        <v>30</v>
      </c>
      <c r="C1506" s="20" t="s">
        <v>30</v>
      </c>
      <c r="D1506" s="20" t="s">
        <v>1078</v>
      </c>
      <c r="E1506" s="27">
        <v>1</v>
      </c>
      <c r="F1506" s="27">
        <v>1</v>
      </c>
      <c r="G1506" s="29">
        <v>11.24105</v>
      </c>
    </row>
    <row r="1507" spans="1:7" x14ac:dyDescent="0.25">
      <c r="A1507" s="20" t="s">
        <v>597</v>
      </c>
      <c r="B1507" s="20" t="s">
        <v>34</v>
      </c>
      <c r="C1507" s="20" t="s">
        <v>34</v>
      </c>
      <c r="D1507" s="20" t="s">
        <v>1078</v>
      </c>
      <c r="E1507" s="27">
        <v>2</v>
      </c>
      <c r="F1507" s="27">
        <v>2</v>
      </c>
      <c r="G1507" s="31">
        <v>0.26</v>
      </c>
    </row>
    <row r="1508" spans="1:7" x14ac:dyDescent="0.25">
      <c r="A1508" s="20" t="s">
        <v>597</v>
      </c>
      <c r="B1508" s="20" t="s">
        <v>39</v>
      </c>
      <c r="C1508" s="20" t="s">
        <v>39</v>
      </c>
      <c r="D1508" s="20" t="s">
        <v>1078</v>
      </c>
      <c r="E1508" s="27">
        <v>2</v>
      </c>
      <c r="F1508" s="27">
        <v>2</v>
      </c>
      <c r="G1508" s="29">
        <v>5.2294099999999997</v>
      </c>
    </row>
    <row r="1509" spans="1:7" x14ac:dyDescent="0.25">
      <c r="A1509" s="20" t="s">
        <v>597</v>
      </c>
      <c r="B1509" s="20" t="s">
        <v>135</v>
      </c>
      <c r="C1509" s="20" t="s">
        <v>135</v>
      </c>
      <c r="D1509" s="20" t="s">
        <v>1078</v>
      </c>
      <c r="E1509" s="27">
        <v>12</v>
      </c>
      <c r="F1509" s="27">
        <v>12</v>
      </c>
      <c r="G1509" s="29">
        <v>4.96E-3</v>
      </c>
    </row>
    <row r="1510" spans="1:7" x14ac:dyDescent="0.25">
      <c r="A1510" s="20" t="s">
        <v>588</v>
      </c>
      <c r="B1510" s="20" t="s">
        <v>65</v>
      </c>
      <c r="C1510" s="20" t="s">
        <v>65</v>
      </c>
      <c r="D1510" s="20" t="s">
        <v>1087</v>
      </c>
      <c r="E1510" s="25">
        <v>0.08</v>
      </c>
      <c r="F1510" s="25">
        <v>0.16</v>
      </c>
      <c r="G1510" s="22"/>
    </row>
    <row r="1511" spans="1:7" x14ac:dyDescent="0.25">
      <c r="A1511" s="20" t="s">
        <v>588</v>
      </c>
      <c r="B1511" s="20" t="s">
        <v>118</v>
      </c>
      <c r="C1511" s="20" t="s">
        <v>118</v>
      </c>
      <c r="D1511" s="20" t="s">
        <v>1087</v>
      </c>
      <c r="E1511" s="26">
        <v>15.87364</v>
      </c>
      <c r="F1511" s="26">
        <v>31.74728</v>
      </c>
      <c r="G1511" s="22"/>
    </row>
    <row r="1512" spans="1:7" x14ac:dyDescent="0.25">
      <c r="A1512" s="20" t="s">
        <v>588</v>
      </c>
      <c r="B1512" s="20" t="s">
        <v>155</v>
      </c>
      <c r="C1512" s="20" t="s">
        <v>155</v>
      </c>
      <c r="D1512" s="20" t="s">
        <v>1087</v>
      </c>
      <c r="E1512" s="24">
        <v>2.4E-2</v>
      </c>
      <c r="F1512" s="24">
        <v>4.8000000000000001E-2</v>
      </c>
      <c r="G1512" s="22"/>
    </row>
    <row r="1513" spans="1:7" x14ac:dyDescent="0.25">
      <c r="A1513" s="20" t="s">
        <v>588</v>
      </c>
      <c r="B1513" s="20" t="s">
        <v>156</v>
      </c>
      <c r="C1513" s="20" t="s">
        <v>156</v>
      </c>
      <c r="D1513" s="20" t="s">
        <v>1087</v>
      </c>
      <c r="E1513" s="24">
        <v>7.2999999999999995E-2</v>
      </c>
      <c r="F1513" s="24">
        <v>0.14599999999999999</v>
      </c>
      <c r="G1513" s="22"/>
    </row>
    <row r="1514" spans="1:7" x14ac:dyDescent="0.25">
      <c r="A1514" s="20" t="s">
        <v>588</v>
      </c>
      <c r="B1514" s="20" t="s">
        <v>215</v>
      </c>
      <c r="C1514" s="20" t="s">
        <v>215</v>
      </c>
      <c r="D1514" s="20" t="s">
        <v>1087</v>
      </c>
      <c r="E1514" s="24">
        <v>0.159</v>
      </c>
      <c r="F1514" s="24">
        <v>0.318</v>
      </c>
      <c r="G1514" s="22"/>
    </row>
    <row r="1515" spans="1:7" x14ac:dyDescent="0.25">
      <c r="A1515" s="20" t="s">
        <v>588</v>
      </c>
      <c r="B1515" s="20" t="s">
        <v>128</v>
      </c>
      <c r="C1515" s="20" t="s">
        <v>128</v>
      </c>
      <c r="D1515" s="20" t="s">
        <v>1088</v>
      </c>
      <c r="E1515" s="26">
        <v>23.27918</v>
      </c>
      <c r="F1515" s="26">
        <v>256.07098000000002</v>
      </c>
      <c r="G1515" s="22"/>
    </row>
    <row r="1516" spans="1:7" x14ac:dyDescent="0.25">
      <c r="A1516" s="20" t="s">
        <v>588</v>
      </c>
      <c r="B1516" s="20" t="s">
        <v>130</v>
      </c>
      <c r="C1516" s="20" t="s">
        <v>130</v>
      </c>
      <c r="D1516" s="20" t="s">
        <v>1089</v>
      </c>
      <c r="E1516" s="26">
        <v>1.93977</v>
      </c>
      <c r="F1516" s="26">
        <v>1.93977</v>
      </c>
      <c r="G1516" s="22"/>
    </row>
    <row r="1517" spans="1:7" x14ac:dyDescent="0.25">
      <c r="A1517" s="20" t="s">
        <v>588</v>
      </c>
      <c r="B1517" s="20" t="s">
        <v>128</v>
      </c>
      <c r="C1517" s="20" t="s">
        <v>128</v>
      </c>
      <c r="D1517" s="20" t="s">
        <v>1090</v>
      </c>
      <c r="E1517" s="26">
        <v>15.31076</v>
      </c>
      <c r="F1517" s="26">
        <v>15.31076</v>
      </c>
      <c r="G1517" s="22"/>
    </row>
    <row r="1518" spans="1:7" x14ac:dyDescent="0.25">
      <c r="A1518" s="20" t="s">
        <v>588</v>
      </c>
      <c r="B1518" s="20" t="s">
        <v>130</v>
      </c>
      <c r="C1518" s="20" t="s">
        <v>130</v>
      </c>
      <c r="D1518" s="20" t="s">
        <v>1091</v>
      </c>
      <c r="E1518" s="32">
        <v>4.6675000000000004</v>
      </c>
      <c r="F1518" s="32">
        <v>4.6675000000000004</v>
      </c>
      <c r="G1518" s="22"/>
    </row>
    <row r="1519" spans="1:7" x14ac:dyDescent="0.25">
      <c r="A1519" s="20" t="s">
        <v>595</v>
      </c>
      <c r="B1519" s="20" t="s">
        <v>1104</v>
      </c>
      <c r="C1519" s="20" t="s">
        <v>1104</v>
      </c>
      <c r="D1519" s="20" t="s">
        <v>1077</v>
      </c>
      <c r="E1519" s="27">
        <v>1</v>
      </c>
      <c r="F1519" s="27">
        <v>1</v>
      </c>
      <c r="G1519" s="29">
        <v>28.71969</v>
      </c>
    </row>
    <row r="1520" spans="1:7" x14ac:dyDescent="0.25">
      <c r="A1520" s="20" t="s">
        <v>595</v>
      </c>
      <c r="B1520" s="20" t="s">
        <v>1105</v>
      </c>
      <c r="C1520" s="20" t="s">
        <v>1105</v>
      </c>
      <c r="D1520" s="20" t="s">
        <v>1077</v>
      </c>
      <c r="E1520" s="27">
        <v>1</v>
      </c>
      <c r="F1520" s="27">
        <v>1</v>
      </c>
      <c r="G1520" s="29">
        <v>16.988890000000001</v>
      </c>
    </row>
    <row r="1521" spans="1:7" ht="22.5" x14ac:dyDescent="0.25">
      <c r="A1521" s="20" t="s">
        <v>620</v>
      </c>
      <c r="B1521" s="20" t="s">
        <v>1103</v>
      </c>
      <c r="C1521" s="20" t="s">
        <v>289</v>
      </c>
      <c r="D1521" s="20" t="s">
        <v>1077</v>
      </c>
      <c r="E1521" s="27">
        <v>4</v>
      </c>
      <c r="F1521" s="27">
        <v>4</v>
      </c>
      <c r="G1521" s="29">
        <v>4.1200000000000004E-3</v>
      </c>
    </row>
    <row r="1522" spans="1:7" ht="22.5" x14ac:dyDescent="0.25">
      <c r="A1522" s="20" t="s">
        <v>620</v>
      </c>
      <c r="B1522" s="20" t="s">
        <v>871</v>
      </c>
      <c r="C1522" s="20" t="s">
        <v>266</v>
      </c>
      <c r="D1522" s="20" t="s">
        <v>1077</v>
      </c>
      <c r="E1522" s="27">
        <v>4</v>
      </c>
      <c r="F1522" s="27">
        <v>4</v>
      </c>
      <c r="G1522" s="28">
        <v>3.3E-3</v>
      </c>
    </row>
    <row r="1523" spans="1:7" x14ac:dyDescent="0.25">
      <c r="A1523" s="20" t="s">
        <v>595</v>
      </c>
      <c r="B1523" s="20" t="s">
        <v>1106</v>
      </c>
      <c r="C1523" s="20" t="s">
        <v>1106</v>
      </c>
      <c r="D1523" s="20" t="s">
        <v>1079</v>
      </c>
      <c r="E1523" s="27">
        <v>1</v>
      </c>
      <c r="F1523" s="27">
        <v>1</v>
      </c>
      <c r="G1523" s="29">
        <v>28.72278</v>
      </c>
    </row>
    <row r="1524" spans="1:7" x14ac:dyDescent="0.25">
      <c r="A1524" s="20" t="s">
        <v>595</v>
      </c>
      <c r="B1524" s="20" t="s">
        <v>1105</v>
      </c>
      <c r="C1524" s="20" t="s">
        <v>1105</v>
      </c>
      <c r="D1524" s="20" t="s">
        <v>1079</v>
      </c>
      <c r="E1524" s="27">
        <v>1</v>
      </c>
      <c r="F1524" s="27">
        <v>1</v>
      </c>
      <c r="G1524" s="29">
        <v>16.988890000000001</v>
      </c>
    </row>
    <row r="1525" spans="1:7" ht="22.5" x14ac:dyDescent="0.25">
      <c r="A1525" s="20" t="s">
        <v>620</v>
      </c>
      <c r="B1525" s="20" t="s">
        <v>1103</v>
      </c>
      <c r="C1525" s="20" t="s">
        <v>289</v>
      </c>
      <c r="D1525" s="20" t="s">
        <v>1079</v>
      </c>
      <c r="E1525" s="27">
        <v>4</v>
      </c>
      <c r="F1525" s="27">
        <v>4</v>
      </c>
      <c r="G1525" s="29">
        <v>4.1200000000000004E-3</v>
      </c>
    </row>
    <row r="1526" spans="1:7" ht="22.5" x14ac:dyDescent="0.25">
      <c r="A1526" s="20" t="s">
        <v>620</v>
      </c>
      <c r="B1526" s="20" t="s">
        <v>871</v>
      </c>
      <c r="C1526" s="20" t="s">
        <v>266</v>
      </c>
      <c r="D1526" s="20" t="s">
        <v>1079</v>
      </c>
      <c r="E1526" s="27">
        <v>4</v>
      </c>
      <c r="F1526" s="27">
        <v>4</v>
      </c>
      <c r="G1526" s="28">
        <v>3.3E-3</v>
      </c>
    </row>
    <row r="1527" spans="1:7" x14ac:dyDescent="0.25">
      <c r="A1527" s="20" t="s">
        <v>588</v>
      </c>
      <c r="B1527" s="20" t="s">
        <v>65</v>
      </c>
      <c r="C1527" s="20" t="s">
        <v>65</v>
      </c>
      <c r="D1527" s="20" t="s">
        <v>1104</v>
      </c>
      <c r="E1527" s="24">
        <v>0.17799999999999999</v>
      </c>
      <c r="F1527" s="24">
        <v>0.17799999999999999</v>
      </c>
      <c r="G1527" s="22"/>
    </row>
    <row r="1528" spans="1:7" x14ac:dyDescent="0.25">
      <c r="A1528" s="20" t="s">
        <v>588</v>
      </c>
      <c r="B1528" s="20" t="s">
        <v>118</v>
      </c>
      <c r="C1528" s="20" t="s">
        <v>118</v>
      </c>
      <c r="D1528" s="20" t="s">
        <v>1104</v>
      </c>
      <c r="E1528" s="26">
        <v>35.309170000000002</v>
      </c>
      <c r="F1528" s="26">
        <v>35.309170000000002</v>
      </c>
      <c r="G1528" s="22"/>
    </row>
    <row r="1529" spans="1:7" x14ac:dyDescent="0.25">
      <c r="A1529" s="20" t="s">
        <v>588</v>
      </c>
      <c r="B1529" s="20" t="s">
        <v>155</v>
      </c>
      <c r="C1529" s="20" t="s">
        <v>155</v>
      </c>
      <c r="D1529" s="20" t="s">
        <v>1104</v>
      </c>
      <c r="E1529" s="24">
        <v>5.2999999999999999E-2</v>
      </c>
      <c r="F1529" s="24">
        <v>5.2999999999999999E-2</v>
      </c>
      <c r="G1529" s="22"/>
    </row>
    <row r="1530" spans="1:7" x14ac:dyDescent="0.25">
      <c r="A1530" s="20" t="s">
        <v>588</v>
      </c>
      <c r="B1530" s="20" t="s">
        <v>156</v>
      </c>
      <c r="C1530" s="20" t="s">
        <v>156</v>
      </c>
      <c r="D1530" s="20" t="s">
        <v>1104</v>
      </c>
      <c r="E1530" s="24">
        <v>0.16300000000000001</v>
      </c>
      <c r="F1530" s="24">
        <v>0.16300000000000001</v>
      </c>
      <c r="G1530" s="22"/>
    </row>
    <row r="1531" spans="1:7" x14ac:dyDescent="0.25">
      <c r="A1531" s="20" t="s">
        <v>588</v>
      </c>
      <c r="B1531" s="20" t="s">
        <v>215</v>
      </c>
      <c r="C1531" s="20" t="s">
        <v>215</v>
      </c>
      <c r="D1531" s="20" t="s">
        <v>1104</v>
      </c>
      <c r="E1531" s="24">
        <v>0.35499999999999998</v>
      </c>
      <c r="F1531" s="24">
        <v>0.35499999999999998</v>
      </c>
      <c r="G1531" s="22"/>
    </row>
    <row r="1532" spans="1:7" x14ac:dyDescent="0.25">
      <c r="A1532" s="20" t="s">
        <v>588</v>
      </c>
      <c r="B1532" s="20" t="s">
        <v>65</v>
      </c>
      <c r="C1532" s="20" t="s">
        <v>65</v>
      </c>
      <c r="D1532" s="20" t="s">
        <v>1106</v>
      </c>
      <c r="E1532" s="24">
        <v>0.17799999999999999</v>
      </c>
      <c r="F1532" s="24">
        <v>0.17799999999999999</v>
      </c>
      <c r="G1532" s="22"/>
    </row>
    <row r="1533" spans="1:7" x14ac:dyDescent="0.25">
      <c r="A1533" s="20" t="s">
        <v>588</v>
      </c>
      <c r="B1533" s="20" t="s">
        <v>118</v>
      </c>
      <c r="C1533" s="20" t="s">
        <v>118</v>
      </c>
      <c r="D1533" s="20" t="s">
        <v>1106</v>
      </c>
      <c r="E1533" s="26">
        <v>35.309170000000002</v>
      </c>
      <c r="F1533" s="26">
        <v>35.309170000000002</v>
      </c>
      <c r="G1533" s="22"/>
    </row>
    <row r="1534" spans="1:7" x14ac:dyDescent="0.25">
      <c r="A1534" s="20" t="s">
        <v>588</v>
      </c>
      <c r="B1534" s="20" t="s">
        <v>155</v>
      </c>
      <c r="C1534" s="20" t="s">
        <v>155</v>
      </c>
      <c r="D1534" s="20" t="s">
        <v>1106</v>
      </c>
      <c r="E1534" s="24">
        <v>5.2999999999999999E-2</v>
      </c>
      <c r="F1534" s="24">
        <v>5.2999999999999999E-2</v>
      </c>
      <c r="G1534" s="22"/>
    </row>
    <row r="1535" spans="1:7" x14ac:dyDescent="0.25">
      <c r="A1535" s="20" t="s">
        <v>588</v>
      </c>
      <c r="B1535" s="20" t="s">
        <v>156</v>
      </c>
      <c r="C1535" s="20" t="s">
        <v>156</v>
      </c>
      <c r="D1535" s="20" t="s">
        <v>1106</v>
      </c>
      <c r="E1535" s="24">
        <v>0.16300000000000001</v>
      </c>
      <c r="F1535" s="24">
        <v>0.16300000000000001</v>
      </c>
      <c r="G1535" s="22"/>
    </row>
    <row r="1536" spans="1:7" x14ac:dyDescent="0.25">
      <c r="A1536" s="20" t="s">
        <v>588</v>
      </c>
      <c r="B1536" s="20" t="s">
        <v>215</v>
      </c>
      <c r="C1536" s="20" t="s">
        <v>215</v>
      </c>
      <c r="D1536" s="20" t="s">
        <v>1106</v>
      </c>
      <c r="E1536" s="24">
        <v>0.35499999999999998</v>
      </c>
      <c r="F1536" s="24">
        <v>0.35499999999999998</v>
      </c>
      <c r="G1536" s="22"/>
    </row>
    <row r="1537" spans="1:7" x14ac:dyDescent="0.25">
      <c r="A1537" s="20" t="s">
        <v>588</v>
      </c>
      <c r="B1537" s="20" t="s">
        <v>130</v>
      </c>
      <c r="C1537" s="20" t="s">
        <v>130</v>
      </c>
      <c r="D1537" s="20" t="s">
        <v>1092</v>
      </c>
      <c r="E1537" s="32">
        <v>1.1156999999999999</v>
      </c>
      <c r="F1537" s="32">
        <v>1.1156999999999999</v>
      </c>
      <c r="G1537" s="22"/>
    </row>
    <row r="1538" spans="1:7" x14ac:dyDescent="0.25">
      <c r="A1538" s="20" t="s">
        <v>588</v>
      </c>
      <c r="B1538" s="20" t="s">
        <v>168</v>
      </c>
      <c r="C1538" s="20" t="s">
        <v>168</v>
      </c>
      <c r="D1538" s="20" t="s">
        <v>1105</v>
      </c>
      <c r="E1538" s="24">
        <v>0.999</v>
      </c>
      <c r="F1538" s="24">
        <v>1.998</v>
      </c>
      <c r="G1538" s="22"/>
    </row>
    <row r="1539" spans="1:7" x14ac:dyDescent="0.25">
      <c r="A1539" s="20" t="s">
        <v>588</v>
      </c>
      <c r="B1539" s="20" t="s">
        <v>128</v>
      </c>
      <c r="C1539" s="20" t="s">
        <v>128</v>
      </c>
      <c r="D1539" s="20" t="s">
        <v>1093</v>
      </c>
      <c r="E1539" s="26">
        <v>14.031510000000001</v>
      </c>
      <c r="F1539" s="26">
        <v>14.031510000000001</v>
      </c>
      <c r="G1539" s="22"/>
    </row>
    <row r="1540" spans="1:7" x14ac:dyDescent="0.25">
      <c r="A1540" s="20" t="s">
        <v>588</v>
      </c>
      <c r="B1540" s="20" t="s">
        <v>131</v>
      </c>
      <c r="C1540" s="20" t="s">
        <v>131</v>
      </c>
      <c r="D1540" s="20" t="s">
        <v>1094</v>
      </c>
      <c r="E1540" s="24">
        <v>0.55700000000000005</v>
      </c>
      <c r="F1540" s="24">
        <v>2.2280000000000002</v>
      </c>
      <c r="G1540" s="22"/>
    </row>
    <row r="1541" spans="1:7" x14ac:dyDescent="0.25">
      <c r="A1541" s="20" t="s">
        <v>588</v>
      </c>
      <c r="B1541" s="20" t="s">
        <v>65</v>
      </c>
      <c r="C1541" s="20" t="s">
        <v>65</v>
      </c>
      <c r="D1541" s="20" t="s">
        <v>1095</v>
      </c>
      <c r="E1541" s="25">
        <v>0.01</v>
      </c>
      <c r="F1541" s="25">
        <v>0.02</v>
      </c>
      <c r="G1541" s="22"/>
    </row>
    <row r="1542" spans="1:7" x14ac:dyDescent="0.25">
      <c r="A1542" s="20" t="s">
        <v>588</v>
      </c>
      <c r="B1542" s="20" t="s">
        <v>115</v>
      </c>
      <c r="C1542" s="20" t="s">
        <v>115</v>
      </c>
      <c r="D1542" s="20" t="s">
        <v>1095</v>
      </c>
      <c r="E1542" s="26">
        <v>1.05786</v>
      </c>
      <c r="F1542" s="26">
        <v>2.11572</v>
      </c>
      <c r="G1542" s="22"/>
    </row>
    <row r="1543" spans="1:7" x14ac:dyDescent="0.25">
      <c r="A1543" s="20" t="s">
        <v>588</v>
      </c>
      <c r="B1543" s="20" t="s">
        <v>155</v>
      </c>
      <c r="C1543" s="20" t="s">
        <v>155</v>
      </c>
      <c r="D1543" s="20" t="s">
        <v>1095</v>
      </c>
      <c r="E1543" s="24">
        <v>6.0000000000000001E-3</v>
      </c>
      <c r="F1543" s="24">
        <v>1.2E-2</v>
      </c>
      <c r="G1543" s="22"/>
    </row>
    <row r="1544" spans="1:7" x14ac:dyDescent="0.25">
      <c r="A1544" s="20" t="s">
        <v>588</v>
      </c>
      <c r="B1544" s="20" t="s">
        <v>156</v>
      </c>
      <c r="C1544" s="20" t="s">
        <v>156</v>
      </c>
      <c r="D1544" s="20" t="s">
        <v>1095</v>
      </c>
      <c r="E1544" s="24">
        <v>8.0000000000000002E-3</v>
      </c>
      <c r="F1544" s="24">
        <v>1.6E-2</v>
      </c>
      <c r="G1544" s="22"/>
    </row>
    <row r="1545" spans="1:7" x14ac:dyDescent="0.25">
      <c r="A1545" s="20" t="s">
        <v>588</v>
      </c>
      <c r="B1545" s="20" t="s">
        <v>215</v>
      </c>
      <c r="C1545" s="20" t="s">
        <v>215</v>
      </c>
      <c r="D1545" s="20" t="s">
        <v>1095</v>
      </c>
      <c r="E1545" s="25">
        <v>0.02</v>
      </c>
      <c r="F1545" s="25">
        <v>0.04</v>
      </c>
      <c r="G1545" s="22"/>
    </row>
    <row r="1546" spans="1:7" x14ac:dyDescent="0.25">
      <c r="A1546" s="20" t="s">
        <v>588</v>
      </c>
      <c r="B1546" s="20" t="s">
        <v>131</v>
      </c>
      <c r="C1546" s="20" t="s">
        <v>131</v>
      </c>
      <c r="D1546" s="20" t="s">
        <v>1096</v>
      </c>
      <c r="E1546" s="26">
        <v>28.520440000000001</v>
      </c>
      <c r="F1546" s="26">
        <v>28.520440000000001</v>
      </c>
      <c r="G1546" s="22"/>
    </row>
    <row r="1547" spans="1:7" x14ac:dyDescent="0.25">
      <c r="A1547" s="20" t="s">
        <v>588</v>
      </c>
      <c r="B1547" s="20" t="s">
        <v>131</v>
      </c>
      <c r="C1547" s="20" t="s">
        <v>131</v>
      </c>
      <c r="D1547" s="20" t="s">
        <v>1097</v>
      </c>
      <c r="E1547" s="33">
        <v>11.5</v>
      </c>
      <c r="F1547" s="27">
        <v>23</v>
      </c>
      <c r="G1547" s="22"/>
    </row>
    <row r="1548" spans="1:7" x14ac:dyDescent="0.25">
      <c r="A1548" s="20" t="s">
        <v>588</v>
      </c>
      <c r="B1548" s="20" t="s">
        <v>65</v>
      </c>
      <c r="C1548" s="20" t="s">
        <v>65</v>
      </c>
      <c r="D1548" s="20" t="s">
        <v>1098</v>
      </c>
      <c r="E1548" s="24">
        <v>2.5999999999999999E-2</v>
      </c>
      <c r="F1548" s="24">
        <v>0.104</v>
      </c>
      <c r="G1548" s="22"/>
    </row>
    <row r="1549" spans="1:7" x14ac:dyDescent="0.25">
      <c r="A1549" s="20" t="s">
        <v>588</v>
      </c>
      <c r="B1549" s="20" t="s">
        <v>120</v>
      </c>
      <c r="C1549" s="20" t="s">
        <v>120</v>
      </c>
      <c r="D1549" s="20" t="s">
        <v>1098</v>
      </c>
      <c r="E1549" s="26">
        <v>5.7684300000000004</v>
      </c>
      <c r="F1549" s="26">
        <v>23.073720000000002</v>
      </c>
      <c r="G1549" s="22"/>
    </row>
    <row r="1550" spans="1:7" x14ac:dyDescent="0.25">
      <c r="A1550" s="20" t="s">
        <v>588</v>
      </c>
      <c r="B1550" s="20" t="s">
        <v>155</v>
      </c>
      <c r="C1550" s="20" t="s">
        <v>155</v>
      </c>
      <c r="D1550" s="20" t="s">
        <v>1098</v>
      </c>
      <c r="E1550" s="25">
        <v>0.01</v>
      </c>
      <c r="F1550" s="25">
        <v>0.04</v>
      </c>
      <c r="G1550" s="22"/>
    </row>
    <row r="1551" spans="1:7" x14ac:dyDescent="0.25">
      <c r="A1551" s="20" t="s">
        <v>588</v>
      </c>
      <c r="B1551" s="20" t="s">
        <v>156</v>
      </c>
      <c r="C1551" s="20" t="s">
        <v>156</v>
      </c>
      <c r="D1551" s="20" t="s">
        <v>1098</v>
      </c>
      <c r="E1551" s="24">
        <v>2.4E-2</v>
      </c>
      <c r="F1551" s="24">
        <v>9.6000000000000002E-2</v>
      </c>
      <c r="G1551" s="22"/>
    </row>
    <row r="1552" spans="1:7" x14ac:dyDescent="0.25">
      <c r="A1552" s="20" t="s">
        <v>588</v>
      </c>
      <c r="B1552" s="20" t="s">
        <v>215</v>
      </c>
      <c r="C1552" s="20" t="s">
        <v>215</v>
      </c>
      <c r="D1552" s="20" t="s">
        <v>1098</v>
      </c>
      <c r="E1552" s="24">
        <v>7.8E-2</v>
      </c>
      <c r="F1552" s="24">
        <v>0.312</v>
      </c>
      <c r="G1552" s="22"/>
    </row>
    <row r="1553" spans="1:7" x14ac:dyDescent="0.25">
      <c r="A1553" s="20" t="s">
        <v>588</v>
      </c>
      <c r="B1553" s="20" t="s">
        <v>128</v>
      </c>
      <c r="C1553" s="20" t="s">
        <v>128</v>
      </c>
      <c r="D1553" s="20" t="s">
        <v>1099</v>
      </c>
      <c r="E1553" s="26">
        <v>20.410789999999999</v>
      </c>
      <c r="F1553" s="26">
        <v>40.821579999999997</v>
      </c>
      <c r="G1553" s="22"/>
    </row>
    <row r="1554" spans="1:7" x14ac:dyDescent="0.25">
      <c r="A1554" s="20" t="s">
        <v>585</v>
      </c>
      <c r="B1554" s="20" t="s">
        <v>1107</v>
      </c>
      <c r="C1554" s="20" t="s">
        <v>1107</v>
      </c>
      <c r="D1554" s="20" t="s">
        <v>1080</v>
      </c>
      <c r="E1554" s="27">
        <v>1</v>
      </c>
      <c r="F1554" s="27">
        <v>1</v>
      </c>
      <c r="G1554" s="29">
        <v>15.32761</v>
      </c>
    </row>
    <row r="1555" spans="1:7" x14ac:dyDescent="0.25">
      <c r="A1555" s="20" t="s">
        <v>595</v>
      </c>
      <c r="B1555" s="20" t="s">
        <v>1108</v>
      </c>
      <c r="C1555" s="20" t="s">
        <v>1108</v>
      </c>
      <c r="D1555" s="20" t="s">
        <v>1080</v>
      </c>
      <c r="E1555" s="27">
        <v>1</v>
      </c>
      <c r="F1555" s="27">
        <v>1</v>
      </c>
      <c r="G1555" s="29">
        <v>1.43676</v>
      </c>
    </row>
    <row r="1556" spans="1:7" x14ac:dyDescent="0.25">
      <c r="A1556" s="20" t="s">
        <v>595</v>
      </c>
      <c r="B1556" s="20" t="s">
        <v>1109</v>
      </c>
      <c r="C1556" s="20" t="s">
        <v>1109</v>
      </c>
      <c r="D1556" s="20" t="s">
        <v>1080</v>
      </c>
      <c r="E1556" s="27">
        <v>1</v>
      </c>
      <c r="F1556" s="27">
        <v>1</v>
      </c>
      <c r="G1556" s="29">
        <v>0.22227</v>
      </c>
    </row>
    <row r="1557" spans="1:7" x14ac:dyDescent="0.25">
      <c r="A1557" s="20" t="s">
        <v>595</v>
      </c>
      <c r="B1557" s="20" t="s">
        <v>1110</v>
      </c>
      <c r="C1557" s="20" t="s">
        <v>1110</v>
      </c>
      <c r="D1557" s="20" t="s">
        <v>1080</v>
      </c>
      <c r="E1557" s="27">
        <v>2</v>
      </c>
      <c r="F1557" s="27">
        <v>2</v>
      </c>
      <c r="G1557" s="29">
        <v>0.11022</v>
      </c>
    </row>
    <row r="1558" spans="1:7" x14ac:dyDescent="0.25">
      <c r="A1558" s="20" t="s">
        <v>595</v>
      </c>
      <c r="B1558" s="20" t="s">
        <v>1111</v>
      </c>
      <c r="C1558" s="20" t="s">
        <v>1111</v>
      </c>
      <c r="D1558" s="20" t="s">
        <v>1080</v>
      </c>
      <c r="E1558" s="27">
        <v>1</v>
      </c>
      <c r="F1558" s="27">
        <v>1</v>
      </c>
      <c r="G1558" s="29">
        <v>0.71836</v>
      </c>
    </row>
    <row r="1559" spans="1:7" x14ac:dyDescent="0.25">
      <c r="A1559" s="20" t="s">
        <v>595</v>
      </c>
      <c r="B1559" s="20" t="s">
        <v>1112</v>
      </c>
      <c r="C1559" s="20" t="s">
        <v>1112</v>
      </c>
      <c r="D1559" s="20" t="s">
        <v>1080</v>
      </c>
      <c r="E1559" s="27">
        <v>1</v>
      </c>
      <c r="F1559" s="27">
        <v>1</v>
      </c>
      <c r="G1559" s="29">
        <v>2.3816700000000002</v>
      </c>
    </row>
    <row r="1560" spans="1:7" ht="22.5" x14ac:dyDescent="0.25">
      <c r="A1560" s="20" t="s">
        <v>620</v>
      </c>
      <c r="B1560" s="20" t="s">
        <v>622</v>
      </c>
      <c r="C1560" s="20" t="s">
        <v>256</v>
      </c>
      <c r="D1560" s="20" t="s">
        <v>1080</v>
      </c>
      <c r="E1560" s="27">
        <v>10</v>
      </c>
      <c r="F1560" s="27">
        <v>10</v>
      </c>
      <c r="G1560" s="28">
        <v>1.52E-2</v>
      </c>
    </row>
    <row r="1561" spans="1:7" ht="22.5" x14ac:dyDescent="0.25">
      <c r="A1561" s="20" t="s">
        <v>620</v>
      </c>
      <c r="B1561" s="20" t="s">
        <v>50</v>
      </c>
      <c r="C1561" s="20" t="s">
        <v>50</v>
      </c>
      <c r="D1561" s="20" t="s">
        <v>1080</v>
      </c>
      <c r="E1561" s="27">
        <v>4</v>
      </c>
      <c r="F1561" s="27">
        <v>4</v>
      </c>
      <c r="G1561" s="29">
        <v>2.2899999999999999E-3</v>
      </c>
    </row>
    <row r="1562" spans="1:7" ht="22.5" x14ac:dyDescent="0.25">
      <c r="A1562" s="20" t="s">
        <v>620</v>
      </c>
      <c r="B1562" s="20" t="s">
        <v>56</v>
      </c>
      <c r="C1562" s="20" t="s">
        <v>56</v>
      </c>
      <c r="D1562" s="20" t="s">
        <v>1080</v>
      </c>
      <c r="E1562" s="27">
        <v>2</v>
      </c>
      <c r="F1562" s="27">
        <v>2</v>
      </c>
      <c r="G1562" s="29">
        <v>9.6200000000000001E-3</v>
      </c>
    </row>
    <row r="1563" spans="1:7" ht="22.5" x14ac:dyDescent="0.25">
      <c r="A1563" s="20" t="s">
        <v>620</v>
      </c>
      <c r="B1563" s="20" t="s">
        <v>766</v>
      </c>
      <c r="C1563" s="20" t="s">
        <v>250</v>
      </c>
      <c r="D1563" s="20" t="s">
        <v>1080</v>
      </c>
      <c r="E1563" s="27">
        <v>4</v>
      </c>
      <c r="F1563" s="27">
        <v>4</v>
      </c>
      <c r="G1563" s="28">
        <v>1.1299999999999999E-2</v>
      </c>
    </row>
    <row r="1564" spans="1:7" ht="22.5" x14ac:dyDescent="0.25">
      <c r="A1564" s="20" t="s">
        <v>620</v>
      </c>
      <c r="B1564" s="20" t="s">
        <v>625</v>
      </c>
      <c r="C1564" s="20" t="s">
        <v>219</v>
      </c>
      <c r="D1564" s="20" t="s">
        <v>1080</v>
      </c>
      <c r="E1564" s="27">
        <v>16</v>
      </c>
      <c r="F1564" s="27">
        <v>16</v>
      </c>
      <c r="G1564" s="29">
        <v>7.1399999999999996E-3</v>
      </c>
    </row>
    <row r="1565" spans="1:7" x14ac:dyDescent="0.25">
      <c r="A1565" s="20" t="s">
        <v>588</v>
      </c>
      <c r="B1565" s="20" t="s">
        <v>65</v>
      </c>
      <c r="C1565" s="20" t="s">
        <v>65</v>
      </c>
      <c r="D1565" s="20" t="s">
        <v>1108</v>
      </c>
      <c r="E1565" s="24">
        <v>1.2E-2</v>
      </c>
      <c r="F1565" s="24">
        <v>1.2E-2</v>
      </c>
      <c r="G1565" s="22"/>
    </row>
    <row r="1566" spans="1:7" x14ac:dyDescent="0.25">
      <c r="A1566" s="20" t="s">
        <v>588</v>
      </c>
      <c r="B1566" s="20" t="s">
        <v>116</v>
      </c>
      <c r="C1566" s="20" t="s">
        <v>116</v>
      </c>
      <c r="D1566" s="20" t="s">
        <v>1108</v>
      </c>
      <c r="E1566" s="26">
        <v>2.0516800000000002</v>
      </c>
      <c r="F1566" s="26">
        <v>2.0516800000000002</v>
      </c>
      <c r="G1566" s="22"/>
    </row>
    <row r="1567" spans="1:7" x14ac:dyDescent="0.25">
      <c r="A1567" s="20" t="s">
        <v>588</v>
      </c>
      <c r="B1567" s="20" t="s">
        <v>155</v>
      </c>
      <c r="C1567" s="20" t="s">
        <v>155</v>
      </c>
      <c r="D1567" s="20" t="s">
        <v>1108</v>
      </c>
      <c r="E1567" s="24">
        <v>4.0000000000000001E-3</v>
      </c>
      <c r="F1567" s="24">
        <v>4.0000000000000001E-3</v>
      </c>
      <c r="G1567" s="22"/>
    </row>
    <row r="1568" spans="1:7" x14ac:dyDescent="0.25">
      <c r="A1568" s="20" t="s">
        <v>588</v>
      </c>
      <c r="B1568" s="20" t="s">
        <v>156</v>
      </c>
      <c r="C1568" s="20" t="s">
        <v>156</v>
      </c>
      <c r="D1568" s="20" t="s">
        <v>1108</v>
      </c>
      <c r="E1568" s="24">
        <v>1.0999999999999999E-2</v>
      </c>
      <c r="F1568" s="24">
        <v>1.0999999999999999E-2</v>
      </c>
      <c r="G1568" s="22"/>
    </row>
    <row r="1569" spans="1:7" x14ac:dyDescent="0.25">
      <c r="A1569" s="20" t="s">
        <v>588</v>
      </c>
      <c r="B1569" s="20" t="s">
        <v>215</v>
      </c>
      <c r="C1569" s="20" t="s">
        <v>215</v>
      </c>
      <c r="D1569" s="20" t="s">
        <v>1108</v>
      </c>
      <c r="E1569" s="24">
        <v>2.4E-2</v>
      </c>
      <c r="F1569" s="24">
        <v>2.4E-2</v>
      </c>
      <c r="G1569" s="22"/>
    </row>
    <row r="1570" spans="1:7" x14ac:dyDescent="0.25">
      <c r="A1570" s="20" t="s">
        <v>588</v>
      </c>
      <c r="B1570" s="20" t="s">
        <v>65</v>
      </c>
      <c r="C1570" s="20" t="s">
        <v>65</v>
      </c>
      <c r="D1570" s="20" t="s">
        <v>1109</v>
      </c>
      <c r="E1570" s="24">
        <v>3.0000000000000001E-3</v>
      </c>
      <c r="F1570" s="24">
        <v>3.0000000000000001E-3</v>
      </c>
      <c r="G1570" s="22"/>
    </row>
    <row r="1571" spans="1:7" x14ac:dyDescent="0.25">
      <c r="A1571" s="20" t="s">
        <v>588</v>
      </c>
      <c r="B1571" s="20" t="s">
        <v>115</v>
      </c>
      <c r="C1571" s="20" t="s">
        <v>115</v>
      </c>
      <c r="D1571" s="20" t="s">
        <v>1109</v>
      </c>
      <c r="E1571" s="32">
        <v>0.27129999999999999</v>
      </c>
      <c r="F1571" s="32">
        <v>0.27129999999999999</v>
      </c>
      <c r="G1571" s="22"/>
    </row>
    <row r="1572" spans="1:7" x14ac:dyDescent="0.25">
      <c r="A1572" s="20" t="s">
        <v>588</v>
      </c>
      <c r="B1572" s="20" t="s">
        <v>155</v>
      </c>
      <c r="C1572" s="20" t="s">
        <v>155</v>
      </c>
      <c r="D1572" s="20" t="s">
        <v>1109</v>
      </c>
      <c r="E1572" s="24">
        <v>1E-3</v>
      </c>
      <c r="F1572" s="24">
        <v>1E-3</v>
      </c>
      <c r="G1572" s="22"/>
    </row>
    <row r="1573" spans="1:7" x14ac:dyDescent="0.25">
      <c r="A1573" s="20" t="s">
        <v>588</v>
      </c>
      <c r="B1573" s="20" t="s">
        <v>156</v>
      </c>
      <c r="C1573" s="20" t="s">
        <v>156</v>
      </c>
      <c r="D1573" s="20" t="s">
        <v>1109</v>
      </c>
      <c r="E1573" s="24">
        <v>2E-3</v>
      </c>
      <c r="F1573" s="24">
        <v>2E-3</v>
      </c>
      <c r="G1573" s="22"/>
    </row>
    <row r="1574" spans="1:7" x14ac:dyDescent="0.25">
      <c r="A1574" s="20" t="s">
        <v>588</v>
      </c>
      <c r="B1574" s="20" t="s">
        <v>215</v>
      </c>
      <c r="C1574" s="20" t="s">
        <v>215</v>
      </c>
      <c r="D1574" s="20" t="s">
        <v>1109</v>
      </c>
      <c r="E1574" s="24">
        <v>5.0000000000000001E-3</v>
      </c>
      <c r="F1574" s="24">
        <v>5.0000000000000001E-3</v>
      </c>
      <c r="G1574" s="22"/>
    </row>
    <row r="1575" spans="1:7" x14ac:dyDescent="0.25">
      <c r="A1575" s="20" t="s">
        <v>588</v>
      </c>
      <c r="B1575" s="20" t="s">
        <v>65</v>
      </c>
      <c r="C1575" s="20" t="s">
        <v>65</v>
      </c>
      <c r="D1575" s="20" t="s">
        <v>1110</v>
      </c>
      <c r="E1575" s="24">
        <v>1E-3</v>
      </c>
      <c r="F1575" s="24">
        <v>2E-3</v>
      </c>
      <c r="G1575" s="22"/>
    </row>
    <row r="1576" spans="1:7" x14ac:dyDescent="0.25">
      <c r="A1576" s="20" t="s">
        <v>588</v>
      </c>
      <c r="B1576" s="20" t="s">
        <v>105</v>
      </c>
      <c r="C1576" s="20" t="s">
        <v>105</v>
      </c>
      <c r="D1576" s="20" t="s">
        <v>1110</v>
      </c>
      <c r="E1576" s="24">
        <v>0.113</v>
      </c>
      <c r="F1576" s="24">
        <v>0.22600000000000001</v>
      </c>
      <c r="G1576" s="22"/>
    </row>
    <row r="1577" spans="1:7" x14ac:dyDescent="0.25">
      <c r="A1577" s="20" t="s">
        <v>588</v>
      </c>
      <c r="B1577" s="20" t="s">
        <v>155</v>
      </c>
      <c r="C1577" s="20" t="s">
        <v>155</v>
      </c>
      <c r="D1577" s="20" t="s">
        <v>1110</v>
      </c>
      <c r="E1577" s="24">
        <v>1E-3</v>
      </c>
      <c r="F1577" s="24">
        <v>2E-3</v>
      </c>
      <c r="G1577" s="22"/>
    </row>
    <row r="1578" spans="1:7" x14ac:dyDescent="0.25">
      <c r="A1578" s="20" t="s">
        <v>588</v>
      </c>
      <c r="B1578" s="20" t="s">
        <v>156</v>
      </c>
      <c r="C1578" s="20" t="s">
        <v>156</v>
      </c>
      <c r="D1578" s="20" t="s">
        <v>1110</v>
      </c>
      <c r="E1578" s="24">
        <v>1E-3</v>
      </c>
      <c r="F1578" s="24">
        <v>2E-3</v>
      </c>
      <c r="G1578" s="22"/>
    </row>
    <row r="1579" spans="1:7" x14ac:dyDescent="0.25">
      <c r="A1579" s="20" t="s">
        <v>588</v>
      </c>
      <c r="B1579" s="20" t="s">
        <v>215</v>
      </c>
      <c r="C1579" s="20" t="s">
        <v>215</v>
      </c>
      <c r="D1579" s="20" t="s">
        <v>1110</v>
      </c>
      <c r="E1579" s="24">
        <v>2E-3</v>
      </c>
      <c r="F1579" s="24">
        <v>4.0000000000000001E-3</v>
      </c>
      <c r="G1579" s="22"/>
    </row>
    <row r="1580" spans="1:7" x14ac:dyDescent="0.25">
      <c r="A1580" s="20" t="s">
        <v>588</v>
      </c>
      <c r="B1580" s="20" t="s">
        <v>131</v>
      </c>
      <c r="C1580" s="20" t="s">
        <v>131</v>
      </c>
      <c r="D1580" s="20" t="s">
        <v>1111</v>
      </c>
      <c r="E1580" s="26">
        <v>0.87482000000000004</v>
      </c>
      <c r="F1580" s="26">
        <v>0.87482000000000004</v>
      </c>
      <c r="G1580" s="22"/>
    </row>
    <row r="1581" spans="1:7" x14ac:dyDescent="0.25">
      <c r="A1581" s="20" t="s">
        <v>588</v>
      </c>
      <c r="B1581" s="20" t="s">
        <v>131</v>
      </c>
      <c r="C1581" s="20" t="s">
        <v>131</v>
      </c>
      <c r="D1581" s="20" t="s">
        <v>1112</v>
      </c>
      <c r="E1581" s="26">
        <v>2.8757700000000002</v>
      </c>
      <c r="F1581" s="26">
        <v>2.8757700000000002</v>
      </c>
      <c r="G1581" s="22"/>
    </row>
    <row r="1582" spans="1:7" x14ac:dyDescent="0.25">
      <c r="A1582" s="20" t="s">
        <v>585</v>
      </c>
      <c r="B1582" s="20" t="s">
        <v>1113</v>
      </c>
      <c r="C1582" s="20" t="s">
        <v>1113</v>
      </c>
      <c r="D1582" s="20" t="s">
        <v>1107</v>
      </c>
      <c r="E1582" s="27">
        <v>1</v>
      </c>
      <c r="F1582" s="27">
        <v>1</v>
      </c>
      <c r="G1582" s="29">
        <v>6.6944800000000004</v>
      </c>
    </row>
    <row r="1583" spans="1:7" x14ac:dyDescent="0.25">
      <c r="A1583" s="20" t="s">
        <v>585</v>
      </c>
      <c r="B1583" s="20" t="s">
        <v>1114</v>
      </c>
      <c r="C1583" s="20" t="s">
        <v>1114</v>
      </c>
      <c r="D1583" s="20" t="s">
        <v>1107</v>
      </c>
      <c r="E1583" s="27">
        <v>1</v>
      </c>
      <c r="F1583" s="27">
        <v>1</v>
      </c>
      <c r="G1583" s="29">
        <v>2.1735600000000002</v>
      </c>
    </row>
    <row r="1584" spans="1:7" x14ac:dyDescent="0.25">
      <c r="A1584" s="20" t="s">
        <v>595</v>
      </c>
      <c r="B1584" s="20" t="s">
        <v>1115</v>
      </c>
      <c r="C1584" s="20" t="s">
        <v>1115</v>
      </c>
      <c r="D1584" s="20" t="s">
        <v>1107</v>
      </c>
      <c r="E1584" s="27">
        <v>1</v>
      </c>
      <c r="F1584" s="27">
        <v>1</v>
      </c>
      <c r="G1584" s="29">
        <v>4.70153</v>
      </c>
    </row>
    <row r="1585" spans="1:7" x14ac:dyDescent="0.25">
      <c r="A1585" s="20" t="s">
        <v>595</v>
      </c>
      <c r="B1585" s="20" t="s">
        <v>1116</v>
      </c>
      <c r="C1585" s="20" t="s">
        <v>1116</v>
      </c>
      <c r="D1585" s="20" t="s">
        <v>1107</v>
      </c>
      <c r="E1585" s="27">
        <v>1</v>
      </c>
      <c r="F1585" s="27">
        <v>1</v>
      </c>
      <c r="G1585" s="29">
        <v>1.75804</v>
      </c>
    </row>
    <row r="1586" spans="1:7" x14ac:dyDescent="0.25">
      <c r="A1586" s="20" t="s">
        <v>588</v>
      </c>
      <c r="B1586" s="20" t="s">
        <v>65</v>
      </c>
      <c r="C1586" s="20" t="s">
        <v>65</v>
      </c>
      <c r="D1586" s="20" t="s">
        <v>1107</v>
      </c>
      <c r="E1586" s="24">
        <v>0.155</v>
      </c>
      <c r="F1586" s="24">
        <v>0.155</v>
      </c>
      <c r="G1586" s="22"/>
    </row>
    <row r="1587" spans="1:7" x14ac:dyDescent="0.25">
      <c r="A1587" s="20" t="s">
        <v>588</v>
      </c>
      <c r="B1587" s="20" t="s">
        <v>67</v>
      </c>
      <c r="C1587" s="20" t="s">
        <v>67</v>
      </c>
      <c r="D1587" s="20" t="s">
        <v>1107</v>
      </c>
      <c r="E1587" s="24">
        <v>0.65200000000000002</v>
      </c>
      <c r="F1587" s="24">
        <v>0.65200000000000002</v>
      </c>
      <c r="G1587" s="22"/>
    </row>
    <row r="1588" spans="1:7" x14ac:dyDescent="0.25">
      <c r="A1588" s="20" t="s">
        <v>588</v>
      </c>
      <c r="B1588" s="20" t="s">
        <v>146</v>
      </c>
      <c r="C1588" s="20" t="s">
        <v>146</v>
      </c>
      <c r="D1588" s="20" t="s">
        <v>1107</v>
      </c>
      <c r="E1588" s="24">
        <v>0.38300000000000001</v>
      </c>
      <c r="F1588" s="24">
        <v>0.38300000000000001</v>
      </c>
      <c r="G1588" s="22"/>
    </row>
    <row r="1589" spans="1:7" x14ac:dyDescent="0.25">
      <c r="A1589" s="20" t="s">
        <v>588</v>
      </c>
      <c r="B1589" s="20" t="s">
        <v>155</v>
      </c>
      <c r="C1589" s="20" t="s">
        <v>155</v>
      </c>
      <c r="D1589" s="20" t="s">
        <v>1107</v>
      </c>
      <c r="E1589" s="24">
        <v>4.7E-2</v>
      </c>
      <c r="F1589" s="24">
        <v>4.7E-2</v>
      </c>
      <c r="G1589" s="22"/>
    </row>
    <row r="1590" spans="1:7" x14ac:dyDescent="0.25">
      <c r="A1590" s="20" t="s">
        <v>588</v>
      </c>
      <c r="B1590" s="20" t="s">
        <v>156</v>
      </c>
      <c r="C1590" s="20" t="s">
        <v>156</v>
      </c>
      <c r="D1590" s="20" t="s">
        <v>1107</v>
      </c>
      <c r="E1590" s="24">
        <v>0.14199999999999999</v>
      </c>
      <c r="F1590" s="24">
        <v>0.14199999999999999</v>
      </c>
      <c r="G1590" s="22"/>
    </row>
    <row r="1591" spans="1:7" x14ac:dyDescent="0.25">
      <c r="A1591" s="20" t="s">
        <v>588</v>
      </c>
      <c r="B1591" s="20" t="s">
        <v>215</v>
      </c>
      <c r="C1591" s="20" t="s">
        <v>215</v>
      </c>
      <c r="D1591" s="20" t="s">
        <v>1107</v>
      </c>
      <c r="E1591" s="25">
        <v>0.31</v>
      </c>
      <c r="F1591" s="25">
        <v>0.31</v>
      </c>
      <c r="G1591" s="22"/>
    </row>
    <row r="1592" spans="1:7" x14ac:dyDescent="0.25">
      <c r="A1592" s="20" t="s">
        <v>588</v>
      </c>
      <c r="B1592" s="20" t="s">
        <v>115</v>
      </c>
      <c r="C1592" s="20" t="s">
        <v>115</v>
      </c>
      <c r="D1592" s="20" t="s">
        <v>1115</v>
      </c>
      <c r="E1592" s="26">
        <v>7.5242300000000002</v>
      </c>
      <c r="F1592" s="26">
        <v>7.5242300000000002</v>
      </c>
      <c r="G1592" s="22"/>
    </row>
    <row r="1593" spans="1:7" x14ac:dyDescent="0.25">
      <c r="A1593" s="20" t="s">
        <v>588</v>
      </c>
      <c r="B1593" s="20" t="s">
        <v>115</v>
      </c>
      <c r="C1593" s="20" t="s">
        <v>115</v>
      </c>
      <c r="D1593" s="20" t="s">
        <v>1116</v>
      </c>
      <c r="E1593" s="33">
        <v>2.1</v>
      </c>
      <c r="F1593" s="33">
        <v>2.1</v>
      </c>
      <c r="G1593" s="22"/>
    </row>
    <row r="1594" spans="1:7" x14ac:dyDescent="0.25">
      <c r="A1594" s="20" t="s">
        <v>595</v>
      </c>
      <c r="B1594" s="20" t="s">
        <v>1117</v>
      </c>
      <c r="C1594" s="20" t="s">
        <v>1117</v>
      </c>
      <c r="D1594" s="20" t="s">
        <v>1113</v>
      </c>
      <c r="E1594" s="27">
        <v>1</v>
      </c>
      <c r="F1594" s="27">
        <v>1</v>
      </c>
      <c r="G1594" s="28">
        <v>3.4752000000000001</v>
      </c>
    </row>
    <row r="1595" spans="1:7" x14ac:dyDescent="0.25">
      <c r="A1595" s="20" t="s">
        <v>595</v>
      </c>
      <c r="B1595" s="20" t="s">
        <v>1118</v>
      </c>
      <c r="C1595" s="20" t="s">
        <v>1118</v>
      </c>
      <c r="D1595" s="20" t="s">
        <v>1113</v>
      </c>
      <c r="E1595" s="27">
        <v>1</v>
      </c>
      <c r="F1595" s="27">
        <v>1</v>
      </c>
      <c r="G1595" s="29">
        <v>3.2192799999999999</v>
      </c>
    </row>
    <row r="1596" spans="1:7" x14ac:dyDescent="0.25">
      <c r="A1596" s="20" t="s">
        <v>588</v>
      </c>
      <c r="B1596" s="20" t="s">
        <v>67</v>
      </c>
      <c r="C1596" s="20" t="s">
        <v>67</v>
      </c>
      <c r="D1596" s="20" t="s">
        <v>1113</v>
      </c>
      <c r="E1596" s="24">
        <v>0.10199999999999999</v>
      </c>
      <c r="F1596" s="24">
        <v>0.10199999999999999</v>
      </c>
      <c r="G1596" s="22"/>
    </row>
    <row r="1597" spans="1:7" x14ac:dyDescent="0.25">
      <c r="A1597" s="20" t="s">
        <v>588</v>
      </c>
      <c r="B1597" s="20" t="s">
        <v>146</v>
      </c>
      <c r="C1597" s="20" t="s">
        <v>146</v>
      </c>
      <c r="D1597" s="20" t="s">
        <v>1113</v>
      </c>
      <c r="E1597" s="25">
        <v>0.06</v>
      </c>
      <c r="F1597" s="25">
        <v>0.06</v>
      </c>
      <c r="G1597" s="22"/>
    </row>
    <row r="1598" spans="1:7" x14ac:dyDescent="0.25">
      <c r="A1598" s="20" t="s">
        <v>588</v>
      </c>
      <c r="B1598" s="20" t="s">
        <v>115</v>
      </c>
      <c r="C1598" s="20" t="s">
        <v>115</v>
      </c>
      <c r="D1598" s="20" t="s">
        <v>1117</v>
      </c>
      <c r="E1598" s="26">
        <v>4.1966099999999997</v>
      </c>
      <c r="F1598" s="26">
        <v>4.1966099999999997</v>
      </c>
      <c r="G1598" s="22"/>
    </row>
    <row r="1599" spans="1:7" x14ac:dyDescent="0.25">
      <c r="A1599" s="20" t="s">
        <v>588</v>
      </c>
      <c r="B1599" s="20" t="s">
        <v>115</v>
      </c>
      <c r="C1599" s="20" t="s">
        <v>115</v>
      </c>
      <c r="D1599" s="20" t="s">
        <v>1118</v>
      </c>
      <c r="E1599" s="26">
        <v>4.1966099999999997</v>
      </c>
      <c r="F1599" s="26">
        <v>4.1966099999999997</v>
      </c>
      <c r="G1599" s="22"/>
    </row>
    <row r="1600" spans="1:7" x14ac:dyDescent="0.25">
      <c r="A1600" s="20" t="s">
        <v>595</v>
      </c>
      <c r="B1600" s="20" t="s">
        <v>1119</v>
      </c>
      <c r="C1600" s="20" t="s">
        <v>1119</v>
      </c>
      <c r="D1600" s="20" t="s">
        <v>1114</v>
      </c>
      <c r="E1600" s="27">
        <v>4</v>
      </c>
      <c r="F1600" s="27">
        <v>4</v>
      </c>
      <c r="G1600" s="29">
        <v>0.54339000000000004</v>
      </c>
    </row>
    <row r="1601" spans="1:7" x14ac:dyDescent="0.25">
      <c r="A1601" s="20" t="s">
        <v>588</v>
      </c>
      <c r="B1601" s="20" t="s">
        <v>67</v>
      </c>
      <c r="C1601" s="20" t="s">
        <v>67</v>
      </c>
      <c r="D1601" s="20" t="s">
        <v>1114</v>
      </c>
      <c r="E1601" s="24">
        <v>4.3999999999999997E-2</v>
      </c>
      <c r="F1601" s="24">
        <v>4.3999999999999997E-2</v>
      </c>
      <c r="G1601" s="22"/>
    </row>
    <row r="1602" spans="1:7" x14ac:dyDescent="0.25">
      <c r="A1602" s="20" t="s">
        <v>588</v>
      </c>
      <c r="B1602" s="20" t="s">
        <v>146</v>
      </c>
      <c r="C1602" s="20" t="s">
        <v>146</v>
      </c>
      <c r="D1602" s="20" t="s">
        <v>1114</v>
      </c>
      <c r="E1602" s="24">
        <v>2.5999999999999999E-2</v>
      </c>
      <c r="F1602" s="24">
        <v>2.5999999999999999E-2</v>
      </c>
      <c r="G1602" s="22"/>
    </row>
    <row r="1603" spans="1:7" x14ac:dyDescent="0.25">
      <c r="A1603" s="20" t="s">
        <v>588</v>
      </c>
      <c r="B1603" s="20" t="s">
        <v>187</v>
      </c>
      <c r="C1603" s="20" t="s">
        <v>187</v>
      </c>
      <c r="D1603" s="20" t="s">
        <v>1119</v>
      </c>
      <c r="E1603" s="24">
        <v>0.55800000000000005</v>
      </c>
      <c r="F1603" s="24">
        <v>2.2320000000000002</v>
      </c>
      <c r="G1603" s="22"/>
    </row>
    <row r="1604" spans="1:7" x14ac:dyDescent="0.25">
      <c r="A1604" s="20" t="s">
        <v>585</v>
      </c>
      <c r="B1604" s="20" t="s">
        <v>1120</v>
      </c>
      <c r="C1604" s="20" t="s">
        <v>1120</v>
      </c>
      <c r="D1604" s="20" t="s">
        <v>1081</v>
      </c>
      <c r="E1604" s="27">
        <v>1</v>
      </c>
      <c r="F1604" s="27">
        <v>2</v>
      </c>
      <c r="G1604" s="29">
        <v>9.0478500000000004</v>
      </c>
    </row>
    <row r="1605" spans="1:7" x14ac:dyDescent="0.25">
      <c r="A1605" s="20" t="s">
        <v>595</v>
      </c>
      <c r="B1605" s="20" t="s">
        <v>1121</v>
      </c>
      <c r="C1605" s="20" t="s">
        <v>1121</v>
      </c>
      <c r="D1605" s="20" t="s">
        <v>1081</v>
      </c>
      <c r="E1605" s="27">
        <v>1</v>
      </c>
      <c r="F1605" s="27">
        <v>2</v>
      </c>
      <c r="G1605" s="29">
        <v>0.38252000000000003</v>
      </c>
    </row>
    <row r="1606" spans="1:7" ht="22.5" x14ac:dyDescent="0.25">
      <c r="A1606" s="20" t="s">
        <v>620</v>
      </c>
      <c r="B1606" s="20" t="s">
        <v>622</v>
      </c>
      <c r="C1606" s="20" t="s">
        <v>256</v>
      </c>
      <c r="D1606" s="20" t="s">
        <v>1081</v>
      </c>
      <c r="E1606" s="27">
        <v>4</v>
      </c>
      <c r="F1606" s="27">
        <v>8</v>
      </c>
      <c r="G1606" s="28">
        <v>1.52E-2</v>
      </c>
    </row>
    <row r="1607" spans="1:7" x14ac:dyDescent="0.25">
      <c r="A1607" s="20" t="s">
        <v>588</v>
      </c>
      <c r="B1607" s="20" t="s">
        <v>128</v>
      </c>
      <c r="C1607" s="20" t="s">
        <v>128</v>
      </c>
      <c r="D1607" s="20" t="s">
        <v>1121</v>
      </c>
      <c r="E1607" s="26">
        <v>0.46345999999999998</v>
      </c>
      <c r="F1607" s="26">
        <v>0.92691999999999997</v>
      </c>
      <c r="G1607" s="22"/>
    </row>
    <row r="1608" spans="1:7" x14ac:dyDescent="0.25">
      <c r="A1608" s="20" t="s">
        <v>595</v>
      </c>
      <c r="B1608" s="20" t="s">
        <v>1122</v>
      </c>
      <c r="C1608" s="20" t="s">
        <v>1122</v>
      </c>
      <c r="D1608" s="20" t="s">
        <v>1120</v>
      </c>
      <c r="E1608" s="27">
        <v>1</v>
      </c>
      <c r="F1608" s="27">
        <v>2</v>
      </c>
      <c r="G1608" s="28">
        <v>5.9438000000000004</v>
      </c>
    </row>
    <row r="1609" spans="1:7" x14ac:dyDescent="0.25">
      <c r="A1609" s="20" t="s">
        <v>595</v>
      </c>
      <c r="B1609" s="20" t="s">
        <v>1123</v>
      </c>
      <c r="C1609" s="20" t="s">
        <v>1123</v>
      </c>
      <c r="D1609" s="20" t="s">
        <v>1120</v>
      </c>
      <c r="E1609" s="27">
        <v>1</v>
      </c>
      <c r="F1609" s="27">
        <v>2</v>
      </c>
      <c r="G1609" s="29">
        <v>2.06264</v>
      </c>
    </row>
    <row r="1610" spans="1:7" x14ac:dyDescent="0.25">
      <c r="A1610" s="20" t="s">
        <v>595</v>
      </c>
      <c r="B1610" s="20" t="s">
        <v>1124</v>
      </c>
      <c r="C1610" s="20" t="s">
        <v>1124</v>
      </c>
      <c r="D1610" s="20" t="s">
        <v>1120</v>
      </c>
      <c r="E1610" s="27">
        <v>2</v>
      </c>
      <c r="F1610" s="27">
        <v>4</v>
      </c>
      <c r="G1610" s="29">
        <v>0.50961000000000001</v>
      </c>
    </row>
    <row r="1611" spans="1:7" ht="22.5" x14ac:dyDescent="0.25">
      <c r="A1611" s="20" t="s">
        <v>620</v>
      </c>
      <c r="B1611" s="20" t="s">
        <v>746</v>
      </c>
      <c r="C1611" s="20" t="s">
        <v>245</v>
      </c>
      <c r="D1611" s="20" t="s">
        <v>1120</v>
      </c>
      <c r="E1611" s="27">
        <v>4</v>
      </c>
      <c r="F1611" s="27">
        <v>8</v>
      </c>
      <c r="G1611" s="29">
        <v>5.5500000000000002E-3</v>
      </c>
    </row>
    <row r="1612" spans="1:7" x14ac:dyDescent="0.25">
      <c r="A1612" s="20" t="s">
        <v>588</v>
      </c>
      <c r="B1612" s="20" t="s">
        <v>65</v>
      </c>
      <c r="C1612" s="20" t="s">
        <v>65</v>
      </c>
      <c r="D1612" s="20" t="s">
        <v>1120</v>
      </c>
      <c r="E1612" s="25">
        <v>0.08</v>
      </c>
      <c r="F1612" s="25">
        <v>0.16</v>
      </c>
      <c r="G1612" s="22"/>
    </row>
    <row r="1613" spans="1:7" x14ac:dyDescent="0.25">
      <c r="A1613" s="20" t="s">
        <v>588</v>
      </c>
      <c r="B1613" s="20" t="s">
        <v>67</v>
      </c>
      <c r="C1613" s="20" t="s">
        <v>67</v>
      </c>
      <c r="D1613" s="20" t="s">
        <v>1120</v>
      </c>
      <c r="E1613" s="24">
        <v>0.28899999999999998</v>
      </c>
      <c r="F1613" s="24">
        <v>0.57799999999999996</v>
      </c>
      <c r="G1613" s="22"/>
    </row>
    <row r="1614" spans="1:7" x14ac:dyDescent="0.25">
      <c r="A1614" s="20" t="s">
        <v>588</v>
      </c>
      <c r="B1614" s="20" t="s">
        <v>146</v>
      </c>
      <c r="C1614" s="20" t="s">
        <v>146</v>
      </c>
      <c r="D1614" s="20" t="s">
        <v>1120</v>
      </c>
      <c r="E1614" s="25">
        <v>0.17</v>
      </c>
      <c r="F1614" s="25">
        <v>0.34</v>
      </c>
      <c r="G1614" s="22"/>
    </row>
    <row r="1615" spans="1:7" x14ac:dyDescent="0.25">
      <c r="A1615" s="20" t="s">
        <v>588</v>
      </c>
      <c r="B1615" s="20" t="s">
        <v>155</v>
      </c>
      <c r="C1615" s="20" t="s">
        <v>155</v>
      </c>
      <c r="D1615" s="20" t="s">
        <v>1120</v>
      </c>
      <c r="E1615" s="24">
        <v>4.8000000000000001E-2</v>
      </c>
      <c r="F1615" s="24">
        <v>9.6000000000000002E-2</v>
      </c>
      <c r="G1615" s="22"/>
    </row>
    <row r="1616" spans="1:7" x14ac:dyDescent="0.25">
      <c r="A1616" s="20" t="s">
        <v>588</v>
      </c>
      <c r="B1616" s="20" t="s">
        <v>156</v>
      </c>
      <c r="C1616" s="20" t="s">
        <v>156</v>
      </c>
      <c r="D1616" s="20" t="s">
        <v>1120</v>
      </c>
      <c r="E1616" s="24">
        <v>7.2999999999999995E-2</v>
      </c>
      <c r="F1616" s="24">
        <v>0.14599999999999999</v>
      </c>
      <c r="G1616" s="22"/>
    </row>
    <row r="1617" spans="1:7" x14ac:dyDescent="0.25">
      <c r="A1617" s="20" t="s">
        <v>588</v>
      </c>
      <c r="B1617" s="20" t="s">
        <v>200</v>
      </c>
      <c r="C1617" s="20" t="s">
        <v>200</v>
      </c>
      <c r="D1617" s="20" t="s">
        <v>1120</v>
      </c>
      <c r="E1617" s="24">
        <v>9.9000000000000005E-2</v>
      </c>
      <c r="F1617" s="24">
        <v>0.19800000000000001</v>
      </c>
      <c r="G1617" s="22"/>
    </row>
    <row r="1618" spans="1:7" x14ac:dyDescent="0.25">
      <c r="A1618" s="20" t="s">
        <v>588</v>
      </c>
      <c r="B1618" s="20" t="s">
        <v>215</v>
      </c>
      <c r="C1618" s="20" t="s">
        <v>215</v>
      </c>
      <c r="D1618" s="20" t="s">
        <v>1120</v>
      </c>
      <c r="E1618" s="25">
        <v>0.16</v>
      </c>
      <c r="F1618" s="25">
        <v>0.32</v>
      </c>
      <c r="G1618" s="22"/>
    </row>
    <row r="1619" spans="1:7" x14ac:dyDescent="0.25">
      <c r="A1619" s="20" t="s">
        <v>588</v>
      </c>
      <c r="B1619" s="20" t="s">
        <v>115</v>
      </c>
      <c r="C1619" s="20" t="s">
        <v>115</v>
      </c>
      <c r="D1619" s="20" t="s">
        <v>1122</v>
      </c>
      <c r="E1619" s="26">
        <v>7.5242300000000002</v>
      </c>
      <c r="F1619" s="26">
        <v>15.04846</v>
      </c>
      <c r="G1619" s="22"/>
    </row>
    <row r="1620" spans="1:7" x14ac:dyDescent="0.25">
      <c r="A1620" s="20" t="s">
        <v>588</v>
      </c>
      <c r="B1620" s="20" t="s">
        <v>120</v>
      </c>
      <c r="C1620" s="20" t="s">
        <v>120</v>
      </c>
      <c r="D1620" s="20" t="s">
        <v>1123</v>
      </c>
      <c r="E1620" s="26">
        <v>2.53775</v>
      </c>
      <c r="F1620" s="32">
        <v>5.0754999999999999</v>
      </c>
      <c r="G1620" s="22"/>
    </row>
    <row r="1621" spans="1:7" x14ac:dyDescent="0.25">
      <c r="A1621" s="20" t="s">
        <v>588</v>
      </c>
      <c r="B1621" s="20" t="s">
        <v>120</v>
      </c>
      <c r="C1621" s="20" t="s">
        <v>120</v>
      </c>
      <c r="D1621" s="20" t="s">
        <v>1124</v>
      </c>
      <c r="E1621" s="26">
        <v>0.86282999999999999</v>
      </c>
      <c r="F1621" s="26">
        <v>3.4513199999999999</v>
      </c>
      <c r="G1621" s="22"/>
    </row>
    <row r="1622" spans="1:7" x14ac:dyDescent="0.25">
      <c r="A1622" s="20" t="s">
        <v>585</v>
      </c>
      <c r="B1622" s="20" t="s">
        <v>1125</v>
      </c>
      <c r="C1622" s="20" t="s">
        <v>1125</v>
      </c>
      <c r="D1622" s="20" t="s">
        <v>1082</v>
      </c>
      <c r="E1622" s="27">
        <v>1</v>
      </c>
      <c r="F1622" s="27">
        <v>2</v>
      </c>
      <c r="G1622" s="29">
        <v>1.5304500000000001</v>
      </c>
    </row>
    <row r="1623" spans="1:7" x14ac:dyDescent="0.25">
      <c r="A1623" s="20" t="s">
        <v>595</v>
      </c>
      <c r="B1623" s="20" t="s">
        <v>1126</v>
      </c>
      <c r="C1623" s="20" t="s">
        <v>1126</v>
      </c>
      <c r="D1623" s="20" t="s">
        <v>1082</v>
      </c>
      <c r="E1623" s="27">
        <v>1</v>
      </c>
      <c r="F1623" s="27">
        <v>2</v>
      </c>
      <c r="G1623" s="29">
        <v>0.24196000000000001</v>
      </c>
    </row>
    <row r="1624" spans="1:7" ht="22.5" x14ac:dyDescent="0.25">
      <c r="A1624" s="20" t="s">
        <v>620</v>
      </c>
      <c r="B1624" s="20" t="s">
        <v>1127</v>
      </c>
      <c r="C1624" s="20" t="s">
        <v>292</v>
      </c>
      <c r="D1624" s="20" t="s">
        <v>1082</v>
      </c>
      <c r="E1624" s="27">
        <v>2</v>
      </c>
      <c r="F1624" s="27">
        <v>4</v>
      </c>
      <c r="G1624" s="29">
        <v>0.10557</v>
      </c>
    </row>
    <row r="1625" spans="1:7" ht="22.5" x14ac:dyDescent="0.25">
      <c r="A1625" s="20" t="s">
        <v>620</v>
      </c>
      <c r="B1625" s="20" t="s">
        <v>864</v>
      </c>
      <c r="C1625" s="20" t="s">
        <v>263</v>
      </c>
      <c r="D1625" s="20" t="s">
        <v>1082</v>
      </c>
      <c r="E1625" s="27">
        <v>4</v>
      </c>
      <c r="F1625" s="27">
        <v>8</v>
      </c>
      <c r="G1625" s="29">
        <v>1.567E-2</v>
      </c>
    </row>
    <row r="1626" spans="1:7" ht="22.5" x14ac:dyDescent="0.25">
      <c r="A1626" s="20" t="s">
        <v>620</v>
      </c>
      <c r="B1626" s="20" t="s">
        <v>865</v>
      </c>
      <c r="C1626" s="20" t="s">
        <v>264</v>
      </c>
      <c r="D1626" s="20" t="s">
        <v>1082</v>
      </c>
      <c r="E1626" s="27">
        <v>2</v>
      </c>
      <c r="F1626" s="27">
        <v>4</v>
      </c>
      <c r="G1626" s="29">
        <v>3.4499999999999999E-3</v>
      </c>
    </row>
    <row r="1627" spans="1:7" x14ac:dyDescent="0.25">
      <c r="A1627" s="20" t="s">
        <v>597</v>
      </c>
      <c r="B1627" s="20" t="s">
        <v>31</v>
      </c>
      <c r="C1627" s="20" t="s">
        <v>31</v>
      </c>
      <c r="D1627" s="20" t="s">
        <v>1082</v>
      </c>
      <c r="E1627" s="27">
        <v>1</v>
      </c>
      <c r="F1627" s="27">
        <v>2</v>
      </c>
      <c r="G1627" s="29">
        <v>0.14835999999999999</v>
      </c>
    </row>
    <row r="1628" spans="1:7" x14ac:dyDescent="0.25">
      <c r="A1628" s="20" t="s">
        <v>588</v>
      </c>
      <c r="B1628" s="20" t="s">
        <v>65</v>
      </c>
      <c r="C1628" s="20" t="s">
        <v>65</v>
      </c>
      <c r="D1628" s="20" t="s">
        <v>1126</v>
      </c>
      <c r="E1628" s="24">
        <v>2E-3</v>
      </c>
      <c r="F1628" s="24">
        <v>4.0000000000000001E-3</v>
      </c>
      <c r="G1628" s="22"/>
    </row>
    <row r="1629" spans="1:7" x14ac:dyDescent="0.25">
      <c r="A1629" s="20" t="s">
        <v>588</v>
      </c>
      <c r="B1629" s="20" t="s">
        <v>118</v>
      </c>
      <c r="C1629" s="20" t="s">
        <v>118</v>
      </c>
      <c r="D1629" s="20" t="s">
        <v>1126</v>
      </c>
      <c r="E1629" s="26">
        <v>0.30507000000000001</v>
      </c>
      <c r="F1629" s="26">
        <v>0.61014000000000002</v>
      </c>
      <c r="G1629" s="22"/>
    </row>
    <row r="1630" spans="1:7" x14ac:dyDescent="0.25">
      <c r="A1630" s="20" t="s">
        <v>588</v>
      </c>
      <c r="B1630" s="20" t="s">
        <v>155</v>
      </c>
      <c r="C1630" s="20" t="s">
        <v>155</v>
      </c>
      <c r="D1630" s="20" t="s">
        <v>1126</v>
      </c>
      <c r="E1630" s="24">
        <v>1E-3</v>
      </c>
      <c r="F1630" s="24">
        <v>2E-3</v>
      </c>
      <c r="G1630" s="22"/>
    </row>
    <row r="1631" spans="1:7" x14ac:dyDescent="0.25">
      <c r="A1631" s="20" t="s">
        <v>588</v>
      </c>
      <c r="B1631" s="20" t="s">
        <v>156</v>
      </c>
      <c r="C1631" s="20" t="s">
        <v>156</v>
      </c>
      <c r="D1631" s="20" t="s">
        <v>1126</v>
      </c>
      <c r="E1631" s="24">
        <v>2E-3</v>
      </c>
      <c r="F1631" s="24">
        <v>4.0000000000000001E-3</v>
      </c>
      <c r="G1631" s="22"/>
    </row>
    <row r="1632" spans="1:7" x14ac:dyDescent="0.25">
      <c r="A1632" s="20" t="s">
        <v>588</v>
      </c>
      <c r="B1632" s="20" t="s">
        <v>215</v>
      </c>
      <c r="C1632" s="20" t="s">
        <v>215</v>
      </c>
      <c r="D1632" s="20" t="s">
        <v>1126</v>
      </c>
      <c r="E1632" s="24">
        <v>4.0000000000000001E-3</v>
      </c>
      <c r="F1632" s="24">
        <v>8.0000000000000002E-3</v>
      </c>
      <c r="G1632" s="22"/>
    </row>
    <row r="1633" spans="1:7" x14ac:dyDescent="0.25">
      <c r="A1633" s="20" t="s">
        <v>595</v>
      </c>
      <c r="B1633" s="20" t="s">
        <v>1128</v>
      </c>
      <c r="C1633" s="20" t="s">
        <v>1128</v>
      </c>
      <c r="D1633" s="20" t="s">
        <v>1125</v>
      </c>
      <c r="E1633" s="27">
        <v>1</v>
      </c>
      <c r="F1633" s="27">
        <v>2</v>
      </c>
      <c r="G1633" s="29">
        <v>0.82903000000000004</v>
      </c>
    </row>
    <row r="1634" spans="1:7" x14ac:dyDescent="0.25">
      <c r="A1634" s="20" t="s">
        <v>595</v>
      </c>
      <c r="B1634" s="20" t="s">
        <v>1129</v>
      </c>
      <c r="C1634" s="20" t="s">
        <v>1129</v>
      </c>
      <c r="D1634" s="20" t="s">
        <v>1125</v>
      </c>
      <c r="E1634" s="27">
        <v>1</v>
      </c>
      <c r="F1634" s="27">
        <v>2</v>
      </c>
      <c r="G1634" s="29">
        <v>0.56047999999999998</v>
      </c>
    </row>
    <row r="1635" spans="1:7" x14ac:dyDescent="0.25">
      <c r="A1635" s="20" t="s">
        <v>595</v>
      </c>
      <c r="B1635" s="20" t="s">
        <v>1130</v>
      </c>
      <c r="C1635" s="20" t="s">
        <v>1130</v>
      </c>
      <c r="D1635" s="20" t="s">
        <v>1125</v>
      </c>
      <c r="E1635" s="27">
        <v>2</v>
      </c>
      <c r="F1635" s="27">
        <v>4</v>
      </c>
      <c r="G1635" s="29">
        <v>7.0470000000000005E-2</v>
      </c>
    </row>
    <row r="1636" spans="1:7" x14ac:dyDescent="0.25">
      <c r="A1636" s="20" t="s">
        <v>588</v>
      </c>
      <c r="B1636" s="20" t="s">
        <v>65</v>
      </c>
      <c r="C1636" s="20" t="s">
        <v>65</v>
      </c>
      <c r="D1636" s="20" t="s">
        <v>1125</v>
      </c>
      <c r="E1636" s="24">
        <v>1.0999999999999999E-2</v>
      </c>
      <c r="F1636" s="24">
        <v>2.1999999999999999E-2</v>
      </c>
      <c r="G1636" s="22"/>
    </row>
    <row r="1637" spans="1:7" x14ac:dyDescent="0.25">
      <c r="A1637" s="20" t="s">
        <v>588</v>
      </c>
      <c r="B1637" s="20" t="s">
        <v>67</v>
      </c>
      <c r="C1637" s="20" t="s">
        <v>67</v>
      </c>
      <c r="D1637" s="20" t="s">
        <v>1125</v>
      </c>
      <c r="E1637" s="24">
        <v>5.5E-2</v>
      </c>
      <c r="F1637" s="25">
        <v>0.11</v>
      </c>
      <c r="G1637" s="22"/>
    </row>
    <row r="1638" spans="1:7" x14ac:dyDescent="0.25">
      <c r="A1638" s="20" t="s">
        <v>588</v>
      </c>
      <c r="B1638" s="20" t="s">
        <v>146</v>
      </c>
      <c r="C1638" s="20" t="s">
        <v>146</v>
      </c>
      <c r="D1638" s="20" t="s">
        <v>1125</v>
      </c>
      <c r="E1638" s="24">
        <v>6.5000000000000002E-2</v>
      </c>
      <c r="F1638" s="25">
        <v>0.13</v>
      </c>
      <c r="G1638" s="22"/>
    </row>
    <row r="1639" spans="1:7" x14ac:dyDescent="0.25">
      <c r="A1639" s="20" t="s">
        <v>588</v>
      </c>
      <c r="B1639" s="20" t="s">
        <v>155</v>
      </c>
      <c r="C1639" s="20" t="s">
        <v>155</v>
      </c>
      <c r="D1639" s="20" t="s">
        <v>1125</v>
      </c>
      <c r="E1639" s="24">
        <v>3.0000000000000001E-3</v>
      </c>
      <c r="F1639" s="24">
        <v>6.0000000000000001E-3</v>
      </c>
      <c r="G1639" s="22"/>
    </row>
    <row r="1640" spans="1:7" x14ac:dyDescent="0.25">
      <c r="A1640" s="20" t="s">
        <v>588</v>
      </c>
      <c r="B1640" s="20" t="s">
        <v>156</v>
      </c>
      <c r="C1640" s="20" t="s">
        <v>156</v>
      </c>
      <c r="D1640" s="20" t="s">
        <v>1125</v>
      </c>
      <c r="E1640" s="25">
        <v>0.01</v>
      </c>
      <c r="F1640" s="25">
        <v>0.02</v>
      </c>
      <c r="G1640" s="22"/>
    </row>
    <row r="1641" spans="1:7" x14ac:dyDescent="0.25">
      <c r="A1641" s="20" t="s">
        <v>588</v>
      </c>
      <c r="B1641" s="20" t="s">
        <v>215</v>
      </c>
      <c r="C1641" s="20" t="s">
        <v>215</v>
      </c>
      <c r="D1641" s="20" t="s">
        <v>1125</v>
      </c>
      <c r="E1641" s="24">
        <v>2.1000000000000001E-2</v>
      </c>
      <c r="F1641" s="24">
        <v>4.2000000000000003E-2</v>
      </c>
      <c r="G1641" s="22"/>
    </row>
    <row r="1642" spans="1:7" x14ac:dyDescent="0.25">
      <c r="A1642" s="20" t="s">
        <v>588</v>
      </c>
      <c r="B1642" s="20" t="s">
        <v>118</v>
      </c>
      <c r="C1642" s="20" t="s">
        <v>118</v>
      </c>
      <c r="D1642" s="20" t="s">
        <v>1128</v>
      </c>
      <c r="E1642" s="26">
        <v>1.0016799999999999</v>
      </c>
      <c r="F1642" s="26">
        <v>2.0033599999999998</v>
      </c>
      <c r="G1642" s="22"/>
    </row>
    <row r="1643" spans="1:7" x14ac:dyDescent="0.25">
      <c r="A1643" s="20" t="s">
        <v>588</v>
      </c>
      <c r="B1643" s="20" t="s">
        <v>118</v>
      </c>
      <c r="C1643" s="20" t="s">
        <v>118</v>
      </c>
      <c r="D1643" s="20" t="s">
        <v>1129</v>
      </c>
      <c r="E1643" s="26">
        <v>0.70621999999999996</v>
      </c>
      <c r="F1643" s="26">
        <v>1.4124399999999999</v>
      </c>
      <c r="G1643" s="22"/>
    </row>
    <row r="1644" spans="1:7" x14ac:dyDescent="0.25">
      <c r="A1644" s="20" t="s">
        <v>588</v>
      </c>
      <c r="B1644" s="20" t="s">
        <v>74</v>
      </c>
      <c r="C1644" s="20" t="s">
        <v>74</v>
      </c>
      <c r="D1644" s="20" t="s">
        <v>1130</v>
      </c>
      <c r="E1644" s="24">
        <v>8.4000000000000005E-2</v>
      </c>
      <c r="F1644" s="24">
        <v>0.33600000000000002</v>
      </c>
      <c r="G1644" s="22"/>
    </row>
    <row r="1645" spans="1:7" x14ac:dyDescent="0.25">
      <c r="A1645" s="20" t="s">
        <v>585</v>
      </c>
      <c r="B1645" s="20" t="s">
        <v>1131</v>
      </c>
      <c r="C1645" s="20" t="s">
        <v>1131</v>
      </c>
      <c r="D1645" s="20" t="s">
        <v>1083</v>
      </c>
      <c r="E1645" s="27">
        <v>1</v>
      </c>
      <c r="F1645" s="27">
        <v>1</v>
      </c>
      <c r="G1645" s="29">
        <v>14.679930000000001</v>
      </c>
    </row>
    <row r="1646" spans="1:7" x14ac:dyDescent="0.25">
      <c r="A1646" s="20" t="s">
        <v>595</v>
      </c>
      <c r="B1646" s="20" t="s">
        <v>1132</v>
      </c>
      <c r="C1646" s="20" t="s">
        <v>1132</v>
      </c>
      <c r="D1646" s="20" t="s">
        <v>1083</v>
      </c>
      <c r="E1646" s="27">
        <v>1</v>
      </c>
      <c r="F1646" s="27">
        <v>1</v>
      </c>
      <c r="G1646" s="29">
        <v>6.0002199999999997</v>
      </c>
    </row>
    <row r="1647" spans="1:7" ht="22.5" x14ac:dyDescent="0.25">
      <c r="A1647" s="20" t="s">
        <v>620</v>
      </c>
      <c r="B1647" s="20" t="s">
        <v>1133</v>
      </c>
      <c r="C1647" s="20" t="s">
        <v>293</v>
      </c>
      <c r="D1647" s="20" t="s">
        <v>1083</v>
      </c>
      <c r="E1647" s="27">
        <v>4</v>
      </c>
      <c r="F1647" s="27">
        <v>4</v>
      </c>
      <c r="G1647" s="28">
        <v>0.22420000000000001</v>
      </c>
    </row>
    <row r="1648" spans="1:7" ht="22.5" x14ac:dyDescent="0.25">
      <c r="A1648" s="20" t="s">
        <v>620</v>
      </c>
      <c r="B1648" s="20" t="s">
        <v>818</v>
      </c>
      <c r="C1648" s="20" t="s">
        <v>259</v>
      </c>
      <c r="D1648" s="20" t="s">
        <v>1083</v>
      </c>
      <c r="E1648" s="27">
        <v>8</v>
      </c>
      <c r="F1648" s="27">
        <v>8</v>
      </c>
      <c r="G1648" s="29">
        <v>3.7609999999999998E-2</v>
      </c>
    </row>
    <row r="1649" spans="1:7" ht="22.5" x14ac:dyDescent="0.25">
      <c r="A1649" s="20" t="s">
        <v>620</v>
      </c>
      <c r="B1649" s="20" t="s">
        <v>734</v>
      </c>
      <c r="C1649" s="20" t="s">
        <v>238</v>
      </c>
      <c r="D1649" s="20" t="s">
        <v>1083</v>
      </c>
      <c r="E1649" s="27">
        <v>4</v>
      </c>
      <c r="F1649" s="27">
        <v>4</v>
      </c>
      <c r="G1649" s="28">
        <v>4.65E-2</v>
      </c>
    </row>
    <row r="1650" spans="1:7" x14ac:dyDescent="0.25">
      <c r="A1650" s="20" t="s">
        <v>588</v>
      </c>
      <c r="B1650" s="20" t="s">
        <v>65</v>
      </c>
      <c r="C1650" s="20" t="s">
        <v>65</v>
      </c>
      <c r="D1650" s="20" t="s">
        <v>1132</v>
      </c>
      <c r="E1650" s="24">
        <v>2.5000000000000001E-2</v>
      </c>
      <c r="F1650" s="24">
        <v>2.5000000000000001E-2</v>
      </c>
      <c r="G1650" s="22"/>
    </row>
    <row r="1651" spans="1:7" x14ac:dyDescent="0.25">
      <c r="A1651" s="20" t="s">
        <v>588</v>
      </c>
      <c r="B1651" s="20" t="s">
        <v>122</v>
      </c>
      <c r="C1651" s="20" t="s">
        <v>122</v>
      </c>
      <c r="D1651" s="20" t="s">
        <v>1132</v>
      </c>
      <c r="E1651" s="26">
        <v>7.3792499999999999</v>
      </c>
      <c r="F1651" s="26">
        <v>7.3792499999999999</v>
      </c>
      <c r="G1651" s="22"/>
    </row>
    <row r="1652" spans="1:7" x14ac:dyDescent="0.25">
      <c r="A1652" s="20" t="s">
        <v>588</v>
      </c>
      <c r="B1652" s="20" t="s">
        <v>155</v>
      </c>
      <c r="C1652" s="20" t="s">
        <v>155</v>
      </c>
      <c r="D1652" s="20" t="s">
        <v>1132</v>
      </c>
      <c r="E1652" s="24">
        <v>8.0000000000000002E-3</v>
      </c>
      <c r="F1652" s="24">
        <v>8.0000000000000002E-3</v>
      </c>
      <c r="G1652" s="22"/>
    </row>
    <row r="1653" spans="1:7" x14ac:dyDescent="0.25">
      <c r="A1653" s="20" t="s">
        <v>588</v>
      </c>
      <c r="B1653" s="20" t="s">
        <v>156</v>
      </c>
      <c r="C1653" s="20" t="s">
        <v>156</v>
      </c>
      <c r="D1653" s="20" t="s">
        <v>1132</v>
      </c>
      <c r="E1653" s="24">
        <v>2.3E-2</v>
      </c>
      <c r="F1653" s="24">
        <v>2.3E-2</v>
      </c>
      <c r="G1653" s="22"/>
    </row>
    <row r="1654" spans="1:7" x14ac:dyDescent="0.25">
      <c r="A1654" s="20" t="s">
        <v>588</v>
      </c>
      <c r="B1654" s="20" t="s">
        <v>215</v>
      </c>
      <c r="C1654" s="20" t="s">
        <v>215</v>
      </c>
      <c r="D1654" s="20" t="s">
        <v>1132</v>
      </c>
      <c r="E1654" s="25">
        <v>0.05</v>
      </c>
      <c r="F1654" s="25">
        <v>0.05</v>
      </c>
      <c r="G1654" s="22"/>
    </row>
    <row r="1655" spans="1:7" x14ac:dyDescent="0.25">
      <c r="A1655" s="20" t="s">
        <v>595</v>
      </c>
      <c r="B1655" s="20" t="s">
        <v>1134</v>
      </c>
      <c r="C1655" s="20" t="s">
        <v>1134</v>
      </c>
      <c r="D1655" s="20" t="s">
        <v>1131</v>
      </c>
      <c r="E1655" s="27">
        <v>1</v>
      </c>
      <c r="F1655" s="27">
        <v>1</v>
      </c>
      <c r="G1655" s="29">
        <v>6.2394499999999997</v>
      </c>
    </row>
    <row r="1656" spans="1:7" x14ac:dyDescent="0.25">
      <c r="A1656" s="20" t="s">
        <v>595</v>
      </c>
      <c r="B1656" s="20" t="s">
        <v>1135</v>
      </c>
      <c r="C1656" s="20" t="s">
        <v>1135</v>
      </c>
      <c r="D1656" s="20" t="s">
        <v>1131</v>
      </c>
      <c r="E1656" s="27">
        <v>1</v>
      </c>
      <c r="F1656" s="27">
        <v>1</v>
      </c>
      <c r="G1656" s="29">
        <v>0.31386999999999998</v>
      </c>
    </row>
    <row r="1657" spans="1:7" x14ac:dyDescent="0.25">
      <c r="A1657" s="20" t="s">
        <v>595</v>
      </c>
      <c r="B1657" s="20" t="s">
        <v>1136</v>
      </c>
      <c r="C1657" s="20" t="s">
        <v>1136</v>
      </c>
      <c r="D1657" s="20" t="s">
        <v>1131</v>
      </c>
      <c r="E1657" s="27">
        <v>1</v>
      </c>
      <c r="F1657" s="27">
        <v>1</v>
      </c>
      <c r="G1657" s="29">
        <v>1.0661499999999999</v>
      </c>
    </row>
    <row r="1658" spans="1:7" x14ac:dyDescent="0.25">
      <c r="A1658" s="20" t="s">
        <v>595</v>
      </c>
      <c r="B1658" s="20" t="s">
        <v>1137</v>
      </c>
      <c r="C1658" s="20" t="s">
        <v>1137</v>
      </c>
      <c r="D1658" s="20" t="s">
        <v>1131</v>
      </c>
      <c r="E1658" s="27">
        <v>1</v>
      </c>
      <c r="F1658" s="27">
        <v>1</v>
      </c>
      <c r="G1658" s="29">
        <v>5.3024199999999997</v>
      </c>
    </row>
    <row r="1659" spans="1:7" x14ac:dyDescent="0.25">
      <c r="A1659" s="20" t="s">
        <v>595</v>
      </c>
      <c r="B1659" s="20" t="s">
        <v>1138</v>
      </c>
      <c r="C1659" s="20" t="s">
        <v>1138</v>
      </c>
      <c r="D1659" s="20" t="s">
        <v>1131</v>
      </c>
      <c r="E1659" s="27">
        <v>1</v>
      </c>
      <c r="F1659" s="27">
        <v>1</v>
      </c>
      <c r="G1659" s="29">
        <v>1.75804</v>
      </c>
    </row>
    <row r="1660" spans="1:7" x14ac:dyDescent="0.25">
      <c r="A1660" s="20" t="s">
        <v>588</v>
      </c>
      <c r="B1660" s="20" t="s">
        <v>65</v>
      </c>
      <c r="C1660" s="20" t="s">
        <v>65</v>
      </c>
      <c r="D1660" s="20" t="s">
        <v>1131</v>
      </c>
      <c r="E1660" s="24">
        <v>0.125</v>
      </c>
      <c r="F1660" s="24">
        <v>0.125</v>
      </c>
      <c r="G1660" s="22"/>
    </row>
    <row r="1661" spans="1:7" x14ac:dyDescent="0.25">
      <c r="A1661" s="20" t="s">
        <v>588</v>
      </c>
      <c r="B1661" s="20" t="s">
        <v>67</v>
      </c>
      <c r="C1661" s="20" t="s">
        <v>67</v>
      </c>
      <c r="D1661" s="20" t="s">
        <v>1131</v>
      </c>
      <c r="E1661" s="24">
        <v>0.32800000000000001</v>
      </c>
      <c r="F1661" s="24">
        <v>0.32800000000000001</v>
      </c>
      <c r="G1661" s="22"/>
    </row>
    <row r="1662" spans="1:7" x14ac:dyDescent="0.25">
      <c r="A1662" s="20" t="s">
        <v>588</v>
      </c>
      <c r="B1662" s="20" t="s">
        <v>146</v>
      </c>
      <c r="C1662" s="20" t="s">
        <v>146</v>
      </c>
      <c r="D1662" s="20" t="s">
        <v>1131</v>
      </c>
      <c r="E1662" s="24">
        <v>0.193</v>
      </c>
      <c r="F1662" s="24">
        <v>0.193</v>
      </c>
      <c r="G1662" s="22"/>
    </row>
    <row r="1663" spans="1:7" x14ac:dyDescent="0.25">
      <c r="A1663" s="20" t="s">
        <v>588</v>
      </c>
      <c r="B1663" s="20" t="s">
        <v>155</v>
      </c>
      <c r="C1663" s="20" t="s">
        <v>155</v>
      </c>
      <c r="D1663" s="20" t="s">
        <v>1131</v>
      </c>
      <c r="E1663" s="24">
        <v>0.13800000000000001</v>
      </c>
      <c r="F1663" s="24">
        <v>0.13800000000000001</v>
      </c>
      <c r="G1663" s="22"/>
    </row>
    <row r="1664" spans="1:7" x14ac:dyDescent="0.25">
      <c r="A1664" s="20" t="s">
        <v>588</v>
      </c>
      <c r="B1664" s="20" t="s">
        <v>156</v>
      </c>
      <c r="C1664" s="20" t="s">
        <v>156</v>
      </c>
      <c r="D1664" s="20" t="s">
        <v>1131</v>
      </c>
      <c r="E1664" s="24">
        <v>0.115</v>
      </c>
      <c r="F1664" s="24">
        <v>0.115</v>
      </c>
      <c r="G1664" s="22"/>
    </row>
    <row r="1665" spans="1:7" x14ac:dyDescent="0.25">
      <c r="A1665" s="20" t="s">
        <v>588</v>
      </c>
      <c r="B1665" s="20" t="s">
        <v>215</v>
      </c>
      <c r="C1665" s="20" t="s">
        <v>215</v>
      </c>
      <c r="D1665" s="20" t="s">
        <v>1131</v>
      </c>
      <c r="E1665" s="25">
        <v>0.25</v>
      </c>
      <c r="F1665" s="25">
        <v>0.25</v>
      </c>
      <c r="G1665" s="22"/>
    </row>
    <row r="1666" spans="1:7" x14ac:dyDescent="0.25">
      <c r="A1666" s="20" t="s">
        <v>588</v>
      </c>
      <c r="B1666" s="20" t="s">
        <v>115</v>
      </c>
      <c r="C1666" s="20" t="s">
        <v>115</v>
      </c>
      <c r="D1666" s="20" t="s">
        <v>1134</v>
      </c>
      <c r="E1666" s="26">
        <v>7.5242300000000002</v>
      </c>
      <c r="F1666" s="26">
        <v>7.5242300000000002</v>
      </c>
      <c r="G1666" s="22"/>
    </row>
    <row r="1667" spans="1:7" x14ac:dyDescent="0.25">
      <c r="A1667" s="20" t="s">
        <v>588</v>
      </c>
      <c r="B1667" s="20" t="s">
        <v>120</v>
      </c>
      <c r="C1667" s="20" t="s">
        <v>120</v>
      </c>
      <c r="D1667" s="20" t="s">
        <v>1135</v>
      </c>
      <c r="E1667" s="26">
        <v>0.37664999999999998</v>
      </c>
      <c r="F1667" s="26">
        <v>0.37664999999999998</v>
      </c>
      <c r="G1667" s="22"/>
    </row>
    <row r="1668" spans="1:7" x14ac:dyDescent="0.25">
      <c r="A1668" s="20" t="s">
        <v>588</v>
      </c>
      <c r="B1668" s="20" t="s">
        <v>120</v>
      </c>
      <c r="C1668" s="20" t="s">
        <v>120</v>
      </c>
      <c r="D1668" s="20" t="s">
        <v>1136</v>
      </c>
      <c r="E1668" s="26">
        <v>1.2971299999999999</v>
      </c>
      <c r="F1668" s="26">
        <v>1.2971299999999999</v>
      </c>
      <c r="G1668" s="22"/>
    </row>
    <row r="1669" spans="1:7" x14ac:dyDescent="0.25">
      <c r="A1669" s="20" t="s">
        <v>588</v>
      </c>
      <c r="B1669" s="20" t="s">
        <v>118</v>
      </c>
      <c r="C1669" s="20" t="s">
        <v>118</v>
      </c>
      <c r="D1669" s="20" t="s">
        <v>1137</v>
      </c>
      <c r="E1669" s="26">
        <v>6.4231199999999999</v>
      </c>
      <c r="F1669" s="26">
        <v>6.4231199999999999</v>
      </c>
      <c r="G1669" s="22"/>
    </row>
    <row r="1670" spans="1:7" x14ac:dyDescent="0.25">
      <c r="A1670" s="20" t="s">
        <v>588</v>
      </c>
      <c r="B1670" s="20" t="s">
        <v>115</v>
      </c>
      <c r="C1670" s="20" t="s">
        <v>115</v>
      </c>
      <c r="D1670" s="20" t="s">
        <v>1138</v>
      </c>
      <c r="E1670" s="26">
        <v>2.1215299999999999</v>
      </c>
      <c r="F1670" s="26">
        <v>2.1215299999999999</v>
      </c>
      <c r="G1670" s="22"/>
    </row>
    <row r="1671" spans="1:7" x14ac:dyDescent="0.25">
      <c r="A1671" s="20" t="s">
        <v>585</v>
      </c>
      <c r="B1671" s="20" t="s">
        <v>1139</v>
      </c>
      <c r="C1671" s="20" t="s">
        <v>1139</v>
      </c>
      <c r="D1671" s="20" t="s">
        <v>1084</v>
      </c>
      <c r="E1671" s="27">
        <v>2</v>
      </c>
      <c r="F1671" s="27">
        <v>2</v>
      </c>
      <c r="G1671" s="29">
        <v>32.074730000000002</v>
      </c>
    </row>
    <row r="1672" spans="1:7" x14ac:dyDescent="0.25">
      <c r="A1672" s="20" t="s">
        <v>585</v>
      </c>
      <c r="B1672" s="20" t="s">
        <v>1140</v>
      </c>
      <c r="C1672" s="20" t="s">
        <v>1140</v>
      </c>
      <c r="D1672" s="20" t="s">
        <v>1084</v>
      </c>
      <c r="E1672" s="27">
        <v>1</v>
      </c>
      <c r="F1672" s="27">
        <v>1</v>
      </c>
      <c r="G1672" s="29">
        <v>31.710619999999999</v>
      </c>
    </row>
    <row r="1673" spans="1:7" x14ac:dyDescent="0.25">
      <c r="A1673" s="20" t="s">
        <v>595</v>
      </c>
      <c r="B1673" s="20" t="s">
        <v>1141</v>
      </c>
      <c r="C1673" s="20" t="s">
        <v>1141</v>
      </c>
      <c r="D1673" s="20" t="s">
        <v>1084</v>
      </c>
      <c r="E1673" s="27">
        <v>1</v>
      </c>
      <c r="F1673" s="27">
        <v>1</v>
      </c>
      <c r="G1673" s="29">
        <v>4.3845400000000003</v>
      </c>
    </row>
    <row r="1674" spans="1:7" x14ac:dyDescent="0.25">
      <c r="A1674" s="20" t="s">
        <v>595</v>
      </c>
      <c r="B1674" s="20" t="s">
        <v>1142</v>
      </c>
      <c r="C1674" s="20" t="s">
        <v>1142</v>
      </c>
      <c r="D1674" s="20" t="s">
        <v>1084</v>
      </c>
      <c r="E1674" s="27">
        <v>2</v>
      </c>
      <c r="F1674" s="27">
        <v>2</v>
      </c>
      <c r="G1674" s="29">
        <v>3.2457099999999999</v>
      </c>
    </row>
    <row r="1675" spans="1:7" x14ac:dyDescent="0.25">
      <c r="A1675" s="20" t="s">
        <v>595</v>
      </c>
      <c r="B1675" s="20" t="s">
        <v>1143</v>
      </c>
      <c r="C1675" s="20" t="s">
        <v>1143</v>
      </c>
      <c r="D1675" s="20" t="s">
        <v>1084</v>
      </c>
      <c r="E1675" s="27">
        <v>1</v>
      </c>
      <c r="F1675" s="27">
        <v>1</v>
      </c>
      <c r="G1675" s="29">
        <v>2.8942700000000001</v>
      </c>
    </row>
    <row r="1676" spans="1:7" x14ac:dyDescent="0.25">
      <c r="A1676" s="20" t="s">
        <v>595</v>
      </c>
      <c r="B1676" s="20" t="s">
        <v>1144</v>
      </c>
      <c r="C1676" s="20" t="s">
        <v>1144</v>
      </c>
      <c r="D1676" s="20" t="s">
        <v>1084</v>
      </c>
      <c r="E1676" s="27">
        <v>24</v>
      </c>
      <c r="F1676" s="27">
        <v>24</v>
      </c>
      <c r="G1676" s="29">
        <v>1.435E-2</v>
      </c>
    </row>
    <row r="1677" spans="1:7" ht="22.5" x14ac:dyDescent="0.25">
      <c r="A1677" s="20" t="s">
        <v>620</v>
      </c>
      <c r="B1677" s="20" t="s">
        <v>1145</v>
      </c>
      <c r="C1677" s="20" t="s">
        <v>290</v>
      </c>
      <c r="D1677" s="20" t="s">
        <v>1084</v>
      </c>
      <c r="E1677" s="27">
        <v>12</v>
      </c>
      <c r="F1677" s="27">
        <v>12</v>
      </c>
      <c r="G1677" s="35">
        <v>0.10100000000000001</v>
      </c>
    </row>
    <row r="1678" spans="1:7" ht="22.5" x14ac:dyDescent="0.25">
      <c r="A1678" s="20" t="s">
        <v>620</v>
      </c>
      <c r="B1678" s="20" t="s">
        <v>818</v>
      </c>
      <c r="C1678" s="20" t="s">
        <v>259</v>
      </c>
      <c r="D1678" s="20" t="s">
        <v>1084</v>
      </c>
      <c r="E1678" s="27">
        <v>12</v>
      </c>
      <c r="F1678" s="27">
        <v>12</v>
      </c>
      <c r="G1678" s="29">
        <v>3.7609999999999998E-2</v>
      </c>
    </row>
    <row r="1679" spans="1:7" ht="22.5" x14ac:dyDescent="0.25">
      <c r="A1679" s="20" t="s">
        <v>620</v>
      </c>
      <c r="B1679" s="20" t="s">
        <v>1146</v>
      </c>
      <c r="C1679" s="20" t="s">
        <v>291</v>
      </c>
      <c r="D1679" s="20" t="s">
        <v>1084</v>
      </c>
      <c r="E1679" s="27">
        <v>12</v>
      </c>
      <c r="F1679" s="27">
        <v>12</v>
      </c>
      <c r="G1679" s="29">
        <v>1.7680000000000001E-2</v>
      </c>
    </row>
    <row r="1680" spans="1:7" x14ac:dyDescent="0.25">
      <c r="A1680" s="20" t="s">
        <v>588</v>
      </c>
      <c r="B1680" s="20" t="s">
        <v>101</v>
      </c>
      <c r="C1680" s="20" t="s">
        <v>101</v>
      </c>
      <c r="D1680" s="20" t="s">
        <v>1141</v>
      </c>
      <c r="E1680" s="24">
        <v>6.0140000000000002</v>
      </c>
      <c r="F1680" s="24">
        <v>6.0140000000000002</v>
      </c>
      <c r="G1680" s="22"/>
    </row>
    <row r="1681" spans="1:7" x14ac:dyDescent="0.25">
      <c r="A1681" s="20" t="s">
        <v>588</v>
      </c>
      <c r="B1681" s="20" t="s">
        <v>101</v>
      </c>
      <c r="C1681" s="20" t="s">
        <v>101</v>
      </c>
      <c r="D1681" s="20" t="s">
        <v>1142</v>
      </c>
      <c r="E1681" s="24">
        <v>5.4370000000000003</v>
      </c>
      <c r="F1681" s="24">
        <v>10.874000000000001</v>
      </c>
      <c r="G1681" s="22"/>
    </row>
    <row r="1682" spans="1:7" x14ac:dyDescent="0.25">
      <c r="A1682" s="20" t="s">
        <v>588</v>
      </c>
      <c r="B1682" s="20" t="s">
        <v>101</v>
      </c>
      <c r="C1682" s="20" t="s">
        <v>101</v>
      </c>
      <c r="D1682" s="20" t="s">
        <v>1143</v>
      </c>
      <c r="E1682" s="24">
        <v>4.2160000000000002</v>
      </c>
      <c r="F1682" s="24">
        <v>4.2160000000000002</v>
      </c>
      <c r="G1682" s="22"/>
    </row>
    <row r="1683" spans="1:7" x14ac:dyDescent="0.25">
      <c r="A1683" s="20" t="s">
        <v>588</v>
      </c>
      <c r="B1683" s="20" t="s">
        <v>65</v>
      </c>
      <c r="C1683" s="20" t="s">
        <v>65</v>
      </c>
      <c r="D1683" s="20" t="s">
        <v>1144</v>
      </c>
      <c r="E1683" s="24">
        <v>1E-3</v>
      </c>
      <c r="F1683" s="24">
        <v>2.4E-2</v>
      </c>
      <c r="G1683" s="22"/>
    </row>
    <row r="1684" spans="1:7" x14ac:dyDescent="0.25">
      <c r="A1684" s="20" t="s">
        <v>588</v>
      </c>
      <c r="B1684" s="20" t="s">
        <v>115</v>
      </c>
      <c r="C1684" s="20" t="s">
        <v>115</v>
      </c>
      <c r="D1684" s="20" t="s">
        <v>1144</v>
      </c>
      <c r="E1684" s="26">
        <v>2.5430000000000001E-2</v>
      </c>
      <c r="F1684" s="26">
        <v>0.61031999999999997</v>
      </c>
      <c r="G1684" s="22"/>
    </row>
    <row r="1685" spans="1:7" x14ac:dyDescent="0.25">
      <c r="A1685" s="20" t="s">
        <v>588</v>
      </c>
      <c r="B1685" s="20" t="s">
        <v>155</v>
      </c>
      <c r="C1685" s="20" t="s">
        <v>155</v>
      </c>
      <c r="D1685" s="20" t="s">
        <v>1144</v>
      </c>
      <c r="E1685" s="24">
        <v>1E-3</v>
      </c>
      <c r="F1685" s="24">
        <v>2.4E-2</v>
      </c>
      <c r="G1685" s="22"/>
    </row>
    <row r="1686" spans="1:7" x14ac:dyDescent="0.25">
      <c r="A1686" s="20" t="s">
        <v>588</v>
      </c>
      <c r="B1686" s="20" t="s">
        <v>156</v>
      </c>
      <c r="C1686" s="20" t="s">
        <v>156</v>
      </c>
      <c r="D1686" s="20" t="s">
        <v>1144</v>
      </c>
      <c r="E1686" s="24">
        <v>1E-3</v>
      </c>
      <c r="F1686" s="24">
        <v>2.4E-2</v>
      </c>
      <c r="G1686" s="22"/>
    </row>
    <row r="1687" spans="1:7" x14ac:dyDescent="0.25">
      <c r="A1687" s="20" t="s">
        <v>588</v>
      </c>
      <c r="B1687" s="20" t="s">
        <v>215</v>
      </c>
      <c r="C1687" s="20" t="s">
        <v>215</v>
      </c>
      <c r="D1687" s="20" t="s">
        <v>1144</v>
      </c>
      <c r="E1687" s="24">
        <v>1E-3</v>
      </c>
      <c r="F1687" s="24">
        <v>2.4E-2</v>
      </c>
      <c r="G1687" s="22"/>
    </row>
    <row r="1688" spans="1:7" x14ac:dyDescent="0.25">
      <c r="A1688" s="20" t="s">
        <v>585</v>
      </c>
      <c r="B1688" s="20" t="s">
        <v>1147</v>
      </c>
      <c r="C1688" s="20" t="s">
        <v>1147</v>
      </c>
      <c r="D1688" s="20" t="s">
        <v>1139</v>
      </c>
      <c r="E1688" s="27">
        <v>1</v>
      </c>
      <c r="F1688" s="27">
        <v>2</v>
      </c>
      <c r="G1688" s="29">
        <v>26.240349999999999</v>
      </c>
    </row>
    <row r="1689" spans="1:7" x14ac:dyDescent="0.25">
      <c r="A1689" s="20" t="s">
        <v>595</v>
      </c>
      <c r="B1689" s="20" t="s">
        <v>1148</v>
      </c>
      <c r="C1689" s="20" t="s">
        <v>1148</v>
      </c>
      <c r="D1689" s="20" t="s">
        <v>1139</v>
      </c>
      <c r="E1689" s="27">
        <v>2</v>
      </c>
      <c r="F1689" s="27">
        <v>4</v>
      </c>
      <c r="G1689" s="29">
        <v>7.6160000000000005E-2</v>
      </c>
    </row>
    <row r="1690" spans="1:7" x14ac:dyDescent="0.25">
      <c r="A1690" s="20" t="s">
        <v>597</v>
      </c>
      <c r="B1690" s="20" t="s">
        <v>164</v>
      </c>
      <c r="C1690" s="20" t="s">
        <v>164</v>
      </c>
      <c r="D1690" s="20" t="s">
        <v>1139</v>
      </c>
      <c r="E1690" s="24">
        <v>2.3719999999999999</v>
      </c>
      <c r="F1690" s="24">
        <v>4.7439999999999998</v>
      </c>
      <c r="G1690" s="29">
        <v>5.3179400000000001</v>
      </c>
    </row>
    <row r="1691" spans="1:7" x14ac:dyDescent="0.25">
      <c r="A1691" s="20" t="s">
        <v>588</v>
      </c>
      <c r="B1691" s="20" t="s">
        <v>65</v>
      </c>
      <c r="C1691" s="20" t="s">
        <v>65</v>
      </c>
      <c r="D1691" s="20" t="s">
        <v>1139</v>
      </c>
      <c r="E1691" s="24">
        <v>0.29099999999999998</v>
      </c>
      <c r="F1691" s="24">
        <v>0.58199999999999996</v>
      </c>
      <c r="G1691" s="22"/>
    </row>
    <row r="1692" spans="1:7" x14ac:dyDescent="0.25">
      <c r="A1692" s="20" t="s">
        <v>588</v>
      </c>
      <c r="B1692" s="20" t="s">
        <v>67</v>
      </c>
      <c r="C1692" s="20" t="s">
        <v>67</v>
      </c>
      <c r="D1692" s="20" t="s">
        <v>1139</v>
      </c>
      <c r="E1692" s="24">
        <v>0.30299999999999999</v>
      </c>
      <c r="F1692" s="24">
        <v>0.60599999999999998</v>
      </c>
      <c r="G1692" s="22"/>
    </row>
    <row r="1693" spans="1:7" x14ac:dyDescent="0.25">
      <c r="A1693" s="20" t="s">
        <v>588</v>
      </c>
      <c r="B1693" s="20" t="s">
        <v>146</v>
      </c>
      <c r="C1693" s="20" t="s">
        <v>146</v>
      </c>
      <c r="D1693" s="20" t="s">
        <v>1139</v>
      </c>
      <c r="E1693" s="24">
        <v>0.17799999999999999</v>
      </c>
      <c r="F1693" s="24">
        <v>0.35599999999999998</v>
      </c>
      <c r="G1693" s="22"/>
    </row>
    <row r="1694" spans="1:7" x14ac:dyDescent="0.25">
      <c r="A1694" s="20" t="s">
        <v>588</v>
      </c>
      <c r="B1694" s="20" t="s">
        <v>155</v>
      </c>
      <c r="C1694" s="20" t="s">
        <v>155</v>
      </c>
      <c r="D1694" s="20" t="s">
        <v>1139</v>
      </c>
      <c r="E1694" s="24">
        <v>8.6999999999999994E-2</v>
      </c>
      <c r="F1694" s="24">
        <v>0.17399999999999999</v>
      </c>
      <c r="G1694" s="22"/>
    </row>
    <row r="1695" spans="1:7" x14ac:dyDescent="0.25">
      <c r="A1695" s="20" t="s">
        <v>588</v>
      </c>
      <c r="B1695" s="20" t="s">
        <v>156</v>
      </c>
      <c r="C1695" s="20" t="s">
        <v>156</v>
      </c>
      <c r="D1695" s="20" t="s">
        <v>1139</v>
      </c>
      <c r="E1695" s="24">
        <v>0.26600000000000001</v>
      </c>
      <c r="F1695" s="24">
        <v>0.53200000000000003</v>
      </c>
      <c r="G1695" s="22"/>
    </row>
    <row r="1696" spans="1:7" x14ac:dyDescent="0.25">
      <c r="A1696" s="20" t="s">
        <v>588</v>
      </c>
      <c r="B1696" s="20" t="s">
        <v>215</v>
      </c>
      <c r="C1696" s="20" t="s">
        <v>215</v>
      </c>
      <c r="D1696" s="20" t="s">
        <v>1139</v>
      </c>
      <c r="E1696" s="24">
        <v>0.58199999999999996</v>
      </c>
      <c r="F1696" s="24">
        <v>1.1639999999999999</v>
      </c>
      <c r="G1696" s="22"/>
    </row>
    <row r="1697" spans="1:7" x14ac:dyDescent="0.25">
      <c r="A1697" s="20" t="s">
        <v>585</v>
      </c>
      <c r="B1697" s="20" t="s">
        <v>1147</v>
      </c>
      <c r="C1697" s="20" t="s">
        <v>1147</v>
      </c>
      <c r="D1697" s="20" t="s">
        <v>1140</v>
      </c>
      <c r="E1697" s="27">
        <v>1</v>
      </c>
      <c r="F1697" s="27">
        <v>1</v>
      </c>
      <c r="G1697" s="29">
        <v>26.240349999999999</v>
      </c>
    </row>
    <row r="1698" spans="1:7" x14ac:dyDescent="0.25">
      <c r="A1698" s="20" t="s">
        <v>595</v>
      </c>
      <c r="B1698" s="20" t="s">
        <v>1148</v>
      </c>
      <c r="C1698" s="20" t="s">
        <v>1148</v>
      </c>
      <c r="D1698" s="20" t="s">
        <v>1140</v>
      </c>
      <c r="E1698" s="27">
        <v>2</v>
      </c>
      <c r="F1698" s="27">
        <v>2</v>
      </c>
      <c r="G1698" s="29">
        <v>7.6160000000000005E-2</v>
      </c>
    </row>
    <row r="1699" spans="1:7" x14ac:dyDescent="0.25">
      <c r="A1699" s="20" t="s">
        <v>597</v>
      </c>
      <c r="B1699" s="20" t="s">
        <v>164</v>
      </c>
      <c r="C1699" s="20" t="s">
        <v>164</v>
      </c>
      <c r="D1699" s="20" t="s">
        <v>1140</v>
      </c>
      <c r="E1699" s="25">
        <v>2.2200000000000002</v>
      </c>
      <c r="F1699" s="25">
        <v>2.2200000000000002</v>
      </c>
      <c r="G1699" s="29">
        <v>5.3179400000000001</v>
      </c>
    </row>
    <row r="1700" spans="1:7" x14ac:dyDescent="0.25">
      <c r="A1700" s="20" t="s">
        <v>588</v>
      </c>
      <c r="B1700" s="20" t="s">
        <v>65</v>
      </c>
      <c r="C1700" s="20" t="s">
        <v>65</v>
      </c>
      <c r="D1700" s="20" t="s">
        <v>1140</v>
      </c>
      <c r="E1700" s="24">
        <v>0.28100000000000003</v>
      </c>
      <c r="F1700" s="24">
        <v>0.28100000000000003</v>
      </c>
      <c r="G1700" s="22"/>
    </row>
    <row r="1701" spans="1:7" x14ac:dyDescent="0.25">
      <c r="A1701" s="20" t="s">
        <v>588</v>
      </c>
      <c r="B1701" s="20" t="s">
        <v>67</v>
      </c>
      <c r="C1701" s="20" t="s">
        <v>67</v>
      </c>
      <c r="D1701" s="20" t="s">
        <v>1140</v>
      </c>
      <c r="E1701" s="24">
        <v>0.28599999999999998</v>
      </c>
      <c r="F1701" s="24">
        <v>0.28599999999999998</v>
      </c>
      <c r="G1701" s="22"/>
    </row>
    <row r="1702" spans="1:7" x14ac:dyDescent="0.25">
      <c r="A1702" s="20" t="s">
        <v>588</v>
      </c>
      <c r="B1702" s="20" t="s">
        <v>146</v>
      </c>
      <c r="C1702" s="20" t="s">
        <v>146</v>
      </c>
      <c r="D1702" s="20" t="s">
        <v>1140</v>
      </c>
      <c r="E1702" s="24">
        <v>0.16800000000000001</v>
      </c>
      <c r="F1702" s="24">
        <v>0.16800000000000001</v>
      </c>
      <c r="G1702" s="22"/>
    </row>
    <row r="1703" spans="1:7" x14ac:dyDescent="0.25">
      <c r="A1703" s="20" t="s">
        <v>588</v>
      </c>
      <c r="B1703" s="20" t="s">
        <v>155</v>
      </c>
      <c r="C1703" s="20" t="s">
        <v>155</v>
      </c>
      <c r="D1703" s="20" t="s">
        <v>1140</v>
      </c>
      <c r="E1703" s="24">
        <v>8.4000000000000005E-2</v>
      </c>
      <c r="F1703" s="24">
        <v>8.4000000000000005E-2</v>
      </c>
      <c r="G1703" s="22"/>
    </row>
    <row r="1704" spans="1:7" x14ac:dyDescent="0.25">
      <c r="A1704" s="20" t="s">
        <v>588</v>
      </c>
      <c r="B1704" s="20" t="s">
        <v>156</v>
      </c>
      <c r="C1704" s="20" t="s">
        <v>156</v>
      </c>
      <c r="D1704" s="20" t="s">
        <v>1140</v>
      </c>
      <c r="E1704" s="24">
        <v>0.25700000000000001</v>
      </c>
      <c r="F1704" s="24">
        <v>0.25700000000000001</v>
      </c>
      <c r="G1704" s="22"/>
    </row>
    <row r="1705" spans="1:7" x14ac:dyDescent="0.25">
      <c r="A1705" s="20" t="s">
        <v>588</v>
      </c>
      <c r="B1705" s="20" t="s">
        <v>215</v>
      </c>
      <c r="C1705" s="20" t="s">
        <v>215</v>
      </c>
      <c r="D1705" s="20" t="s">
        <v>1140</v>
      </c>
      <c r="E1705" s="24">
        <v>0.56100000000000005</v>
      </c>
      <c r="F1705" s="24">
        <v>0.56100000000000005</v>
      </c>
      <c r="G1705" s="22"/>
    </row>
    <row r="1706" spans="1:7" x14ac:dyDescent="0.25">
      <c r="A1706" s="20" t="s">
        <v>588</v>
      </c>
      <c r="B1706" s="20" t="s">
        <v>116</v>
      </c>
      <c r="C1706" s="20" t="s">
        <v>116</v>
      </c>
      <c r="D1706" s="20" t="s">
        <v>1148</v>
      </c>
      <c r="E1706" s="26">
        <v>9.5710000000000003E-2</v>
      </c>
      <c r="F1706" s="26">
        <v>0.57425999999999999</v>
      </c>
      <c r="G1706" s="22"/>
    </row>
    <row r="1707" spans="1:7" x14ac:dyDescent="0.25">
      <c r="A1707" s="20" t="s">
        <v>595</v>
      </c>
      <c r="B1707" s="20" t="s">
        <v>1149</v>
      </c>
      <c r="C1707" s="20" t="s">
        <v>1149</v>
      </c>
      <c r="D1707" s="20" t="s">
        <v>1147</v>
      </c>
      <c r="E1707" s="27">
        <v>1</v>
      </c>
      <c r="F1707" s="27">
        <v>3</v>
      </c>
      <c r="G1707" s="29">
        <v>23.992789999999999</v>
      </c>
    </row>
    <row r="1708" spans="1:7" x14ac:dyDescent="0.25">
      <c r="A1708" s="20" t="s">
        <v>595</v>
      </c>
      <c r="B1708" s="20" t="s">
        <v>1150</v>
      </c>
      <c r="C1708" s="20" t="s">
        <v>1150</v>
      </c>
      <c r="D1708" s="20" t="s">
        <v>1147</v>
      </c>
      <c r="E1708" s="27">
        <v>2</v>
      </c>
      <c r="F1708" s="27">
        <v>6</v>
      </c>
      <c r="G1708" s="29">
        <v>1.12378</v>
      </c>
    </row>
    <row r="1709" spans="1:7" x14ac:dyDescent="0.25">
      <c r="A1709" s="20" t="s">
        <v>588</v>
      </c>
      <c r="B1709" s="20" t="s">
        <v>67</v>
      </c>
      <c r="C1709" s="20" t="s">
        <v>67</v>
      </c>
      <c r="D1709" s="20" t="s">
        <v>1147</v>
      </c>
      <c r="E1709" s="24">
        <v>6.8000000000000005E-2</v>
      </c>
      <c r="F1709" s="24">
        <v>0.20399999999999999</v>
      </c>
      <c r="G1709" s="22"/>
    </row>
    <row r="1710" spans="1:7" x14ac:dyDescent="0.25">
      <c r="A1710" s="20" t="s">
        <v>588</v>
      </c>
      <c r="B1710" s="20" t="s">
        <v>146</v>
      </c>
      <c r="C1710" s="20" t="s">
        <v>146</v>
      </c>
      <c r="D1710" s="20" t="s">
        <v>1147</v>
      </c>
      <c r="E1710" s="25">
        <v>0.04</v>
      </c>
      <c r="F1710" s="25">
        <v>0.12</v>
      </c>
      <c r="G1710" s="22"/>
    </row>
    <row r="1711" spans="1:7" x14ac:dyDescent="0.25">
      <c r="A1711" s="20" t="s">
        <v>588</v>
      </c>
      <c r="B1711" s="20" t="s">
        <v>184</v>
      </c>
      <c r="C1711" s="20" t="s">
        <v>184</v>
      </c>
      <c r="D1711" s="20" t="s">
        <v>1149</v>
      </c>
      <c r="E1711" s="24">
        <v>24.614999999999998</v>
      </c>
      <c r="F1711" s="24">
        <v>73.844999999999999</v>
      </c>
      <c r="G1711" s="22"/>
    </row>
    <row r="1712" spans="1:7" x14ac:dyDescent="0.25">
      <c r="A1712" s="20" t="s">
        <v>588</v>
      </c>
      <c r="B1712" s="20" t="s">
        <v>103</v>
      </c>
      <c r="C1712" s="20" t="s">
        <v>103</v>
      </c>
      <c r="D1712" s="20" t="s">
        <v>1150</v>
      </c>
      <c r="E1712" s="24">
        <v>3.1560000000000001</v>
      </c>
      <c r="F1712" s="24">
        <v>18.936</v>
      </c>
      <c r="G1712" s="22"/>
    </row>
    <row r="1713" spans="1:7" x14ac:dyDescent="0.25">
      <c r="A1713" s="20" t="s">
        <v>595</v>
      </c>
      <c r="B1713" s="20" t="s">
        <v>1151</v>
      </c>
      <c r="C1713" s="20" t="s">
        <v>1151</v>
      </c>
      <c r="D1713" s="20" t="s">
        <v>1085</v>
      </c>
      <c r="E1713" s="27">
        <v>1</v>
      </c>
      <c r="F1713" s="27">
        <v>1</v>
      </c>
      <c r="G1713" s="29">
        <v>3.4929299999999999</v>
      </c>
    </row>
    <row r="1714" spans="1:7" x14ac:dyDescent="0.25">
      <c r="A1714" s="20" t="s">
        <v>595</v>
      </c>
      <c r="B1714" s="20" t="s">
        <v>1152</v>
      </c>
      <c r="C1714" s="20" t="s">
        <v>1152</v>
      </c>
      <c r="D1714" s="20" t="s">
        <v>1085</v>
      </c>
      <c r="E1714" s="27">
        <v>1</v>
      </c>
      <c r="F1714" s="27">
        <v>1</v>
      </c>
      <c r="G1714" s="29">
        <v>1.7297199999999999</v>
      </c>
    </row>
    <row r="1715" spans="1:7" x14ac:dyDescent="0.25">
      <c r="A1715" s="20" t="s">
        <v>595</v>
      </c>
      <c r="B1715" s="20" t="s">
        <v>1153</v>
      </c>
      <c r="C1715" s="20" t="s">
        <v>1153</v>
      </c>
      <c r="D1715" s="20" t="s">
        <v>1085</v>
      </c>
      <c r="E1715" s="27">
        <v>2</v>
      </c>
      <c r="F1715" s="27">
        <v>2</v>
      </c>
      <c r="G1715" s="28">
        <v>0.69589999999999996</v>
      </c>
    </row>
    <row r="1716" spans="1:7" ht="22.5" x14ac:dyDescent="0.25">
      <c r="A1716" s="20" t="s">
        <v>620</v>
      </c>
      <c r="B1716" s="20" t="s">
        <v>55</v>
      </c>
      <c r="C1716" s="20" t="s">
        <v>55</v>
      </c>
      <c r="D1716" s="20" t="s">
        <v>1085</v>
      </c>
      <c r="E1716" s="27">
        <v>14</v>
      </c>
      <c r="F1716" s="27">
        <v>14</v>
      </c>
      <c r="G1716" s="29">
        <v>3.81E-3</v>
      </c>
    </row>
    <row r="1717" spans="1:7" ht="22.5" x14ac:dyDescent="0.25">
      <c r="A1717" s="20" t="s">
        <v>620</v>
      </c>
      <c r="B1717" s="20" t="s">
        <v>871</v>
      </c>
      <c r="C1717" s="20" t="s">
        <v>266</v>
      </c>
      <c r="D1717" s="20" t="s">
        <v>1085</v>
      </c>
      <c r="E1717" s="27">
        <v>14</v>
      </c>
      <c r="F1717" s="27">
        <v>14</v>
      </c>
      <c r="G1717" s="28">
        <v>3.3E-3</v>
      </c>
    </row>
    <row r="1718" spans="1:7" x14ac:dyDescent="0.25">
      <c r="A1718" s="20" t="s">
        <v>597</v>
      </c>
      <c r="B1718" s="20" t="s">
        <v>149</v>
      </c>
      <c r="C1718" s="20" t="s">
        <v>149</v>
      </c>
      <c r="D1718" s="20" t="s">
        <v>1085</v>
      </c>
      <c r="E1718" s="27">
        <v>1</v>
      </c>
      <c r="F1718" s="27">
        <v>1</v>
      </c>
      <c r="G1718" s="29">
        <v>3.5360000000000003E-2</v>
      </c>
    </row>
    <row r="1719" spans="1:7" x14ac:dyDescent="0.25">
      <c r="A1719" s="20" t="s">
        <v>588</v>
      </c>
      <c r="B1719" s="20" t="s">
        <v>128</v>
      </c>
      <c r="C1719" s="20" t="s">
        <v>128</v>
      </c>
      <c r="D1719" s="20" t="s">
        <v>1151</v>
      </c>
      <c r="E1719" s="26">
        <v>5.2909899999999999</v>
      </c>
      <c r="F1719" s="26">
        <v>5.2909899999999999</v>
      </c>
      <c r="G1719" s="22"/>
    </row>
    <row r="1720" spans="1:7" x14ac:dyDescent="0.25">
      <c r="A1720" s="20" t="s">
        <v>588</v>
      </c>
      <c r="B1720" s="20" t="s">
        <v>128</v>
      </c>
      <c r="C1720" s="20" t="s">
        <v>128</v>
      </c>
      <c r="D1720" s="20" t="s">
        <v>1152</v>
      </c>
      <c r="E1720" s="26">
        <v>2.1025399999999999</v>
      </c>
      <c r="F1720" s="26">
        <v>2.1025399999999999</v>
      </c>
      <c r="G1720" s="22"/>
    </row>
    <row r="1721" spans="1:7" x14ac:dyDescent="0.25">
      <c r="A1721" s="20" t="s">
        <v>588</v>
      </c>
      <c r="B1721" s="20" t="s">
        <v>168</v>
      </c>
      <c r="C1721" s="20" t="s">
        <v>168</v>
      </c>
      <c r="D1721" s="20" t="s">
        <v>1153</v>
      </c>
      <c r="E1721" s="24">
        <v>1.026</v>
      </c>
      <c r="F1721" s="24">
        <v>2.052</v>
      </c>
      <c r="G1721" s="22"/>
    </row>
    <row r="1722" spans="1:7" x14ac:dyDescent="0.25">
      <c r="A1722" s="20" t="s">
        <v>595</v>
      </c>
      <c r="B1722" s="20" t="s">
        <v>1154</v>
      </c>
      <c r="C1722" s="20" t="s">
        <v>1154</v>
      </c>
      <c r="D1722" s="20" t="s">
        <v>1086</v>
      </c>
      <c r="E1722" s="27">
        <v>1</v>
      </c>
      <c r="F1722" s="27">
        <v>1</v>
      </c>
      <c r="G1722" s="29">
        <v>19.18497</v>
      </c>
    </row>
    <row r="1723" spans="1:7" x14ac:dyDescent="0.25">
      <c r="A1723" s="20" t="s">
        <v>597</v>
      </c>
      <c r="B1723" s="20" t="s">
        <v>69</v>
      </c>
      <c r="C1723" s="20" t="s">
        <v>69</v>
      </c>
      <c r="D1723" s="20" t="s">
        <v>1086</v>
      </c>
      <c r="E1723" s="27">
        <v>4</v>
      </c>
      <c r="F1723" s="27">
        <v>4</v>
      </c>
      <c r="G1723" s="29">
        <v>6.6899999999999998E-3</v>
      </c>
    </row>
    <row r="1724" spans="1:7" x14ac:dyDescent="0.25">
      <c r="A1724" s="20" t="s">
        <v>588</v>
      </c>
      <c r="B1724" s="20" t="s">
        <v>128</v>
      </c>
      <c r="C1724" s="20" t="s">
        <v>128</v>
      </c>
      <c r="D1724" s="20" t="s">
        <v>1154</v>
      </c>
      <c r="E1724" s="26">
        <v>23.27918</v>
      </c>
      <c r="F1724" s="26">
        <v>23.27918</v>
      </c>
      <c r="G1724" s="22"/>
    </row>
    <row r="1725" spans="1:7" x14ac:dyDescent="0.25">
      <c r="A1725" s="20" t="s">
        <v>585</v>
      </c>
      <c r="B1725" s="20" t="s">
        <v>1155</v>
      </c>
      <c r="C1725" s="20" t="s">
        <v>1155</v>
      </c>
      <c r="D1725" s="20" t="s">
        <v>1156</v>
      </c>
      <c r="E1725" s="27">
        <v>1</v>
      </c>
      <c r="F1725" s="27">
        <v>7</v>
      </c>
      <c r="G1725" s="29">
        <v>20.203959999999999</v>
      </c>
    </row>
    <row r="1726" spans="1:7" x14ac:dyDescent="0.25">
      <c r="A1726" s="20" t="s">
        <v>595</v>
      </c>
      <c r="B1726" s="20" t="s">
        <v>1157</v>
      </c>
      <c r="C1726" s="20" t="s">
        <v>1157</v>
      </c>
      <c r="D1726" s="20" t="s">
        <v>1156</v>
      </c>
      <c r="E1726" s="27">
        <v>1</v>
      </c>
      <c r="F1726" s="27">
        <v>7</v>
      </c>
      <c r="G1726" s="29">
        <v>6.9807800000000002</v>
      </c>
    </row>
    <row r="1727" spans="1:7" x14ac:dyDescent="0.25">
      <c r="A1727" s="20" t="s">
        <v>595</v>
      </c>
      <c r="B1727" s="20" t="s">
        <v>1158</v>
      </c>
      <c r="C1727" s="20" t="s">
        <v>1158</v>
      </c>
      <c r="D1727" s="20" t="s">
        <v>1156</v>
      </c>
      <c r="E1727" s="27">
        <v>1</v>
      </c>
      <c r="F1727" s="27">
        <v>7</v>
      </c>
      <c r="G1727" s="29">
        <v>7.25502</v>
      </c>
    </row>
    <row r="1728" spans="1:7" x14ac:dyDescent="0.25">
      <c r="A1728" s="20" t="s">
        <v>595</v>
      </c>
      <c r="B1728" s="20" t="s">
        <v>1159</v>
      </c>
      <c r="C1728" s="20" t="s">
        <v>1159</v>
      </c>
      <c r="D1728" s="20" t="s">
        <v>1156</v>
      </c>
      <c r="E1728" s="27">
        <v>1</v>
      </c>
      <c r="F1728" s="27">
        <v>7</v>
      </c>
      <c r="G1728" s="29">
        <v>7.2587200000000003</v>
      </c>
    </row>
    <row r="1729" spans="1:7" x14ac:dyDescent="0.25">
      <c r="A1729" s="20" t="s">
        <v>595</v>
      </c>
      <c r="B1729" s="20" t="s">
        <v>1160</v>
      </c>
      <c r="C1729" s="20" t="s">
        <v>1160</v>
      </c>
      <c r="D1729" s="20" t="s">
        <v>1156</v>
      </c>
      <c r="E1729" s="27">
        <v>1</v>
      </c>
      <c r="F1729" s="27">
        <v>7</v>
      </c>
      <c r="G1729" s="29">
        <v>7.2568700000000002</v>
      </c>
    </row>
    <row r="1730" spans="1:7" x14ac:dyDescent="0.25">
      <c r="A1730" s="20" t="s">
        <v>595</v>
      </c>
      <c r="B1730" s="20" t="s">
        <v>1161</v>
      </c>
      <c r="C1730" s="20" t="s">
        <v>1161</v>
      </c>
      <c r="D1730" s="20" t="s">
        <v>1156</v>
      </c>
      <c r="E1730" s="27">
        <v>1</v>
      </c>
      <c r="F1730" s="27">
        <v>7</v>
      </c>
      <c r="G1730" s="29">
        <v>7.2587200000000003</v>
      </c>
    </row>
    <row r="1731" spans="1:7" x14ac:dyDescent="0.25">
      <c r="A1731" s="20" t="s">
        <v>595</v>
      </c>
      <c r="B1731" s="20" t="s">
        <v>1162</v>
      </c>
      <c r="C1731" s="20" t="s">
        <v>1162</v>
      </c>
      <c r="D1731" s="20" t="s">
        <v>1156</v>
      </c>
      <c r="E1731" s="27">
        <v>1</v>
      </c>
      <c r="F1731" s="27">
        <v>7</v>
      </c>
      <c r="G1731" s="29">
        <v>7.2587200000000003</v>
      </c>
    </row>
    <row r="1732" spans="1:7" x14ac:dyDescent="0.25">
      <c r="A1732" s="20" t="s">
        <v>595</v>
      </c>
      <c r="B1732" s="20" t="s">
        <v>1163</v>
      </c>
      <c r="C1732" s="20" t="s">
        <v>1163</v>
      </c>
      <c r="D1732" s="20" t="s">
        <v>1156</v>
      </c>
      <c r="E1732" s="27">
        <v>16</v>
      </c>
      <c r="F1732" s="27">
        <v>112</v>
      </c>
      <c r="G1732" s="29">
        <v>7.2605700000000004</v>
      </c>
    </row>
    <row r="1733" spans="1:7" ht="22.5" x14ac:dyDescent="0.25">
      <c r="A1733" s="20" t="s">
        <v>620</v>
      </c>
      <c r="B1733" s="20" t="s">
        <v>998</v>
      </c>
      <c r="C1733" s="20" t="s">
        <v>277</v>
      </c>
      <c r="D1733" s="20" t="s">
        <v>1156</v>
      </c>
      <c r="E1733" s="27">
        <v>96</v>
      </c>
      <c r="F1733" s="27">
        <v>672</v>
      </c>
      <c r="G1733" s="29">
        <v>1.4599999999999999E-3</v>
      </c>
    </row>
    <row r="1734" spans="1:7" ht="22.5" x14ac:dyDescent="0.25">
      <c r="A1734" s="20" t="s">
        <v>620</v>
      </c>
      <c r="B1734" s="20" t="s">
        <v>623</v>
      </c>
      <c r="C1734" s="20" t="s">
        <v>285</v>
      </c>
      <c r="D1734" s="20" t="s">
        <v>1156</v>
      </c>
      <c r="E1734" s="27">
        <v>240</v>
      </c>
      <c r="F1734" s="30">
        <v>1680</v>
      </c>
      <c r="G1734" s="28">
        <v>1.67E-2</v>
      </c>
    </row>
    <row r="1735" spans="1:7" ht="22.5" x14ac:dyDescent="0.25">
      <c r="A1735" s="20" t="s">
        <v>620</v>
      </c>
      <c r="B1735" s="20" t="s">
        <v>625</v>
      </c>
      <c r="C1735" s="20" t="s">
        <v>219</v>
      </c>
      <c r="D1735" s="20" t="s">
        <v>1156</v>
      </c>
      <c r="E1735" s="27">
        <v>240</v>
      </c>
      <c r="F1735" s="30">
        <v>1680</v>
      </c>
      <c r="G1735" s="29">
        <v>7.1399999999999996E-3</v>
      </c>
    </row>
    <row r="1736" spans="1:7" x14ac:dyDescent="0.25">
      <c r="A1736" s="20" t="s">
        <v>588</v>
      </c>
      <c r="B1736" s="20" t="s">
        <v>129</v>
      </c>
      <c r="C1736" s="20" t="s">
        <v>129</v>
      </c>
      <c r="D1736" s="20" t="s">
        <v>1157</v>
      </c>
      <c r="E1736" s="33">
        <v>9.1</v>
      </c>
      <c r="F1736" s="33">
        <v>63.7</v>
      </c>
      <c r="G1736" s="22"/>
    </row>
    <row r="1737" spans="1:7" x14ac:dyDescent="0.25">
      <c r="A1737" s="20" t="s">
        <v>588</v>
      </c>
      <c r="B1737" s="20" t="s">
        <v>129</v>
      </c>
      <c r="C1737" s="20" t="s">
        <v>129</v>
      </c>
      <c r="D1737" s="20" t="s">
        <v>1158</v>
      </c>
      <c r="E1737" s="33">
        <v>9.1</v>
      </c>
      <c r="F1737" s="33">
        <v>63.7</v>
      </c>
      <c r="G1737" s="22"/>
    </row>
    <row r="1738" spans="1:7" x14ac:dyDescent="0.25">
      <c r="A1738" s="20" t="s">
        <v>588</v>
      </c>
      <c r="B1738" s="20" t="s">
        <v>129</v>
      </c>
      <c r="C1738" s="20" t="s">
        <v>129</v>
      </c>
      <c r="D1738" s="20" t="s">
        <v>1159</v>
      </c>
      <c r="E1738" s="33">
        <v>9.1</v>
      </c>
      <c r="F1738" s="33">
        <v>63.7</v>
      </c>
      <c r="G1738" s="22"/>
    </row>
    <row r="1739" spans="1:7" x14ac:dyDescent="0.25">
      <c r="A1739" s="20" t="s">
        <v>588</v>
      </c>
      <c r="B1739" s="20" t="s">
        <v>129</v>
      </c>
      <c r="C1739" s="20" t="s">
        <v>129</v>
      </c>
      <c r="D1739" s="20" t="s">
        <v>1160</v>
      </c>
      <c r="E1739" s="33">
        <v>9.1</v>
      </c>
      <c r="F1739" s="33">
        <v>63.7</v>
      </c>
      <c r="G1739" s="22"/>
    </row>
    <row r="1740" spans="1:7" x14ac:dyDescent="0.25">
      <c r="A1740" s="20" t="s">
        <v>588</v>
      </c>
      <c r="B1740" s="20" t="s">
        <v>129</v>
      </c>
      <c r="C1740" s="20" t="s">
        <v>129</v>
      </c>
      <c r="D1740" s="20" t="s">
        <v>1161</v>
      </c>
      <c r="E1740" s="33">
        <v>9.1</v>
      </c>
      <c r="F1740" s="33">
        <v>63.7</v>
      </c>
      <c r="G1740" s="22"/>
    </row>
    <row r="1741" spans="1:7" x14ac:dyDescent="0.25">
      <c r="A1741" s="20" t="s">
        <v>588</v>
      </c>
      <c r="B1741" s="20" t="s">
        <v>129</v>
      </c>
      <c r="C1741" s="20" t="s">
        <v>129</v>
      </c>
      <c r="D1741" s="20" t="s">
        <v>1162</v>
      </c>
      <c r="E1741" s="33">
        <v>9.1</v>
      </c>
      <c r="F1741" s="33">
        <v>63.7</v>
      </c>
      <c r="G1741" s="22"/>
    </row>
    <row r="1742" spans="1:7" x14ac:dyDescent="0.25">
      <c r="A1742" s="20" t="s">
        <v>588</v>
      </c>
      <c r="B1742" s="20" t="s">
        <v>129</v>
      </c>
      <c r="C1742" s="20" t="s">
        <v>129</v>
      </c>
      <c r="D1742" s="20" t="s">
        <v>1163</v>
      </c>
      <c r="E1742" s="33">
        <v>9.1</v>
      </c>
      <c r="F1742" s="39">
        <v>1019.2</v>
      </c>
      <c r="G1742" s="22"/>
    </row>
    <row r="1743" spans="1:7" x14ac:dyDescent="0.25">
      <c r="A1743" s="20" t="s">
        <v>585</v>
      </c>
      <c r="B1743" s="20" t="s">
        <v>1164</v>
      </c>
      <c r="C1743" s="20" t="s">
        <v>1164</v>
      </c>
      <c r="D1743" s="20" t="s">
        <v>1155</v>
      </c>
      <c r="E1743" s="27">
        <v>1</v>
      </c>
      <c r="F1743" s="27">
        <v>7</v>
      </c>
      <c r="G1743" s="29">
        <v>9.0946499999999997</v>
      </c>
    </row>
    <row r="1744" spans="1:7" x14ac:dyDescent="0.25">
      <c r="A1744" s="20" t="s">
        <v>585</v>
      </c>
      <c r="B1744" s="20" t="s">
        <v>1165</v>
      </c>
      <c r="C1744" s="20" t="s">
        <v>1165</v>
      </c>
      <c r="D1744" s="20" t="s">
        <v>1155</v>
      </c>
      <c r="E1744" s="27">
        <v>1</v>
      </c>
      <c r="F1744" s="27">
        <v>7</v>
      </c>
      <c r="G1744" s="29">
        <v>11.109310000000001</v>
      </c>
    </row>
    <row r="1745" spans="1:7" x14ac:dyDescent="0.25">
      <c r="A1745" s="20" t="s">
        <v>595</v>
      </c>
      <c r="B1745" s="20" t="s">
        <v>1166</v>
      </c>
      <c r="C1745" s="20" t="s">
        <v>1166</v>
      </c>
      <c r="D1745" s="20" t="s">
        <v>1164</v>
      </c>
      <c r="E1745" s="27">
        <v>2</v>
      </c>
      <c r="F1745" s="27">
        <v>14</v>
      </c>
      <c r="G1745" s="29">
        <v>2.0538599999999998</v>
      </c>
    </row>
    <row r="1746" spans="1:7" x14ac:dyDescent="0.25">
      <c r="A1746" s="20" t="s">
        <v>595</v>
      </c>
      <c r="B1746" s="20" t="s">
        <v>1167</v>
      </c>
      <c r="C1746" s="20" t="s">
        <v>1167</v>
      </c>
      <c r="D1746" s="20" t="s">
        <v>1164</v>
      </c>
      <c r="E1746" s="27">
        <v>2</v>
      </c>
      <c r="F1746" s="27">
        <v>14</v>
      </c>
      <c r="G1746" s="29">
        <v>2.4700199999999999</v>
      </c>
    </row>
    <row r="1747" spans="1:7" ht="22.5" x14ac:dyDescent="0.25">
      <c r="A1747" s="20" t="s">
        <v>620</v>
      </c>
      <c r="B1747" s="20" t="s">
        <v>1168</v>
      </c>
      <c r="C1747" s="20" t="s">
        <v>294</v>
      </c>
      <c r="D1747" s="20" t="s">
        <v>1164</v>
      </c>
      <c r="E1747" s="27">
        <v>8</v>
      </c>
      <c r="F1747" s="27">
        <v>56</v>
      </c>
      <c r="G1747" s="29">
        <v>4.15E-3</v>
      </c>
    </row>
    <row r="1748" spans="1:7" x14ac:dyDescent="0.25">
      <c r="A1748" s="20" t="s">
        <v>588</v>
      </c>
      <c r="B1748" s="20" t="s">
        <v>128</v>
      </c>
      <c r="C1748" s="20" t="s">
        <v>128</v>
      </c>
      <c r="D1748" s="20" t="s">
        <v>1166</v>
      </c>
      <c r="E1748" s="26">
        <v>2.6466699999999999</v>
      </c>
      <c r="F1748" s="26">
        <v>37.053379999999997</v>
      </c>
      <c r="G1748" s="22"/>
    </row>
    <row r="1749" spans="1:7" x14ac:dyDescent="0.25">
      <c r="A1749" s="20" t="s">
        <v>588</v>
      </c>
      <c r="B1749" s="20" t="s">
        <v>131</v>
      </c>
      <c r="C1749" s="20" t="s">
        <v>131</v>
      </c>
      <c r="D1749" s="20" t="s">
        <v>1167</v>
      </c>
      <c r="E1749" s="24">
        <v>2.9569999999999999</v>
      </c>
      <c r="F1749" s="24">
        <v>41.398000000000003</v>
      </c>
      <c r="G1749" s="22"/>
    </row>
    <row r="1750" spans="1:7" x14ac:dyDescent="0.25">
      <c r="A1750" s="20" t="s">
        <v>585</v>
      </c>
      <c r="B1750" s="20" t="s">
        <v>1169</v>
      </c>
      <c r="C1750" s="20" t="s">
        <v>1169</v>
      </c>
      <c r="D1750" s="20" t="s">
        <v>1165</v>
      </c>
      <c r="E1750" s="27">
        <v>2</v>
      </c>
      <c r="F1750" s="27">
        <v>14</v>
      </c>
      <c r="G1750" s="29">
        <v>0.35616999999999999</v>
      </c>
    </row>
    <row r="1751" spans="1:7" x14ac:dyDescent="0.25">
      <c r="A1751" s="20" t="s">
        <v>595</v>
      </c>
      <c r="B1751" s="20" t="s">
        <v>1170</v>
      </c>
      <c r="C1751" s="20" t="s">
        <v>1170</v>
      </c>
      <c r="D1751" s="20" t="s">
        <v>1165</v>
      </c>
      <c r="E1751" s="27">
        <v>1</v>
      </c>
      <c r="F1751" s="27">
        <v>7</v>
      </c>
      <c r="G1751" s="29">
        <v>10.28402</v>
      </c>
    </row>
    <row r="1752" spans="1:7" ht="22.5" x14ac:dyDescent="0.25">
      <c r="A1752" s="20" t="s">
        <v>620</v>
      </c>
      <c r="B1752" s="20" t="s">
        <v>1171</v>
      </c>
      <c r="C1752" s="20" t="s">
        <v>295</v>
      </c>
      <c r="D1752" s="20" t="s">
        <v>1165</v>
      </c>
      <c r="E1752" s="27">
        <v>4</v>
      </c>
      <c r="F1752" s="27">
        <v>28</v>
      </c>
      <c r="G1752" s="29">
        <v>1.217E-2</v>
      </c>
    </row>
    <row r="1753" spans="1:7" ht="22.5" x14ac:dyDescent="0.25">
      <c r="A1753" s="20" t="s">
        <v>620</v>
      </c>
      <c r="B1753" s="20" t="s">
        <v>213</v>
      </c>
      <c r="C1753" s="20" t="s">
        <v>213</v>
      </c>
      <c r="D1753" s="20" t="s">
        <v>1165</v>
      </c>
      <c r="E1753" s="27">
        <v>2</v>
      </c>
      <c r="F1753" s="27">
        <v>14</v>
      </c>
      <c r="G1753" s="29">
        <v>1.08E-3</v>
      </c>
    </row>
    <row r="1754" spans="1:7" x14ac:dyDescent="0.25">
      <c r="A1754" s="20" t="s">
        <v>597</v>
      </c>
      <c r="B1754" s="20" t="s">
        <v>136</v>
      </c>
      <c r="C1754" s="20" t="s">
        <v>136</v>
      </c>
      <c r="D1754" s="20" t="s">
        <v>1165</v>
      </c>
      <c r="E1754" s="27">
        <v>2</v>
      </c>
      <c r="F1754" s="27">
        <v>14</v>
      </c>
      <c r="G1754" s="29">
        <v>3.1379999999999998E-2</v>
      </c>
    </row>
    <row r="1755" spans="1:7" x14ac:dyDescent="0.25">
      <c r="A1755" s="20" t="s">
        <v>588</v>
      </c>
      <c r="B1755" s="20" t="s">
        <v>128</v>
      </c>
      <c r="C1755" s="20" t="s">
        <v>128</v>
      </c>
      <c r="D1755" s="20" t="s">
        <v>1170</v>
      </c>
      <c r="E1755" s="26">
        <v>12.53928</v>
      </c>
      <c r="F1755" s="26">
        <v>87.774959999999993</v>
      </c>
      <c r="G1755" s="22"/>
    </row>
    <row r="1756" spans="1:7" x14ac:dyDescent="0.25">
      <c r="A1756" s="20" t="s">
        <v>595</v>
      </c>
      <c r="B1756" s="20" t="s">
        <v>1172</v>
      </c>
      <c r="C1756" s="20" t="s">
        <v>1172</v>
      </c>
      <c r="D1756" s="20" t="s">
        <v>1169</v>
      </c>
      <c r="E1756" s="27">
        <v>1</v>
      </c>
      <c r="F1756" s="27">
        <v>14</v>
      </c>
      <c r="G1756" s="29">
        <v>0.16875000000000001</v>
      </c>
    </row>
    <row r="1757" spans="1:7" x14ac:dyDescent="0.25">
      <c r="A1757" s="20" t="s">
        <v>595</v>
      </c>
      <c r="B1757" s="20" t="s">
        <v>1173</v>
      </c>
      <c r="C1757" s="20" t="s">
        <v>1173</v>
      </c>
      <c r="D1757" s="20" t="s">
        <v>1169</v>
      </c>
      <c r="E1757" s="27">
        <v>1</v>
      </c>
      <c r="F1757" s="27">
        <v>14</v>
      </c>
      <c r="G1757" s="29">
        <v>0.18743000000000001</v>
      </c>
    </row>
    <row r="1758" spans="1:7" x14ac:dyDescent="0.25">
      <c r="A1758" s="20" t="s">
        <v>588</v>
      </c>
      <c r="B1758" s="20" t="s">
        <v>44</v>
      </c>
      <c r="C1758" s="20" t="s">
        <v>44</v>
      </c>
      <c r="D1758" s="20" t="s">
        <v>1169</v>
      </c>
      <c r="E1758" s="24">
        <v>7.0000000000000001E-3</v>
      </c>
      <c r="F1758" s="24">
        <v>9.8000000000000004E-2</v>
      </c>
      <c r="G1758" s="22"/>
    </row>
    <row r="1759" spans="1:7" x14ac:dyDescent="0.25">
      <c r="A1759" s="20" t="s">
        <v>588</v>
      </c>
      <c r="B1759" s="20" t="s">
        <v>67</v>
      </c>
      <c r="C1759" s="20" t="s">
        <v>67</v>
      </c>
      <c r="D1759" s="20" t="s">
        <v>1169</v>
      </c>
      <c r="E1759" s="24">
        <v>1.7000000000000001E-2</v>
      </c>
      <c r="F1759" s="24">
        <v>0.23799999999999999</v>
      </c>
      <c r="G1759" s="22"/>
    </row>
    <row r="1760" spans="1:7" x14ac:dyDescent="0.25">
      <c r="A1760" s="20" t="s">
        <v>588</v>
      </c>
      <c r="B1760" s="20" t="s">
        <v>139</v>
      </c>
      <c r="C1760" s="20" t="s">
        <v>139</v>
      </c>
      <c r="D1760" s="20" t="s">
        <v>1169</v>
      </c>
      <c r="E1760" s="24">
        <v>1E-3</v>
      </c>
      <c r="F1760" s="24">
        <v>1.4E-2</v>
      </c>
      <c r="G1760" s="22"/>
    </row>
    <row r="1761" spans="1:7" x14ac:dyDescent="0.25">
      <c r="A1761" s="20" t="s">
        <v>588</v>
      </c>
      <c r="B1761" s="20" t="s">
        <v>146</v>
      </c>
      <c r="C1761" s="20" t="s">
        <v>146</v>
      </c>
      <c r="D1761" s="20" t="s">
        <v>1169</v>
      </c>
      <c r="E1761" s="25">
        <v>0.01</v>
      </c>
      <c r="F1761" s="25">
        <v>0.14000000000000001</v>
      </c>
      <c r="G1761" s="22"/>
    </row>
    <row r="1762" spans="1:7" x14ac:dyDescent="0.25">
      <c r="A1762" s="20" t="s">
        <v>588</v>
      </c>
      <c r="B1762" s="20" t="s">
        <v>156</v>
      </c>
      <c r="C1762" s="20" t="s">
        <v>156</v>
      </c>
      <c r="D1762" s="20" t="s">
        <v>1169</v>
      </c>
      <c r="E1762" s="24">
        <v>2E-3</v>
      </c>
      <c r="F1762" s="24">
        <v>2.8000000000000001E-2</v>
      </c>
      <c r="G1762" s="22"/>
    </row>
    <row r="1763" spans="1:7" x14ac:dyDescent="0.25">
      <c r="A1763" s="20" t="s">
        <v>588</v>
      </c>
      <c r="B1763" s="20" t="s">
        <v>202</v>
      </c>
      <c r="C1763" s="20" t="s">
        <v>202</v>
      </c>
      <c r="D1763" s="20" t="s">
        <v>1169</v>
      </c>
      <c r="E1763" s="24">
        <v>4.0000000000000001E-3</v>
      </c>
      <c r="F1763" s="24">
        <v>5.6000000000000001E-2</v>
      </c>
      <c r="G1763" s="22"/>
    </row>
    <row r="1764" spans="1:7" x14ac:dyDescent="0.25">
      <c r="A1764" s="20" t="s">
        <v>588</v>
      </c>
      <c r="B1764" s="20" t="s">
        <v>75</v>
      </c>
      <c r="C1764" s="20" t="s">
        <v>75</v>
      </c>
      <c r="D1764" s="20" t="s">
        <v>1172</v>
      </c>
      <c r="E1764" s="33">
        <v>0.2</v>
      </c>
      <c r="F1764" s="33">
        <v>2.8</v>
      </c>
      <c r="G1764" s="22"/>
    </row>
    <row r="1765" spans="1:7" x14ac:dyDescent="0.25">
      <c r="A1765" s="20" t="s">
        <v>588</v>
      </c>
      <c r="B1765" s="20" t="s">
        <v>116</v>
      </c>
      <c r="C1765" s="20" t="s">
        <v>116</v>
      </c>
      <c r="D1765" s="20" t="s">
        <v>1173</v>
      </c>
      <c r="E1765" s="26">
        <v>0.29178999999999999</v>
      </c>
      <c r="F1765" s="26">
        <v>4.0850600000000004</v>
      </c>
      <c r="G1765" s="22"/>
    </row>
    <row r="1766" spans="1:7" x14ac:dyDescent="0.25">
      <c r="A1766" s="20" t="s">
        <v>588</v>
      </c>
      <c r="B1766" s="20" t="s">
        <v>152</v>
      </c>
      <c r="C1766" s="20" t="s">
        <v>152</v>
      </c>
      <c r="D1766" s="20" t="s">
        <v>1174</v>
      </c>
      <c r="E1766" s="24">
        <v>0.16700000000000001</v>
      </c>
      <c r="F1766" s="24">
        <v>2.6720000000000002</v>
      </c>
      <c r="G1766" s="22"/>
    </row>
    <row r="1767" spans="1:7" x14ac:dyDescent="0.25">
      <c r="A1767" s="20" t="s">
        <v>588</v>
      </c>
      <c r="B1767" s="20" t="s">
        <v>44</v>
      </c>
      <c r="C1767" s="20" t="s">
        <v>44</v>
      </c>
      <c r="D1767" s="20" t="s">
        <v>615</v>
      </c>
      <c r="E1767" s="24">
        <v>8.0000000000000002E-3</v>
      </c>
      <c r="F1767" s="25">
        <v>0.16</v>
      </c>
      <c r="G1767" s="22"/>
    </row>
    <row r="1768" spans="1:7" x14ac:dyDescent="0.25">
      <c r="A1768" s="20" t="s">
        <v>588</v>
      </c>
      <c r="B1768" s="20" t="s">
        <v>118</v>
      </c>
      <c r="C1768" s="20" t="s">
        <v>118</v>
      </c>
      <c r="D1768" s="20" t="s">
        <v>615</v>
      </c>
      <c r="E1768" s="24">
        <v>0.47599999999999998</v>
      </c>
      <c r="F1768" s="25">
        <v>9.52</v>
      </c>
      <c r="G1768" s="22"/>
    </row>
    <row r="1769" spans="1:7" x14ac:dyDescent="0.25">
      <c r="A1769" s="20" t="s">
        <v>588</v>
      </c>
      <c r="B1769" s="20" t="s">
        <v>139</v>
      </c>
      <c r="C1769" s="20" t="s">
        <v>139</v>
      </c>
      <c r="D1769" s="20" t="s">
        <v>615</v>
      </c>
      <c r="E1769" s="24">
        <v>2E-3</v>
      </c>
      <c r="F1769" s="25">
        <v>0.04</v>
      </c>
      <c r="G1769" s="22"/>
    </row>
    <row r="1770" spans="1:7" x14ac:dyDescent="0.25">
      <c r="A1770" s="20" t="s">
        <v>588</v>
      </c>
      <c r="B1770" s="20" t="s">
        <v>156</v>
      </c>
      <c r="C1770" s="20" t="s">
        <v>156</v>
      </c>
      <c r="D1770" s="20" t="s">
        <v>615</v>
      </c>
      <c r="E1770" s="24">
        <v>2E-3</v>
      </c>
      <c r="F1770" s="25">
        <v>0.04</v>
      </c>
      <c r="G1770" s="22"/>
    </row>
    <row r="1771" spans="1:7" x14ac:dyDescent="0.25">
      <c r="A1771" s="20" t="s">
        <v>588</v>
      </c>
      <c r="B1771" s="20" t="s">
        <v>202</v>
      </c>
      <c r="C1771" s="20" t="s">
        <v>202</v>
      </c>
      <c r="D1771" s="20" t="s">
        <v>615</v>
      </c>
      <c r="E1771" s="24">
        <v>6.0000000000000001E-3</v>
      </c>
      <c r="F1771" s="25">
        <v>0.12</v>
      </c>
      <c r="G1771" s="22"/>
    </row>
    <row r="1772" spans="1:7" x14ac:dyDescent="0.25">
      <c r="A1772" s="20" t="s">
        <v>588</v>
      </c>
      <c r="B1772" s="20" t="s">
        <v>44</v>
      </c>
      <c r="C1772" s="20" t="s">
        <v>44</v>
      </c>
      <c r="D1772" s="20" t="s">
        <v>616</v>
      </c>
      <c r="E1772" s="24">
        <v>2E-3</v>
      </c>
      <c r="F1772" s="25">
        <v>0.04</v>
      </c>
      <c r="G1772" s="22"/>
    </row>
    <row r="1773" spans="1:7" x14ac:dyDescent="0.25">
      <c r="A1773" s="20" t="s">
        <v>588</v>
      </c>
      <c r="B1773" s="20" t="s">
        <v>1175</v>
      </c>
      <c r="C1773" s="20" t="s">
        <v>296</v>
      </c>
      <c r="D1773" s="20" t="s">
        <v>616</v>
      </c>
      <c r="E1773" s="24">
        <v>8.4000000000000005E-2</v>
      </c>
      <c r="F1773" s="25">
        <v>1.68</v>
      </c>
      <c r="G1773" s="22"/>
    </row>
    <row r="1774" spans="1:7" x14ac:dyDescent="0.25">
      <c r="A1774" s="20" t="s">
        <v>588</v>
      </c>
      <c r="B1774" s="20" t="s">
        <v>139</v>
      </c>
      <c r="C1774" s="20" t="s">
        <v>139</v>
      </c>
      <c r="D1774" s="20" t="s">
        <v>616</v>
      </c>
      <c r="E1774" s="24">
        <v>1E-3</v>
      </c>
      <c r="F1774" s="25">
        <v>0.02</v>
      </c>
      <c r="G1774" s="22"/>
    </row>
    <row r="1775" spans="1:7" x14ac:dyDescent="0.25">
      <c r="A1775" s="20" t="s">
        <v>588</v>
      </c>
      <c r="B1775" s="20" t="s">
        <v>156</v>
      </c>
      <c r="C1775" s="20" t="s">
        <v>156</v>
      </c>
      <c r="D1775" s="20" t="s">
        <v>616</v>
      </c>
      <c r="E1775" s="24">
        <v>1E-3</v>
      </c>
      <c r="F1775" s="25">
        <v>0.02</v>
      </c>
      <c r="G1775" s="22"/>
    </row>
    <row r="1776" spans="1:7" x14ac:dyDescent="0.25">
      <c r="A1776" s="20" t="s">
        <v>588</v>
      </c>
      <c r="B1776" s="20" t="s">
        <v>202</v>
      </c>
      <c r="C1776" s="20" t="s">
        <v>202</v>
      </c>
      <c r="D1776" s="20" t="s">
        <v>616</v>
      </c>
      <c r="E1776" s="24">
        <v>1E-3</v>
      </c>
      <c r="F1776" s="25">
        <v>0.02</v>
      </c>
      <c r="G1776" s="22"/>
    </row>
    <row r="1777" spans="1:7" x14ac:dyDescent="0.25">
      <c r="A1777" s="20" t="s">
        <v>588</v>
      </c>
      <c r="B1777" s="20" t="s">
        <v>65</v>
      </c>
      <c r="C1777" s="20" t="s">
        <v>65</v>
      </c>
      <c r="D1777" s="20" t="s">
        <v>617</v>
      </c>
      <c r="E1777" s="24">
        <v>0.28799999999999998</v>
      </c>
      <c r="F1777" s="24">
        <v>0.28799999999999998</v>
      </c>
      <c r="G1777" s="22"/>
    </row>
    <row r="1778" spans="1:7" x14ac:dyDescent="0.25">
      <c r="A1778" s="20" t="s">
        <v>588</v>
      </c>
      <c r="B1778" s="20" t="s">
        <v>113</v>
      </c>
      <c r="C1778" s="20" t="s">
        <v>113</v>
      </c>
      <c r="D1778" s="20" t="s">
        <v>617</v>
      </c>
      <c r="E1778" s="26">
        <v>22.556760000000001</v>
      </c>
      <c r="F1778" s="26">
        <v>22.556760000000001</v>
      </c>
      <c r="G1778" s="22"/>
    </row>
    <row r="1779" spans="1:7" x14ac:dyDescent="0.25">
      <c r="A1779" s="20" t="s">
        <v>588</v>
      </c>
      <c r="B1779" s="20" t="s">
        <v>155</v>
      </c>
      <c r="C1779" s="20" t="s">
        <v>155</v>
      </c>
      <c r="D1779" s="20" t="s">
        <v>617</v>
      </c>
      <c r="E1779" s="24">
        <v>8.5999999999999993E-2</v>
      </c>
      <c r="F1779" s="24">
        <v>8.5999999999999993E-2</v>
      </c>
      <c r="G1779" s="22"/>
    </row>
    <row r="1780" spans="1:7" x14ac:dyDescent="0.25">
      <c r="A1780" s="20" t="s">
        <v>588</v>
      </c>
      <c r="B1780" s="20" t="s">
        <v>200</v>
      </c>
      <c r="C1780" s="20" t="s">
        <v>200</v>
      </c>
      <c r="D1780" s="20" t="s">
        <v>617</v>
      </c>
      <c r="E1780" s="25">
        <v>0.01</v>
      </c>
      <c r="F1780" s="25">
        <v>0.01</v>
      </c>
      <c r="G1780" s="22"/>
    </row>
    <row r="1781" spans="1:7" x14ac:dyDescent="0.25">
      <c r="A1781" s="20" t="s">
        <v>588</v>
      </c>
      <c r="B1781" s="20" t="s">
        <v>215</v>
      </c>
      <c r="C1781" s="20" t="s">
        <v>215</v>
      </c>
      <c r="D1781" s="20" t="s">
        <v>617</v>
      </c>
      <c r="E1781" s="24">
        <v>0.57599999999999996</v>
      </c>
      <c r="F1781" s="24">
        <v>0.57599999999999996</v>
      </c>
      <c r="G1781" s="22"/>
    </row>
    <row r="1782" spans="1:7" x14ac:dyDescent="0.25">
      <c r="A1782" s="20" t="s">
        <v>588</v>
      </c>
      <c r="B1782" s="20" t="s">
        <v>128</v>
      </c>
      <c r="C1782" s="20" t="s">
        <v>128</v>
      </c>
      <c r="D1782" s="20" t="s">
        <v>618</v>
      </c>
      <c r="E1782" s="26">
        <v>1.38531</v>
      </c>
      <c r="F1782" s="26">
        <v>1.38531</v>
      </c>
      <c r="G1782" s="22"/>
    </row>
    <row r="1783" spans="1:7" x14ac:dyDescent="0.25">
      <c r="A1783" s="20" t="s">
        <v>588</v>
      </c>
      <c r="B1783" s="20" t="s">
        <v>124</v>
      </c>
      <c r="C1783" s="20" t="s">
        <v>124</v>
      </c>
      <c r="D1783" s="20" t="s">
        <v>619</v>
      </c>
      <c r="E1783" s="26">
        <v>6.6594100000000003</v>
      </c>
      <c r="F1783" s="26">
        <v>6.6594100000000003</v>
      </c>
      <c r="G1783" s="22"/>
    </row>
    <row r="1784" spans="1:7" x14ac:dyDescent="0.25">
      <c r="A1784" s="20" t="s">
        <v>585</v>
      </c>
      <c r="B1784" s="20" t="s">
        <v>1176</v>
      </c>
      <c r="C1784" s="20" t="s">
        <v>1176</v>
      </c>
      <c r="D1784" s="20" t="s">
        <v>1177</v>
      </c>
      <c r="E1784" s="27">
        <v>1</v>
      </c>
      <c r="F1784" s="27">
        <v>2</v>
      </c>
      <c r="G1784" s="29">
        <v>1.3748100000000001</v>
      </c>
    </row>
    <row r="1785" spans="1:7" x14ac:dyDescent="0.25">
      <c r="A1785" s="20" t="s">
        <v>585</v>
      </c>
      <c r="B1785" s="20" t="s">
        <v>1178</v>
      </c>
      <c r="C1785" s="20" t="s">
        <v>1178</v>
      </c>
      <c r="D1785" s="20" t="s">
        <v>1177</v>
      </c>
      <c r="E1785" s="27">
        <v>1</v>
      </c>
      <c r="F1785" s="27">
        <v>2</v>
      </c>
      <c r="G1785" s="29">
        <v>96.739170000000001</v>
      </c>
    </row>
    <row r="1786" spans="1:7" x14ac:dyDescent="0.25">
      <c r="A1786" s="20" t="s">
        <v>585</v>
      </c>
      <c r="B1786" s="20" t="s">
        <v>1179</v>
      </c>
      <c r="C1786" s="20" t="s">
        <v>1179</v>
      </c>
      <c r="D1786" s="20" t="s">
        <v>1177</v>
      </c>
      <c r="E1786" s="27">
        <v>1</v>
      </c>
      <c r="F1786" s="27">
        <v>2</v>
      </c>
      <c r="G1786" s="29">
        <v>21.91086</v>
      </c>
    </row>
    <row r="1787" spans="1:7" x14ac:dyDescent="0.25">
      <c r="A1787" s="20" t="s">
        <v>585</v>
      </c>
      <c r="B1787" s="20" t="s">
        <v>1180</v>
      </c>
      <c r="C1787" s="20" t="s">
        <v>1180</v>
      </c>
      <c r="D1787" s="20" t="s">
        <v>1177</v>
      </c>
      <c r="E1787" s="27">
        <v>1</v>
      </c>
      <c r="F1787" s="27">
        <v>2</v>
      </c>
      <c r="G1787" s="29">
        <v>36.822209999999998</v>
      </c>
    </row>
    <row r="1788" spans="1:7" x14ac:dyDescent="0.25">
      <c r="A1788" s="20" t="s">
        <v>585</v>
      </c>
      <c r="B1788" s="20" t="s">
        <v>1181</v>
      </c>
      <c r="C1788" s="20" t="s">
        <v>1181</v>
      </c>
      <c r="D1788" s="20" t="s">
        <v>1177</v>
      </c>
      <c r="E1788" s="27">
        <v>1</v>
      </c>
      <c r="F1788" s="27">
        <v>2</v>
      </c>
      <c r="G1788" s="29">
        <v>97.203389999999999</v>
      </c>
    </row>
    <row r="1789" spans="1:7" x14ac:dyDescent="0.25">
      <c r="A1789" s="20" t="s">
        <v>585</v>
      </c>
      <c r="B1789" s="20" t="s">
        <v>1182</v>
      </c>
      <c r="C1789" s="20" t="s">
        <v>1182</v>
      </c>
      <c r="D1789" s="20" t="s">
        <v>1177</v>
      </c>
      <c r="E1789" s="27">
        <v>1</v>
      </c>
      <c r="F1789" s="27">
        <v>2</v>
      </c>
      <c r="G1789" s="29">
        <v>8.2387599999999992</v>
      </c>
    </row>
    <row r="1790" spans="1:7" x14ac:dyDescent="0.25">
      <c r="A1790" s="20" t="s">
        <v>585</v>
      </c>
      <c r="B1790" s="20" t="s">
        <v>1183</v>
      </c>
      <c r="C1790" s="20" t="s">
        <v>1183</v>
      </c>
      <c r="D1790" s="20" t="s">
        <v>1177</v>
      </c>
      <c r="E1790" s="27">
        <v>1</v>
      </c>
      <c r="F1790" s="27">
        <v>2</v>
      </c>
      <c r="G1790" s="28">
        <v>2.0691999999999999</v>
      </c>
    </row>
    <row r="1791" spans="1:7" x14ac:dyDescent="0.25">
      <c r="A1791" s="20" t="s">
        <v>585</v>
      </c>
      <c r="B1791" s="20" t="s">
        <v>1184</v>
      </c>
      <c r="C1791" s="20" t="s">
        <v>1184</v>
      </c>
      <c r="D1791" s="20" t="s">
        <v>1177</v>
      </c>
      <c r="E1791" s="27">
        <v>1</v>
      </c>
      <c r="F1791" s="27">
        <v>2</v>
      </c>
      <c r="G1791" s="29">
        <v>16.05302</v>
      </c>
    </row>
    <row r="1792" spans="1:7" x14ac:dyDescent="0.25">
      <c r="A1792" s="20" t="s">
        <v>585</v>
      </c>
      <c r="B1792" s="20" t="s">
        <v>1185</v>
      </c>
      <c r="C1792" s="20" t="s">
        <v>1185</v>
      </c>
      <c r="D1792" s="20" t="s">
        <v>1177</v>
      </c>
      <c r="E1792" s="27">
        <v>1</v>
      </c>
      <c r="F1792" s="27">
        <v>2</v>
      </c>
      <c r="G1792" s="29">
        <v>0.67345999999999995</v>
      </c>
    </row>
    <row r="1793" spans="1:7" x14ac:dyDescent="0.25">
      <c r="A1793" s="20" t="s">
        <v>585</v>
      </c>
      <c r="B1793" s="20" t="s">
        <v>1186</v>
      </c>
      <c r="C1793" s="20" t="s">
        <v>1186</v>
      </c>
      <c r="D1793" s="20" t="s">
        <v>1177</v>
      </c>
      <c r="E1793" s="27">
        <v>2</v>
      </c>
      <c r="F1793" s="27">
        <v>4</v>
      </c>
      <c r="G1793" s="29">
        <v>9.4101900000000001</v>
      </c>
    </row>
    <row r="1794" spans="1:7" x14ac:dyDescent="0.25">
      <c r="A1794" s="20" t="s">
        <v>585</v>
      </c>
      <c r="B1794" s="20" t="s">
        <v>1187</v>
      </c>
      <c r="C1794" s="20" t="s">
        <v>1187</v>
      </c>
      <c r="D1794" s="20" t="s">
        <v>1177</v>
      </c>
      <c r="E1794" s="27">
        <v>1</v>
      </c>
      <c r="F1794" s="27">
        <v>2</v>
      </c>
      <c r="G1794" s="29">
        <v>25.636469999999999</v>
      </c>
    </row>
    <row r="1795" spans="1:7" x14ac:dyDescent="0.25">
      <c r="A1795" s="20" t="s">
        <v>595</v>
      </c>
      <c r="B1795" s="20" t="s">
        <v>1188</v>
      </c>
      <c r="C1795" s="20" t="s">
        <v>1188</v>
      </c>
      <c r="D1795" s="20" t="s">
        <v>1177</v>
      </c>
      <c r="E1795" s="27">
        <v>2</v>
      </c>
      <c r="F1795" s="27">
        <v>4</v>
      </c>
      <c r="G1795" s="29">
        <v>0.10907</v>
      </c>
    </row>
    <row r="1796" spans="1:7" x14ac:dyDescent="0.25">
      <c r="A1796" s="20" t="s">
        <v>595</v>
      </c>
      <c r="B1796" s="20" t="s">
        <v>1189</v>
      </c>
      <c r="C1796" s="20" t="s">
        <v>1189</v>
      </c>
      <c r="D1796" s="20" t="s">
        <v>1177</v>
      </c>
      <c r="E1796" s="27">
        <v>2</v>
      </c>
      <c r="F1796" s="27">
        <v>4</v>
      </c>
      <c r="G1796" s="29">
        <v>0.24543999999999999</v>
      </c>
    </row>
    <row r="1797" spans="1:7" x14ac:dyDescent="0.25">
      <c r="A1797" s="20" t="s">
        <v>595</v>
      </c>
      <c r="B1797" s="20" t="s">
        <v>1190</v>
      </c>
      <c r="C1797" s="20" t="s">
        <v>1190</v>
      </c>
      <c r="D1797" s="20" t="s">
        <v>1177</v>
      </c>
      <c r="E1797" s="27">
        <v>1</v>
      </c>
      <c r="F1797" s="27">
        <v>2</v>
      </c>
      <c r="G1797" s="29">
        <v>1.1765699999999999</v>
      </c>
    </row>
    <row r="1798" spans="1:7" x14ac:dyDescent="0.25">
      <c r="A1798" s="20" t="s">
        <v>595</v>
      </c>
      <c r="B1798" s="20" t="s">
        <v>1191</v>
      </c>
      <c r="C1798" s="20" t="s">
        <v>1191</v>
      </c>
      <c r="D1798" s="20" t="s">
        <v>1177</v>
      </c>
      <c r="E1798" s="27">
        <v>1</v>
      </c>
      <c r="F1798" s="27">
        <v>2</v>
      </c>
      <c r="G1798" s="29">
        <v>3.3625500000000001</v>
      </c>
    </row>
    <row r="1799" spans="1:7" x14ac:dyDescent="0.25">
      <c r="A1799" s="20" t="s">
        <v>595</v>
      </c>
      <c r="B1799" s="20" t="s">
        <v>1192</v>
      </c>
      <c r="C1799" s="20" t="s">
        <v>1192</v>
      </c>
      <c r="D1799" s="20" t="s">
        <v>1177</v>
      </c>
      <c r="E1799" s="27">
        <v>2</v>
      </c>
      <c r="F1799" s="27">
        <v>4</v>
      </c>
      <c r="G1799" s="29">
        <v>3.1669999999999997E-2</v>
      </c>
    </row>
    <row r="1800" spans="1:7" x14ac:dyDescent="0.25">
      <c r="A1800" s="20" t="s">
        <v>595</v>
      </c>
      <c r="B1800" s="20" t="s">
        <v>1193</v>
      </c>
      <c r="C1800" s="20" t="s">
        <v>1193</v>
      </c>
      <c r="D1800" s="20" t="s">
        <v>1177</v>
      </c>
      <c r="E1800" s="27">
        <v>1</v>
      </c>
      <c r="F1800" s="27">
        <v>2</v>
      </c>
      <c r="G1800" s="28">
        <v>3.0291000000000001</v>
      </c>
    </row>
    <row r="1801" spans="1:7" x14ac:dyDescent="0.25">
      <c r="A1801" s="20" t="s">
        <v>595</v>
      </c>
      <c r="B1801" s="20" t="s">
        <v>1194</v>
      </c>
      <c r="C1801" s="20" t="s">
        <v>1194</v>
      </c>
      <c r="D1801" s="20" t="s">
        <v>1177</v>
      </c>
      <c r="E1801" s="27">
        <v>2</v>
      </c>
      <c r="F1801" s="27">
        <v>4</v>
      </c>
      <c r="G1801" s="29">
        <v>6.1120000000000001E-2</v>
      </c>
    </row>
    <row r="1802" spans="1:7" x14ac:dyDescent="0.25">
      <c r="A1802" s="20" t="s">
        <v>595</v>
      </c>
      <c r="B1802" s="20" t="s">
        <v>1195</v>
      </c>
      <c r="C1802" s="20" t="s">
        <v>1195</v>
      </c>
      <c r="D1802" s="20" t="s">
        <v>1177</v>
      </c>
      <c r="E1802" s="27">
        <v>2</v>
      </c>
      <c r="F1802" s="27">
        <v>4</v>
      </c>
      <c r="G1802" s="29">
        <v>5.7880000000000001E-2</v>
      </c>
    </row>
    <row r="1803" spans="1:7" x14ac:dyDescent="0.25">
      <c r="A1803" s="20" t="s">
        <v>595</v>
      </c>
      <c r="B1803" s="20" t="s">
        <v>1196</v>
      </c>
      <c r="C1803" s="20" t="s">
        <v>1196</v>
      </c>
      <c r="D1803" s="20" t="s">
        <v>1177</v>
      </c>
      <c r="E1803" s="27">
        <v>1</v>
      </c>
      <c r="F1803" s="27">
        <v>2</v>
      </c>
      <c r="G1803" s="29">
        <v>1.4852700000000001</v>
      </c>
    </row>
    <row r="1804" spans="1:7" x14ac:dyDescent="0.25">
      <c r="A1804" s="20" t="s">
        <v>595</v>
      </c>
      <c r="B1804" s="20" t="s">
        <v>1197</v>
      </c>
      <c r="C1804" s="20" t="s">
        <v>1197</v>
      </c>
      <c r="D1804" s="20" t="s">
        <v>1177</v>
      </c>
      <c r="E1804" s="27">
        <v>2</v>
      </c>
      <c r="F1804" s="27">
        <v>4</v>
      </c>
      <c r="G1804" s="29">
        <v>0.30839</v>
      </c>
    </row>
    <row r="1805" spans="1:7" ht="22.5" x14ac:dyDescent="0.25">
      <c r="A1805" s="20" t="s">
        <v>620</v>
      </c>
      <c r="B1805" s="20" t="s">
        <v>1198</v>
      </c>
      <c r="C1805" s="20" t="s">
        <v>301</v>
      </c>
      <c r="D1805" s="20" t="s">
        <v>1177</v>
      </c>
      <c r="E1805" s="27">
        <v>4</v>
      </c>
      <c r="F1805" s="27">
        <v>8</v>
      </c>
      <c r="G1805" s="28">
        <v>2.7699999999999999E-2</v>
      </c>
    </row>
    <row r="1806" spans="1:7" ht="22.5" x14ac:dyDescent="0.25">
      <c r="A1806" s="20" t="s">
        <v>620</v>
      </c>
      <c r="B1806" s="20" t="s">
        <v>1199</v>
      </c>
      <c r="C1806" s="20" t="s">
        <v>300</v>
      </c>
      <c r="D1806" s="20" t="s">
        <v>1177</v>
      </c>
      <c r="E1806" s="27">
        <v>12</v>
      </c>
      <c r="F1806" s="27">
        <v>24</v>
      </c>
      <c r="G1806" s="35">
        <v>3.5999999999999997E-2</v>
      </c>
    </row>
    <row r="1807" spans="1:7" ht="22.5" x14ac:dyDescent="0.25">
      <c r="A1807" s="20" t="s">
        <v>620</v>
      </c>
      <c r="B1807" s="20" t="s">
        <v>1200</v>
      </c>
      <c r="C1807" s="20" t="s">
        <v>299</v>
      </c>
      <c r="D1807" s="20" t="s">
        <v>1177</v>
      </c>
      <c r="E1807" s="27">
        <v>4</v>
      </c>
      <c r="F1807" s="27">
        <v>8</v>
      </c>
      <c r="G1807" s="28">
        <v>4.5400000000000003E-2</v>
      </c>
    </row>
    <row r="1808" spans="1:7" ht="22.5" x14ac:dyDescent="0.25">
      <c r="A1808" s="20" t="s">
        <v>620</v>
      </c>
      <c r="B1808" s="20" t="s">
        <v>622</v>
      </c>
      <c r="C1808" s="20" t="s">
        <v>256</v>
      </c>
      <c r="D1808" s="20" t="s">
        <v>1177</v>
      </c>
      <c r="E1808" s="27">
        <v>48</v>
      </c>
      <c r="F1808" s="27">
        <v>96</v>
      </c>
      <c r="G1808" s="28">
        <v>1.52E-2</v>
      </c>
    </row>
    <row r="1809" spans="1:7" ht="22.5" x14ac:dyDescent="0.25">
      <c r="A1809" s="20" t="s">
        <v>620</v>
      </c>
      <c r="B1809" s="20" t="s">
        <v>623</v>
      </c>
      <c r="C1809" s="20" t="s">
        <v>285</v>
      </c>
      <c r="D1809" s="20" t="s">
        <v>1177</v>
      </c>
      <c r="E1809" s="27">
        <v>45</v>
      </c>
      <c r="F1809" s="27">
        <v>90</v>
      </c>
      <c r="G1809" s="28">
        <v>1.67E-2</v>
      </c>
    </row>
    <row r="1810" spans="1:7" ht="22.5" x14ac:dyDescent="0.25">
      <c r="A1810" s="20" t="s">
        <v>620</v>
      </c>
      <c r="B1810" s="20" t="s">
        <v>1201</v>
      </c>
      <c r="C1810" s="20" t="s">
        <v>298</v>
      </c>
      <c r="D1810" s="20" t="s">
        <v>1177</v>
      </c>
      <c r="E1810" s="27">
        <v>4</v>
      </c>
      <c r="F1810" s="27">
        <v>8</v>
      </c>
      <c r="G1810" s="28">
        <v>0.13730000000000001</v>
      </c>
    </row>
    <row r="1811" spans="1:7" ht="22.5" x14ac:dyDescent="0.25">
      <c r="A1811" s="20" t="s">
        <v>620</v>
      </c>
      <c r="B1811" s="20" t="s">
        <v>745</v>
      </c>
      <c r="C1811" s="20" t="s">
        <v>246</v>
      </c>
      <c r="D1811" s="20" t="s">
        <v>1177</v>
      </c>
      <c r="E1811" s="27">
        <v>20</v>
      </c>
      <c r="F1811" s="27">
        <v>40</v>
      </c>
      <c r="G1811" s="29">
        <v>1.022E-2</v>
      </c>
    </row>
    <row r="1812" spans="1:7" ht="22.5" x14ac:dyDescent="0.25">
      <c r="A1812" s="20" t="s">
        <v>620</v>
      </c>
      <c r="B1812" s="20" t="s">
        <v>818</v>
      </c>
      <c r="C1812" s="20" t="s">
        <v>259</v>
      </c>
      <c r="D1812" s="20" t="s">
        <v>1177</v>
      </c>
      <c r="E1812" s="27">
        <v>4</v>
      </c>
      <c r="F1812" s="27">
        <v>8</v>
      </c>
      <c r="G1812" s="29">
        <v>3.7609999999999998E-2</v>
      </c>
    </row>
    <row r="1813" spans="1:7" ht="22.5" x14ac:dyDescent="0.25">
      <c r="A1813" s="20" t="s">
        <v>620</v>
      </c>
      <c r="B1813" s="20" t="s">
        <v>733</v>
      </c>
      <c r="C1813" s="20" t="s">
        <v>235</v>
      </c>
      <c r="D1813" s="20" t="s">
        <v>1177</v>
      </c>
      <c r="E1813" s="27">
        <v>8</v>
      </c>
      <c r="F1813" s="27">
        <v>16</v>
      </c>
      <c r="G1813" s="29">
        <v>7.1440000000000003E-2</v>
      </c>
    </row>
    <row r="1814" spans="1:7" ht="22.5" x14ac:dyDescent="0.25">
      <c r="A1814" s="20" t="s">
        <v>620</v>
      </c>
      <c r="B1814" s="20" t="s">
        <v>625</v>
      </c>
      <c r="C1814" s="20" t="s">
        <v>219</v>
      </c>
      <c r="D1814" s="20" t="s">
        <v>1177</v>
      </c>
      <c r="E1814" s="27">
        <v>28</v>
      </c>
      <c r="F1814" s="27">
        <v>56</v>
      </c>
      <c r="G1814" s="29">
        <v>7.1399999999999996E-3</v>
      </c>
    </row>
    <row r="1815" spans="1:7" ht="22.5" x14ac:dyDescent="0.25">
      <c r="A1815" s="20" t="s">
        <v>620</v>
      </c>
      <c r="B1815" s="20" t="s">
        <v>767</v>
      </c>
      <c r="C1815" s="20" t="s">
        <v>249</v>
      </c>
      <c r="D1815" s="20" t="s">
        <v>1177</v>
      </c>
      <c r="E1815" s="27">
        <v>16</v>
      </c>
      <c r="F1815" s="27">
        <v>32</v>
      </c>
      <c r="G1815" s="29">
        <v>2.0100000000000001E-3</v>
      </c>
    </row>
    <row r="1816" spans="1:7" ht="22.5" x14ac:dyDescent="0.25">
      <c r="A1816" s="20" t="s">
        <v>620</v>
      </c>
      <c r="B1816" s="20" t="s">
        <v>819</v>
      </c>
      <c r="C1816" s="20" t="s">
        <v>260</v>
      </c>
      <c r="D1816" s="20" t="s">
        <v>1177</v>
      </c>
      <c r="E1816" s="27">
        <v>4</v>
      </c>
      <c r="F1816" s="27">
        <v>8</v>
      </c>
      <c r="G1816" s="29">
        <v>6.0800000000000003E-3</v>
      </c>
    </row>
    <row r="1817" spans="1:7" ht="22.5" x14ac:dyDescent="0.25">
      <c r="A1817" s="20" t="s">
        <v>620</v>
      </c>
      <c r="B1817" s="20" t="s">
        <v>735</v>
      </c>
      <c r="C1817" s="20" t="s">
        <v>241</v>
      </c>
      <c r="D1817" s="20" t="s">
        <v>1177</v>
      </c>
      <c r="E1817" s="27">
        <v>4</v>
      </c>
      <c r="F1817" s="27">
        <v>8</v>
      </c>
      <c r="G1817" s="29">
        <v>1.289E-2</v>
      </c>
    </row>
    <row r="1818" spans="1:7" ht="22.5" x14ac:dyDescent="0.25">
      <c r="A1818" s="20" t="s">
        <v>620</v>
      </c>
      <c r="B1818" s="20" t="s">
        <v>1171</v>
      </c>
      <c r="C1818" s="20" t="s">
        <v>295</v>
      </c>
      <c r="D1818" s="20" t="s">
        <v>1177</v>
      </c>
      <c r="E1818" s="27">
        <v>4</v>
      </c>
      <c r="F1818" s="27">
        <v>8</v>
      </c>
      <c r="G1818" s="29">
        <v>1.217E-2</v>
      </c>
    </row>
    <row r="1819" spans="1:7" ht="22.5" x14ac:dyDescent="0.25">
      <c r="A1819" s="20" t="s">
        <v>620</v>
      </c>
      <c r="B1819" s="20" t="s">
        <v>1202</v>
      </c>
      <c r="C1819" s="20" t="s">
        <v>297</v>
      </c>
      <c r="D1819" s="20" t="s">
        <v>1177</v>
      </c>
      <c r="E1819" s="27">
        <v>4</v>
      </c>
      <c r="F1819" s="27">
        <v>8</v>
      </c>
      <c r="G1819" s="35">
        <v>7.8E-2</v>
      </c>
    </row>
    <row r="1820" spans="1:7" ht="22.5" x14ac:dyDescent="0.25">
      <c r="A1820" s="20" t="s">
        <v>620</v>
      </c>
      <c r="B1820" s="20" t="s">
        <v>747</v>
      </c>
      <c r="C1820" s="20" t="s">
        <v>244</v>
      </c>
      <c r="D1820" s="20" t="s">
        <v>1177</v>
      </c>
      <c r="E1820" s="27">
        <v>18</v>
      </c>
      <c r="F1820" s="27">
        <v>36</v>
      </c>
      <c r="G1820" s="29">
        <v>6.13E-3</v>
      </c>
    </row>
    <row r="1821" spans="1:7" ht="22.5" x14ac:dyDescent="0.25">
      <c r="A1821" s="20" t="s">
        <v>620</v>
      </c>
      <c r="B1821" s="20" t="s">
        <v>662</v>
      </c>
      <c r="C1821" s="20" t="s">
        <v>221</v>
      </c>
      <c r="D1821" s="20" t="s">
        <v>1177</v>
      </c>
      <c r="E1821" s="27">
        <v>8</v>
      </c>
      <c r="F1821" s="27">
        <v>16</v>
      </c>
      <c r="G1821" s="29">
        <v>1.098E-2</v>
      </c>
    </row>
    <row r="1822" spans="1:7" ht="22.5" x14ac:dyDescent="0.25">
      <c r="A1822" s="20" t="s">
        <v>620</v>
      </c>
      <c r="B1822" s="20" t="s">
        <v>736</v>
      </c>
      <c r="C1822" s="20" t="s">
        <v>239</v>
      </c>
      <c r="D1822" s="20" t="s">
        <v>1177</v>
      </c>
      <c r="E1822" s="27">
        <v>4</v>
      </c>
      <c r="F1822" s="27">
        <v>8</v>
      </c>
      <c r="G1822" s="29">
        <v>1.636E-2</v>
      </c>
    </row>
    <row r="1823" spans="1:7" x14ac:dyDescent="0.25">
      <c r="A1823" s="20" t="s">
        <v>597</v>
      </c>
      <c r="B1823" s="20" t="s">
        <v>6</v>
      </c>
      <c r="C1823" s="20" t="s">
        <v>6</v>
      </c>
      <c r="D1823" s="20" t="s">
        <v>1177</v>
      </c>
      <c r="E1823" s="27">
        <v>1</v>
      </c>
      <c r="F1823" s="27">
        <v>2</v>
      </c>
      <c r="G1823" s="34">
        <v>74.5</v>
      </c>
    </row>
    <row r="1824" spans="1:7" x14ac:dyDescent="0.25">
      <c r="A1824" s="20" t="s">
        <v>597</v>
      </c>
      <c r="B1824" s="20" t="s">
        <v>22</v>
      </c>
      <c r="C1824" s="20" t="s">
        <v>22</v>
      </c>
      <c r="D1824" s="20" t="s">
        <v>1177</v>
      </c>
      <c r="E1824" s="27">
        <v>1</v>
      </c>
      <c r="F1824" s="27">
        <v>2</v>
      </c>
      <c r="G1824" s="29">
        <v>1.4027099999999999</v>
      </c>
    </row>
    <row r="1825" spans="1:7" x14ac:dyDescent="0.25">
      <c r="A1825" s="20" t="s">
        <v>597</v>
      </c>
      <c r="B1825" s="20" t="s">
        <v>29</v>
      </c>
      <c r="C1825" s="20" t="s">
        <v>29</v>
      </c>
      <c r="D1825" s="20" t="s">
        <v>1177</v>
      </c>
      <c r="E1825" s="27">
        <v>1</v>
      </c>
      <c r="F1825" s="27">
        <v>2</v>
      </c>
      <c r="G1825" s="29">
        <v>5.7279499999999999</v>
      </c>
    </row>
    <row r="1826" spans="1:7" x14ac:dyDescent="0.25">
      <c r="A1826" s="20" t="s">
        <v>597</v>
      </c>
      <c r="B1826" s="20" t="s">
        <v>42</v>
      </c>
      <c r="C1826" s="20" t="s">
        <v>42</v>
      </c>
      <c r="D1826" s="20" t="s">
        <v>1177</v>
      </c>
      <c r="E1826" s="27">
        <v>2</v>
      </c>
      <c r="F1826" s="27">
        <v>4</v>
      </c>
      <c r="G1826" s="31">
        <v>0.15</v>
      </c>
    </row>
    <row r="1827" spans="1:7" x14ac:dyDescent="0.25">
      <c r="A1827" s="20" t="s">
        <v>597</v>
      </c>
      <c r="B1827" s="20" t="s">
        <v>68</v>
      </c>
      <c r="C1827" s="20" t="s">
        <v>68</v>
      </c>
      <c r="D1827" s="20" t="s">
        <v>1177</v>
      </c>
      <c r="E1827" s="27">
        <v>4</v>
      </c>
      <c r="F1827" s="27">
        <v>8</v>
      </c>
      <c r="G1827" s="29">
        <v>3.211E-2</v>
      </c>
    </row>
    <row r="1828" spans="1:7" x14ac:dyDescent="0.25">
      <c r="A1828" s="20" t="s">
        <v>585</v>
      </c>
      <c r="B1828" s="20" t="s">
        <v>1177</v>
      </c>
      <c r="C1828" s="20" t="s">
        <v>1177</v>
      </c>
      <c r="D1828" s="20" t="s">
        <v>1203</v>
      </c>
      <c r="E1828" s="27">
        <v>1</v>
      </c>
      <c r="F1828" s="27">
        <v>2</v>
      </c>
      <c r="G1828" s="29">
        <v>429.88218999999998</v>
      </c>
    </row>
    <row r="1829" spans="1:7" x14ac:dyDescent="0.25">
      <c r="A1829" s="20" t="s">
        <v>585</v>
      </c>
      <c r="B1829" s="20" t="s">
        <v>1204</v>
      </c>
      <c r="C1829" s="20" t="s">
        <v>1204</v>
      </c>
      <c r="D1829" s="20" t="s">
        <v>1203</v>
      </c>
      <c r="E1829" s="27">
        <v>1</v>
      </c>
      <c r="F1829" s="27">
        <v>2</v>
      </c>
      <c r="G1829" s="29">
        <v>25.397320000000001</v>
      </c>
    </row>
    <row r="1830" spans="1:7" x14ac:dyDescent="0.25">
      <c r="A1830" s="20" t="s">
        <v>595</v>
      </c>
      <c r="B1830" s="20" t="s">
        <v>1174</v>
      </c>
      <c r="C1830" s="20" t="s">
        <v>1174</v>
      </c>
      <c r="D1830" s="20" t="s">
        <v>1203</v>
      </c>
      <c r="E1830" s="27">
        <v>2</v>
      </c>
      <c r="F1830" s="27">
        <v>4</v>
      </c>
      <c r="G1830" s="29">
        <v>7.6410000000000006E-2</v>
      </c>
    </row>
    <row r="1831" spans="1:7" x14ac:dyDescent="0.25">
      <c r="A1831" s="20" t="s">
        <v>595</v>
      </c>
      <c r="B1831" s="20" t="s">
        <v>615</v>
      </c>
      <c r="C1831" s="20" t="s">
        <v>615</v>
      </c>
      <c r="D1831" s="20" t="s">
        <v>1203</v>
      </c>
      <c r="E1831" s="27">
        <v>1</v>
      </c>
      <c r="F1831" s="27">
        <v>2</v>
      </c>
      <c r="G1831" s="29">
        <v>0.32214999999999999</v>
      </c>
    </row>
    <row r="1832" spans="1:7" x14ac:dyDescent="0.25">
      <c r="A1832" s="20" t="s">
        <v>595</v>
      </c>
      <c r="B1832" s="20" t="s">
        <v>616</v>
      </c>
      <c r="C1832" s="20" t="s">
        <v>616</v>
      </c>
      <c r="D1832" s="20" t="s">
        <v>1203</v>
      </c>
      <c r="E1832" s="27">
        <v>1</v>
      </c>
      <c r="F1832" s="27">
        <v>2</v>
      </c>
      <c r="G1832" s="29">
        <v>6.9110000000000005E-2</v>
      </c>
    </row>
    <row r="1833" spans="1:7" ht="22.5" x14ac:dyDescent="0.25">
      <c r="A1833" s="20" t="s">
        <v>620</v>
      </c>
      <c r="B1833" s="20" t="s">
        <v>625</v>
      </c>
      <c r="C1833" s="20" t="s">
        <v>219</v>
      </c>
      <c r="D1833" s="20" t="s">
        <v>1203</v>
      </c>
      <c r="E1833" s="27">
        <v>2</v>
      </c>
      <c r="F1833" s="27">
        <v>4</v>
      </c>
      <c r="G1833" s="29">
        <v>7.1399999999999996E-3</v>
      </c>
    </row>
    <row r="1834" spans="1:7" x14ac:dyDescent="0.25">
      <c r="A1834" s="20" t="s">
        <v>588</v>
      </c>
      <c r="B1834" s="20" t="s">
        <v>123</v>
      </c>
      <c r="C1834" s="20" t="s">
        <v>123</v>
      </c>
      <c r="D1834" s="20" t="s">
        <v>1188</v>
      </c>
      <c r="E1834" s="25">
        <v>0.15</v>
      </c>
      <c r="F1834" s="33">
        <v>2.4</v>
      </c>
      <c r="G1834" s="22"/>
    </row>
    <row r="1835" spans="1:7" x14ac:dyDescent="0.25">
      <c r="A1835" s="20" t="s">
        <v>588</v>
      </c>
      <c r="B1835" s="20" t="s">
        <v>65</v>
      </c>
      <c r="C1835" s="20" t="s">
        <v>65</v>
      </c>
      <c r="D1835" s="20" t="s">
        <v>1189</v>
      </c>
      <c r="E1835" s="24">
        <v>3.0000000000000001E-3</v>
      </c>
      <c r="F1835" s="24">
        <v>4.8000000000000001E-2</v>
      </c>
      <c r="G1835" s="22"/>
    </row>
    <row r="1836" spans="1:7" x14ac:dyDescent="0.25">
      <c r="A1836" s="20" t="s">
        <v>588</v>
      </c>
      <c r="B1836" s="20" t="s">
        <v>116</v>
      </c>
      <c r="C1836" s="20" t="s">
        <v>116</v>
      </c>
      <c r="D1836" s="20" t="s">
        <v>1189</v>
      </c>
      <c r="E1836" s="25">
        <v>0.33</v>
      </c>
      <c r="F1836" s="25">
        <v>5.28</v>
      </c>
      <c r="G1836" s="22"/>
    </row>
    <row r="1837" spans="1:7" x14ac:dyDescent="0.25">
      <c r="A1837" s="20" t="s">
        <v>588</v>
      </c>
      <c r="B1837" s="20" t="s">
        <v>155</v>
      </c>
      <c r="C1837" s="20" t="s">
        <v>155</v>
      </c>
      <c r="D1837" s="20" t="s">
        <v>1189</v>
      </c>
      <c r="E1837" s="24">
        <v>2E-3</v>
      </c>
      <c r="F1837" s="24">
        <v>3.2000000000000001E-2</v>
      </c>
      <c r="G1837" s="22"/>
    </row>
    <row r="1838" spans="1:7" x14ac:dyDescent="0.25">
      <c r="A1838" s="20" t="s">
        <v>588</v>
      </c>
      <c r="B1838" s="20" t="s">
        <v>156</v>
      </c>
      <c r="C1838" s="20" t="s">
        <v>156</v>
      </c>
      <c r="D1838" s="20" t="s">
        <v>1189</v>
      </c>
      <c r="E1838" s="24">
        <v>2E-3</v>
      </c>
      <c r="F1838" s="24">
        <v>3.2000000000000001E-2</v>
      </c>
      <c r="G1838" s="22"/>
    </row>
    <row r="1839" spans="1:7" x14ac:dyDescent="0.25">
      <c r="A1839" s="20" t="s">
        <v>588</v>
      </c>
      <c r="B1839" s="20" t="s">
        <v>215</v>
      </c>
      <c r="C1839" s="20" t="s">
        <v>215</v>
      </c>
      <c r="D1839" s="20" t="s">
        <v>1189</v>
      </c>
      <c r="E1839" s="24">
        <v>5.0000000000000001E-3</v>
      </c>
      <c r="F1839" s="25">
        <v>0.08</v>
      </c>
      <c r="G1839" s="22"/>
    </row>
    <row r="1840" spans="1:7" x14ac:dyDescent="0.25">
      <c r="A1840" s="20" t="s">
        <v>588</v>
      </c>
      <c r="B1840" s="20" t="s">
        <v>112</v>
      </c>
      <c r="C1840" s="20" t="s">
        <v>112</v>
      </c>
      <c r="D1840" s="20" t="s">
        <v>1190</v>
      </c>
      <c r="E1840" s="26">
        <v>1.4193499999999999</v>
      </c>
      <c r="F1840" s="32">
        <v>2.8386999999999998</v>
      </c>
      <c r="G1840" s="22"/>
    </row>
    <row r="1841" spans="1:7" x14ac:dyDescent="0.25">
      <c r="A1841" s="20" t="s">
        <v>588</v>
      </c>
      <c r="B1841" s="20" t="s">
        <v>65</v>
      </c>
      <c r="C1841" s="20" t="s">
        <v>65</v>
      </c>
      <c r="D1841" s="20" t="s">
        <v>1191</v>
      </c>
      <c r="E1841" s="24">
        <v>7.5999999999999998E-2</v>
      </c>
      <c r="F1841" s="24">
        <v>0.152</v>
      </c>
      <c r="G1841" s="22"/>
    </row>
    <row r="1842" spans="1:7" x14ac:dyDescent="0.25">
      <c r="A1842" s="20" t="s">
        <v>588</v>
      </c>
      <c r="B1842" s="20" t="s">
        <v>109</v>
      </c>
      <c r="C1842" s="20" t="s">
        <v>109</v>
      </c>
      <c r="D1842" s="20" t="s">
        <v>1191</v>
      </c>
      <c r="E1842" s="26">
        <v>9.7613599999999998</v>
      </c>
      <c r="F1842" s="26">
        <v>19.52272</v>
      </c>
      <c r="G1842" s="22"/>
    </row>
    <row r="1843" spans="1:7" x14ac:dyDescent="0.25">
      <c r="A1843" s="20" t="s">
        <v>588</v>
      </c>
      <c r="B1843" s="20" t="s">
        <v>155</v>
      </c>
      <c r="C1843" s="20" t="s">
        <v>155</v>
      </c>
      <c r="D1843" s="20" t="s">
        <v>1191</v>
      </c>
      <c r="E1843" s="24">
        <v>2.3E-2</v>
      </c>
      <c r="F1843" s="24">
        <v>4.5999999999999999E-2</v>
      </c>
      <c r="G1843" s="22"/>
    </row>
    <row r="1844" spans="1:7" x14ac:dyDescent="0.25">
      <c r="A1844" s="20" t="s">
        <v>588</v>
      </c>
      <c r="B1844" s="20" t="s">
        <v>156</v>
      </c>
      <c r="C1844" s="20" t="s">
        <v>156</v>
      </c>
      <c r="D1844" s="20" t="s">
        <v>1191</v>
      </c>
      <c r="E1844" s="25">
        <v>7.0000000000000007E-2</v>
      </c>
      <c r="F1844" s="25">
        <v>0.14000000000000001</v>
      </c>
      <c r="G1844" s="22"/>
    </row>
    <row r="1845" spans="1:7" x14ac:dyDescent="0.25">
      <c r="A1845" s="20" t="s">
        <v>588</v>
      </c>
      <c r="B1845" s="20" t="s">
        <v>200</v>
      </c>
      <c r="C1845" s="20" t="s">
        <v>200</v>
      </c>
      <c r="D1845" s="20" t="s">
        <v>1191</v>
      </c>
      <c r="E1845" s="27">
        <v>1</v>
      </c>
      <c r="F1845" s="27">
        <v>2</v>
      </c>
      <c r="G1845" s="22"/>
    </row>
    <row r="1846" spans="1:7" x14ac:dyDescent="0.25">
      <c r="A1846" s="20" t="s">
        <v>588</v>
      </c>
      <c r="B1846" s="20" t="s">
        <v>215</v>
      </c>
      <c r="C1846" s="20" t="s">
        <v>215</v>
      </c>
      <c r="D1846" s="20" t="s">
        <v>1191</v>
      </c>
      <c r="E1846" s="24">
        <v>0.153</v>
      </c>
      <c r="F1846" s="24">
        <v>0.30599999999999999</v>
      </c>
      <c r="G1846" s="22"/>
    </row>
    <row r="1847" spans="1:7" x14ac:dyDescent="0.25">
      <c r="A1847" s="20" t="s">
        <v>588</v>
      </c>
      <c r="B1847" s="20" t="s">
        <v>130</v>
      </c>
      <c r="C1847" s="20" t="s">
        <v>130</v>
      </c>
      <c r="D1847" s="20" t="s">
        <v>1192</v>
      </c>
      <c r="E1847" s="24">
        <v>4.2000000000000003E-2</v>
      </c>
      <c r="F1847" s="24">
        <v>0.67200000000000004</v>
      </c>
      <c r="G1847" s="22"/>
    </row>
    <row r="1848" spans="1:7" x14ac:dyDescent="0.25">
      <c r="A1848" s="20" t="s">
        <v>588</v>
      </c>
      <c r="B1848" s="20" t="s">
        <v>65</v>
      </c>
      <c r="C1848" s="20" t="s">
        <v>65</v>
      </c>
      <c r="D1848" s="20" t="s">
        <v>1193</v>
      </c>
      <c r="E1848" s="25">
        <v>0.15</v>
      </c>
      <c r="F1848" s="33">
        <v>1.2</v>
      </c>
      <c r="G1848" s="22"/>
    </row>
    <row r="1849" spans="1:7" x14ac:dyDescent="0.25">
      <c r="A1849" s="20" t="s">
        <v>588</v>
      </c>
      <c r="B1849" s="20" t="s">
        <v>113</v>
      </c>
      <c r="C1849" s="20" t="s">
        <v>113</v>
      </c>
      <c r="D1849" s="20" t="s">
        <v>1193</v>
      </c>
      <c r="E1849" s="25">
        <v>11.42</v>
      </c>
      <c r="F1849" s="25">
        <v>91.36</v>
      </c>
      <c r="G1849" s="22"/>
    </row>
    <row r="1850" spans="1:7" x14ac:dyDescent="0.25">
      <c r="A1850" s="20" t="s">
        <v>588</v>
      </c>
      <c r="B1850" s="20" t="s">
        <v>155</v>
      </c>
      <c r="C1850" s="20" t="s">
        <v>155</v>
      </c>
      <c r="D1850" s="20" t="s">
        <v>1193</v>
      </c>
      <c r="E1850" s="25">
        <v>0.09</v>
      </c>
      <c r="F1850" s="25">
        <v>0.72</v>
      </c>
      <c r="G1850" s="22"/>
    </row>
    <row r="1851" spans="1:7" x14ac:dyDescent="0.25">
      <c r="A1851" s="20" t="s">
        <v>588</v>
      </c>
      <c r="B1851" s="20" t="s">
        <v>156</v>
      </c>
      <c r="C1851" s="20" t="s">
        <v>156</v>
      </c>
      <c r="D1851" s="20" t="s">
        <v>1193</v>
      </c>
      <c r="E1851" s="25">
        <v>0.13</v>
      </c>
      <c r="F1851" s="25">
        <v>1.04</v>
      </c>
      <c r="G1851" s="22"/>
    </row>
    <row r="1852" spans="1:7" x14ac:dyDescent="0.25">
      <c r="A1852" s="20" t="s">
        <v>588</v>
      </c>
      <c r="B1852" s="20" t="s">
        <v>200</v>
      </c>
      <c r="C1852" s="20" t="s">
        <v>200</v>
      </c>
      <c r="D1852" s="20" t="s">
        <v>1193</v>
      </c>
      <c r="E1852" s="25">
        <v>0.08</v>
      </c>
      <c r="F1852" s="25">
        <v>0.64</v>
      </c>
      <c r="G1852" s="22"/>
    </row>
    <row r="1853" spans="1:7" x14ac:dyDescent="0.25">
      <c r="A1853" s="20" t="s">
        <v>588</v>
      </c>
      <c r="B1853" s="20" t="s">
        <v>215</v>
      </c>
      <c r="C1853" s="20" t="s">
        <v>215</v>
      </c>
      <c r="D1853" s="20" t="s">
        <v>1193</v>
      </c>
      <c r="E1853" s="33">
        <v>0.3</v>
      </c>
      <c r="F1853" s="33">
        <v>2.4</v>
      </c>
      <c r="G1853" s="22"/>
    </row>
    <row r="1854" spans="1:7" x14ac:dyDescent="0.25">
      <c r="A1854" s="20" t="s">
        <v>588</v>
      </c>
      <c r="B1854" s="20" t="s">
        <v>131</v>
      </c>
      <c r="C1854" s="20" t="s">
        <v>131</v>
      </c>
      <c r="D1854" s="20" t="s">
        <v>1194</v>
      </c>
      <c r="E1854" s="25">
        <v>0.08</v>
      </c>
      <c r="F1854" s="25">
        <v>1.28</v>
      </c>
      <c r="G1854" s="22"/>
    </row>
    <row r="1855" spans="1:7" x14ac:dyDescent="0.25">
      <c r="A1855" s="20" t="s">
        <v>588</v>
      </c>
      <c r="B1855" s="20" t="s">
        <v>65</v>
      </c>
      <c r="C1855" s="20" t="s">
        <v>65</v>
      </c>
      <c r="D1855" s="20" t="s">
        <v>1195</v>
      </c>
      <c r="E1855" s="24">
        <v>1E-3</v>
      </c>
      <c r="F1855" s="24">
        <v>1.6E-2</v>
      </c>
      <c r="G1855" s="22"/>
    </row>
    <row r="1856" spans="1:7" x14ac:dyDescent="0.25">
      <c r="A1856" s="20" t="s">
        <v>588</v>
      </c>
      <c r="B1856" s="20" t="s">
        <v>109</v>
      </c>
      <c r="C1856" s="20" t="s">
        <v>109</v>
      </c>
      <c r="D1856" s="20" t="s">
        <v>1195</v>
      </c>
      <c r="E1856" s="24">
        <v>7.6999999999999999E-2</v>
      </c>
      <c r="F1856" s="24">
        <v>1.232</v>
      </c>
      <c r="G1856" s="22"/>
    </row>
    <row r="1857" spans="1:7" x14ac:dyDescent="0.25">
      <c r="A1857" s="20" t="s">
        <v>588</v>
      </c>
      <c r="B1857" s="20" t="s">
        <v>155</v>
      </c>
      <c r="C1857" s="20" t="s">
        <v>155</v>
      </c>
      <c r="D1857" s="20" t="s">
        <v>1195</v>
      </c>
      <c r="E1857" s="24">
        <v>1E-3</v>
      </c>
      <c r="F1857" s="24">
        <v>1.6E-2</v>
      </c>
      <c r="G1857" s="22"/>
    </row>
    <row r="1858" spans="1:7" x14ac:dyDescent="0.25">
      <c r="A1858" s="20" t="s">
        <v>588</v>
      </c>
      <c r="B1858" s="20" t="s">
        <v>156</v>
      </c>
      <c r="C1858" s="20" t="s">
        <v>156</v>
      </c>
      <c r="D1858" s="20" t="s">
        <v>1195</v>
      </c>
      <c r="E1858" s="24">
        <v>1E-3</v>
      </c>
      <c r="F1858" s="24">
        <v>1.6E-2</v>
      </c>
      <c r="G1858" s="22"/>
    </row>
    <row r="1859" spans="1:7" x14ac:dyDescent="0.25">
      <c r="A1859" s="20" t="s">
        <v>588</v>
      </c>
      <c r="B1859" s="20" t="s">
        <v>215</v>
      </c>
      <c r="C1859" s="20" t="s">
        <v>215</v>
      </c>
      <c r="D1859" s="20" t="s">
        <v>1195</v>
      </c>
      <c r="E1859" s="24">
        <v>2E-3</v>
      </c>
      <c r="F1859" s="24">
        <v>3.2000000000000001E-2</v>
      </c>
      <c r="G1859" s="22"/>
    </row>
    <row r="1860" spans="1:7" x14ac:dyDescent="0.25">
      <c r="A1860" s="20" t="s">
        <v>588</v>
      </c>
      <c r="B1860" s="20" t="s">
        <v>65</v>
      </c>
      <c r="C1860" s="20" t="s">
        <v>65</v>
      </c>
      <c r="D1860" s="20" t="s">
        <v>1196</v>
      </c>
      <c r="E1860" s="24">
        <v>1.2E-2</v>
      </c>
      <c r="F1860" s="24">
        <v>9.6000000000000002E-2</v>
      </c>
      <c r="G1860" s="22"/>
    </row>
    <row r="1861" spans="1:7" x14ac:dyDescent="0.25">
      <c r="A1861" s="20" t="s">
        <v>588</v>
      </c>
      <c r="B1861" s="20" t="s">
        <v>116</v>
      </c>
      <c r="C1861" s="20" t="s">
        <v>116</v>
      </c>
      <c r="D1861" s="20" t="s">
        <v>1196</v>
      </c>
      <c r="E1861" s="25">
        <v>1.91</v>
      </c>
      <c r="F1861" s="25">
        <v>15.28</v>
      </c>
      <c r="G1861" s="22"/>
    </row>
    <row r="1862" spans="1:7" x14ac:dyDescent="0.25">
      <c r="A1862" s="20" t="s">
        <v>588</v>
      </c>
      <c r="B1862" s="20" t="s">
        <v>155</v>
      </c>
      <c r="C1862" s="20" t="s">
        <v>155</v>
      </c>
      <c r="D1862" s="20" t="s">
        <v>1196</v>
      </c>
      <c r="E1862" s="24">
        <v>7.0000000000000001E-3</v>
      </c>
      <c r="F1862" s="24">
        <v>5.6000000000000001E-2</v>
      </c>
      <c r="G1862" s="22"/>
    </row>
    <row r="1863" spans="1:7" x14ac:dyDescent="0.25">
      <c r="A1863" s="20" t="s">
        <v>588</v>
      </c>
      <c r="B1863" s="20" t="s">
        <v>200</v>
      </c>
      <c r="C1863" s="20" t="s">
        <v>200</v>
      </c>
      <c r="D1863" s="20" t="s">
        <v>1196</v>
      </c>
      <c r="E1863" s="27">
        <v>1</v>
      </c>
      <c r="F1863" s="27">
        <v>8</v>
      </c>
      <c r="G1863" s="22"/>
    </row>
    <row r="1864" spans="1:7" x14ac:dyDescent="0.25">
      <c r="A1864" s="20" t="s">
        <v>588</v>
      </c>
      <c r="B1864" s="20" t="s">
        <v>215</v>
      </c>
      <c r="C1864" s="20" t="s">
        <v>215</v>
      </c>
      <c r="D1864" s="20" t="s">
        <v>1196</v>
      </c>
      <c r="E1864" s="24">
        <v>2.4E-2</v>
      </c>
      <c r="F1864" s="24">
        <v>0.192</v>
      </c>
      <c r="G1864" s="22"/>
    </row>
    <row r="1865" spans="1:7" x14ac:dyDescent="0.25">
      <c r="A1865" s="20" t="s">
        <v>588</v>
      </c>
      <c r="B1865" s="20" t="s">
        <v>65</v>
      </c>
      <c r="C1865" s="20" t="s">
        <v>65</v>
      </c>
      <c r="D1865" s="20" t="s">
        <v>1197</v>
      </c>
      <c r="E1865" s="24">
        <v>5.0000000000000001E-3</v>
      </c>
      <c r="F1865" s="25">
        <v>0.08</v>
      </c>
      <c r="G1865" s="22"/>
    </row>
    <row r="1866" spans="1:7" x14ac:dyDescent="0.25">
      <c r="A1866" s="20" t="s">
        <v>588</v>
      </c>
      <c r="B1866" s="20" t="s">
        <v>113</v>
      </c>
      <c r="C1866" s="20" t="s">
        <v>113</v>
      </c>
      <c r="D1866" s="20" t="s">
        <v>1197</v>
      </c>
      <c r="E1866" s="25">
        <v>0.37</v>
      </c>
      <c r="F1866" s="25">
        <v>5.92</v>
      </c>
      <c r="G1866" s="22"/>
    </row>
    <row r="1867" spans="1:7" x14ac:dyDescent="0.25">
      <c r="A1867" s="20" t="s">
        <v>588</v>
      </c>
      <c r="B1867" s="20" t="s">
        <v>155</v>
      </c>
      <c r="C1867" s="20" t="s">
        <v>155</v>
      </c>
      <c r="D1867" s="20" t="s">
        <v>1197</v>
      </c>
      <c r="E1867" s="24">
        <v>3.0000000000000001E-3</v>
      </c>
      <c r="F1867" s="24">
        <v>4.8000000000000001E-2</v>
      </c>
      <c r="G1867" s="22"/>
    </row>
    <row r="1868" spans="1:7" x14ac:dyDescent="0.25">
      <c r="A1868" s="20" t="s">
        <v>588</v>
      </c>
      <c r="B1868" s="20" t="s">
        <v>156</v>
      </c>
      <c r="C1868" s="20" t="s">
        <v>156</v>
      </c>
      <c r="D1868" s="20" t="s">
        <v>1197</v>
      </c>
      <c r="E1868" s="24">
        <v>4.0000000000000001E-3</v>
      </c>
      <c r="F1868" s="24">
        <v>6.4000000000000001E-2</v>
      </c>
      <c r="G1868" s="22"/>
    </row>
    <row r="1869" spans="1:7" x14ac:dyDescent="0.25">
      <c r="A1869" s="20" t="s">
        <v>588</v>
      </c>
      <c r="B1869" s="20" t="s">
        <v>215</v>
      </c>
      <c r="C1869" s="20" t="s">
        <v>215</v>
      </c>
      <c r="D1869" s="20" t="s">
        <v>1197</v>
      </c>
      <c r="E1869" s="25">
        <v>0.01</v>
      </c>
      <c r="F1869" s="25">
        <v>0.16</v>
      </c>
      <c r="G1869" s="22"/>
    </row>
    <row r="1870" spans="1:7" x14ac:dyDescent="0.25">
      <c r="A1870" s="20" t="s">
        <v>595</v>
      </c>
      <c r="B1870" s="20" t="s">
        <v>1205</v>
      </c>
      <c r="C1870" s="20" t="s">
        <v>1205</v>
      </c>
      <c r="D1870" s="20" t="s">
        <v>1176</v>
      </c>
      <c r="E1870" s="27">
        <v>1</v>
      </c>
      <c r="F1870" s="27">
        <v>8</v>
      </c>
      <c r="G1870" s="29">
        <v>1.3327199999999999</v>
      </c>
    </row>
    <row r="1871" spans="1:7" x14ac:dyDescent="0.25">
      <c r="A1871" s="20" t="s">
        <v>595</v>
      </c>
      <c r="B1871" s="20" t="s">
        <v>1206</v>
      </c>
      <c r="C1871" s="20" t="s">
        <v>1206</v>
      </c>
      <c r="D1871" s="20" t="s">
        <v>1176</v>
      </c>
      <c r="E1871" s="27">
        <v>1</v>
      </c>
      <c r="F1871" s="27">
        <v>8</v>
      </c>
      <c r="G1871" s="29">
        <v>2.3040000000000001E-2</v>
      </c>
    </row>
    <row r="1872" spans="1:7" ht="22.5" x14ac:dyDescent="0.25">
      <c r="A1872" s="20" t="s">
        <v>620</v>
      </c>
      <c r="B1872" s="20" t="s">
        <v>1207</v>
      </c>
      <c r="C1872" s="20" t="s">
        <v>302</v>
      </c>
      <c r="D1872" s="20" t="s">
        <v>1176</v>
      </c>
      <c r="E1872" s="27">
        <v>2</v>
      </c>
      <c r="F1872" s="27">
        <v>16</v>
      </c>
      <c r="G1872" s="28">
        <v>6.3E-3</v>
      </c>
    </row>
    <row r="1873" spans="1:7" x14ac:dyDescent="0.25">
      <c r="A1873" s="20" t="s">
        <v>597</v>
      </c>
      <c r="B1873" s="20" t="s">
        <v>169</v>
      </c>
      <c r="C1873" s="20" t="s">
        <v>169</v>
      </c>
      <c r="D1873" s="20" t="s">
        <v>1176</v>
      </c>
      <c r="E1873" s="27">
        <v>2</v>
      </c>
      <c r="F1873" s="27">
        <v>16</v>
      </c>
      <c r="G1873" s="29">
        <v>8.8800000000000007E-3</v>
      </c>
    </row>
    <row r="1874" spans="1:7" x14ac:dyDescent="0.25">
      <c r="A1874" s="20" t="s">
        <v>588</v>
      </c>
      <c r="B1874" s="20" t="s">
        <v>65</v>
      </c>
      <c r="C1874" s="20" t="s">
        <v>65</v>
      </c>
      <c r="D1874" s="20" t="s">
        <v>1205</v>
      </c>
      <c r="E1874" s="25">
        <v>0.02</v>
      </c>
      <c r="F1874" s="25">
        <v>0.16</v>
      </c>
      <c r="G1874" s="22"/>
    </row>
    <row r="1875" spans="1:7" x14ac:dyDescent="0.25">
      <c r="A1875" s="20" t="s">
        <v>588</v>
      </c>
      <c r="B1875" s="20" t="s">
        <v>113</v>
      </c>
      <c r="C1875" s="20" t="s">
        <v>113</v>
      </c>
      <c r="D1875" s="20" t="s">
        <v>1205</v>
      </c>
      <c r="E1875" s="25">
        <v>1.86</v>
      </c>
      <c r="F1875" s="25">
        <v>14.88</v>
      </c>
      <c r="G1875" s="22"/>
    </row>
    <row r="1876" spans="1:7" x14ac:dyDescent="0.25">
      <c r="A1876" s="20" t="s">
        <v>588</v>
      </c>
      <c r="B1876" s="20" t="s">
        <v>155</v>
      </c>
      <c r="C1876" s="20" t="s">
        <v>155</v>
      </c>
      <c r="D1876" s="20" t="s">
        <v>1205</v>
      </c>
      <c r="E1876" s="24">
        <v>1.2E-2</v>
      </c>
      <c r="F1876" s="24">
        <v>9.6000000000000002E-2</v>
      </c>
      <c r="G1876" s="22"/>
    </row>
    <row r="1877" spans="1:7" x14ac:dyDescent="0.25">
      <c r="A1877" s="20" t="s">
        <v>588</v>
      </c>
      <c r="B1877" s="20" t="s">
        <v>200</v>
      </c>
      <c r="C1877" s="20" t="s">
        <v>200</v>
      </c>
      <c r="D1877" s="20" t="s">
        <v>1205</v>
      </c>
      <c r="E1877" s="25">
        <v>0.01</v>
      </c>
      <c r="F1877" s="25">
        <v>0.08</v>
      </c>
      <c r="G1877" s="22"/>
    </row>
    <row r="1878" spans="1:7" x14ac:dyDescent="0.25">
      <c r="A1878" s="20" t="s">
        <v>588</v>
      </c>
      <c r="B1878" s="20" t="s">
        <v>215</v>
      </c>
      <c r="C1878" s="20" t="s">
        <v>215</v>
      </c>
      <c r="D1878" s="20" t="s">
        <v>1205</v>
      </c>
      <c r="E1878" s="25">
        <v>0.04</v>
      </c>
      <c r="F1878" s="25">
        <v>0.32</v>
      </c>
      <c r="G1878" s="22"/>
    </row>
    <row r="1879" spans="1:7" ht="22.5" x14ac:dyDescent="0.25">
      <c r="A1879" s="20" t="s">
        <v>588</v>
      </c>
      <c r="B1879" s="20" t="s">
        <v>142</v>
      </c>
      <c r="C1879" s="20" t="s">
        <v>142</v>
      </c>
      <c r="D1879" s="20" t="s">
        <v>1206</v>
      </c>
      <c r="E1879" s="24">
        <v>2.8000000000000001E-2</v>
      </c>
      <c r="F1879" s="24">
        <v>0.224</v>
      </c>
      <c r="G1879" s="22"/>
    </row>
    <row r="1880" spans="1:7" x14ac:dyDescent="0.25">
      <c r="A1880" s="20" t="s">
        <v>585</v>
      </c>
      <c r="B1880" s="20" t="s">
        <v>1208</v>
      </c>
      <c r="C1880" s="20" t="s">
        <v>1208</v>
      </c>
      <c r="D1880" s="20" t="s">
        <v>1178</v>
      </c>
      <c r="E1880" s="27">
        <v>1</v>
      </c>
      <c r="F1880" s="27">
        <v>2</v>
      </c>
      <c r="G1880" s="28">
        <v>7.9344000000000001</v>
      </c>
    </row>
    <row r="1881" spans="1:7" x14ac:dyDescent="0.25">
      <c r="A1881" s="20" t="s">
        <v>585</v>
      </c>
      <c r="B1881" s="20" t="s">
        <v>1209</v>
      </c>
      <c r="C1881" s="20" t="s">
        <v>1209</v>
      </c>
      <c r="D1881" s="20" t="s">
        <v>1178</v>
      </c>
      <c r="E1881" s="27">
        <v>1</v>
      </c>
      <c r="F1881" s="27">
        <v>2</v>
      </c>
      <c r="G1881" s="29">
        <v>1.51356</v>
      </c>
    </row>
    <row r="1882" spans="1:7" x14ac:dyDescent="0.25">
      <c r="A1882" s="20" t="s">
        <v>595</v>
      </c>
      <c r="B1882" s="20" t="s">
        <v>1210</v>
      </c>
      <c r="C1882" s="20" t="s">
        <v>1210</v>
      </c>
      <c r="D1882" s="20" t="s">
        <v>1178</v>
      </c>
      <c r="E1882" s="27">
        <v>1</v>
      </c>
      <c r="F1882" s="27">
        <v>2</v>
      </c>
      <c r="G1882" s="29">
        <v>21.548110000000001</v>
      </c>
    </row>
    <row r="1883" spans="1:7" x14ac:dyDescent="0.25">
      <c r="A1883" s="20" t="s">
        <v>595</v>
      </c>
      <c r="B1883" s="20" t="s">
        <v>1211</v>
      </c>
      <c r="C1883" s="20" t="s">
        <v>1211</v>
      </c>
      <c r="D1883" s="20" t="s">
        <v>1178</v>
      </c>
      <c r="E1883" s="27">
        <v>1</v>
      </c>
      <c r="F1883" s="27">
        <v>2</v>
      </c>
      <c r="G1883" s="29">
        <v>21.548110000000001</v>
      </c>
    </row>
    <row r="1884" spans="1:7" x14ac:dyDescent="0.25">
      <c r="A1884" s="20" t="s">
        <v>595</v>
      </c>
      <c r="B1884" s="20" t="s">
        <v>1212</v>
      </c>
      <c r="C1884" s="20" t="s">
        <v>1212</v>
      </c>
      <c r="D1884" s="20" t="s">
        <v>1178</v>
      </c>
      <c r="E1884" s="27">
        <v>1</v>
      </c>
      <c r="F1884" s="27">
        <v>2</v>
      </c>
      <c r="G1884" s="29">
        <v>43.787379999999999</v>
      </c>
    </row>
    <row r="1885" spans="1:7" x14ac:dyDescent="0.25">
      <c r="A1885" s="20" t="s">
        <v>595</v>
      </c>
      <c r="B1885" s="20" t="s">
        <v>1213</v>
      </c>
      <c r="C1885" s="20" t="s">
        <v>1213</v>
      </c>
      <c r="D1885" s="20" t="s">
        <v>1178</v>
      </c>
      <c r="E1885" s="27">
        <v>4</v>
      </c>
      <c r="F1885" s="27">
        <v>8</v>
      </c>
      <c r="G1885" s="29">
        <v>2.6890000000000001E-2</v>
      </c>
    </row>
    <row r="1886" spans="1:7" ht="22.5" x14ac:dyDescent="0.25">
      <c r="A1886" s="20" t="s">
        <v>620</v>
      </c>
      <c r="B1886" s="20" t="s">
        <v>1214</v>
      </c>
      <c r="C1886" s="20" t="s">
        <v>303</v>
      </c>
      <c r="D1886" s="20" t="s">
        <v>1178</v>
      </c>
      <c r="E1886" s="27">
        <v>4</v>
      </c>
      <c r="F1886" s="27">
        <v>8</v>
      </c>
      <c r="G1886" s="28">
        <v>9.5999999999999992E-3</v>
      </c>
    </row>
    <row r="1887" spans="1:7" ht="22.5" x14ac:dyDescent="0.25">
      <c r="A1887" s="20" t="s">
        <v>620</v>
      </c>
      <c r="B1887" s="20" t="s">
        <v>966</v>
      </c>
      <c r="C1887" s="20" t="s">
        <v>271</v>
      </c>
      <c r="D1887" s="20" t="s">
        <v>1178</v>
      </c>
      <c r="E1887" s="27">
        <v>46</v>
      </c>
      <c r="F1887" s="27">
        <v>92</v>
      </c>
      <c r="G1887" s="29">
        <v>5.2700000000000004E-3</v>
      </c>
    </row>
    <row r="1888" spans="1:7" x14ac:dyDescent="0.25">
      <c r="A1888" s="20" t="s">
        <v>597</v>
      </c>
      <c r="B1888" s="20" t="s">
        <v>106</v>
      </c>
      <c r="C1888" s="20" t="s">
        <v>106</v>
      </c>
      <c r="D1888" s="20" t="s">
        <v>1178</v>
      </c>
      <c r="E1888" s="33">
        <v>3.5</v>
      </c>
      <c r="F1888" s="27">
        <v>7</v>
      </c>
      <c r="G1888" s="22"/>
    </row>
    <row r="1889" spans="1:7" x14ac:dyDescent="0.25">
      <c r="A1889" s="20" t="s">
        <v>597</v>
      </c>
      <c r="B1889" s="20" t="s">
        <v>137</v>
      </c>
      <c r="C1889" s="20" t="s">
        <v>137</v>
      </c>
      <c r="D1889" s="20" t="s">
        <v>1178</v>
      </c>
      <c r="E1889" s="27">
        <v>1</v>
      </c>
      <c r="F1889" s="27">
        <v>2</v>
      </c>
      <c r="G1889" s="22"/>
    </row>
    <row r="1890" spans="1:7" x14ac:dyDescent="0.25">
      <c r="A1890" s="20" t="s">
        <v>597</v>
      </c>
      <c r="B1890" s="20" t="s">
        <v>138</v>
      </c>
      <c r="C1890" s="20" t="s">
        <v>138</v>
      </c>
      <c r="D1890" s="20" t="s">
        <v>1178</v>
      </c>
      <c r="E1890" s="27">
        <v>1</v>
      </c>
      <c r="F1890" s="27">
        <v>2</v>
      </c>
      <c r="G1890" s="22"/>
    </row>
    <row r="1891" spans="1:7" x14ac:dyDescent="0.25">
      <c r="A1891" s="20" t="s">
        <v>588</v>
      </c>
      <c r="B1891" s="20" t="s">
        <v>65</v>
      </c>
      <c r="C1891" s="20" t="s">
        <v>65</v>
      </c>
      <c r="D1891" s="20" t="s">
        <v>1178</v>
      </c>
      <c r="E1891" s="25">
        <v>1.28</v>
      </c>
      <c r="F1891" s="25">
        <v>2.56</v>
      </c>
      <c r="G1891" s="22"/>
    </row>
    <row r="1892" spans="1:7" x14ac:dyDescent="0.25">
      <c r="A1892" s="20" t="s">
        <v>588</v>
      </c>
      <c r="B1892" s="20" t="s">
        <v>67</v>
      </c>
      <c r="C1892" s="20" t="s">
        <v>67</v>
      </c>
      <c r="D1892" s="20" t="s">
        <v>1178</v>
      </c>
      <c r="E1892" s="24">
        <v>2.613</v>
      </c>
      <c r="F1892" s="24">
        <v>5.226</v>
      </c>
      <c r="G1892" s="22"/>
    </row>
    <row r="1893" spans="1:7" x14ac:dyDescent="0.25">
      <c r="A1893" s="20" t="s">
        <v>588</v>
      </c>
      <c r="B1893" s="20" t="s">
        <v>146</v>
      </c>
      <c r="C1893" s="20" t="s">
        <v>146</v>
      </c>
      <c r="D1893" s="20" t="s">
        <v>1178</v>
      </c>
      <c r="E1893" s="24">
        <v>1.5369999999999999</v>
      </c>
      <c r="F1893" s="24">
        <v>3.0739999999999998</v>
      </c>
      <c r="G1893" s="22"/>
    </row>
    <row r="1894" spans="1:7" x14ac:dyDescent="0.25">
      <c r="A1894" s="20" t="s">
        <v>588</v>
      </c>
      <c r="B1894" s="20" t="s">
        <v>155</v>
      </c>
      <c r="C1894" s="20" t="s">
        <v>155</v>
      </c>
      <c r="D1894" s="20" t="s">
        <v>1178</v>
      </c>
      <c r="E1894" s="24">
        <v>0.38400000000000001</v>
      </c>
      <c r="F1894" s="24">
        <v>0.76800000000000002</v>
      </c>
      <c r="G1894" s="22"/>
    </row>
    <row r="1895" spans="1:7" x14ac:dyDescent="0.25">
      <c r="A1895" s="20" t="s">
        <v>588</v>
      </c>
      <c r="B1895" s="20" t="s">
        <v>200</v>
      </c>
      <c r="C1895" s="20" t="s">
        <v>200</v>
      </c>
      <c r="D1895" s="20" t="s">
        <v>1178</v>
      </c>
      <c r="E1895" s="24">
        <v>1.599</v>
      </c>
      <c r="F1895" s="24">
        <v>3.198</v>
      </c>
      <c r="G1895" s="22"/>
    </row>
    <row r="1896" spans="1:7" x14ac:dyDescent="0.25">
      <c r="A1896" s="20" t="s">
        <v>588</v>
      </c>
      <c r="B1896" s="20" t="s">
        <v>215</v>
      </c>
      <c r="C1896" s="20" t="s">
        <v>215</v>
      </c>
      <c r="D1896" s="20" t="s">
        <v>1178</v>
      </c>
      <c r="E1896" s="25">
        <v>2.56</v>
      </c>
      <c r="F1896" s="25">
        <v>5.12</v>
      </c>
      <c r="G1896" s="22"/>
    </row>
    <row r="1897" spans="1:7" x14ac:dyDescent="0.25">
      <c r="A1897" s="20" t="s">
        <v>588</v>
      </c>
      <c r="B1897" s="20" t="s">
        <v>115</v>
      </c>
      <c r="C1897" s="20" t="s">
        <v>115</v>
      </c>
      <c r="D1897" s="20" t="s">
        <v>1210</v>
      </c>
      <c r="E1897" s="25">
        <v>39.409999999999997</v>
      </c>
      <c r="F1897" s="25">
        <v>78.819999999999993</v>
      </c>
      <c r="G1897" s="22"/>
    </row>
    <row r="1898" spans="1:7" x14ac:dyDescent="0.25">
      <c r="A1898" s="20" t="s">
        <v>588</v>
      </c>
      <c r="B1898" s="20" t="s">
        <v>115</v>
      </c>
      <c r="C1898" s="20" t="s">
        <v>115</v>
      </c>
      <c r="D1898" s="20" t="s">
        <v>1211</v>
      </c>
      <c r="E1898" s="25">
        <v>39.409999999999997</v>
      </c>
      <c r="F1898" s="25">
        <v>78.819999999999993</v>
      </c>
      <c r="G1898" s="22"/>
    </row>
    <row r="1899" spans="1:7" x14ac:dyDescent="0.25">
      <c r="A1899" s="20" t="s">
        <v>588</v>
      </c>
      <c r="B1899" s="20" t="s">
        <v>46</v>
      </c>
      <c r="C1899" s="20" t="s">
        <v>46</v>
      </c>
      <c r="D1899" s="20" t="s">
        <v>1212</v>
      </c>
      <c r="E1899" s="25">
        <v>72.66</v>
      </c>
      <c r="F1899" s="25">
        <v>581.28</v>
      </c>
      <c r="G1899" s="22"/>
    </row>
    <row r="1900" spans="1:7" x14ac:dyDescent="0.25">
      <c r="A1900" s="20" t="s">
        <v>588</v>
      </c>
      <c r="B1900" s="20" t="s">
        <v>113</v>
      </c>
      <c r="C1900" s="20" t="s">
        <v>113</v>
      </c>
      <c r="D1900" s="20" t="s">
        <v>1212</v>
      </c>
      <c r="E1900" s="25">
        <v>57.65</v>
      </c>
      <c r="F1900" s="33">
        <v>461.2</v>
      </c>
      <c r="G1900" s="22"/>
    </row>
    <row r="1901" spans="1:7" x14ac:dyDescent="0.25">
      <c r="A1901" s="20" t="s">
        <v>588</v>
      </c>
      <c r="B1901" s="20" t="s">
        <v>146</v>
      </c>
      <c r="C1901" s="20" t="s">
        <v>146</v>
      </c>
      <c r="D1901" s="20" t="s">
        <v>1212</v>
      </c>
      <c r="E1901" s="24">
        <v>0.104</v>
      </c>
      <c r="F1901" s="24">
        <v>0.83199999999999996</v>
      </c>
      <c r="G1901" s="22"/>
    </row>
    <row r="1902" spans="1:7" x14ac:dyDescent="0.25">
      <c r="A1902" s="20" t="s">
        <v>588</v>
      </c>
      <c r="B1902" s="20" t="s">
        <v>115</v>
      </c>
      <c r="C1902" s="20" t="s">
        <v>115</v>
      </c>
      <c r="D1902" s="20" t="s">
        <v>1213</v>
      </c>
      <c r="E1902" s="24">
        <v>4.4999999999999998E-2</v>
      </c>
      <c r="F1902" s="25">
        <v>1.44</v>
      </c>
      <c r="G1902" s="22"/>
    </row>
    <row r="1903" spans="1:7" x14ac:dyDescent="0.25">
      <c r="A1903" s="20" t="s">
        <v>595</v>
      </c>
      <c r="B1903" s="20" t="s">
        <v>1215</v>
      </c>
      <c r="C1903" s="20" t="s">
        <v>1215</v>
      </c>
      <c r="D1903" s="20" t="s">
        <v>1208</v>
      </c>
      <c r="E1903" s="27">
        <v>1</v>
      </c>
      <c r="F1903" s="27">
        <v>8</v>
      </c>
      <c r="G1903" s="29">
        <v>7.4728300000000001</v>
      </c>
    </row>
    <row r="1904" spans="1:7" x14ac:dyDescent="0.25">
      <c r="A1904" s="20" t="s">
        <v>595</v>
      </c>
      <c r="B1904" s="20" t="s">
        <v>1216</v>
      </c>
      <c r="C1904" s="20" t="s">
        <v>1216</v>
      </c>
      <c r="D1904" s="20" t="s">
        <v>1208</v>
      </c>
      <c r="E1904" s="27">
        <v>1</v>
      </c>
      <c r="F1904" s="27">
        <v>8</v>
      </c>
      <c r="G1904" s="29">
        <v>0.40887000000000001</v>
      </c>
    </row>
    <row r="1905" spans="1:7" ht="22.5" x14ac:dyDescent="0.25">
      <c r="A1905" s="20" t="s">
        <v>620</v>
      </c>
      <c r="B1905" s="20" t="s">
        <v>966</v>
      </c>
      <c r="C1905" s="20" t="s">
        <v>271</v>
      </c>
      <c r="D1905" s="20" t="s">
        <v>1208</v>
      </c>
      <c r="E1905" s="27">
        <v>10</v>
      </c>
      <c r="F1905" s="27">
        <v>80</v>
      </c>
      <c r="G1905" s="29">
        <v>5.2700000000000004E-3</v>
      </c>
    </row>
    <row r="1906" spans="1:7" x14ac:dyDescent="0.25">
      <c r="A1906" s="20" t="s">
        <v>588</v>
      </c>
      <c r="B1906" s="20" t="s">
        <v>65</v>
      </c>
      <c r="C1906" s="20" t="s">
        <v>65</v>
      </c>
      <c r="D1906" s="20" t="s">
        <v>1208</v>
      </c>
      <c r="E1906" s="24">
        <v>1.6E-2</v>
      </c>
      <c r="F1906" s="24">
        <v>0.128</v>
      </c>
      <c r="G1906" s="22"/>
    </row>
    <row r="1907" spans="1:7" x14ac:dyDescent="0.25">
      <c r="A1907" s="20" t="s">
        <v>588</v>
      </c>
      <c r="B1907" s="20" t="s">
        <v>67</v>
      </c>
      <c r="C1907" s="20" t="s">
        <v>67</v>
      </c>
      <c r="D1907" s="20" t="s">
        <v>1208</v>
      </c>
      <c r="E1907" s="25">
        <v>0.06</v>
      </c>
      <c r="F1907" s="25">
        <v>0.48</v>
      </c>
      <c r="G1907" s="22"/>
    </row>
    <row r="1908" spans="1:7" x14ac:dyDescent="0.25">
      <c r="A1908" s="20" t="s">
        <v>588</v>
      </c>
      <c r="B1908" s="20" t="s">
        <v>146</v>
      </c>
      <c r="C1908" s="20" t="s">
        <v>146</v>
      </c>
      <c r="D1908" s="20" t="s">
        <v>1208</v>
      </c>
      <c r="E1908" s="24">
        <v>3.5000000000000003E-2</v>
      </c>
      <c r="F1908" s="25">
        <v>0.28000000000000003</v>
      </c>
      <c r="G1908" s="22"/>
    </row>
    <row r="1909" spans="1:7" x14ac:dyDescent="0.25">
      <c r="A1909" s="20" t="s">
        <v>588</v>
      </c>
      <c r="B1909" s="20" t="s">
        <v>155</v>
      </c>
      <c r="C1909" s="20" t="s">
        <v>155</v>
      </c>
      <c r="D1909" s="20" t="s">
        <v>1208</v>
      </c>
      <c r="E1909" s="25">
        <v>0.01</v>
      </c>
      <c r="F1909" s="25">
        <v>0.08</v>
      </c>
      <c r="G1909" s="22"/>
    </row>
    <row r="1910" spans="1:7" x14ac:dyDescent="0.25">
      <c r="A1910" s="20" t="s">
        <v>588</v>
      </c>
      <c r="B1910" s="20" t="s">
        <v>156</v>
      </c>
      <c r="C1910" s="20" t="s">
        <v>156</v>
      </c>
      <c r="D1910" s="20" t="s">
        <v>1208</v>
      </c>
      <c r="E1910" s="25">
        <v>0.02</v>
      </c>
      <c r="F1910" s="25">
        <v>0.16</v>
      </c>
      <c r="G1910" s="22"/>
    </row>
    <row r="1911" spans="1:7" x14ac:dyDescent="0.25">
      <c r="A1911" s="20" t="s">
        <v>588</v>
      </c>
      <c r="B1911" s="20" t="s">
        <v>215</v>
      </c>
      <c r="C1911" s="20" t="s">
        <v>215</v>
      </c>
      <c r="D1911" s="20" t="s">
        <v>1208</v>
      </c>
      <c r="E1911" s="24">
        <v>3.5000000000000003E-2</v>
      </c>
      <c r="F1911" s="25">
        <v>0.28000000000000003</v>
      </c>
      <c r="G1911" s="22"/>
    </row>
    <row r="1912" spans="1:7" x14ac:dyDescent="0.25">
      <c r="A1912" s="20" t="s">
        <v>588</v>
      </c>
      <c r="B1912" s="20" t="s">
        <v>113</v>
      </c>
      <c r="C1912" s="20" t="s">
        <v>113</v>
      </c>
      <c r="D1912" s="20" t="s">
        <v>1215</v>
      </c>
      <c r="E1912" s="25">
        <v>15.44</v>
      </c>
      <c r="F1912" s="25">
        <v>123.52</v>
      </c>
      <c r="G1912" s="22"/>
    </row>
    <row r="1913" spans="1:7" x14ac:dyDescent="0.25">
      <c r="A1913" s="20" t="s">
        <v>588</v>
      </c>
      <c r="B1913" s="20" t="s">
        <v>113</v>
      </c>
      <c r="C1913" s="20" t="s">
        <v>113</v>
      </c>
      <c r="D1913" s="20" t="s">
        <v>1216</v>
      </c>
      <c r="E1913" s="25">
        <v>0.52</v>
      </c>
      <c r="F1913" s="25">
        <v>4.16</v>
      </c>
      <c r="G1913" s="22"/>
    </row>
    <row r="1914" spans="1:7" x14ac:dyDescent="0.25">
      <c r="A1914" s="20" t="s">
        <v>595</v>
      </c>
      <c r="B1914" s="20" t="s">
        <v>1217</v>
      </c>
      <c r="C1914" s="20" t="s">
        <v>1217</v>
      </c>
      <c r="D1914" s="20" t="s">
        <v>1209</v>
      </c>
      <c r="E1914" s="27">
        <v>1</v>
      </c>
      <c r="F1914" s="27">
        <v>8</v>
      </c>
      <c r="G1914" s="29">
        <v>1.4977499999999999</v>
      </c>
    </row>
    <row r="1915" spans="1:7" ht="22.5" x14ac:dyDescent="0.25">
      <c r="A1915" s="20" t="s">
        <v>620</v>
      </c>
      <c r="B1915" s="20" t="s">
        <v>966</v>
      </c>
      <c r="C1915" s="20" t="s">
        <v>271</v>
      </c>
      <c r="D1915" s="20" t="s">
        <v>1209</v>
      </c>
      <c r="E1915" s="27">
        <v>3</v>
      </c>
      <c r="F1915" s="27">
        <v>24</v>
      </c>
      <c r="G1915" s="29">
        <v>5.2700000000000004E-3</v>
      </c>
    </row>
    <row r="1916" spans="1:7" x14ac:dyDescent="0.25">
      <c r="A1916" s="20" t="s">
        <v>588</v>
      </c>
      <c r="B1916" s="20" t="s">
        <v>67</v>
      </c>
      <c r="C1916" s="20" t="s">
        <v>67</v>
      </c>
      <c r="D1916" s="20" t="s">
        <v>1209</v>
      </c>
      <c r="E1916" s="24">
        <v>6.0000000000000001E-3</v>
      </c>
      <c r="F1916" s="24">
        <v>4.8000000000000001E-2</v>
      </c>
      <c r="G1916" s="22"/>
    </row>
    <row r="1917" spans="1:7" x14ac:dyDescent="0.25">
      <c r="A1917" s="20" t="s">
        <v>588</v>
      </c>
      <c r="B1917" s="20" t="s">
        <v>146</v>
      </c>
      <c r="C1917" s="20" t="s">
        <v>146</v>
      </c>
      <c r="D1917" s="20" t="s">
        <v>1209</v>
      </c>
      <c r="E1917" s="24">
        <v>3.0000000000000001E-3</v>
      </c>
      <c r="F1917" s="24">
        <v>2.4E-2</v>
      </c>
      <c r="G1917" s="22"/>
    </row>
    <row r="1918" spans="1:7" x14ac:dyDescent="0.25">
      <c r="A1918" s="20" t="s">
        <v>588</v>
      </c>
      <c r="B1918" s="20" t="s">
        <v>186</v>
      </c>
      <c r="C1918" s="20" t="s">
        <v>186</v>
      </c>
      <c r="D1918" s="20" t="s">
        <v>1217</v>
      </c>
      <c r="E1918" s="25">
        <v>1.58</v>
      </c>
      <c r="F1918" s="25">
        <v>12.64</v>
      </c>
      <c r="G1918" s="22"/>
    </row>
    <row r="1919" spans="1:7" x14ac:dyDescent="0.25">
      <c r="A1919" s="20" t="s">
        <v>585</v>
      </c>
      <c r="B1919" s="20" t="s">
        <v>1218</v>
      </c>
      <c r="C1919" s="20" t="s">
        <v>1218</v>
      </c>
      <c r="D1919" s="20" t="s">
        <v>1179</v>
      </c>
      <c r="E1919" s="27">
        <v>1</v>
      </c>
      <c r="F1919" s="27">
        <v>2</v>
      </c>
      <c r="G1919" s="29">
        <v>17.11318</v>
      </c>
    </row>
    <row r="1920" spans="1:7" x14ac:dyDescent="0.25">
      <c r="A1920" s="20" t="s">
        <v>585</v>
      </c>
      <c r="B1920" s="20" t="s">
        <v>1219</v>
      </c>
      <c r="C1920" s="20" t="s">
        <v>1219</v>
      </c>
      <c r="D1920" s="20" t="s">
        <v>1179</v>
      </c>
      <c r="E1920" s="27">
        <v>1</v>
      </c>
      <c r="F1920" s="27">
        <v>2</v>
      </c>
      <c r="G1920" s="29">
        <v>3.5596100000000002</v>
      </c>
    </row>
    <row r="1921" spans="1:7" x14ac:dyDescent="0.25">
      <c r="A1921" s="20" t="s">
        <v>595</v>
      </c>
      <c r="B1921" s="20" t="s">
        <v>1220</v>
      </c>
      <c r="C1921" s="20" t="s">
        <v>1220</v>
      </c>
      <c r="D1921" s="20" t="s">
        <v>1179</v>
      </c>
      <c r="E1921" s="27">
        <v>1</v>
      </c>
      <c r="F1921" s="27">
        <v>2</v>
      </c>
      <c r="G1921" s="29">
        <v>1.11426</v>
      </c>
    </row>
    <row r="1922" spans="1:7" ht="22.5" x14ac:dyDescent="0.25">
      <c r="A1922" s="20" t="s">
        <v>620</v>
      </c>
      <c r="B1922" s="20" t="s">
        <v>1221</v>
      </c>
      <c r="C1922" s="20" t="s">
        <v>304</v>
      </c>
      <c r="D1922" s="20" t="s">
        <v>1179</v>
      </c>
      <c r="E1922" s="27">
        <v>4</v>
      </c>
      <c r="F1922" s="27">
        <v>8</v>
      </c>
      <c r="G1922" s="28">
        <v>6.9500000000000006E-2</v>
      </c>
    </row>
    <row r="1923" spans="1:7" ht="22.5" x14ac:dyDescent="0.25">
      <c r="A1923" s="20" t="s">
        <v>620</v>
      </c>
      <c r="B1923" s="20" t="s">
        <v>864</v>
      </c>
      <c r="C1923" s="20" t="s">
        <v>263</v>
      </c>
      <c r="D1923" s="20" t="s">
        <v>1179</v>
      </c>
      <c r="E1923" s="27">
        <v>4</v>
      </c>
      <c r="F1923" s="27">
        <v>8</v>
      </c>
      <c r="G1923" s="29">
        <v>1.567E-2</v>
      </c>
    </row>
    <row r="1924" spans="1:7" ht="22.5" x14ac:dyDescent="0.25">
      <c r="A1924" s="20" t="s">
        <v>620</v>
      </c>
      <c r="B1924" s="20" t="s">
        <v>865</v>
      </c>
      <c r="C1924" s="20" t="s">
        <v>264</v>
      </c>
      <c r="D1924" s="20" t="s">
        <v>1179</v>
      </c>
      <c r="E1924" s="27">
        <v>4</v>
      </c>
      <c r="F1924" s="27">
        <v>8</v>
      </c>
      <c r="G1924" s="29">
        <v>3.4499999999999999E-3</v>
      </c>
    </row>
    <row r="1925" spans="1:7" x14ac:dyDescent="0.25">
      <c r="A1925" s="20" t="s">
        <v>588</v>
      </c>
      <c r="B1925" s="20" t="s">
        <v>65</v>
      </c>
      <c r="C1925" s="20" t="s">
        <v>65</v>
      </c>
      <c r="D1925" s="20" t="s">
        <v>1220</v>
      </c>
      <c r="E1925" s="24">
        <v>7.0000000000000001E-3</v>
      </c>
      <c r="F1925" s="24">
        <v>5.6000000000000001E-2</v>
      </c>
      <c r="G1925" s="22"/>
    </row>
    <row r="1926" spans="1:7" x14ac:dyDescent="0.25">
      <c r="A1926" s="20" t="s">
        <v>588</v>
      </c>
      <c r="B1926" s="20" t="s">
        <v>119</v>
      </c>
      <c r="C1926" s="20" t="s">
        <v>119</v>
      </c>
      <c r="D1926" s="20" t="s">
        <v>1220</v>
      </c>
      <c r="E1926" s="25">
        <v>1.65</v>
      </c>
      <c r="F1926" s="33">
        <v>13.2</v>
      </c>
      <c r="G1926" s="22"/>
    </row>
    <row r="1927" spans="1:7" x14ac:dyDescent="0.25">
      <c r="A1927" s="20" t="s">
        <v>588</v>
      </c>
      <c r="B1927" s="20" t="s">
        <v>155</v>
      </c>
      <c r="C1927" s="20" t="s">
        <v>155</v>
      </c>
      <c r="D1927" s="20" t="s">
        <v>1220</v>
      </c>
      <c r="E1927" s="24">
        <v>4.0000000000000001E-3</v>
      </c>
      <c r="F1927" s="24">
        <v>3.2000000000000001E-2</v>
      </c>
      <c r="G1927" s="22"/>
    </row>
    <row r="1928" spans="1:7" x14ac:dyDescent="0.25">
      <c r="A1928" s="20" t="s">
        <v>588</v>
      </c>
      <c r="B1928" s="20" t="s">
        <v>215</v>
      </c>
      <c r="C1928" s="20" t="s">
        <v>215</v>
      </c>
      <c r="D1928" s="20" t="s">
        <v>1220</v>
      </c>
      <c r="E1928" s="24">
        <v>1.4E-2</v>
      </c>
      <c r="F1928" s="24">
        <v>0.112</v>
      </c>
      <c r="G1928" s="22"/>
    </row>
    <row r="1929" spans="1:7" x14ac:dyDescent="0.25">
      <c r="A1929" s="20" t="s">
        <v>595</v>
      </c>
      <c r="B1929" s="20" t="s">
        <v>1222</v>
      </c>
      <c r="C1929" s="20" t="s">
        <v>1222</v>
      </c>
      <c r="D1929" s="20" t="s">
        <v>1218</v>
      </c>
      <c r="E1929" s="27">
        <v>2</v>
      </c>
      <c r="F1929" s="27">
        <v>16</v>
      </c>
      <c r="G1929" s="28">
        <v>7.1966000000000001</v>
      </c>
    </row>
    <row r="1930" spans="1:7" x14ac:dyDescent="0.25">
      <c r="A1930" s="20" t="s">
        <v>595</v>
      </c>
      <c r="B1930" s="20" t="s">
        <v>1223</v>
      </c>
      <c r="C1930" s="20" t="s">
        <v>1223</v>
      </c>
      <c r="D1930" s="20" t="s">
        <v>1218</v>
      </c>
      <c r="E1930" s="27">
        <v>2</v>
      </c>
      <c r="F1930" s="27">
        <v>16</v>
      </c>
      <c r="G1930" s="28">
        <v>1.0219</v>
      </c>
    </row>
    <row r="1931" spans="1:7" x14ac:dyDescent="0.25">
      <c r="A1931" s="20" t="s">
        <v>595</v>
      </c>
      <c r="B1931" s="20" t="s">
        <v>1224</v>
      </c>
      <c r="C1931" s="20" t="s">
        <v>1224</v>
      </c>
      <c r="D1931" s="20" t="s">
        <v>1218</v>
      </c>
      <c r="E1931" s="27">
        <v>4</v>
      </c>
      <c r="F1931" s="27">
        <v>32</v>
      </c>
      <c r="G1931" s="29">
        <v>0.16904</v>
      </c>
    </row>
    <row r="1932" spans="1:7" x14ac:dyDescent="0.25">
      <c r="A1932" s="20" t="s">
        <v>588</v>
      </c>
      <c r="B1932" s="20" t="s">
        <v>65</v>
      </c>
      <c r="C1932" s="20" t="s">
        <v>65</v>
      </c>
      <c r="D1932" s="20" t="s">
        <v>1218</v>
      </c>
      <c r="E1932" s="25">
        <v>0.06</v>
      </c>
      <c r="F1932" s="25">
        <v>0.48</v>
      </c>
      <c r="G1932" s="22"/>
    </row>
    <row r="1933" spans="1:7" x14ac:dyDescent="0.25">
      <c r="A1933" s="20" t="s">
        <v>588</v>
      </c>
      <c r="B1933" s="20" t="s">
        <v>67</v>
      </c>
      <c r="C1933" s="20" t="s">
        <v>67</v>
      </c>
      <c r="D1933" s="20" t="s">
        <v>1218</v>
      </c>
      <c r="E1933" s="24">
        <v>0.22800000000000001</v>
      </c>
      <c r="F1933" s="24">
        <v>1.8240000000000001</v>
      </c>
      <c r="G1933" s="22"/>
    </row>
    <row r="1934" spans="1:7" x14ac:dyDescent="0.25">
      <c r="A1934" s="20" t="s">
        <v>588</v>
      </c>
      <c r="B1934" s="20" t="s">
        <v>146</v>
      </c>
      <c r="C1934" s="20" t="s">
        <v>146</v>
      </c>
      <c r="D1934" s="20" t="s">
        <v>1218</v>
      </c>
      <c r="E1934" s="24">
        <v>0.13500000000000001</v>
      </c>
      <c r="F1934" s="25">
        <v>1.08</v>
      </c>
      <c r="G1934" s="22"/>
    </row>
    <row r="1935" spans="1:7" x14ac:dyDescent="0.25">
      <c r="A1935" s="20" t="s">
        <v>588</v>
      </c>
      <c r="B1935" s="20" t="s">
        <v>155</v>
      </c>
      <c r="C1935" s="20" t="s">
        <v>155</v>
      </c>
      <c r="D1935" s="20" t="s">
        <v>1218</v>
      </c>
      <c r="E1935" s="24">
        <v>3.5999999999999997E-2</v>
      </c>
      <c r="F1935" s="24">
        <v>0.28799999999999998</v>
      </c>
      <c r="G1935" s="22"/>
    </row>
    <row r="1936" spans="1:7" x14ac:dyDescent="0.25">
      <c r="A1936" s="20" t="s">
        <v>588</v>
      </c>
      <c r="B1936" s="20" t="s">
        <v>200</v>
      </c>
      <c r="C1936" s="20" t="s">
        <v>200</v>
      </c>
      <c r="D1936" s="20" t="s">
        <v>1218</v>
      </c>
      <c r="E1936" s="24">
        <v>7.9000000000000001E-2</v>
      </c>
      <c r="F1936" s="24">
        <v>0.63200000000000001</v>
      </c>
      <c r="G1936" s="22"/>
    </row>
    <row r="1937" spans="1:7" x14ac:dyDescent="0.25">
      <c r="A1937" s="20" t="s">
        <v>588</v>
      </c>
      <c r="B1937" s="20" t="s">
        <v>215</v>
      </c>
      <c r="C1937" s="20" t="s">
        <v>215</v>
      </c>
      <c r="D1937" s="20" t="s">
        <v>1218</v>
      </c>
      <c r="E1937" s="25">
        <v>0.12</v>
      </c>
      <c r="F1937" s="25">
        <v>0.96</v>
      </c>
      <c r="G1937" s="22"/>
    </row>
    <row r="1938" spans="1:7" x14ac:dyDescent="0.25">
      <c r="A1938" s="20" t="s">
        <v>588</v>
      </c>
      <c r="B1938" s="20" t="s">
        <v>111</v>
      </c>
      <c r="C1938" s="20" t="s">
        <v>111</v>
      </c>
      <c r="D1938" s="20" t="s">
        <v>1222</v>
      </c>
      <c r="E1938" s="33">
        <v>8.6999999999999993</v>
      </c>
      <c r="F1938" s="33">
        <v>278.39999999999998</v>
      </c>
      <c r="G1938" s="22"/>
    </row>
    <row r="1939" spans="1:7" x14ac:dyDescent="0.25">
      <c r="A1939" s="20" t="s">
        <v>588</v>
      </c>
      <c r="B1939" s="20" t="s">
        <v>117</v>
      </c>
      <c r="C1939" s="20" t="s">
        <v>117</v>
      </c>
      <c r="D1939" s="20" t="s">
        <v>1223</v>
      </c>
      <c r="E1939" s="25">
        <v>1.25</v>
      </c>
      <c r="F1939" s="27">
        <v>40</v>
      </c>
      <c r="G1939" s="22"/>
    </row>
    <row r="1940" spans="1:7" x14ac:dyDescent="0.25">
      <c r="A1940" s="20" t="s">
        <v>588</v>
      </c>
      <c r="B1940" s="20" t="s">
        <v>117</v>
      </c>
      <c r="C1940" s="20" t="s">
        <v>117</v>
      </c>
      <c r="D1940" s="20" t="s">
        <v>1224</v>
      </c>
      <c r="E1940" s="25">
        <v>0.21</v>
      </c>
      <c r="F1940" s="25">
        <v>13.44</v>
      </c>
      <c r="G1940" s="22"/>
    </row>
    <row r="1941" spans="1:7" x14ac:dyDescent="0.25">
      <c r="A1941" s="20" t="s">
        <v>595</v>
      </c>
      <c r="B1941" s="20" t="s">
        <v>1225</v>
      </c>
      <c r="C1941" s="20" t="s">
        <v>1225</v>
      </c>
      <c r="D1941" s="20" t="s">
        <v>1219</v>
      </c>
      <c r="E1941" s="27">
        <v>1</v>
      </c>
      <c r="F1941" s="27">
        <v>8</v>
      </c>
      <c r="G1941" s="29">
        <v>2.1058500000000002</v>
      </c>
    </row>
    <row r="1942" spans="1:7" x14ac:dyDescent="0.25">
      <c r="A1942" s="20" t="s">
        <v>595</v>
      </c>
      <c r="B1942" s="20" t="s">
        <v>1226</v>
      </c>
      <c r="C1942" s="20" t="s">
        <v>1226</v>
      </c>
      <c r="D1942" s="20" t="s">
        <v>1219</v>
      </c>
      <c r="E1942" s="27">
        <v>1</v>
      </c>
      <c r="F1942" s="27">
        <v>8</v>
      </c>
      <c r="G1942" s="29">
        <v>0.73148999999999997</v>
      </c>
    </row>
    <row r="1943" spans="1:7" x14ac:dyDescent="0.25">
      <c r="A1943" s="20" t="s">
        <v>595</v>
      </c>
      <c r="B1943" s="20" t="s">
        <v>1227</v>
      </c>
      <c r="C1943" s="20" t="s">
        <v>1227</v>
      </c>
      <c r="D1943" s="20" t="s">
        <v>1219</v>
      </c>
      <c r="E1943" s="27">
        <v>2</v>
      </c>
      <c r="F1943" s="27">
        <v>16</v>
      </c>
      <c r="G1943" s="29">
        <v>0.36113000000000001</v>
      </c>
    </row>
    <row r="1944" spans="1:7" x14ac:dyDescent="0.25">
      <c r="A1944" s="20" t="s">
        <v>588</v>
      </c>
      <c r="B1944" s="20" t="s">
        <v>65</v>
      </c>
      <c r="C1944" s="20" t="s">
        <v>65</v>
      </c>
      <c r="D1944" s="20" t="s">
        <v>1219</v>
      </c>
      <c r="E1944" s="24">
        <v>1.2E-2</v>
      </c>
      <c r="F1944" s="24">
        <v>9.6000000000000002E-2</v>
      </c>
      <c r="G1944" s="22"/>
    </row>
    <row r="1945" spans="1:7" x14ac:dyDescent="0.25">
      <c r="A1945" s="20" t="s">
        <v>588</v>
      </c>
      <c r="B1945" s="20" t="s">
        <v>67</v>
      </c>
      <c r="C1945" s="20" t="s">
        <v>67</v>
      </c>
      <c r="D1945" s="20" t="s">
        <v>1219</v>
      </c>
      <c r="E1945" s="24">
        <v>1.073</v>
      </c>
      <c r="F1945" s="24">
        <v>8.5839999999999996</v>
      </c>
      <c r="G1945" s="22"/>
    </row>
    <row r="1946" spans="1:7" x14ac:dyDescent="0.25">
      <c r="A1946" s="20" t="s">
        <v>588</v>
      </c>
      <c r="B1946" s="20" t="s">
        <v>146</v>
      </c>
      <c r="C1946" s="20" t="s">
        <v>146</v>
      </c>
      <c r="D1946" s="20" t="s">
        <v>1219</v>
      </c>
      <c r="E1946" s="24">
        <v>1.0429999999999999</v>
      </c>
      <c r="F1946" s="24">
        <v>8.3439999999999994</v>
      </c>
      <c r="G1946" s="22"/>
    </row>
    <row r="1947" spans="1:7" x14ac:dyDescent="0.25">
      <c r="A1947" s="20" t="s">
        <v>588</v>
      </c>
      <c r="B1947" s="20" t="s">
        <v>155</v>
      </c>
      <c r="C1947" s="20" t="s">
        <v>155</v>
      </c>
      <c r="D1947" s="20" t="s">
        <v>1219</v>
      </c>
      <c r="E1947" s="24">
        <v>7.0000000000000001E-3</v>
      </c>
      <c r="F1947" s="24">
        <v>5.6000000000000001E-2</v>
      </c>
      <c r="G1947" s="22"/>
    </row>
    <row r="1948" spans="1:7" x14ac:dyDescent="0.25">
      <c r="A1948" s="20" t="s">
        <v>588</v>
      </c>
      <c r="B1948" s="20" t="s">
        <v>200</v>
      </c>
      <c r="C1948" s="20" t="s">
        <v>200</v>
      </c>
      <c r="D1948" s="20" t="s">
        <v>1219</v>
      </c>
      <c r="E1948" s="24">
        <v>2E-3</v>
      </c>
      <c r="F1948" s="24">
        <v>1.6E-2</v>
      </c>
      <c r="G1948" s="22"/>
    </row>
    <row r="1949" spans="1:7" x14ac:dyDescent="0.25">
      <c r="A1949" s="20" t="s">
        <v>588</v>
      </c>
      <c r="B1949" s="20" t="s">
        <v>215</v>
      </c>
      <c r="C1949" s="20" t="s">
        <v>215</v>
      </c>
      <c r="D1949" s="20" t="s">
        <v>1219</v>
      </c>
      <c r="E1949" s="24">
        <v>2.4E-2</v>
      </c>
      <c r="F1949" s="24">
        <v>0.192</v>
      </c>
      <c r="G1949" s="22"/>
    </row>
    <row r="1950" spans="1:7" x14ac:dyDescent="0.25">
      <c r="A1950" s="20" t="s">
        <v>588</v>
      </c>
      <c r="B1950" s="20" t="s">
        <v>111</v>
      </c>
      <c r="C1950" s="20" t="s">
        <v>111</v>
      </c>
      <c r="D1950" s="20" t="s">
        <v>1225</v>
      </c>
      <c r="E1950" s="25">
        <v>2.63</v>
      </c>
      <c r="F1950" s="25">
        <v>42.08</v>
      </c>
      <c r="G1950" s="22"/>
    </row>
    <row r="1951" spans="1:7" x14ac:dyDescent="0.25">
      <c r="A1951" s="20" t="s">
        <v>588</v>
      </c>
      <c r="B1951" s="20" t="s">
        <v>121</v>
      </c>
      <c r="C1951" s="20" t="s">
        <v>121</v>
      </c>
      <c r="D1951" s="20" t="s">
        <v>1226</v>
      </c>
      <c r="E1951" s="33">
        <v>0.9</v>
      </c>
      <c r="F1951" s="33">
        <v>7.2</v>
      </c>
      <c r="G1951" s="22"/>
    </row>
    <row r="1952" spans="1:7" x14ac:dyDescent="0.25">
      <c r="A1952" s="20" t="s">
        <v>588</v>
      </c>
      <c r="B1952" s="20" t="s">
        <v>121</v>
      </c>
      <c r="C1952" s="20" t="s">
        <v>121</v>
      </c>
      <c r="D1952" s="20" t="s">
        <v>1227</v>
      </c>
      <c r="E1952" s="25">
        <v>0.45</v>
      </c>
      <c r="F1952" s="33">
        <v>7.2</v>
      </c>
      <c r="G1952" s="22"/>
    </row>
    <row r="1953" spans="1:7" x14ac:dyDescent="0.25">
      <c r="A1953" s="20" t="s">
        <v>585</v>
      </c>
      <c r="B1953" s="20" t="s">
        <v>1228</v>
      </c>
      <c r="C1953" s="20" t="s">
        <v>1228</v>
      </c>
      <c r="D1953" s="20" t="s">
        <v>1180</v>
      </c>
      <c r="E1953" s="27">
        <v>1</v>
      </c>
      <c r="F1953" s="27">
        <v>2</v>
      </c>
      <c r="G1953" s="29">
        <v>4.0158199999999997</v>
      </c>
    </row>
    <row r="1954" spans="1:7" x14ac:dyDescent="0.25">
      <c r="A1954" s="20" t="s">
        <v>585</v>
      </c>
      <c r="B1954" s="20" t="s">
        <v>1229</v>
      </c>
      <c r="C1954" s="20" t="s">
        <v>1229</v>
      </c>
      <c r="D1954" s="20" t="s">
        <v>1180</v>
      </c>
      <c r="E1954" s="27">
        <v>1</v>
      </c>
      <c r="F1954" s="27">
        <v>2</v>
      </c>
      <c r="G1954" s="29">
        <v>32.684820000000002</v>
      </c>
    </row>
    <row r="1955" spans="1:7" ht="22.5" x14ac:dyDescent="0.25">
      <c r="A1955" s="20" t="s">
        <v>620</v>
      </c>
      <c r="B1955" s="20" t="s">
        <v>1230</v>
      </c>
      <c r="C1955" s="20" t="s">
        <v>305</v>
      </c>
      <c r="D1955" s="20" t="s">
        <v>1180</v>
      </c>
      <c r="E1955" s="27">
        <v>4</v>
      </c>
      <c r="F1955" s="27">
        <v>8</v>
      </c>
      <c r="G1955" s="35">
        <v>6.3E-2</v>
      </c>
    </row>
    <row r="1956" spans="1:7" ht="22.5" x14ac:dyDescent="0.25">
      <c r="A1956" s="20" t="s">
        <v>620</v>
      </c>
      <c r="B1956" s="20" t="s">
        <v>864</v>
      </c>
      <c r="C1956" s="20" t="s">
        <v>263</v>
      </c>
      <c r="D1956" s="20" t="s">
        <v>1180</v>
      </c>
      <c r="E1956" s="27">
        <v>4</v>
      </c>
      <c r="F1956" s="27">
        <v>8</v>
      </c>
      <c r="G1956" s="29">
        <v>1.567E-2</v>
      </c>
    </row>
    <row r="1957" spans="1:7" ht="22.5" x14ac:dyDescent="0.25">
      <c r="A1957" s="20" t="s">
        <v>620</v>
      </c>
      <c r="B1957" s="20" t="s">
        <v>865</v>
      </c>
      <c r="C1957" s="20" t="s">
        <v>264</v>
      </c>
      <c r="D1957" s="20" t="s">
        <v>1180</v>
      </c>
      <c r="E1957" s="27">
        <v>4</v>
      </c>
      <c r="F1957" s="27">
        <v>8</v>
      </c>
      <c r="G1957" s="29">
        <v>3.4499999999999999E-3</v>
      </c>
    </row>
    <row r="1958" spans="1:7" x14ac:dyDescent="0.25">
      <c r="A1958" s="20" t="s">
        <v>595</v>
      </c>
      <c r="B1958" s="20" t="s">
        <v>1222</v>
      </c>
      <c r="C1958" s="20" t="s">
        <v>1222</v>
      </c>
      <c r="D1958" s="20" t="s">
        <v>1231</v>
      </c>
      <c r="E1958" s="27">
        <v>2</v>
      </c>
      <c r="F1958" s="27">
        <v>16</v>
      </c>
      <c r="G1958" s="28">
        <v>7.1966000000000001</v>
      </c>
    </row>
    <row r="1959" spans="1:7" x14ac:dyDescent="0.25">
      <c r="A1959" s="20" t="s">
        <v>595</v>
      </c>
      <c r="B1959" s="20" t="s">
        <v>1223</v>
      </c>
      <c r="C1959" s="20" t="s">
        <v>1223</v>
      </c>
      <c r="D1959" s="20" t="s">
        <v>1231</v>
      </c>
      <c r="E1959" s="27">
        <v>2</v>
      </c>
      <c r="F1959" s="27">
        <v>16</v>
      </c>
      <c r="G1959" s="28">
        <v>1.0219</v>
      </c>
    </row>
    <row r="1960" spans="1:7" x14ac:dyDescent="0.25">
      <c r="A1960" s="20" t="s">
        <v>595</v>
      </c>
      <c r="B1960" s="20" t="s">
        <v>1224</v>
      </c>
      <c r="C1960" s="20" t="s">
        <v>1224</v>
      </c>
      <c r="D1960" s="20" t="s">
        <v>1231</v>
      </c>
      <c r="E1960" s="27">
        <v>4</v>
      </c>
      <c r="F1960" s="27">
        <v>32</v>
      </c>
      <c r="G1960" s="29">
        <v>0.16904</v>
      </c>
    </row>
    <row r="1961" spans="1:7" x14ac:dyDescent="0.25">
      <c r="A1961" s="20" t="s">
        <v>588</v>
      </c>
      <c r="B1961" s="20" t="s">
        <v>67</v>
      </c>
      <c r="C1961" s="20" t="s">
        <v>67</v>
      </c>
      <c r="D1961" s="20" t="s">
        <v>1231</v>
      </c>
      <c r="E1961" s="24">
        <v>0.16700000000000001</v>
      </c>
      <c r="F1961" s="24">
        <v>1.3360000000000001</v>
      </c>
      <c r="G1961" s="22"/>
    </row>
    <row r="1962" spans="1:7" x14ac:dyDescent="0.25">
      <c r="A1962" s="20" t="s">
        <v>588</v>
      </c>
      <c r="B1962" s="20" t="s">
        <v>146</v>
      </c>
      <c r="C1962" s="20" t="s">
        <v>146</v>
      </c>
      <c r="D1962" s="20" t="s">
        <v>1231</v>
      </c>
      <c r="E1962" s="24">
        <v>9.8000000000000004E-2</v>
      </c>
      <c r="F1962" s="24">
        <v>0.78400000000000003</v>
      </c>
      <c r="G1962" s="22"/>
    </row>
    <row r="1963" spans="1:7" x14ac:dyDescent="0.25">
      <c r="A1963" s="20" t="s">
        <v>595</v>
      </c>
      <c r="B1963" s="20" t="s">
        <v>1225</v>
      </c>
      <c r="C1963" s="20" t="s">
        <v>1225</v>
      </c>
      <c r="D1963" s="20" t="s">
        <v>1228</v>
      </c>
      <c r="E1963" s="27">
        <v>1</v>
      </c>
      <c r="F1963" s="27">
        <v>8</v>
      </c>
      <c r="G1963" s="29">
        <v>2.1058500000000002</v>
      </c>
    </row>
    <row r="1964" spans="1:7" x14ac:dyDescent="0.25">
      <c r="A1964" s="20" t="s">
        <v>595</v>
      </c>
      <c r="B1964" s="20" t="s">
        <v>1232</v>
      </c>
      <c r="C1964" s="20" t="s">
        <v>1232</v>
      </c>
      <c r="D1964" s="20" t="s">
        <v>1228</v>
      </c>
      <c r="E1964" s="27">
        <v>1</v>
      </c>
      <c r="F1964" s="27">
        <v>8</v>
      </c>
      <c r="G1964" s="29">
        <v>0.73148999999999997</v>
      </c>
    </row>
    <row r="1965" spans="1:7" x14ac:dyDescent="0.25">
      <c r="A1965" s="20" t="s">
        <v>595</v>
      </c>
      <c r="B1965" s="20" t="s">
        <v>1233</v>
      </c>
      <c r="C1965" s="20" t="s">
        <v>1233</v>
      </c>
      <c r="D1965" s="20" t="s">
        <v>1228</v>
      </c>
      <c r="E1965" s="27">
        <v>2</v>
      </c>
      <c r="F1965" s="27">
        <v>16</v>
      </c>
      <c r="G1965" s="29">
        <v>0.58923999999999999</v>
      </c>
    </row>
    <row r="1966" spans="1:7" x14ac:dyDescent="0.25">
      <c r="A1966" s="20" t="s">
        <v>588</v>
      </c>
      <c r="B1966" s="20" t="s">
        <v>65</v>
      </c>
      <c r="C1966" s="20" t="s">
        <v>65</v>
      </c>
      <c r="D1966" s="20" t="s">
        <v>1228</v>
      </c>
      <c r="E1966" s="24">
        <v>1.2999999999999999E-2</v>
      </c>
      <c r="F1966" s="24">
        <v>0.104</v>
      </c>
      <c r="G1966" s="22"/>
    </row>
    <row r="1967" spans="1:7" x14ac:dyDescent="0.25">
      <c r="A1967" s="20" t="s">
        <v>588</v>
      </c>
      <c r="B1967" s="20" t="s">
        <v>67</v>
      </c>
      <c r="C1967" s="20" t="s">
        <v>67</v>
      </c>
      <c r="D1967" s="20" t="s">
        <v>1228</v>
      </c>
      <c r="E1967" s="24">
        <v>4.7E-2</v>
      </c>
      <c r="F1967" s="24">
        <v>0.376</v>
      </c>
      <c r="G1967" s="22"/>
    </row>
    <row r="1968" spans="1:7" x14ac:dyDescent="0.25">
      <c r="A1968" s="20" t="s">
        <v>588</v>
      </c>
      <c r="B1968" s="20" t="s">
        <v>146</v>
      </c>
      <c r="C1968" s="20" t="s">
        <v>146</v>
      </c>
      <c r="D1968" s="20" t="s">
        <v>1228</v>
      </c>
      <c r="E1968" s="24">
        <v>6.0999999999999999E-2</v>
      </c>
      <c r="F1968" s="24">
        <v>0.48799999999999999</v>
      </c>
      <c r="G1968" s="22"/>
    </row>
    <row r="1969" spans="1:7" x14ac:dyDescent="0.25">
      <c r="A1969" s="20" t="s">
        <v>588</v>
      </c>
      <c r="B1969" s="20" t="s">
        <v>155</v>
      </c>
      <c r="C1969" s="20" t="s">
        <v>155</v>
      </c>
      <c r="D1969" s="20" t="s">
        <v>1228</v>
      </c>
      <c r="E1969" s="24">
        <v>8.0000000000000002E-3</v>
      </c>
      <c r="F1969" s="24">
        <v>6.4000000000000001E-2</v>
      </c>
      <c r="G1969" s="22"/>
    </row>
    <row r="1970" spans="1:7" x14ac:dyDescent="0.25">
      <c r="A1970" s="20" t="s">
        <v>588</v>
      </c>
      <c r="B1970" s="20" t="s">
        <v>200</v>
      </c>
      <c r="C1970" s="20" t="s">
        <v>200</v>
      </c>
      <c r="D1970" s="20" t="s">
        <v>1228</v>
      </c>
      <c r="E1970" s="24">
        <v>2E-3</v>
      </c>
      <c r="F1970" s="24">
        <v>1.6E-2</v>
      </c>
      <c r="G1970" s="22"/>
    </row>
    <row r="1971" spans="1:7" x14ac:dyDescent="0.25">
      <c r="A1971" s="20" t="s">
        <v>588</v>
      </c>
      <c r="B1971" s="20" t="s">
        <v>215</v>
      </c>
      <c r="C1971" s="20" t="s">
        <v>215</v>
      </c>
      <c r="D1971" s="20" t="s">
        <v>1228</v>
      </c>
      <c r="E1971" s="24">
        <v>2.5999999999999999E-2</v>
      </c>
      <c r="F1971" s="24">
        <v>0.20799999999999999</v>
      </c>
      <c r="G1971" s="22"/>
    </row>
    <row r="1972" spans="1:7" x14ac:dyDescent="0.25">
      <c r="A1972" s="20" t="s">
        <v>588</v>
      </c>
      <c r="B1972" s="20" t="s">
        <v>121</v>
      </c>
      <c r="C1972" s="20" t="s">
        <v>121</v>
      </c>
      <c r="D1972" s="20" t="s">
        <v>1232</v>
      </c>
      <c r="E1972" s="25">
        <v>0.88</v>
      </c>
      <c r="F1972" s="25">
        <v>7.04</v>
      </c>
      <c r="G1972" s="22"/>
    </row>
    <row r="1973" spans="1:7" x14ac:dyDescent="0.25">
      <c r="A1973" s="20" t="s">
        <v>588</v>
      </c>
      <c r="B1973" s="20" t="s">
        <v>121</v>
      </c>
      <c r="C1973" s="20" t="s">
        <v>121</v>
      </c>
      <c r="D1973" s="20" t="s">
        <v>1233</v>
      </c>
      <c r="E1973" s="25">
        <v>0.96</v>
      </c>
      <c r="F1973" s="25">
        <v>15.36</v>
      </c>
      <c r="G1973" s="22"/>
    </row>
    <row r="1974" spans="1:7" x14ac:dyDescent="0.25">
      <c r="A1974" s="20" t="s">
        <v>585</v>
      </c>
      <c r="B1974" s="20" t="s">
        <v>1231</v>
      </c>
      <c r="C1974" s="20" t="s">
        <v>1231</v>
      </c>
      <c r="D1974" s="20" t="s">
        <v>1229</v>
      </c>
      <c r="E1974" s="27">
        <v>1</v>
      </c>
      <c r="F1974" s="27">
        <v>2</v>
      </c>
      <c r="G1974" s="29">
        <v>17.11318</v>
      </c>
    </row>
    <row r="1975" spans="1:7" x14ac:dyDescent="0.25">
      <c r="A1975" s="20" t="s">
        <v>595</v>
      </c>
      <c r="B1975" s="20" t="s">
        <v>1234</v>
      </c>
      <c r="C1975" s="20" t="s">
        <v>1234</v>
      </c>
      <c r="D1975" s="20" t="s">
        <v>1229</v>
      </c>
      <c r="E1975" s="27">
        <v>1</v>
      </c>
      <c r="F1975" s="27">
        <v>2</v>
      </c>
      <c r="G1975" s="29">
        <v>9.6162600000000005</v>
      </c>
    </row>
    <row r="1976" spans="1:7" x14ac:dyDescent="0.25">
      <c r="A1976" s="20" t="s">
        <v>595</v>
      </c>
      <c r="B1976" s="20" t="s">
        <v>1235</v>
      </c>
      <c r="C1976" s="20" t="s">
        <v>1235</v>
      </c>
      <c r="D1976" s="20" t="s">
        <v>1229</v>
      </c>
      <c r="E1976" s="27">
        <v>2</v>
      </c>
      <c r="F1976" s="27">
        <v>4</v>
      </c>
      <c r="G1976" s="29">
        <v>1.7407699999999999</v>
      </c>
    </row>
    <row r="1977" spans="1:7" x14ac:dyDescent="0.25">
      <c r="A1977" s="20" t="s">
        <v>595</v>
      </c>
      <c r="B1977" s="20" t="s">
        <v>1236</v>
      </c>
      <c r="C1977" s="20" t="s">
        <v>1236</v>
      </c>
      <c r="D1977" s="20" t="s">
        <v>1229</v>
      </c>
      <c r="E1977" s="27">
        <v>1</v>
      </c>
      <c r="F1977" s="27">
        <v>2</v>
      </c>
      <c r="G1977" s="29">
        <v>1.03599</v>
      </c>
    </row>
    <row r="1978" spans="1:7" x14ac:dyDescent="0.25">
      <c r="A1978" s="20" t="s">
        <v>595</v>
      </c>
      <c r="B1978" s="20" t="s">
        <v>1237</v>
      </c>
      <c r="C1978" s="20" t="s">
        <v>1237</v>
      </c>
      <c r="D1978" s="20" t="s">
        <v>1229</v>
      </c>
      <c r="E1978" s="27">
        <v>1</v>
      </c>
      <c r="F1978" s="27">
        <v>2</v>
      </c>
      <c r="G1978" s="29">
        <v>0.94466000000000006</v>
      </c>
    </row>
    <row r="1979" spans="1:7" x14ac:dyDescent="0.25">
      <c r="A1979" s="20" t="s">
        <v>595</v>
      </c>
      <c r="B1979" s="20" t="s">
        <v>1238</v>
      </c>
      <c r="C1979" s="20" t="s">
        <v>1238</v>
      </c>
      <c r="D1979" s="20" t="s">
        <v>1229</v>
      </c>
      <c r="E1979" s="27">
        <v>1</v>
      </c>
      <c r="F1979" s="27">
        <v>2</v>
      </c>
      <c r="G1979" s="29">
        <v>0.48792000000000002</v>
      </c>
    </row>
    <row r="1980" spans="1:7" ht="22.5" x14ac:dyDescent="0.25">
      <c r="A1980" s="20" t="s">
        <v>620</v>
      </c>
      <c r="B1980" s="20" t="s">
        <v>966</v>
      </c>
      <c r="C1980" s="20" t="s">
        <v>271</v>
      </c>
      <c r="D1980" s="20" t="s">
        <v>1229</v>
      </c>
      <c r="E1980" s="27">
        <v>1</v>
      </c>
      <c r="F1980" s="27">
        <v>2</v>
      </c>
      <c r="G1980" s="29">
        <v>5.2700000000000004E-3</v>
      </c>
    </row>
    <row r="1981" spans="1:7" x14ac:dyDescent="0.25">
      <c r="A1981" s="20" t="s">
        <v>588</v>
      </c>
      <c r="B1981" s="20" t="s">
        <v>65</v>
      </c>
      <c r="C1981" s="20" t="s">
        <v>65</v>
      </c>
      <c r="D1981" s="20" t="s">
        <v>1229</v>
      </c>
      <c r="E1981" s="24">
        <v>0.158</v>
      </c>
      <c r="F1981" s="24">
        <v>0.316</v>
      </c>
      <c r="G1981" s="22"/>
    </row>
    <row r="1982" spans="1:7" x14ac:dyDescent="0.25">
      <c r="A1982" s="20" t="s">
        <v>588</v>
      </c>
      <c r="B1982" s="20" t="s">
        <v>67</v>
      </c>
      <c r="C1982" s="20" t="s">
        <v>67</v>
      </c>
      <c r="D1982" s="20" t="s">
        <v>1229</v>
      </c>
      <c r="E1982" s="24">
        <v>0.39900000000000002</v>
      </c>
      <c r="F1982" s="24">
        <v>0.79800000000000004</v>
      </c>
      <c r="G1982" s="22"/>
    </row>
    <row r="1983" spans="1:7" x14ac:dyDescent="0.25">
      <c r="A1983" s="20" t="s">
        <v>588</v>
      </c>
      <c r="B1983" s="20" t="s">
        <v>146</v>
      </c>
      <c r="C1983" s="20" t="s">
        <v>146</v>
      </c>
      <c r="D1983" s="20" t="s">
        <v>1229</v>
      </c>
      <c r="E1983" s="24">
        <v>0.23499999999999999</v>
      </c>
      <c r="F1983" s="25">
        <v>0.47</v>
      </c>
      <c r="G1983" s="22"/>
    </row>
    <row r="1984" spans="1:7" x14ac:dyDescent="0.25">
      <c r="A1984" s="20" t="s">
        <v>588</v>
      </c>
      <c r="B1984" s="20" t="s">
        <v>155</v>
      </c>
      <c r="C1984" s="20" t="s">
        <v>155</v>
      </c>
      <c r="D1984" s="20" t="s">
        <v>1229</v>
      </c>
      <c r="E1984" s="24">
        <v>4.7E-2</v>
      </c>
      <c r="F1984" s="24">
        <v>9.4E-2</v>
      </c>
      <c r="G1984" s="22"/>
    </row>
    <row r="1985" spans="1:7" x14ac:dyDescent="0.25">
      <c r="A1985" s="20" t="s">
        <v>588</v>
      </c>
      <c r="B1985" s="20" t="s">
        <v>200</v>
      </c>
      <c r="C1985" s="20" t="s">
        <v>200</v>
      </c>
      <c r="D1985" s="20" t="s">
        <v>1229</v>
      </c>
      <c r="E1985" s="24">
        <v>0.19800000000000001</v>
      </c>
      <c r="F1985" s="24">
        <v>0.39600000000000002</v>
      </c>
      <c r="G1985" s="22"/>
    </row>
    <row r="1986" spans="1:7" x14ac:dyDescent="0.25">
      <c r="A1986" s="20" t="s">
        <v>588</v>
      </c>
      <c r="B1986" s="20" t="s">
        <v>215</v>
      </c>
      <c r="C1986" s="20" t="s">
        <v>215</v>
      </c>
      <c r="D1986" s="20" t="s">
        <v>1229</v>
      </c>
      <c r="E1986" s="24">
        <v>0.316</v>
      </c>
      <c r="F1986" s="24">
        <v>0.63200000000000001</v>
      </c>
      <c r="G1986" s="22"/>
    </row>
    <row r="1987" spans="1:7" x14ac:dyDescent="0.25">
      <c r="A1987" s="20" t="s">
        <v>588</v>
      </c>
      <c r="B1987" s="20" t="s">
        <v>120</v>
      </c>
      <c r="C1987" s="20" t="s">
        <v>120</v>
      </c>
      <c r="D1987" s="20" t="s">
        <v>1234</v>
      </c>
      <c r="E1987" s="33">
        <v>13.6</v>
      </c>
      <c r="F1987" s="33">
        <v>27.2</v>
      </c>
      <c r="G1987" s="22"/>
    </row>
    <row r="1988" spans="1:7" x14ac:dyDescent="0.25">
      <c r="A1988" s="20" t="s">
        <v>588</v>
      </c>
      <c r="B1988" s="20" t="s">
        <v>178</v>
      </c>
      <c r="C1988" s="20" t="s">
        <v>178</v>
      </c>
      <c r="D1988" s="20" t="s">
        <v>1235</v>
      </c>
      <c r="E1988" s="25">
        <v>1.41</v>
      </c>
      <c r="F1988" s="25">
        <v>22.56</v>
      </c>
      <c r="G1988" s="22"/>
    </row>
    <row r="1989" spans="1:7" x14ac:dyDescent="0.25">
      <c r="A1989" s="20" t="s">
        <v>588</v>
      </c>
      <c r="B1989" s="20" t="s">
        <v>190</v>
      </c>
      <c r="C1989" s="20" t="s">
        <v>190</v>
      </c>
      <c r="D1989" s="20" t="s">
        <v>1236</v>
      </c>
      <c r="E1989" s="33">
        <v>1.1000000000000001</v>
      </c>
      <c r="F1989" s="33">
        <v>8.8000000000000007</v>
      </c>
      <c r="G1989" s="22"/>
    </row>
    <row r="1990" spans="1:7" x14ac:dyDescent="0.25">
      <c r="A1990" s="20" t="s">
        <v>588</v>
      </c>
      <c r="B1990" s="20" t="s">
        <v>117</v>
      </c>
      <c r="C1990" s="20" t="s">
        <v>117</v>
      </c>
      <c r="D1990" s="20" t="s">
        <v>1237</v>
      </c>
      <c r="E1990" s="25">
        <v>1.1499999999999999</v>
      </c>
      <c r="F1990" s="33">
        <v>2.2999999999999998</v>
      </c>
      <c r="G1990" s="22"/>
    </row>
    <row r="1991" spans="1:7" x14ac:dyDescent="0.25">
      <c r="A1991" s="20" t="s">
        <v>588</v>
      </c>
      <c r="B1991" s="20" t="s">
        <v>117</v>
      </c>
      <c r="C1991" s="20" t="s">
        <v>117</v>
      </c>
      <c r="D1991" s="20" t="s">
        <v>1238</v>
      </c>
      <c r="E1991" s="33">
        <v>0.6</v>
      </c>
      <c r="F1991" s="33">
        <v>4.8</v>
      </c>
      <c r="G1991" s="22"/>
    </row>
    <row r="1992" spans="1:7" x14ac:dyDescent="0.25">
      <c r="A1992" s="20" t="s">
        <v>585</v>
      </c>
      <c r="B1992" s="20" t="s">
        <v>1239</v>
      </c>
      <c r="C1992" s="20" t="s">
        <v>1239</v>
      </c>
      <c r="D1992" s="20" t="s">
        <v>1181</v>
      </c>
      <c r="E1992" s="27">
        <v>1</v>
      </c>
      <c r="F1992" s="27">
        <v>2</v>
      </c>
      <c r="G1992" s="29">
        <v>89.727519999999998</v>
      </c>
    </row>
    <row r="1993" spans="1:7" x14ac:dyDescent="0.25">
      <c r="A1993" s="20" t="s">
        <v>595</v>
      </c>
      <c r="B1993" s="20" t="s">
        <v>1240</v>
      </c>
      <c r="C1993" s="20" t="s">
        <v>1240</v>
      </c>
      <c r="D1993" s="20" t="s">
        <v>1181</v>
      </c>
      <c r="E1993" s="27">
        <v>1</v>
      </c>
      <c r="F1993" s="27">
        <v>2</v>
      </c>
      <c r="G1993" s="28">
        <v>5.2200000000000003E-2</v>
      </c>
    </row>
    <row r="1994" spans="1:7" x14ac:dyDescent="0.25">
      <c r="A1994" s="20" t="s">
        <v>597</v>
      </c>
      <c r="B1994" s="20" t="s">
        <v>24</v>
      </c>
      <c r="C1994" s="20" t="s">
        <v>24</v>
      </c>
      <c r="D1994" s="20" t="s">
        <v>1181</v>
      </c>
      <c r="E1994" s="27">
        <v>1</v>
      </c>
      <c r="F1994" s="27">
        <v>2</v>
      </c>
      <c r="G1994" s="29">
        <v>0.96411999999999998</v>
      </c>
    </row>
    <row r="1995" spans="1:7" x14ac:dyDescent="0.25">
      <c r="A1995" s="20" t="s">
        <v>597</v>
      </c>
      <c r="B1995" s="20" t="s">
        <v>28</v>
      </c>
      <c r="C1995" s="20" t="s">
        <v>28</v>
      </c>
      <c r="D1995" s="20" t="s">
        <v>1181</v>
      </c>
      <c r="E1995" s="27">
        <v>1</v>
      </c>
      <c r="F1995" s="27">
        <v>2</v>
      </c>
      <c r="G1995" s="29">
        <v>6.4595399999999996</v>
      </c>
    </row>
    <row r="1996" spans="1:7" x14ac:dyDescent="0.25">
      <c r="A1996" s="20" t="s">
        <v>597</v>
      </c>
      <c r="B1996" s="20" t="s">
        <v>40</v>
      </c>
      <c r="C1996" s="20" t="s">
        <v>40</v>
      </c>
      <c r="D1996" s="20" t="s">
        <v>1181</v>
      </c>
      <c r="E1996" s="27">
        <v>2</v>
      </c>
      <c r="F1996" s="27">
        <v>4</v>
      </c>
      <c r="G1996" s="34">
        <v>3.7</v>
      </c>
    </row>
    <row r="1997" spans="1:7" x14ac:dyDescent="0.25">
      <c r="A1997" s="20" t="s">
        <v>588</v>
      </c>
      <c r="B1997" s="20" t="s">
        <v>65</v>
      </c>
      <c r="C1997" s="20" t="s">
        <v>65</v>
      </c>
      <c r="D1997" s="20" t="s">
        <v>1181</v>
      </c>
      <c r="E1997" s="24">
        <v>0.48499999999999999</v>
      </c>
      <c r="F1997" s="25">
        <v>0.97</v>
      </c>
      <c r="G1997" s="22"/>
    </row>
    <row r="1998" spans="1:7" x14ac:dyDescent="0.25">
      <c r="A1998" s="20" t="s">
        <v>588</v>
      </c>
      <c r="B1998" s="20" t="s">
        <v>155</v>
      </c>
      <c r="C1998" s="20" t="s">
        <v>155</v>
      </c>
      <c r="D1998" s="20" t="s">
        <v>1181</v>
      </c>
      <c r="E1998" s="24">
        <v>0.14599999999999999</v>
      </c>
      <c r="F1998" s="24">
        <v>0.29199999999999998</v>
      </c>
      <c r="G1998" s="22"/>
    </row>
    <row r="1999" spans="1:7" x14ac:dyDescent="0.25">
      <c r="A1999" s="20" t="s">
        <v>588</v>
      </c>
      <c r="B1999" s="20" t="s">
        <v>200</v>
      </c>
      <c r="C1999" s="20" t="s">
        <v>200</v>
      </c>
      <c r="D1999" s="20" t="s">
        <v>1181</v>
      </c>
      <c r="E1999" s="24">
        <v>6.0999999999999999E-2</v>
      </c>
      <c r="F1999" s="24">
        <v>0.122</v>
      </c>
      <c r="G1999" s="22"/>
    </row>
    <row r="2000" spans="1:7" x14ac:dyDescent="0.25">
      <c r="A2000" s="20" t="s">
        <v>588</v>
      </c>
      <c r="B2000" s="20" t="s">
        <v>215</v>
      </c>
      <c r="C2000" s="20" t="s">
        <v>215</v>
      </c>
      <c r="D2000" s="20" t="s">
        <v>1181</v>
      </c>
      <c r="E2000" s="25">
        <v>0.97</v>
      </c>
      <c r="F2000" s="25">
        <v>1.94</v>
      </c>
      <c r="G2000" s="22"/>
    </row>
    <row r="2001" spans="1:7" x14ac:dyDescent="0.25">
      <c r="A2001" s="20" t="s">
        <v>595</v>
      </c>
      <c r="B2001" s="20" t="s">
        <v>1241</v>
      </c>
      <c r="C2001" s="20" t="s">
        <v>1241</v>
      </c>
      <c r="D2001" s="20" t="s">
        <v>1242</v>
      </c>
      <c r="E2001" s="27">
        <v>1</v>
      </c>
      <c r="F2001" s="27">
        <v>2</v>
      </c>
      <c r="G2001" s="29">
        <v>16.82422</v>
      </c>
    </row>
    <row r="2002" spans="1:7" x14ac:dyDescent="0.25">
      <c r="A2002" s="20" t="s">
        <v>595</v>
      </c>
      <c r="B2002" s="20" t="s">
        <v>1243</v>
      </c>
      <c r="C2002" s="20" t="s">
        <v>1243</v>
      </c>
      <c r="D2002" s="20" t="s">
        <v>1242</v>
      </c>
      <c r="E2002" s="27">
        <v>1</v>
      </c>
      <c r="F2002" s="27">
        <v>2</v>
      </c>
      <c r="G2002" s="28">
        <v>3.9093</v>
      </c>
    </row>
    <row r="2003" spans="1:7" x14ac:dyDescent="0.25">
      <c r="A2003" s="20" t="s">
        <v>595</v>
      </c>
      <c r="B2003" s="20" t="s">
        <v>1244</v>
      </c>
      <c r="C2003" s="20" t="s">
        <v>1244</v>
      </c>
      <c r="D2003" s="20" t="s">
        <v>1242</v>
      </c>
      <c r="E2003" s="27">
        <v>12</v>
      </c>
      <c r="F2003" s="27">
        <v>24</v>
      </c>
      <c r="G2003" s="28">
        <v>0.3372</v>
      </c>
    </row>
    <row r="2004" spans="1:7" x14ac:dyDescent="0.25">
      <c r="A2004" s="20" t="s">
        <v>595</v>
      </c>
      <c r="B2004" s="20" t="s">
        <v>1245</v>
      </c>
      <c r="C2004" s="20" t="s">
        <v>1245</v>
      </c>
      <c r="D2004" s="20" t="s">
        <v>1242</v>
      </c>
      <c r="E2004" s="27">
        <v>1</v>
      </c>
      <c r="F2004" s="27">
        <v>2</v>
      </c>
      <c r="G2004" s="29">
        <v>0.50365000000000004</v>
      </c>
    </row>
    <row r="2005" spans="1:7" x14ac:dyDescent="0.25">
      <c r="A2005" s="20" t="s">
        <v>588</v>
      </c>
      <c r="B2005" s="20" t="s">
        <v>67</v>
      </c>
      <c r="C2005" s="20" t="s">
        <v>67</v>
      </c>
      <c r="D2005" s="20" t="s">
        <v>1242</v>
      </c>
      <c r="E2005" s="24">
        <v>0.86699999999999999</v>
      </c>
      <c r="F2005" s="24">
        <v>1.734</v>
      </c>
      <c r="G2005" s="22"/>
    </row>
    <row r="2006" spans="1:7" x14ac:dyDescent="0.25">
      <c r="A2006" s="20" t="s">
        <v>588</v>
      </c>
      <c r="B2006" s="20" t="s">
        <v>146</v>
      </c>
      <c r="C2006" s="20" t="s">
        <v>146</v>
      </c>
      <c r="D2006" s="20" t="s">
        <v>1242</v>
      </c>
      <c r="E2006" s="25">
        <v>0.51</v>
      </c>
      <c r="F2006" s="25">
        <v>1.02</v>
      </c>
      <c r="G2006" s="22"/>
    </row>
    <row r="2007" spans="1:7" x14ac:dyDescent="0.25">
      <c r="A2007" s="20" t="s">
        <v>595</v>
      </c>
      <c r="B2007" s="20" t="s">
        <v>1241</v>
      </c>
      <c r="C2007" s="20" t="s">
        <v>1241</v>
      </c>
      <c r="D2007" s="20" t="s">
        <v>1246</v>
      </c>
      <c r="E2007" s="27">
        <v>1</v>
      </c>
      <c r="F2007" s="27">
        <v>2</v>
      </c>
      <c r="G2007" s="29">
        <v>16.82422</v>
      </c>
    </row>
    <row r="2008" spans="1:7" x14ac:dyDescent="0.25">
      <c r="A2008" s="20" t="s">
        <v>595</v>
      </c>
      <c r="B2008" s="20" t="s">
        <v>1243</v>
      </c>
      <c r="C2008" s="20" t="s">
        <v>1243</v>
      </c>
      <c r="D2008" s="20" t="s">
        <v>1246</v>
      </c>
      <c r="E2008" s="27">
        <v>1</v>
      </c>
      <c r="F2008" s="27">
        <v>2</v>
      </c>
      <c r="G2008" s="28">
        <v>3.9093</v>
      </c>
    </row>
    <row r="2009" spans="1:7" x14ac:dyDescent="0.25">
      <c r="A2009" s="20" t="s">
        <v>595</v>
      </c>
      <c r="B2009" s="20" t="s">
        <v>1244</v>
      </c>
      <c r="C2009" s="20" t="s">
        <v>1244</v>
      </c>
      <c r="D2009" s="20" t="s">
        <v>1246</v>
      </c>
      <c r="E2009" s="27">
        <v>12</v>
      </c>
      <c r="F2009" s="27">
        <v>24</v>
      </c>
      <c r="G2009" s="28">
        <v>0.3372</v>
      </c>
    </row>
    <row r="2010" spans="1:7" x14ac:dyDescent="0.25">
      <c r="A2010" s="20" t="s">
        <v>595</v>
      </c>
      <c r="B2010" s="20" t="s">
        <v>1245</v>
      </c>
      <c r="C2010" s="20" t="s">
        <v>1245</v>
      </c>
      <c r="D2010" s="20" t="s">
        <v>1246</v>
      </c>
      <c r="E2010" s="27">
        <v>1</v>
      </c>
      <c r="F2010" s="27">
        <v>2</v>
      </c>
      <c r="G2010" s="29">
        <v>0.50365000000000004</v>
      </c>
    </row>
    <row r="2011" spans="1:7" x14ac:dyDescent="0.25">
      <c r="A2011" s="20" t="s">
        <v>588</v>
      </c>
      <c r="B2011" s="20" t="s">
        <v>67</v>
      </c>
      <c r="C2011" s="20" t="s">
        <v>67</v>
      </c>
      <c r="D2011" s="20" t="s">
        <v>1246</v>
      </c>
      <c r="E2011" s="24">
        <v>0.86599999999999999</v>
      </c>
      <c r="F2011" s="24">
        <v>1.732</v>
      </c>
      <c r="G2011" s="22"/>
    </row>
    <row r="2012" spans="1:7" x14ac:dyDescent="0.25">
      <c r="A2012" s="20" t="s">
        <v>588</v>
      </c>
      <c r="B2012" s="20" t="s">
        <v>146</v>
      </c>
      <c r="C2012" s="20" t="s">
        <v>146</v>
      </c>
      <c r="D2012" s="20" t="s">
        <v>1246</v>
      </c>
      <c r="E2012" s="25">
        <v>0.51</v>
      </c>
      <c r="F2012" s="25">
        <v>1.02</v>
      </c>
      <c r="G2012" s="22"/>
    </row>
    <row r="2013" spans="1:7" x14ac:dyDescent="0.25">
      <c r="A2013" s="20" t="s">
        <v>588</v>
      </c>
      <c r="B2013" s="20" t="s">
        <v>119</v>
      </c>
      <c r="C2013" s="20" t="s">
        <v>119</v>
      </c>
      <c r="D2013" s="20" t="s">
        <v>1241</v>
      </c>
      <c r="E2013" s="25">
        <v>26.52</v>
      </c>
      <c r="F2013" s="25">
        <v>424.32</v>
      </c>
      <c r="G2013" s="22"/>
    </row>
    <row r="2014" spans="1:7" x14ac:dyDescent="0.25">
      <c r="A2014" s="20" t="s">
        <v>588</v>
      </c>
      <c r="B2014" s="20" t="s">
        <v>115</v>
      </c>
      <c r="C2014" s="20" t="s">
        <v>115</v>
      </c>
      <c r="D2014" s="20" t="s">
        <v>1243</v>
      </c>
      <c r="E2014" s="25">
        <v>13.26</v>
      </c>
      <c r="F2014" s="25">
        <v>212.16</v>
      </c>
      <c r="G2014" s="22"/>
    </row>
    <row r="2015" spans="1:7" x14ac:dyDescent="0.25">
      <c r="A2015" s="20" t="s">
        <v>588</v>
      </c>
      <c r="B2015" s="20" t="s">
        <v>115</v>
      </c>
      <c r="C2015" s="20" t="s">
        <v>115</v>
      </c>
      <c r="D2015" s="20" t="s">
        <v>1244</v>
      </c>
      <c r="E2015" s="26">
        <v>0.42237000000000002</v>
      </c>
      <c r="F2015" s="26">
        <v>20.273759999999999</v>
      </c>
      <c r="G2015" s="22"/>
    </row>
    <row r="2016" spans="1:7" x14ac:dyDescent="0.25">
      <c r="A2016" s="20" t="s">
        <v>588</v>
      </c>
      <c r="B2016" s="20" t="s">
        <v>113</v>
      </c>
      <c r="C2016" s="20" t="s">
        <v>113</v>
      </c>
      <c r="D2016" s="20" t="s">
        <v>1245</v>
      </c>
      <c r="E2016" s="26">
        <v>0.60438999999999998</v>
      </c>
      <c r="F2016" s="26">
        <v>9.6702399999999997</v>
      </c>
      <c r="G2016" s="22"/>
    </row>
    <row r="2017" spans="1:7" x14ac:dyDescent="0.25">
      <c r="A2017" s="20" t="s">
        <v>595</v>
      </c>
      <c r="B2017" s="20" t="s">
        <v>1247</v>
      </c>
      <c r="C2017" s="20" t="s">
        <v>1247</v>
      </c>
      <c r="D2017" s="20" t="s">
        <v>1248</v>
      </c>
      <c r="E2017" s="27">
        <v>1</v>
      </c>
      <c r="F2017" s="27">
        <v>16</v>
      </c>
      <c r="G2017" s="29">
        <v>1.5668500000000001</v>
      </c>
    </row>
    <row r="2018" spans="1:7" x14ac:dyDescent="0.25">
      <c r="A2018" s="20" t="s">
        <v>595</v>
      </c>
      <c r="B2018" s="20" t="s">
        <v>1249</v>
      </c>
      <c r="C2018" s="20" t="s">
        <v>1249</v>
      </c>
      <c r="D2018" s="20" t="s">
        <v>1248</v>
      </c>
      <c r="E2018" s="27">
        <v>1</v>
      </c>
      <c r="F2018" s="27">
        <v>16</v>
      </c>
      <c r="G2018" s="29">
        <v>4.9717599999999997</v>
      </c>
    </row>
    <row r="2019" spans="1:7" x14ac:dyDescent="0.25">
      <c r="A2019" s="20" t="s">
        <v>588</v>
      </c>
      <c r="B2019" s="20" t="s">
        <v>67</v>
      </c>
      <c r="C2019" s="20" t="s">
        <v>67</v>
      </c>
      <c r="D2019" s="20" t="s">
        <v>1248</v>
      </c>
      <c r="E2019" s="24">
        <v>0.10199999999999999</v>
      </c>
      <c r="F2019" s="24">
        <v>1.6319999999999999</v>
      </c>
      <c r="G2019" s="22"/>
    </row>
    <row r="2020" spans="1:7" x14ac:dyDescent="0.25">
      <c r="A2020" s="20" t="s">
        <v>588</v>
      </c>
      <c r="B2020" s="20" t="s">
        <v>146</v>
      </c>
      <c r="C2020" s="20" t="s">
        <v>146</v>
      </c>
      <c r="D2020" s="20" t="s">
        <v>1248</v>
      </c>
      <c r="E2020" s="25">
        <v>0.06</v>
      </c>
      <c r="F2020" s="25">
        <v>0.96</v>
      </c>
      <c r="G2020" s="22"/>
    </row>
    <row r="2021" spans="1:7" x14ac:dyDescent="0.25">
      <c r="A2021" s="20" t="s">
        <v>588</v>
      </c>
      <c r="B2021" s="20" t="s">
        <v>79</v>
      </c>
      <c r="C2021" s="20" t="s">
        <v>79</v>
      </c>
      <c r="D2021" s="20" t="s">
        <v>1247</v>
      </c>
      <c r="E2021" s="33">
        <v>4.2</v>
      </c>
      <c r="F2021" s="33">
        <v>67.2</v>
      </c>
      <c r="G2021" s="22"/>
    </row>
    <row r="2022" spans="1:7" x14ac:dyDescent="0.25">
      <c r="A2022" s="20" t="s">
        <v>588</v>
      </c>
      <c r="B2022" s="20" t="s">
        <v>811</v>
      </c>
      <c r="C2022" s="20" t="s">
        <v>257</v>
      </c>
      <c r="D2022" s="20" t="s">
        <v>1249</v>
      </c>
      <c r="E2022" s="25">
        <v>9.42</v>
      </c>
      <c r="F2022" s="25">
        <v>150.72</v>
      </c>
      <c r="G2022" s="22"/>
    </row>
    <row r="2023" spans="1:7" x14ac:dyDescent="0.25">
      <c r="A2023" s="20" t="s">
        <v>585</v>
      </c>
      <c r="B2023" s="20" t="s">
        <v>1242</v>
      </c>
      <c r="C2023" s="20" t="s">
        <v>1242</v>
      </c>
      <c r="D2023" s="20" t="s">
        <v>1239</v>
      </c>
      <c r="E2023" s="27">
        <v>1</v>
      </c>
      <c r="F2023" s="27">
        <v>2</v>
      </c>
      <c r="G2023" s="29">
        <v>25.28351</v>
      </c>
    </row>
    <row r="2024" spans="1:7" x14ac:dyDescent="0.25">
      <c r="A2024" s="20" t="s">
        <v>585</v>
      </c>
      <c r="B2024" s="20" t="s">
        <v>1246</v>
      </c>
      <c r="C2024" s="20" t="s">
        <v>1246</v>
      </c>
      <c r="D2024" s="20" t="s">
        <v>1239</v>
      </c>
      <c r="E2024" s="27">
        <v>1</v>
      </c>
      <c r="F2024" s="27">
        <v>2</v>
      </c>
      <c r="G2024" s="29">
        <v>25.28351</v>
      </c>
    </row>
    <row r="2025" spans="1:7" x14ac:dyDescent="0.25">
      <c r="A2025" s="20" t="s">
        <v>585</v>
      </c>
      <c r="B2025" s="20" t="s">
        <v>1248</v>
      </c>
      <c r="C2025" s="20" t="s">
        <v>1248</v>
      </c>
      <c r="D2025" s="20" t="s">
        <v>1239</v>
      </c>
      <c r="E2025" s="27">
        <v>2</v>
      </c>
      <c r="F2025" s="27">
        <v>4</v>
      </c>
      <c r="G2025" s="29">
        <v>6.5386100000000003</v>
      </c>
    </row>
    <row r="2026" spans="1:7" x14ac:dyDescent="0.25">
      <c r="A2026" s="20" t="s">
        <v>595</v>
      </c>
      <c r="B2026" s="20" t="s">
        <v>1250</v>
      </c>
      <c r="C2026" s="20" t="s">
        <v>1250</v>
      </c>
      <c r="D2026" s="20" t="s">
        <v>1239</v>
      </c>
      <c r="E2026" s="27">
        <v>1</v>
      </c>
      <c r="F2026" s="27">
        <v>2</v>
      </c>
      <c r="G2026" s="29">
        <v>22.470680000000002</v>
      </c>
    </row>
    <row r="2027" spans="1:7" x14ac:dyDescent="0.25">
      <c r="A2027" s="20" t="s">
        <v>595</v>
      </c>
      <c r="B2027" s="20" t="s">
        <v>1251</v>
      </c>
      <c r="C2027" s="20" t="s">
        <v>1251</v>
      </c>
      <c r="D2027" s="20" t="s">
        <v>1239</v>
      </c>
      <c r="E2027" s="27">
        <v>2</v>
      </c>
      <c r="F2027" s="27">
        <v>4</v>
      </c>
      <c r="G2027" s="28">
        <v>1.5804</v>
      </c>
    </row>
    <row r="2028" spans="1:7" x14ac:dyDescent="0.25">
      <c r="A2028" s="20" t="s">
        <v>595</v>
      </c>
      <c r="B2028" s="20" t="s">
        <v>705</v>
      </c>
      <c r="C2028" s="20" t="s">
        <v>705</v>
      </c>
      <c r="D2028" s="20" t="s">
        <v>1239</v>
      </c>
      <c r="E2028" s="27">
        <v>2</v>
      </c>
      <c r="F2028" s="27">
        <v>4</v>
      </c>
      <c r="G2028" s="29">
        <v>7.4569999999999997E-2</v>
      </c>
    </row>
    <row r="2029" spans="1:7" ht="22.5" x14ac:dyDescent="0.25">
      <c r="A2029" s="20" t="s">
        <v>620</v>
      </c>
      <c r="B2029" s="20" t="s">
        <v>761</v>
      </c>
      <c r="C2029" s="20" t="s">
        <v>255</v>
      </c>
      <c r="D2029" s="20" t="s">
        <v>1239</v>
      </c>
      <c r="E2029" s="27">
        <v>8</v>
      </c>
      <c r="F2029" s="27">
        <v>16</v>
      </c>
      <c r="G2029" s="29">
        <v>3.696E-2</v>
      </c>
    </row>
    <row r="2030" spans="1:7" ht="22.5" x14ac:dyDescent="0.25">
      <c r="A2030" s="20" t="s">
        <v>620</v>
      </c>
      <c r="B2030" s="20" t="s">
        <v>767</v>
      </c>
      <c r="C2030" s="20" t="s">
        <v>249</v>
      </c>
      <c r="D2030" s="20" t="s">
        <v>1239</v>
      </c>
      <c r="E2030" s="27">
        <v>8</v>
      </c>
      <c r="F2030" s="27">
        <v>16</v>
      </c>
      <c r="G2030" s="29">
        <v>2.0100000000000001E-3</v>
      </c>
    </row>
    <row r="2031" spans="1:7" ht="22.5" x14ac:dyDescent="0.25">
      <c r="A2031" s="20" t="s">
        <v>620</v>
      </c>
      <c r="B2031" s="20" t="s">
        <v>768</v>
      </c>
      <c r="C2031" s="20" t="s">
        <v>248</v>
      </c>
      <c r="D2031" s="20" t="s">
        <v>1239</v>
      </c>
      <c r="E2031" s="27">
        <v>8</v>
      </c>
      <c r="F2031" s="27">
        <v>16</v>
      </c>
      <c r="G2031" s="29">
        <v>3.4399999999999999E-3</v>
      </c>
    </row>
    <row r="2032" spans="1:7" x14ac:dyDescent="0.25">
      <c r="A2032" s="20" t="s">
        <v>588</v>
      </c>
      <c r="B2032" s="20" t="s">
        <v>67</v>
      </c>
      <c r="C2032" s="20" t="s">
        <v>67</v>
      </c>
      <c r="D2032" s="20" t="s">
        <v>1239</v>
      </c>
      <c r="E2032" s="24">
        <v>0.13800000000000001</v>
      </c>
      <c r="F2032" s="24">
        <v>0.27600000000000002</v>
      </c>
      <c r="G2032" s="22"/>
    </row>
    <row r="2033" spans="1:7" x14ac:dyDescent="0.25">
      <c r="A2033" s="20" t="s">
        <v>588</v>
      </c>
      <c r="B2033" s="20" t="s">
        <v>146</v>
      </c>
      <c r="C2033" s="20" t="s">
        <v>146</v>
      </c>
      <c r="D2033" s="20" t="s">
        <v>1239</v>
      </c>
      <c r="E2033" s="24">
        <v>0.23400000000000001</v>
      </c>
      <c r="F2033" s="24">
        <v>0.46800000000000003</v>
      </c>
      <c r="G2033" s="22"/>
    </row>
    <row r="2034" spans="1:7" x14ac:dyDescent="0.25">
      <c r="A2034" s="20" t="s">
        <v>588</v>
      </c>
      <c r="B2034" s="20" t="s">
        <v>100</v>
      </c>
      <c r="C2034" s="20" t="s">
        <v>100</v>
      </c>
      <c r="D2034" s="20" t="s">
        <v>1250</v>
      </c>
      <c r="E2034" s="24">
        <v>27.582000000000001</v>
      </c>
      <c r="F2034" s="24">
        <v>55.164000000000001</v>
      </c>
      <c r="G2034" s="22"/>
    </row>
    <row r="2035" spans="1:7" x14ac:dyDescent="0.25">
      <c r="A2035" s="20" t="s">
        <v>588</v>
      </c>
      <c r="B2035" s="20" t="s">
        <v>80</v>
      </c>
      <c r="C2035" s="20" t="s">
        <v>80</v>
      </c>
      <c r="D2035" s="20" t="s">
        <v>1251</v>
      </c>
      <c r="E2035" s="25">
        <v>6.53</v>
      </c>
      <c r="F2035" s="25">
        <v>104.48</v>
      </c>
      <c r="G2035" s="22"/>
    </row>
    <row r="2036" spans="1:7" x14ac:dyDescent="0.25">
      <c r="A2036" s="20" t="s">
        <v>595</v>
      </c>
      <c r="B2036" s="20" t="s">
        <v>1252</v>
      </c>
      <c r="C2036" s="20" t="s">
        <v>1252</v>
      </c>
      <c r="D2036" s="20" t="s">
        <v>1182</v>
      </c>
      <c r="E2036" s="27">
        <v>1</v>
      </c>
      <c r="F2036" s="27">
        <v>2</v>
      </c>
      <c r="G2036" s="29">
        <v>7.0923600000000002</v>
      </c>
    </row>
    <row r="2037" spans="1:7" x14ac:dyDescent="0.25">
      <c r="A2037" s="20" t="s">
        <v>595</v>
      </c>
      <c r="B2037" s="20" t="s">
        <v>1253</v>
      </c>
      <c r="C2037" s="20" t="s">
        <v>1253</v>
      </c>
      <c r="D2037" s="20" t="s">
        <v>1182</v>
      </c>
      <c r="E2037" s="27">
        <v>4</v>
      </c>
      <c r="F2037" s="27">
        <v>8</v>
      </c>
      <c r="G2037" s="28">
        <v>0.28660000000000002</v>
      </c>
    </row>
    <row r="2038" spans="1:7" x14ac:dyDescent="0.25">
      <c r="A2038" s="20" t="s">
        <v>588</v>
      </c>
      <c r="B2038" s="20" t="s">
        <v>65</v>
      </c>
      <c r="C2038" s="20" t="s">
        <v>65</v>
      </c>
      <c r="D2038" s="20" t="s">
        <v>1182</v>
      </c>
      <c r="E2038" s="25">
        <v>0.04</v>
      </c>
      <c r="F2038" s="25">
        <v>0.08</v>
      </c>
      <c r="G2038" s="22"/>
    </row>
    <row r="2039" spans="1:7" x14ac:dyDescent="0.25">
      <c r="A2039" s="20" t="s">
        <v>588</v>
      </c>
      <c r="B2039" s="20" t="s">
        <v>67</v>
      </c>
      <c r="C2039" s="20" t="s">
        <v>67</v>
      </c>
      <c r="D2039" s="20" t="s">
        <v>1182</v>
      </c>
      <c r="E2039" s="24">
        <v>4.2000000000000003E-2</v>
      </c>
      <c r="F2039" s="24">
        <v>8.4000000000000005E-2</v>
      </c>
      <c r="G2039" s="22"/>
    </row>
    <row r="2040" spans="1:7" x14ac:dyDescent="0.25">
      <c r="A2040" s="20" t="s">
        <v>588</v>
      </c>
      <c r="B2040" s="20" t="s">
        <v>146</v>
      </c>
      <c r="C2040" s="20" t="s">
        <v>146</v>
      </c>
      <c r="D2040" s="20" t="s">
        <v>1182</v>
      </c>
      <c r="E2040" s="24">
        <v>2.5000000000000001E-2</v>
      </c>
      <c r="F2040" s="25">
        <v>0.05</v>
      </c>
      <c r="G2040" s="22"/>
    </row>
    <row r="2041" spans="1:7" x14ac:dyDescent="0.25">
      <c r="A2041" s="20" t="s">
        <v>588</v>
      </c>
      <c r="B2041" s="20" t="s">
        <v>155</v>
      </c>
      <c r="C2041" s="20" t="s">
        <v>155</v>
      </c>
      <c r="D2041" s="20" t="s">
        <v>1182</v>
      </c>
      <c r="E2041" s="24">
        <v>2.4E-2</v>
      </c>
      <c r="F2041" s="24">
        <v>4.8000000000000001E-2</v>
      </c>
      <c r="G2041" s="22"/>
    </row>
    <row r="2042" spans="1:7" x14ac:dyDescent="0.25">
      <c r="A2042" s="20" t="s">
        <v>588</v>
      </c>
      <c r="B2042" s="20" t="s">
        <v>156</v>
      </c>
      <c r="C2042" s="20" t="s">
        <v>156</v>
      </c>
      <c r="D2042" s="20" t="s">
        <v>1182</v>
      </c>
      <c r="E2042" s="24">
        <v>3.4000000000000002E-2</v>
      </c>
      <c r="F2042" s="24">
        <v>6.8000000000000005E-2</v>
      </c>
      <c r="G2042" s="22"/>
    </row>
    <row r="2043" spans="1:7" x14ac:dyDescent="0.25">
      <c r="A2043" s="20" t="s">
        <v>588</v>
      </c>
      <c r="B2043" s="20" t="s">
        <v>215</v>
      </c>
      <c r="C2043" s="20" t="s">
        <v>215</v>
      </c>
      <c r="D2043" s="20" t="s">
        <v>1182</v>
      </c>
      <c r="E2043" s="25">
        <v>0.08</v>
      </c>
      <c r="F2043" s="25">
        <v>0.16</v>
      </c>
      <c r="G2043" s="22"/>
    </row>
    <row r="2044" spans="1:7" x14ac:dyDescent="0.25">
      <c r="A2044" s="20" t="s">
        <v>588</v>
      </c>
      <c r="B2044" s="20" t="s">
        <v>122</v>
      </c>
      <c r="C2044" s="20" t="s">
        <v>122</v>
      </c>
      <c r="D2044" s="20" t="s">
        <v>1252</v>
      </c>
      <c r="E2044" s="25">
        <v>8.7100000000000009</v>
      </c>
      <c r="F2044" s="25">
        <v>17.420000000000002</v>
      </c>
      <c r="G2044" s="22"/>
    </row>
    <row r="2045" spans="1:7" x14ac:dyDescent="0.25">
      <c r="A2045" s="20" t="s">
        <v>588</v>
      </c>
      <c r="B2045" s="20" t="s">
        <v>1254</v>
      </c>
      <c r="C2045" s="20" t="s">
        <v>306</v>
      </c>
      <c r="D2045" s="20" t="s">
        <v>1253</v>
      </c>
      <c r="E2045" s="24">
        <v>0.125</v>
      </c>
      <c r="F2045" s="27">
        <v>1</v>
      </c>
      <c r="G2045" s="22"/>
    </row>
    <row r="2046" spans="1:7" x14ac:dyDescent="0.25">
      <c r="A2046" s="20" t="s">
        <v>595</v>
      </c>
      <c r="B2046" s="20" t="s">
        <v>1255</v>
      </c>
      <c r="C2046" s="20" t="s">
        <v>1255</v>
      </c>
      <c r="D2046" s="20" t="s">
        <v>1183</v>
      </c>
      <c r="E2046" s="27">
        <v>1</v>
      </c>
      <c r="F2046" s="27">
        <v>8</v>
      </c>
      <c r="G2046" s="29">
        <v>7.4910000000000004E-2</v>
      </c>
    </row>
    <row r="2047" spans="1:7" x14ac:dyDescent="0.25">
      <c r="A2047" s="20" t="s">
        <v>595</v>
      </c>
      <c r="B2047" s="20" t="s">
        <v>1256</v>
      </c>
      <c r="C2047" s="20" t="s">
        <v>1256</v>
      </c>
      <c r="D2047" s="20" t="s">
        <v>1183</v>
      </c>
      <c r="E2047" s="27">
        <v>3</v>
      </c>
      <c r="F2047" s="27">
        <v>24</v>
      </c>
      <c r="G2047" s="29">
        <v>4.4080000000000001E-2</v>
      </c>
    </row>
    <row r="2048" spans="1:7" x14ac:dyDescent="0.25">
      <c r="A2048" s="20" t="s">
        <v>595</v>
      </c>
      <c r="B2048" s="20" t="s">
        <v>1257</v>
      </c>
      <c r="C2048" s="20" t="s">
        <v>1257</v>
      </c>
      <c r="D2048" s="20" t="s">
        <v>1183</v>
      </c>
      <c r="E2048" s="27">
        <v>2</v>
      </c>
      <c r="F2048" s="27">
        <v>16</v>
      </c>
      <c r="G2048" s="29">
        <v>1.324E-2</v>
      </c>
    </row>
    <row r="2049" spans="1:7" x14ac:dyDescent="0.25">
      <c r="A2049" s="20" t="s">
        <v>595</v>
      </c>
      <c r="B2049" s="20" t="s">
        <v>1258</v>
      </c>
      <c r="C2049" s="20" t="s">
        <v>1258</v>
      </c>
      <c r="D2049" s="20" t="s">
        <v>1183</v>
      </c>
      <c r="E2049" s="27">
        <v>1</v>
      </c>
      <c r="F2049" s="27">
        <v>8</v>
      </c>
      <c r="G2049" s="29">
        <v>8.1750000000000003E-2</v>
      </c>
    </row>
    <row r="2050" spans="1:7" x14ac:dyDescent="0.25">
      <c r="A2050" s="20" t="s">
        <v>595</v>
      </c>
      <c r="B2050" s="20" t="s">
        <v>1259</v>
      </c>
      <c r="C2050" s="20" t="s">
        <v>1259</v>
      </c>
      <c r="D2050" s="20" t="s">
        <v>1183</v>
      </c>
      <c r="E2050" s="27">
        <v>5</v>
      </c>
      <c r="F2050" s="27">
        <v>40</v>
      </c>
      <c r="G2050" s="29">
        <v>3.7220000000000003E-2</v>
      </c>
    </row>
    <row r="2051" spans="1:7" x14ac:dyDescent="0.25">
      <c r="A2051" s="20" t="s">
        <v>595</v>
      </c>
      <c r="B2051" s="20" t="s">
        <v>1260</v>
      </c>
      <c r="C2051" s="20" t="s">
        <v>1260</v>
      </c>
      <c r="D2051" s="20" t="s">
        <v>1183</v>
      </c>
      <c r="E2051" s="27">
        <v>1</v>
      </c>
      <c r="F2051" s="27">
        <v>8</v>
      </c>
      <c r="G2051" s="29">
        <v>5.0630000000000001E-2</v>
      </c>
    </row>
    <row r="2052" spans="1:7" x14ac:dyDescent="0.25">
      <c r="A2052" s="20" t="s">
        <v>595</v>
      </c>
      <c r="B2052" s="20" t="s">
        <v>1261</v>
      </c>
      <c r="C2052" s="20" t="s">
        <v>1261</v>
      </c>
      <c r="D2052" s="20" t="s">
        <v>1183</v>
      </c>
      <c r="E2052" s="27">
        <v>1</v>
      </c>
      <c r="F2052" s="27">
        <v>8</v>
      </c>
      <c r="G2052" s="29">
        <v>7.1069999999999994E-2</v>
      </c>
    </row>
    <row r="2053" spans="1:7" x14ac:dyDescent="0.25">
      <c r="A2053" s="20" t="s">
        <v>595</v>
      </c>
      <c r="B2053" s="20" t="s">
        <v>1262</v>
      </c>
      <c r="C2053" s="20" t="s">
        <v>1262</v>
      </c>
      <c r="D2053" s="20" t="s">
        <v>1183</v>
      </c>
      <c r="E2053" s="27">
        <v>1</v>
      </c>
      <c r="F2053" s="27">
        <v>8</v>
      </c>
      <c r="G2053" s="28">
        <v>9.1200000000000003E-2</v>
      </c>
    </row>
    <row r="2054" spans="1:7" x14ac:dyDescent="0.25">
      <c r="A2054" s="20" t="s">
        <v>595</v>
      </c>
      <c r="B2054" s="20" t="s">
        <v>1263</v>
      </c>
      <c r="C2054" s="20" t="s">
        <v>1263</v>
      </c>
      <c r="D2054" s="20" t="s">
        <v>1183</v>
      </c>
      <c r="E2054" s="27">
        <v>1</v>
      </c>
      <c r="F2054" s="27">
        <v>8</v>
      </c>
      <c r="G2054" s="29">
        <v>0.11194999999999999</v>
      </c>
    </row>
    <row r="2055" spans="1:7" x14ac:dyDescent="0.25">
      <c r="A2055" s="20" t="s">
        <v>595</v>
      </c>
      <c r="B2055" s="20" t="s">
        <v>1264</v>
      </c>
      <c r="C2055" s="20" t="s">
        <v>1264</v>
      </c>
      <c r="D2055" s="20" t="s">
        <v>1183</v>
      </c>
      <c r="E2055" s="27">
        <v>1</v>
      </c>
      <c r="F2055" s="27">
        <v>8</v>
      </c>
      <c r="G2055" s="28">
        <v>0.13270000000000001</v>
      </c>
    </row>
    <row r="2056" spans="1:7" x14ac:dyDescent="0.25">
      <c r="A2056" s="20" t="s">
        <v>595</v>
      </c>
      <c r="B2056" s="20" t="s">
        <v>1265</v>
      </c>
      <c r="C2056" s="20" t="s">
        <v>1265</v>
      </c>
      <c r="D2056" s="20" t="s">
        <v>1183</v>
      </c>
      <c r="E2056" s="27">
        <v>1</v>
      </c>
      <c r="F2056" s="27">
        <v>8</v>
      </c>
      <c r="G2056" s="29">
        <v>0.15175</v>
      </c>
    </row>
    <row r="2057" spans="1:7" x14ac:dyDescent="0.25">
      <c r="A2057" s="20" t="s">
        <v>595</v>
      </c>
      <c r="B2057" s="20" t="s">
        <v>1266</v>
      </c>
      <c r="C2057" s="20" t="s">
        <v>1266</v>
      </c>
      <c r="D2057" s="20" t="s">
        <v>1183</v>
      </c>
      <c r="E2057" s="27">
        <v>1</v>
      </c>
      <c r="F2057" s="27">
        <v>8</v>
      </c>
      <c r="G2057" s="29">
        <v>0.16536999999999999</v>
      </c>
    </row>
    <row r="2058" spans="1:7" x14ac:dyDescent="0.25">
      <c r="A2058" s="20" t="s">
        <v>595</v>
      </c>
      <c r="B2058" s="20" t="s">
        <v>1267</v>
      </c>
      <c r="C2058" s="20" t="s">
        <v>1267</v>
      </c>
      <c r="D2058" s="20" t="s">
        <v>1183</v>
      </c>
      <c r="E2058" s="27">
        <v>1</v>
      </c>
      <c r="F2058" s="27">
        <v>8</v>
      </c>
      <c r="G2058" s="29">
        <v>0.18024000000000001</v>
      </c>
    </row>
    <row r="2059" spans="1:7" x14ac:dyDescent="0.25">
      <c r="A2059" s="20" t="s">
        <v>595</v>
      </c>
      <c r="B2059" s="20" t="s">
        <v>1268</v>
      </c>
      <c r="C2059" s="20" t="s">
        <v>1268</v>
      </c>
      <c r="D2059" s="20" t="s">
        <v>1183</v>
      </c>
      <c r="E2059" s="27">
        <v>1</v>
      </c>
      <c r="F2059" s="27">
        <v>8</v>
      </c>
      <c r="G2059" s="28">
        <v>0.1951</v>
      </c>
    </row>
    <row r="2060" spans="1:7" x14ac:dyDescent="0.25">
      <c r="A2060" s="20" t="s">
        <v>595</v>
      </c>
      <c r="B2060" s="20" t="s">
        <v>1269</v>
      </c>
      <c r="C2060" s="20" t="s">
        <v>1269</v>
      </c>
      <c r="D2060" s="20" t="s">
        <v>1183</v>
      </c>
      <c r="E2060" s="27">
        <v>1</v>
      </c>
      <c r="F2060" s="27">
        <v>8</v>
      </c>
      <c r="G2060" s="29">
        <v>0.21027999999999999</v>
      </c>
    </row>
    <row r="2061" spans="1:7" x14ac:dyDescent="0.25">
      <c r="A2061" s="20" t="s">
        <v>595</v>
      </c>
      <c r="B2061" s="20" t="s">
        <v>1270</v>
      </c>
      <c r="C2061" s="20" t="s">
        <v>1270</v>
      </c>
      <c r="D2061" s="20" t="s">
        <v>1183</v>
      </c>
      <c r="E2061" s="27">
        <v>1</v>
      </c>
      <c r="F2061" s="27">
        <v>8</v>
      </c>
      <c r="G2061" s="29">
        <v>0.22453000000000001</v>
      </c>
    </row>
    <row r="2062" spans="1:7" x14ac:dyDescent="0.25">
      <c r="A2062" s="20" t="s">
        <v>595</v>
      </c>
      <c r="B2062" s="20" t="s">
        <v>1271</v>
      </c>
      <c r="C2062" s="20" t="s">
        <v>1271</v>
      </c>
      <c r="D2062" s="20" t="s">
        <v>1183</v>
      </c>
      <c r="E2062" s="27">
        <v>2</v>
      </c>
      <c r="F2062" s="27">
        <v>16</v>
      </c>
      <c r="G2062" s="28">
        <v>3.7699999999999997E-2</v>
      </c>
    </row>
    <row r="2063" spans="1:7" x14ac:dyDescent="0.25">
      <c r="A2063" s="20" t="s">
        <v>595</v>
      </c>
      <c r="B2063" s="20" t="s">
        <v>1272</v>
      </c>
      <c r="C2063" s="20" t="s">
        <v>1272</v>
      </c>
      <c r="D2063" s="20" t="s">
        <v>1183</v>
      </c>
      <c r="E2063" s="27">
        <v>2</v>
      </c>
      <c r="F2063" s="27">
        <v>16</v>
      </c>
      <c r="G2063" s="29">
        <v>3.7769999999999998E-2</v>
      </c>
    </row>
    <row r="2064" spans="1:7" x14ac:dyDescent="0.25">
      <c r="A2064" s="20" t="s">
        <v>588</v>
      </c>
      <c r="B2064" s="20" t="s">
        <v>64</v>
      </c>
      <c r="C2064" s="20" t="s">
        <v>64</v>
      </c>
      <c r="D2064" s="20" t="s">
        <v>1183</v>
      </c>
      <c r="E2064" s="25">
        <v>0.24</v>
      </c>
      <c r="F2064" s="25">
        <v>1.92</v>
      </c>
      <c r="G2064" s="22"/>
    </row>
    <row r="2065" spans="1:7" x14ac:dyDescent="0.25">
      <c r="A2065" s="20" t="s">
        <v>588</v>
      </c>
      <c r="B2065" s="20" t="s">
        <v>67</v>
      </c>
      <c r="C2065" s="20" t="s">
        <v>67</v>
      </c>
      <c r="D2065" s="20" t="s">
        <v>1183</v>
      </c>
      <c r="E2065" s="24">
        <v>0.25600000000000001</v>
      </c>
      <c r="F2065" s="24">
        <v>2.048</v>
      </c>
      <c r="G2065" s="22"/>
    </row>
    <row r="2066" spans="1:7" x14ac:dyDescent="0.25">
      <c r="A2066" s="20" t="s">
        <v>588</v>
      </c>
      <c r="B2066" s="20" t="s">
        <v>139</v>
      </c>
      <c r="C2066" s="20" t="s">
        <v>139</v>
      </c>
      <c r="D2066" s="20" t="s">
        <v>1183</v>
      </c>
      <c r="E2066" s="24">
        <v>4.8000000000000001E-2</v>
      </c>
      <c r="F2066" s="24">
        <v>0.38400000000000001</v>
      </c>
      <c r="G2066" s="22"/>
    </row>
    <row r="2067" spans="1:7" x14ac:dyDescent="0.25">
      <c r="A2067" s="20" t="s">
        <v>588</v>
      </c>
      <c r="B2067" s="20" t="s">
        <v>146</v>
      </c>
      <c r="C2067" s="20" t="s">
        <v>146</v>
      </c>
      <c r="D2067" s="20" t="s">
        <v>1183</v>
      </c>
      <c r="E2067" s="24">
        <v>0.151</v>
      </c>
      <c r="F2067" s="24">
        <v>1.208</v>
      </c>
      <c r="G2067" s="22"/>
    </row>
    <row r="2068" spans="1:7" x14ac:dyDescent="0.25">
      <c r="A2068" s="20" t="s">
        <v>588</v>
      </c>
      <c r="B2068" s="20" t="s">
        <v>156</v>
      </c>
      <c r="C2068" s="20" t="s">
        <v>156</v>
      </c>
      <c r="D2068" s="20" t="s">
        <v>1183</v>
      </c>
      <c r="E2068" s="25">
        <v>0.11</v>
      </c>
      <c r="F2068" s="25">
        <v>0.88</v>
      </c>
      <c r="G2068" s="22"/>
    </row>
    <row r="2069" spans="1:7" x14ac:dyDescent="0.25">
      <c r="A2069" s="20" t="s">
        <v>588</v>
      </c>
      <c r="B2069" s="20" t="s">
        <v>109</v>
      </c>
      <c r="C2069" s="20" t="s">
        <v>109</v>
      </c>
      <c r="D2069" s="20" t="s">
        <v>1255</v>
      </c>
      <c r="E2069" s="24">
        <v>0.115</v>
      </c>
      <c r="F2069" s="25">
        <v>0.92</v>
      </c>
      <c r="G2069" s="22"/>
    </row>
    <row r="2070" spans="1:7" x14ac:dyDescent="0.25">
      <c r="A2070" s="20" t="s">
        <v>588</v>
      </c>
      <c r="B2070" s="20" t="s">
        <v>96</v>
      </c>
      <c r="C2070" s="20" t="s">
        <v>96</v>
      </c>
      <c r="D2070" s="20" t="s">
        <v>1256</v>
      </c>
      <c r="E2070" s="25">
        <v>0.05</v>
      </c>
      <c r="F2070" s="33">
        <v>1.2</v>
      </c>
      <c r="G2070" s="22"/>
    </row>
    <row r="2071" spans="1:7" x14ac:dyDescent="0.25">
      <c r="A2071" s="20" t="s">
        <v>588</v>
      </c>
      <c r="B2071" s="20" t="s">
        <v>156</v>
      </c>
      <c r="C2071" s="20" t="s">
        <v>156</v>
      </c>
      <c r="D2071" s="20" t="s">
        <v>1256</v>
      </c>
      <c r="E2071" s="24">
        <v>1E-3</v>
      </c>
      <c r="F2071" s="24">
        <v>2.4E-2</v>
      </c>
      <c r="G2071" s="22"/>
    </row>
    <row r="2072" spans="1:7" x14ac:dyDescent="0.25">
      <c r="A2072" s="20" t="s">
        <v>588</v>
      </c>
      <c r="B2072" s="20" t="s">
        <v>96</v>
      </c>
      <c r="C2072" s="20" t="s">
        <v>96</v>
      </c>
      <c r="D2072" s="20" t="s">
        <v>1257</v>
      </c>
      <c r="E2072" s="24">
        <v>1.4E-2</v>
      </c>
      <c r="F2072" s="24">
        <v>0.224</v>
      </c>
      <c r="G2072" s="22"/>
    </row>
    <row r="2073" spans="1:7" x14ac:dyDescent="0.25">
      <c r="A2073" s="20" t="s">
        <v>588</v>
      </c>
      <c r="B2073" s="20" t="s">
        <v>156</v>
      </c>
      <c r="C2073" s="20" t="s">
        <v>156</v>
      </c>
      <c r="D2073" s="20" t="s">
        <v>1257</v>
      </c>
      <c r="E2073" s="24">
        <v>1E-3</v>
      </c>
      <c r="F2073" s="24">
        <v>1.6E-2</v>
      </c>
      <c r="G2073" s="22"/>
    </row>
    <row r="2074" spans="1:7" x14ac:dyDescent="0.25">
      <c r="A2074" s="20" t="s">
        <v>588</v>
      </c>
      <c r="B2074" s="20" t="s">
        <v>96</v>
      </c>
      <c r="C2074" s="20" t="s">
        <v>96</v>
      </c>
      <c r="D2074" s="20" t="s">
        <v>1258</v>
      </c>
      <c r="E2074" s="25">
        <v>0.09</v>
      </c>
      <c r="F2074" s="25">
        <v>0.72</v>
      </c>
      <c r="G2074" s="22"/>
    </row>
    <row r="2075" spans="1:7" x14ac:dyDescent="0.25">
      <c r="A2075" s="20" t="s">
        <v>588</v>
      </c>
      <c r="B2075" s="20" t="s">
        <v>156</v>
      </c>
      <c r="C2075" s="20" t="s">
        <v>156</v>
      </c>
      <c r="D2075" s="20" t="s">
        <v>1258</v>
      </c>
      <c r="E2075" s="24">
        <v>1E-3</v>
      </c>
      <c r="F2075" s="24">
        <v>8.0000000000000002E-3</v>
      </c>
      <c r="G2075" s="22"/>
    </row>
    <row r="2076" spans="1:7" x14ac:dyDescent="0.25">
      <c r="A2076" s="20" t="s">
        <v>588</v>
      </c>
      <c r="B2076" s="20" t="s">
        <v>96</v>
      </c>
      <c r="C2076" s="20" t="s">
        <v>96</v>
      </c>
      <c r="D2076" s="20" t="s">
        <v>1259</v>
      </c>
      <c r="E2076" s="25">
        <v>0.02</v>
      </c>
      <c r="F2076" s="33">
        <v>0.8</v>
      </c>
      <c r="G2076" s="22"/>
    </row>
    <row r="2077" spans="1:7" x14ac:dyDescent="0.25">
      <c r="A2077" s="20" t="s">
        <v>588</v>
      </c>
      <c r="B2077" s="20" t="s">
        <v>156</v>
      </c>
      <c r="C2077" s="20" t="s">
        <v>156</v>
      </c>
      <c r="D2077" s="20" t="s">
        <v>1259</v>
      </c>
      <c r="E2077" s="24">
        <v>1E-3</v>
      </c>
      <c r="F2077" s="25">
        <v>0.04</v>
      </c>
      <c r="G2077" s="22"/>
    </row>
    <row r="2078" spans="1:7" x14ac:dyDescent="0.25">
      <c r="A2078" s="20" t="s">
        <v>588</v>
      </c>
      <c r="B2078" s="20" t="s">
        <v>67</v>
      </c>
      <c r="C2078" s="20" t="s">
        <v>67</v>
      </c>
      <c r="D2078" s="20" t="s">
        <v>1260</v>
      </c>
      <c r="E2078" s="24">
        <v>1.7000000000000001E-2</v>
      </c>
      <c r="F2078" s="24">
        <v>0.13600000000000001</v>
      </c>
      <c r="G2078" s="22"/>
    </row>
    <row r="2079" spans="1:7" x14ac:dyDescent="0.25">
      <c r="A2079" s="20" t="s">
        <v>588</v>
      </c>
      <c r="B2079" s="20" t="s">
        <v>96</v>
      </c>
      <c r="C2079" s="20" t="s">
        <v>96</v>
      </c>
      <c r="D2079" s="20" t="s">
        <v>1260</v>
      </c>
      <c r="E2079" s="24">
        <v>5.2999999999999999E-2</v>
      </c>
      <c r="F2079" s="24">
        <v>0.42399999999999999</v>
      </c>
      <c r="G2079" s="22"/>
    </row>
    <row r="2080" spans="1:7" x14ac:dyDescent="0.25">
      <c r="A2080" s="20" t="s">
        <v>588</v>
      </c>
      <c r="B2080" s="20" t="s">
        <v>146</v>
      </c>
      <c r="C2080" s="20" t="s">
        <v>146</v>
      </c>
      <c r="D2080" s="20" t="s">
        <v>1260</v>
      </c>
      <c r="E2080" s="25">
        <v>0.01</v>
      </c>
      <c r="F2080" s="25">
        <v>0.08</v>
      </c>
      <c r="G2080" s="22"/>
    </row>
    <row r="2081" spans="1:7" x14ac:dyDescent="0.25">
      <c r="A2081" s="20" t="s">
        <v>588</v>
      </c>
      <c r="B2081" s="20" t="s">
        <v>156</v>
      </c>
      <c r="C2081" s="20" t="s">
        <v>156</v>
      </c>
      <c r="D2081" s="20" t="s">
        <v>1260</v>
      </c>
      <c r="E2081" s="24">
        <v>1E-3</v>
      </c>
      <c r="F2081" s="24">
        <v>8.0000000000000002E-3</v>
      </c>
      <c r="G2081" s="22"/>
    </row>
    <row r="2082" spans="1:7" x14ac:dyDescent="0.25">
      <c r="A2082" s="20" t="s">
        <v>588</v>
      </c>
      <c r="B2082" s="20" t="s">
        <v>67</v>
      </c>
      <c r="C2082" s="20" t="s">
        <v>67</v>
      </c>
      <c r="D2082" s="20" t="s">
        <v>1261</v>
      </c>
      <c r="E2082" s="24">
        <v>1.7000000000000001E-2</v>
      </c>
      <c r="F2082" s="24">
        <v>0.13600000000000001</v>
      </c>
      <c r="G2082" s="22"/>
    </row>
    <row r="2083" spans="1:7" x14ac:dyDescent="0.25">
      <c r="A2083" s="20" t="s">
        <v>588</v>
      </c>
      <c r="B2083" s="20" t="s">
        <v>96</v>
      </c>
      <c r="C2083" s="20" t="s">
        <v>96</v>
      </c>
      <c r="D2083" s="20" t="s">
        <v>1261</v>
      </c>
      <c r="E2083" s="24">
        <v>7.4999999999999997E-2</v>
      </c>
      <c r="F2083" s="33">
        <v>0.6</v>
      </c>
      <c r="G2083" s="22"/>
    </row>
    <row r="2084" spans="1:7" x14ac:dyDescent="0.25">
      <c r="A2084" s="20" t="s">
        <v>588</v>
      </c>
      <c r="B2084" s="20" t="s">
        <v>146</v>
      </c>
      <c r="C2084" s="20" t="s">
        <v>146</v>
      </c>
      <c r="D2084" s="20" t="s">
        <v>1261</v>
      </c>
      <c r="E2084" s="25">
        <v>0.01</v>
      </c>
      <c r="F2084" s="25">
        <v>0.08</v>
      </c>
      <c r="G2084" s="22"/>
    </row>
    <row r="2085" spans="1:7" x14ac:dyDescent="0.25">
      <c r="A2085" s="20" t="s">
        <v>588</v>
      </c>
      <c r="B2085" s="20" t="s">
        <v>156</v>
      </c>
      <c r="C2085" s="20" t="s">
        <v>156</v>
      </c>
      <c r="D2085" s="20" t="s">
        <v>1261</v>
      </c>
      <c r="E2085" s="24">
        <v>1E-3</v>
      </c>
      <c r="F2085" s="24">
        <v>8.0000000000000002E-3</v>
      </c>
      <c r="G2085" s="22"/>
    </row>
    <row r="2086" spans="1:7" x14ac:dyDescent="0.25">
      <c r="A2086" s="20" t="s">
        <v>588</v>
      </c>
      <c r="B2086" s="20" t="s">
        <v>67</v>
      </c>
      <c r="C2086" s="20" t="s">
        <v>67</v>
      </c>
      <c r="D2086" s="20" t="s">
        <v>1262</v>
      </c>
      <c r="E2086" s="24">
        <v>1.7000000000000001E-2</v>
      </c>
      <c r="F2086" s="24">
        <v>0.13600000000000001</v>
      </c>
      <c r="G2086" s="22"/>
    </row>
    <row r="2087" spans="1:7" x14ac:dyDescent="0.25">
      <c r="A2087" s="20" t="s">
        <v>588</v>
      </c>
      <c r="B2087" s="20" t="s">
        <v>96</v>
      </c>
      <c r="C2087" s="20" t="s">
        <v>96</v>
      </c>
      <c r="D2087" s="20" t="s">
        <v>1262</v>
      </c>
      <c r="E2087" s="33">
        <v>0.1</v>
      </c>
      <c r="F2087" s="33">
        <v>0.8</v>
      </c>
      <c r="G2087" s="22"/>
    </row>
    <row r="2088" spans="1:7" x14ac:dyDescent="0.25">
      <c r="A2088" s="20" t="s">
        <v>588</v>
      </c>
      <c r="B2088" s="20" t="s">
        <v>146</v>
      </c>
      <c r="C2088" s="20" t="s">
        <v>146</v>
      </c>
      <c r="D2088" s="20" t="s">
        <v>1262</v>
      </c>
      <c r="E2088" s="25">
        <v>0.01</v>
      </c>
      <c r="F2088" s="25">
        <v>0.08</v>
      </c>
      <c r="G2088" s="22"/>
    </row>
    <row r="2089" spans="1:7" x14ac:dyDescent="0.25">
      <c r="A2089" s="20" t="s">
        <v>588</v>
      </c>
      <c r="B2089" s="20" t="s">
        <v>156</v>
      </c>
      <c r="C2089" s="20" t="s">
        <v>156</v>
      </c>
      <c r="D2089" s="20" t="s">
        <v>1262</v>
      </c>
      <c r="E2089" s="24">
        <v>1E-3</v>
      </c>
      <c r="F2089" s="24">
        <v>8.0000000000000002E-3</v>
      </c>
      <c r="G2089" s="22"/>
    </row>
    <row r="2090" spans="1:7" x14ac:dyDescent="0.25">
      <c r="A2090" s="20" t="s">
        <v>588</v>
      </c>
      <c r="B2090" s="20" t="s">
        <v>67</v>
      </c>
      <c r="C2090" s="20" t="s">
        <v>67</v>
      </c>
      <c r="D2090" s="20" t="s">
        <v>1263</v>
      </c>
      <c r="E2090" s="24">
        <v>1.7000000000000001E-2</v>
      </c>
      <c r="F2090" s="24">
        <v>0.13600000000000001</v>
      </c>
      <c r="G2090" s="22"/>
    </row>
    <row r="2091" spans="1:7" x14ac:dyDescent="0.25">
      <c r="A2091" s="20" t="s">
        <v>588</v>
      </c>
      <c r="B2091" s="20" t="s">
        <v>96</v>
      </c>
      <c r="C2091" s="20" t="s">
        <v>96</v>
      </c>
      <c r="D2091" s="20" t="s">
        <v>1263</v>
      </c>
      <c r="E2091" s="25">
        <v>0.12</v>
      </c>
      <c r="F2091" s="25">
        <v>0.96</v>
      </c>
      <c r="G2091" s="22"/>
    </row>
    <row r="2092" spans="1:7" x14ac:dyDescent="0.25">
      <c r="A2092" s="20" t="s">
        <v>588</v>
      </c>
      <c r="B2092" s="20" t="s">
        <v>146</v>
      </c>
      <c r="C2092" s="20" t="s">
        <v>146</v>
      </c>
      <c r="D2092" s="20" t="s">
        <v>1263</v>
      </c>
      <c r="E2092" s="25">
        <v>0.01</v>
      </c>
      <c r="F2092" s="25">
        <v>0.08</v>
      </c>
      <c r="G2092" s="22"/>
    </row>
    <row r="2093" spans="1:7" x14ac:dyDescent="0.25">
      <c r="A2093" s="20" t="s">
        <v>588</v>
      </c>
      <c r="B2093" s="20" t="s">
        <v>156</v>
      </c>
      <c r="C2093" s="20" t="s">
        <v>156</v>
      </c>
      <c r="D2093" s="20" t="s">
        <v>1263</v>
      </c>
      <c r="E2093" s="24">
        <v>2E-3</v>
      </c>
      <c r="F2093" s="24">
        <v>1.6E-2</v>
      </c>
      <c r="G2093" s="22"/>
    </row>
    <row r="2094" spans="1:7" x14ac:dyDescent="0.25">
      <c r="A2094" s="20" t="s">
        <v>588</v>
      </c>
      <c r="B2094" s="20" t="s">
        <v>67</v>
      </c>
      <c r="C2094" s="20" t="s">
        <v>67</v>
      </c>
      <c r="D2094" s="20" t="s">
        <v>1264</v>
      </c>
      <c r="E2094" s="24">
        <v>1.7000000000000001E-2</v>
      </c>
      <c r="F2094" s="24">
        <v>0.13600000000000001</v>
      </c>
      <c r="G2094" s="22"/>
    </row>
    <row r="2095" spans="1:7" x14ac:dyDescent="0.25">
      <c r="A2095" s="20" t="s">
        <v>588</v>
      </c>
      <c r="B2095" s="20" t="s">
        <v>96</v>
      </c>
      <c r="C2095" s="20" t="s">
        <v>96</v>
      </c>
      <c r="D2095" s="20" t="s">
        <v>1264</v>
      </c>
      <c r="E2095" s="25">
        <v>0.14000000000000001</v>
      </c>
      <c r="F2095" s="25">
        <v>1.1200000000000001</v>
      </c>
      <c r="G2095" s="22"/>
    </row>
    <row r="2096" spans="1:7" x14ac:dyDescent="0.25">
      <c r="A2096" s="20" t="s">
        <v>588</v>
      </c>
      <c r="B2096" s="20" t="s">
        <v>146</v>
      </c>
      <c r="C2096" s="20" t="s">
        <v>146</v>
      </c>
      <c r="D2096" s="20" t="s">
        <v>1264</v>
      </c>
      <c r="E2096" s="25">
        <v>0.01</v>
      </c>
      <c r="F2096" s="25">
        <v>0.08</v>
      </c>
      <c r="G2096" s="22"/>
    </row>
    <row r="2097" spans="1:7" x14ac:dyDescent="0.25">
      <c r="A2097" s="20" t="s">
        <v>588</v>
      </c>
      <c r="B2097" s="20" t="s">
        <v>156</v>
      </c>
      <c r="C2097" s="20" t="s">
        <v>156</v>
      </c>
      <c r="D2097" s="20" t="s">
        <v>1264</v>
      </c>
      <c r="E2097" s="24">
        <v>2E-3</v>
      </c>
      <c r="F2097" s="24">
        <v>1.6E-2</v>
      </c>
      <c r="G2097" s="22"/>
    </row>
    <row r="2098" spans="1:7" x14ac:dyDescent="0.25">
      <c r="A2098" s="20" t="s">
        <v>588</v>
      </c>
      <c r="B2098" s="20" t="s">
        <v>67</v>
      </c>
      <c r="C2098" s="20" t="s">
        <v>67</v>
      </c>
      <c r="D2098" s="20" t="s">
        <v>1265</v>
      </c>
      <c r="E2098" s="24">
        <v>1.7000000000000001E-2</v>
      </c>
      <c r="F2098" s="24">
        <v>0.13600000000000001</v>
      </c>
      <c r="G2098" s="22"/>
    </row>
    <row r="2099" spans="1:7" x14ac:dyDescent="0.25">
      <c r="A2099" s="20" t="s">
        <v>588</v>
      </c>
      <c r="B2099" s="20" t="s">
        <v>96</v>
      </c>
      <c r="C2099" s="20" t="s">
        <v>96</v>
      </c>
      <c r="D2099" s="20" t="s">
        <v>1265</v>
      </c>
      <c r="E2099" s="25">
        <v>0.16</v>
      </c>
      <c r="F2099" s="25">
        <v>1.28</v>
      </c>
      <c r="G2099" s="22"/>
    </row>
    <row r="2100" spans="1:7" x14ac:dyDescent="0.25">
      <c r="A2100" s="20" t="s">
        <v>588</v>
      </c>
      <c r="B2100" s="20" t="s">
        <v>146</v>
      </c>
      <c r="C2100" s="20" t="s">
        <v>146</v>
      </c>
      <c r="D2100" s="20" t="s">
        <v>1265</v>
      </c>
      <c r="E2100" s="25">
        <v>0.01</v>
      </c>
      <c r="F2100" s="25">
        <v>0.08</v>
      </c>
      <c r="G2100" s="22"/>
    </row>
    <row r="2101" spans="1:7" x14ac:dyDescent="0.25">
      <c r="A2101" s="20" t="s">
        <v>588</v>
      </c>
      <c r="B2101" s="20" t="s">
        <v>156</v>
      </c>
      <c r="C2101" s="20" t="s">
        <v>156</v>
      </c>
      <c r="D2101" s="20" t="s">
        <v>1265</v>
      </c>
      <c r="E2101" s="24">
        <v>2E-3</v>
      </c>
      <c r="F2101" s="24">
        <v>1.6E-2</v>
      </c>
      <c r="G2101" s="22"/>
    </row>
    <row r="2102" spans="1:7" x14ac:dyDescent="0.25">
      <c r="A2102" s="20" t="s">
        <v>588</v>
      </c>
      <c r="B2102" s="20" t="s">
        <v>67</v>
      </c>
      <c r="C2102" s="20" t="s">
        <v>67</v>
      </c>
      <c r="D2102" s="20" t="s">
        <v>1266</v>
      </c>
      <c r="E2102" s="24">
        <v>1.7000000000000001E-2</v>
      </c>
      <c r="F2102" s="24">
        <v>0.13600000000000001</v>
      </c>
      <c r="G2102" s="22"/>
    </row>
    <row r="2103" spans="1:7" x14ac:dyDescent="0.25">
      <c r="A2103" s="20" t="s">
        <v>588</v>
      </c>
      <c r="B2103" s="20" t="s">
        <v>96</v>
      </c>
      <c r="C2103" s="20" t="s">
        <v>96</v>
      </c>
      <c r="D2103" s="20" t="s">
        <v>1266</v>
      </c>
      <c r="E2103" s="25">
        <v>0.18</v>
      </c>
      <c r="F2103" s="25">
        <v>1.44</v>
      </c>
      <c r="G2103" s="22"/>
    </row>
    <row r="2104" spans="1:7" x14ac:dyDescent="0.25">
      <c r="A2104" s="20" t="s">
        <v>588</v>
      </c>
      <c r="B2104" s="20" t="s">
        <v>146</v>
      </c>
      <c r="C2104" s="20" t="s">
        <v>146</v>
      </c>
      <c r="D2104" s="20" t="s">
        <v>1266</v>
      </c>
      <c r="E2104" s="25">
        <v>0.01</v>
      </c>
      <c r="F2104" s="25">
        <v>0.08</v>
      </c>
      <c r="G2104" s="22"/>
    </row>
    <row r="2105" spans="1:7" x14ac:dyDescent="0.25">
      <c r="A2105" s="20" t="s">
        <v>588</v>
      </c>
      <c r="B2105" s="20" t="s">
        <v>156</v>
      </c>
      <c r="C2105" s="20" t="s">
        <v>156</v>
      </c>
      <c r="D2105" s="20" t="s">
        <v>1266</v>
      </c>
      <c r="E2105" s="24">
        <v>3.0000000000000001E-3</v>
      </c>
      <c r="F2105" s="24">
        <v>2.4E-2</v>
      </c>
      <c r="G2105" s="22"/>
    </row>
    <row r="2106" spans="1:7" x14ac:dyDescent="0.25">
      <c r="A2106" s="20" t="s">
        <v>588</v>
      </c>
      <c r="B2106" s="20" t="s">
        <v>67</v>
      </c>
      <c r="C2106" s="20" t="s">
        <v>67</v>
      </c>
      <c r="D2106" s="20" t="s">
        <v>1267</v>
      </c>
      <c r="E2106" s="24">
        <v>1.7000000000000001E-2</v>
      </c>
      <c r="F2106" s="24">
        <v>0.13600000000000001</v>
      </c>
      <c r="G2106" s="22"/>
    </row>
    <row r="2107" spans="1:7" x14ac:dyDescent="0.25">
      <c r="A2107" s="20" t="s">
        <v>588</v>
      </c>
      <c r="B2107" s="20" t="s">
        <v>96</v>
      </c>
      <c r="C2107" s="20" t="s">
        <v>96</v>
      </c>
      <c r="D2107" s="20" t="s">
        <v>1267</v>
      </c>
      <c r="E2107" s="25">
        <v>0.19</v>
      </c>
      <c r="F2107" s="25">
        <v>1.52</v>
      </c>
      <c r="G2107" s="22"/>
    </row>
    <row r="2108" spans="1:7" x14ac:dyDescent="0.25">
      <c r="A2108" s="20" t="s">
        <v>588</v>
      </c>
      <c r="B2108" s="20" t="s">
        <v>146</v>
      </c>
      <c r="C2108" s="20" t="s">
        <v>146</v>
      </c>
      <c r="D2108" s="20" t="s">
        <v>1267</v>
      </c>
      <c r="E2108" s="25">
        <v>0.01</v>
      </c>
      <c r="F2108" s="25">
        <v>0.08</v>
      </c>
      <c r="G2108" s="22"/>
    </row>
    <row r="2109" spans="1:7" x14ac:dyDescent="0.25">
      <c r="A2109" s="20" t="s">
        <v>588</v>
      </c>
      <c r="B2109" s="20" t="s">
        <v>156</v>
      </c>
      <c r="C2109" s="20" t="s">
        <v>156</v>
      </c>
      <c r="D2109" s="20" t="s">
        <v>1267</v>
      </c>
      <c r="E2109" s="24">
        <v>3.0000000000000001E-3</v>
      </c>
      <c r="F2109" s="24">
        <v>2.4E-2</v>
      </c>
      <c r="G2109" s="22"/>
    </row>
    <row r="2110" spans="1:7" x14ac:dyDescent="0.25">
      <c r="A2110" s="20" t="s">
        <v>588</v>
      </c>
      <c r="B2110" s="20" t="s">
        <v>67</v>
      </c>
      <c r="C2110" s="20" t="s">
        <v>67</v>
      </c>
      <c r="D2110" s="20" t="s">
        <v>1268</v>
      </c>
      <c r="E2110" s="24">
        <v>1.7000000000000001E-2</v>
      </c>
      <c r="F2110" s="24">
        <v>0.13600000000000001</v>
      </c>
      <c r="G2110" s="22"/>
    </row>
    <row r="2111" spans="1:7" x14ac:dyDescent="0.25">
      <c r="A2111" s="20" t="s">
        <v>588</v>
      </c>
      <c r="B2111" s="20" t="s">
        <v>96</v>
      </c>
      <c r="C2111" s="20" t="s">
        <v>96</v>
      </c>
      <c r="D2111" s="20" t="s">
        <v>1268</v>
      </c>
      <c r="E2111" s="33">
        <v>0.2</v>
      </c>
      <c r="F2111" s="33">
        <v>1.6</v>
      </c>
      <c r="G2111" s="22"/>
    </row>
    <row r="2112" spans="1:7" x14ac:dyDescent="0.25">
      <c r="A2112" s="20" t="s">
        <v>588</v>
      </c>
      <c r="B2112" s="20" t="s">
        <v>146</v>
      </c>
      <c r="C2112" s="20" t="s">
        <v>146</v>
      </c>
      <c r="D2112" s="20" t="s">
        <v>1268</v>
      </c>
      <c r="E2112" s="25">
        <v>0.01</v>
      </c>
      <c r="F2112" s="25">
        <v>0.08</v>
      </c>
      <c r="G2112" s="22"/>
    </row>
    <row r="2113" spans="1:7" x14ac:dyDescent="0.25">
      <c r="A2113" s="20" t="s">
        <v>588</v>
      </c>
      <c r="B2113" s="20" t="s">
        <v>156</v>
      </c>
      <c r="C2113" s="20" t="s">
        <v>156</v>
      </c>
      <c r="D2113" s="20" t="s">
        <v>1268</v>
      </c>
      <c r="E2113" s="24">
        <v>3.0000000000000001E-3</v>
      </c>
      <c r="F2113" s="24">
        <v>2.4E-2</v>
      </c>
      <c r="G2113" s="22"/>
    </row>
    <row r="2114" spans="1:7" x14ac:dyDescent="0.25">
      <c r="A2114" s="20" t="s">
        <v>588</v>
      </c>
      <c r="B2114" s="20" t="s">
        <v>67</v>
      </c>
      <c r="C2114" s="20" t="s">
        <v>67</v>
      </c>
      <c r="D2114" s="20" t="s">
        <v>1269</v>
      </c>
      <c r="E2114" s="24">
        <v>1.7000000000000001E-2</v>
      </c>
      <c r="F2114" s="24">
        <v>0.13600000000000001</v>
      </c>
      <c r="G2114" s="22"/>
    </row>
    <row r="2115" spans="1:7" x14ac:dyDescent="0.25">
      <c r="A2115" s="20" t="s">
        <v>588</v>
      </c>
      <c r="B2115" s="20" t="s">
        <v>96</v>
      </c>
      <c r="C2115" s="20" t="s">
        <v>96</v>
      </c>
      <c r="D2115" s="20" t="s">
        <v>1269</v>
      </c>
      <c r="E2115" s="25">
        <v>0.22</v>
      </c>
      <c r="F2115" s="25">
        <v>1.76</v>
      </c>
      <c r="G2115" s="22"/>
    </row>
    <row r="2116" spans="1:7" x14ac:dyDescent="0.25">
      <c r="A2116" s="20" t="s">
        <v>588</v>
      </c>
      <c r="B2116" s="20" t="s">
        <v>146</v>
      </c>
      <c r="C2116" s="20" t="s">
        <v>146</v>
      </c>
      <c r="D2116" s="20" t="s">
        <v>1269</v>
      </c>
      <c r="E2116" s="25">
        <v>0.01</v>
      </c>
      <c r="F2116" s="25">
        <v>0.08</v>
      </c>
      <c r="G2116" s="22"/>
    </row>
    <row r="2117" spans="1:7" x14ac:dyDescent="0.25">
      <c r="A2117" s="20" t="s">
        <v>588</v>
      </c>
      <c r="B2117" s="20" t="s">
        <v>156</v>
      </c>
      <c r="C2117" s="20" t="s">
        <v>156</v>
      </c>
      <c r="D2117" s="20" t="s">
        <v>1269</v>
      </c>
      <c r="E2117" s="24">
        <v>3.0000000000000001E-3</v>
      </c>
      <c r="F2117" s="24">
        <v>2.4E-2</v>
      </c>
      <c r="G2117" s="22"/>
    </row>
    <row r="2118" spans="1:7" x14ac:dyDescent="0.25">
      <c r="A2118" s="20" t="s">
        <v>588</v>
      </c>
      <c r="B2118" s="20" t="s">
        <v>67</v>
      </c>
      <c r="C2118" s="20" t="s">
        <v>67</v>
      </c>
      <c r="D2118" s="20" t="s">
        <v>1270</v>
      </c>
      <c r="E2118" s="24">
        <v>1.7000000000000001E-2</v>
      </c>
      <c r="F2118" s="24">
        <v>0.13600000000000001</v>
      </c>
      <c r="G2118" s="22"/>
    </row>
    <row r="2119" spans="1:7" x14ac:dyDescent="0.25">
      <c r="A2119" s="20" t="s">
        <v>588</v>
      </c>
      <c r="B2119" s="20" t="s">
        <v>96</v>
      </c>
      <c r="C2119" s="20" t="s">
        <v>96</v>
      </c>
      <c r="D2119" s="20" t="s">
        <v>1270</v>
      </c>
      <c r="E2119" s="25">
        <v>0.24</v>
      </c>
      <c r="F2119" s="25">
        <v>1.92</v>
      </c>
      <c r="G2119" s="22"/>
    </row>
    <row r="2120" spans="1:7" x14ac:dyDescent="0.25">
      <c r="A2120" s="20" t="s">
        <v>588</v>
      </c>
      <c r="B2120" s="20" t="s">
        <v>146</v>
      </c>
      <c r="C2120" s="20" t="s">
        <v>146</v>
      </c>
      <c r="D2120" s="20" t="s">
        <v>1270</v>
      </c>
      <c r="E2120" s="25">
        <v>0.01</v>
      </c>
      <c r="F2120" s="25">
        <v>0.08</v>
      </c>
      <c r="G2120" s="22"/>
    </row>
    <row r="2121" spans="1:7" x14ac:dyDescent="0.25">
      <c r="A2121" s="20" t="s">
        <v>588</v>
      </c>
      <c r="B2121" s="20" t="s">
        <v>156</v>
      </c>
      <c r="C2121" s="20" t="s">
        <v>156</v>
      </c>
      <c r="D2121" s="20" t="s">
        <v>1270</v>
      </c>
      <c r="E2121" s="24">
        <v>3.0000000000000001E-3</v>
      </c>
      <c r="F2121" s="24">
        <v>2.4E-2</v>
      </c>
      <c r="G2121" s="22"/>
    </row>
    <row r="2122" spans="1:7" x14ac:dyDescent="0.25">
      <c r="A2122" s="20" t="s">
        <v>588</v>
      </c>
      <c r="B2122" s="20" t="s">
        <v>96</v>
      </c>
      <c r="C2122" s="20" t="s">
        <v>96</v>
      </c>
      <c r="D2122" s="20" t="s">
        <v>1271</v>
      </c>
      <c r="E2122" s="24">
        <v>4.1000000000000002E-2</v>
      </c>
      <c r="F2122" s="24">
        <v>0.65600000000000003</v>
      </c>
      <c r="G2122" s="22"/>
    </row>
    <row r="2123" spans="1:7" x14ac:dyDescent="0.25">
      <c r="A2123" s="20" t="s">
        <v>588</v>
      </c>
      <c r="B2123" s="20" t="s">
        <v>156</v>
      </c>
      <c r="C2123" s="20" t="s">
        <v>156</v>
      </c>
      <c r="D2123" s="20" t="s">
        <v>1271</v>
      </c>
      <c r="E2123" s="24">
        <v>1E-3</v>
      </c>
      <c r="F2123" s="24">
        <v>1.6E-2</v>
      </c>
      <c r="G2123" s="22"/>
    </row>
    <row r="2124" spans="1:7" x14ac:dyDescent="0.25">
      <c r="A2124" s="20" t="s">
        <v>588</v>
      </c>
      <c r="B2124" s="20" t="s">
        <v>96</v>
      </c>
      <c r="C2124" s="20" t="s">
        <v>96</v>
      </c>
      <c r="D2124" s="20" t="s">
        <v>1272</v>
      </c>
      <c r="E2124" s="24">
        <v>4.1000000000000002E-2</v>
      </c>
      <c r="F2124" s="24">
        <v>0.65600000000000003</v>
      </c>
      <c r="G2124" s="22"/>
    </row>
    <row r="2125" spans="1:7" x14ac:dyDescent="0.25">
      <c r="A2125" s="20" t="s">
        <v>588</v>
      </c>
      <c r="B2125" s="20" t="s">
        <v>156</v>
      </c>
      <c r="C2125" s="20" t="s">
        <v>156</v>
      </c>
      <c r="D2125" s="20" t="s">
        <v>1272</v>
      </c>
      <c r="E2125" s="24">
        <v>1E-3</v>
      </c>
      <c r="F2125" s="24">
        <v>1.6E-2</v>
      </c>
      <c r="G2125" s="22"/>
    </row>
    <row r="2126" spans="1:7" x14ac:dyDescent="0.25">
      <c r="A2126" s="20" t="s">
        <v>595</v>
      </c>
      <c r="B2126" s="20" t="s">
        <v>1273</v>
      </c>
      <c r="C2126" s="20" t="s">
        <v>1273</v>
      </c>
      <c r="D2126" s="20" t="s">
        <v>1184</v>
      </c>
      <c r="E2126" s="27">
        <v>1</v>
      </c>
      <c r="F2126" s="27">
        <v>2</v>
      </c>
      <c r="G2126" s="29">
        <v>16.005590000000002</v>
      </c>
    </row>
    <row r="2127" spans="1:7" ht="22.5" x14ac:dyDescent="0.25">
      <c r="A2127" s="20" t="s">
        <v>620</v>
      </c>
      <c r="B2127" s="20" t="s">
        <v>966</v>
      </c>
      <c r="C2127" s="20" t="s">
        <v>271</v>
      </c>
      <c r="D2127" s="20" t="s">
        <v>1184</v>
      </c>
      <c r="E2127" s="27">
        <v>9</v>
      </c>
      <c r="F2127" s="27">
        <v>18</v>
      </c>
      <c r="G2127" s="29">
        <v>5.2700000000000004E-3</v>
      </c>
    </row>
    <row r="2128" spans="1:7" x14ac:dyDescent="0.25">
      <c r="A2128" s="20" t="s">
        <v>588</v>
      </c>
      <c r="B2128" s="20" t="s">
        <v>65</v>
      </c>
      <c r="C2128" s="20" t="s">
        <v>65</v>
      </c>
      <c r="D2128" s="20" t="s">
        <v>1184</v>
      </c>
      <c r="E2128" s="33">
        <v>0.4</v>
      </c>
      <c r="F2128" s="33">
        <v>0.8</v>
      </c>
      <c r="G2128" s="22"/>
    </row>
    <row r="2129" spans="1:7" x14ac:dyDescent="0.25">
      <c r="A2129" s="20" t="s">
        <v>588</v>
      </c>
      <c r="B2129" s="20" t="s">
        <v>67</v>
      </c>
      <c r="C2129" s="20" t="s">
        <v>67</v>
      </c>
      <c r="D2129" s="20" t="s">
        <v>1184</v>
      </c>
      <c r="E2129" s="24">
        <v>1.7000000000000001E-2</v>
      </c>
      <c r="F2129" s="24">
        <v>3.4000000000000002E-2</v>
      </c>
      <c r="G2129" s="22"/>
    </row>
    <row r="2130" spans="1:7" x14ac:dyDescent="0.25">
      <c r="A2130" s="20" t="s">
        <v>588</v>
      </c>
      <c r="B2130" s="20" t="s">
        <v>146</v>
      </c>
      <c r="C2130" s="20" t="s">
        <v>146</v>
      </c>
      <c r="D2130" s="20" t="s">
        <v>1184</v>
      </c>
      <c r="E2130" s="25">
        <v>0.01</v>
      </c>
      <c r="F2130" s="25">
        <v>0.02</v>
      </c>
      <c r="G2130" s="22"/>
    </row>
    <row r="2131" spans="1:7" x14ac:dyDescent="0.25">
      <c r="A2131" s="20" t="s">
        <v>588</v>
      </c>
      <c r="B2131" s="20" t="s">
        <v>155</v>
      </c>
      <c r="C2131" s="20" t="s">
        <v>155</v>
      </c>
      <c r="D2131" s="20" t="s">
        <v>1184</v>
      </c>
      <c r="E2131" s="25">
        <v>0.24</v>
      </c>
      <c r="F2131" s="25">
        <v>0.48</v>
      </c>
      <c r="G2131" s="22"/>
    </row>
    <row r="2132" spans="1:7" x14ac:dyDescent="0.25">
      <c r="A2132" s="20" t="s">
        <v>588</v>
      </c>
      <c r="B2132" s="20" t="s">
        <v>156</v>
      </c>
      <c r="C2132" s="20" t="s">
        <v>156</v>
      </c>
      <c r="D2132" s="20" t="s">
        <v>1184</v>
      </c>
      <c r="E2132" s="25">
        <v>0.34</v>
      </c>
      <c r="F2132" s="25">
        <v>0.68</v>
      </c>
      <c r="G2132" s="22"/>
    </row>
    <row r="2133" spans="1:7" x14ac:dyDescent="0.25">
      <c r="A2133" s="20" t="s">
        <v>588</v>
      </c>
      <c r="B2133" s="20" t="s">
        <v>215</v>
      </c>
      <c r="C2133" s="20" t="s">
        <v>215</v>
      </c>
      <c r="D2133" s="20" t="s">
        <v>1184</v>
      </c>
      <c r="E2133" s="33">
        <v>0.8</v>
      </c>
      <c r="F2133" s="33">
        <v>1.6</v>
      </c>
      <c r="G2133" s="22"/>
    </row>
    <row r="2134" spans="1:7" x14ac:dyDescent="0.25">
      <c r="A2134" s="20" t="s">
        <v>588</v>
      </c>
      <c r="B2134" s="20" t="s">
        <v>109</v>
      </c>
      <c r="C2134" s="20" t="s">
        <v>109</v>
      </c>
      <c r="D2134" s="20" t="s">
        <v>1273</v>
      </c>
      <c r="E2134" s="25">
        <v>20.149999999999999</v>
      </c>
      <c r="F2134" s="33">
        <v>40.299999999999997</v>
      </c>
      <c r="G2134" s="22"/>
    </row>
    <row r="2135" spans="1:7" x14ac:dyDescent="0.25">
      <c r="A2135" s="20" t="s">
        <v>595</v>
      </c>
      <c r="B2135" s="20" t="s">
        <v>1274</v>
      </c>
      <c r="C2135" s="20" t="s">
        <v>1274</v>
      </c>
      <c r="D2135" s="20" t="s">
        <v>1185</v>
      </c>
      <c r="E2135" s="27">
        <v>1</v>
      </c>
      <c r="F2135" s="27">
        <v>2</v>
      </c>
      <c r="G2135" s="29">
        <v>0.66235999999999995</v>
      </c>
    </row>
    <row r="2136" spans="1:7" ht="22.5" x14ac:dyDescent="0.25">
      <c r="A2136" s="20" t="s">
        <v>620</v>
      </c>
      <c r="B2136" s="20" t="s">
        <v>746</v>
      </c>
      <c r="C2136" s="20" t="s">
        <v>245</v>
      </c>
      <c r="D2136" s="20" t="s">
        <v>1185</v>
      </c>
      <c r="E2136" s="27">
        <v>2</v>
      </c>
      <c r="F2136" s="27">
        <v>4</v>
      </c>
      <c r="G2136" s="29">
        <v>5.5500000000000002E-3</v>
      </c>
    </row>
    <row r="2137" spans="1:7" x14ac:dyDescent="0.25">
      <c r="A2137" s="20" t="s">
        <v>588</v>
      </c>
      <c r="B2137" s="20" t="s">
        <v>65</v>
      </c>
      <c r="C2137" s="20" t="s">
        <v>65</v>
      </c>
      <c r="D2137" s="20" t="s">
        <v>1185</v>
      </c>
      <c r="E2137" s="24">
        <v>7.0000000000000001E-3</v>
      </c>
      <c r="F2137" s="24">
        <v>1.4E-2</v>
      </c>
      <c r="G2137" s="22"/>
    </row>
    <row r="2138" spans="1:7" x14ac:dyDescent="0.25">
      <c r="A2138" s="20" t="s">
        <v>588</v>
      </c>
      <c r="B2138" s="20" t="s">
        <v>67</v>
      </c>
      <c r="C2138" s="20" t="s">
        <v>67</v>
      </c>
      <c r="D2138" s="20" t="s">
        <v>1185</v>
      </c>
      <c r="E2138" s="24">
        <v>8.0000000000000002E-3</v>
      </c>
      <c r="F2138" s="24">
        <v>1.6E-2</v>
      </c>
      <c r="G2138" s="22"/>
    </row>
    <row r="2139" spans="1:7" x14ac:dyDescent="0.25">
      <c r="A2139" s="20" t="s">
        <v>588</v>
      </c>
      <c r="B2139" s="20" t="s">
        <v>146</v>
      </c>
      <c r="C2139" s="20" t="s">
        <v>146</v>
      </c>
      <c r="D2139" s="20" t="s">
        <v>1185</v>
      </c>
      <c r="E2139" s="24">
        <v>5.0000000000000001E-3</v>
      </c>
      <c r="F2139" s="25">
        <v>0.01</v>
      </c>
      <c r="G2139" s="22"/>
    </row>
    <row r="2140" spans="1:7" x14ac:dyDescent="0.25">
      <c r="A2140" s="20" t="s">
        <v>588</v>
      </c>
      <c r="B2140" s="20" t="s">
        <v>155</v>
      </c>
      <c r="C2140" s="20" t="s">
        <v>155</v>
      </c>
      <c r="D2140" s="20" t="s">
        <v>1185</v>
      </c>
      <c r="E2140" s="24">
        <v>4.0000000000000001E-3</v>
      </c>
      <c r="F2140" s="24">
        <v>8.0000000000000002E-3</v>
      </c>
      <c r="G2140" s="22"/>
    </row>
    <row r="2141" spans="1:7" x14ac:dyDescent="0.25">
      <c r="A2141" s="20" t="s">
        <v>588</v>
      </c>
      <c r="B2141" s="20" t="s">
        <v>156</v>
      </c>
      <c r="C2141" s="20" t="s">
        <v>156</v>
      </c>
      <c r="D2141" s="20" t="s">
        <v>1185</v>
      </c>
      <c r="E2141" s="24">
        <v>7.0000000000000001E-3</v>
      </c>
      <c r="F2141" s="24">
        <v>1.4E-2</v>
      </c>
      <c r="G2141" s="22"/>
    </row>
    <row r="2142" spans="1:7" x14ac:dyDescent="0.25">
      <c r="A2142" s="20" t="s">
        <v>588</v>
      </c>
      <c r="B2142" s="20" t="s">
        <v>215</v>
      </c>
      <c r="C2142" s="20" t="s">
        <v>215</v>
      </c>
      <c r="D2142" s="20" t="s">
        <v>1185</v>
      </c>
      <c r="E2142" s="24">
        <v>1.4E-2</v>
      </c>
      <c r="F2142" s="24">
        <v>2.8000000000000001E-2</v>
      </c>
      <c r="G2142" s="22"/>
    </row>
    <row r="2143" spans="1:7" x14ac:dyDescent="0.25">
      <c r="A2143" s="20" t="s">
        <v>588</v>
      </c>
      <c r="B2143" s="20" t="s">
        <v>115</v>
      </c>
      <c r="C2143" s="20" t="s">
        <v>115</v>
      </c>
      <c r="D2143" s="20" t="s">
        <v>1274</v>
      </c>
      <c r="E2143" s="33">
        <v>0.8</v>
      </c>
      <c r="F2143" s="33">
        <v>1.6</v>
      </c>
      <c r="G2143" s="22"/>
    </row>
    <row r="2144" spans="1:7" x14ac:dyDescent="0.25">
      <c r="A2144" s="20" t="s">
        <v>595</v>
      </c>
      <c r="B2144" s="20" t="s">
        <v>1275</v>
      </c>
      <c r="C2144" s="20" t="s">
        <v>1275</v>
      </c>
      <c r="D2144" s="20" t="s">
        <v>1186</v>
      </c>
      <c r="E2144" s="27">
        <v>1</v>
      </c>
      <c r="F2144" s="27">
        <v>16</v>
      </c>
      <c r="G2144" s="29">
        <v>2.7799200000000002</v>
      </c>
    </row>
    <row r="2145" spans="1:7" x14ac:dyDescent="0.25">
      <c r="A2145" s="20" t="s">
        <v>595</v>
      </c>
      <c r="B2145" s="20" t="s">
        <v>1276</v>
      </c>
      <c r="C2145" s="20" t="s">
        <v>1276</v>
      </c>
      <c r="D2145" s="20" t="s">
        <v>1186</v>
      </c>
      <c r="E2145" s="27">
        <v>1</v>
      </c>
      <c r="F2145" s="27">
        <v>16</v>
      </c>
      <c r="G2145" s="29">
        <v>5.9174699999999998</v>
      </c>
    </row>
    <row r="2146" spans="1:7" x14ac:dyDescent="0.25">
      <c r="A2146" s="20" t="s">
        <v>595</v>
      </c>
      <c r="B2146" s="20" t="s">
        <v>1277</v>
      </c>
      <c r="C2146" s="20" t="s">
        <v>1277</v>
      </c>
      <c r="D2146" s="20" t="s">
        <v>1186</v>
      </c>
      <c r="E2146" s="27">
        <v>1</v>
      </c>
      <c r="F2146" s="27">
        <v>16</v>
      </c>
      <c r="G2146" s="28">
        <v>0.71279999999999999</v>
      </c>
    </row>
    <row r="2147" spans="1:7" x14ac:dyDescent="0.25">
      <c r="A2147" s="20" t="s">
        <v>588</v>
      </c>
      <c r="B2147" s="20" t="s">
        <v>65</v>
      </c>
      <c r="C2147" s="20" t="s">
        <v>65</v>
      </c>
      <c r="D2147" s="20" t="s">
        <v>1186</v>
      </c>
      <c r="E2147" s="25">
        <v>0.15</v>
      </c>
      <c r="F2147" s="33">
        <v>2.4</v>
      </c>
      <c r="G2147" s="22"/>
    </row>
    <row r="2148" spans="1:7" x14ac:dyDescent="0.25">
      <c r="A2148" s="20" t="s">
        <v>588</v>
      </c>
      <c r="B2148" s="20" t="s">
        <v>67</v>
      </c>
      <c r="C2148" s="20" t="s">
        <v>67</v>
      </c>
      <c r="D2148" s="20" t="s">
        <v>1186</v>
      </c>
      <c r="E2148" s="24">
        <v>0.86199999999999999</v>
      </c>
      <c r="F2148" s="24">
        <v>13.792</v>
      </c>
      <c r="G2148" s="22"/>
    </row>
    <row r="2149" spans="1:7" x14ac:dyDescent="0.25">
      <c r="A2149" s="20" t="s">
        <v>588</v>
      </c>
      <c r="B2149" s="20" t="s">
        <v>146</v>
      </c>
      <c r="C2149" s="20" t="s">
        <v>146</v>
      </c>
      <c r="D2149" s="20" t="s">
        <v>1186</v>
      </c>
      <c r="E2149" s="24">
        <v>0.50600000000000001</v>
      </c>
      <c r="F2149" s="24">
        <v>8.0960000000000001</v>
      </c>
      <c r="G2149" s="22"/>
    </row>
    <row r="2150" spans="1:7" x14ac:dyDescent="0.25">
      <c r="A2150" s="20" t="s">
        <v>588</v>
      </c>
      <c r="B2150" s="20" t="s">
        <v>155</v>
      </c>
      <c r="C2150" s="20" t="s">
        <v>155</v>
      </c>
      <c r="D2150" s="20" t="s">
        <v>1186</v>
      </c>
      <c r="E2150" s="25">
        <v>0.09</v>
      </c>
      <c r="F2150" s="25">
        <v>1.44</v>
      </c>
      <c r="G2150" s="22"/>
    </row>
    <row r="2151" spans="1:7" x14ac:dyDescent="0.25">
      <c r="A2151" s="20" t="s">
        <v>588</v>
      </c>
      <c r="B2151" s="20" t="s">
        <v>200</v>
      </c>
      <c r="C2151" s="20" t="s">
        <v>200</v>
      </c>
      <c r="D2151" s="20" t="s">
        <v>1186</v>
      </c>
      <c r="E2151" s="24">
        <v>0.183</v>
      </c>
      <c r="F2151" s="24">
        <v>2.9279999999999999</v>
      </c>
      <c r="G2151" s="22"/>
    </row>
    <row r="2152" spans="1:7" x14ac:dyDescent="0.25">
      <c r="A2152" s="20" t="s">
        <v>588</v>
      </c>
      <c r="B2152" s="20" t="s">
        <v>215</v>
      </c>
      <c r="C2152" s="20" t="s">
        <v>215</v>
      </c>
      <c r="D2152" s="20" t="s">
        <v>1186</v>
      </c>
      <c r="E2152" s="33">
        <v>0.3</v>
      </c>
      <c r="F2152" s="33">
        <v>4.8</v>
      </c>
      <c r="G2152" s="22"/>
    </row>
    <row r="2153" spans="1:7" x14ac:dyDescent="0.25">
      <c r="A2153" s="20" t="s">
        <v>588</v>
      </c>
      <c r="B2153" s="20" t="s">
        <v>113</v>
      </c>
      <c r="C2153" s="20" t="s">
        <v>113</v>
      </c>
      <c r="D2153" s="20" t="s">
        <v>1275</v>
      </c>
      <c r="E2153" s="25">
        <v>12.82</v>
      </c>
      <c r="F2153" s="25">
        <v>205.12</v>
      </c>
      <c r="G2153" s="22"/>
    </row>
    <row r="2154" spans="1:7" x14ac:dyDescent="0.25">
      <c r="A2154" s="20" t="s">
        <v>588</v>
      </c>
      <c r="B2154" s="20" t="s">
        <v>67</v>
      </c>
      <c r="C2154" s="20" t="s">
        <v>67</v>
      </c>
      <c r="D2154" s="20" t="s">
        <v>1276</v>
      </c>
      <c r="E2154" s="24">
        <v>5.0999999999999997E-2</v>
      </c>
      <c r="F2154" s="24">
        <v>0.81599999999999995</v>
      </c>
      <c r="G2154" s="22"/>
    </row>
    <row r="2155" spans="1:7" x14ac:dyDescent="0.25">
      <c r="A2155" s="20" t="s">
        <v>588</v>
      </c>
      <c r="B2155" s="20" t="s">
        <v>113</v>
      </c>
      <c r="C2155" s="20" t="s">
        <v>113</v>
      </c>
      <c r="D2155" s="20" t="s">
        <v>1276</v>
      </c>
      <c r="E2155" s="25">
        <v>17.41</v>
      </c>
      <c r="F2155" s="25">
        <v>278.56</v>
      </c>
      <c r="G2155" s="22"/>
    </row>
    <row r="2156" spans="1:7" x14ac:dyDescent="0.25">
      <c r="A2156" s="20" t="s">
        <v>588</v>
      </c>
      <c r="B2156" s="20" t="s">
        <v>146</v>
      </c>
      <c r="C2156" s="20" t="s">
        <v>146</v>
      </c>
      <c r="D2156" s="20" t="s">
        <v>1276</v>
      </c>
      <c r="E2156" s="25">
        <v>0.03</v>
      </c>
      <c r="F2156" s="25">
        <v>0.48</v>
      </c>
      <c r="G2156" s="22"/>
    </row>
    <row r="2157" spans="1:7" x14ac:dyDescent="0.25">
      <c r="A2157" s="20" t="s">
        <v>588</v>
      </c>
      <c r="B2157" s="20" t="s">
        <v>113</v>
      </c>
      <c r="C2157" s="20" t="s">
        <v>113</v>
      </c>
      <c r="D2157" s="20" t="s">
        <v>1277</v>
      </c>
      <c r="E2157" s="24">
        <v>0.85199999999999998</v>
      </c>
      <c r="F2157" s="24">
        <v>13.632</v>
      </c>
      <c r="G2157" s="22"/>
    </row>
    <row r="2158" spans="1:7" x14ac:dyDescent="0.25">
      <c r="A2158" s="20" t="s">
        <v>585</v>
      </c>
      <c r="B2158" s="20" t="s">
        <v>1176</v>
      </c>
      <c r="C2158" s="20" t="s">
        <v>1176</v>
      </c>
      <c r="D2158" s="20" t="s">
        <v>1278</v>
      </c>
      <c r="E2158" s="27">
        <v>1</v>
      </c>
      <c r="F2158" s="27">
        <v>1</v>
      </c>
      <c r="G2158" s="29">
        <v>1.3748100000000001</v>
      </c>
    </row>
    <row r="2159" spans="1:7" x14ac:dyDescent="0.25">
      <c r="A2159" s="20" t="s">
        <v>585</v>
      </c>
      <c r="B2159" s="20" t="s">
        <v>1183</v>
      </c>
      <c r="C2159" s="20" t="s">
        <v>1183</v>
      </c>
      <c r="D2159" s="20" t="s">
        <v>1278</v>
      </c>
      <c r="E2159" s="27">
        <v>1</v>
      </c>
      <c r="F2159" s="27">
        <v>1</v>
      </c>
      <c r="G2159" s="28">
        <v>2.0691999999999999</v>
      </c>
    </row>
    <row r="2160" spans="1:7" x14ac:dyDescent="0.25">
      <c r="A2160" s="20" t="s">
        <v>585</v>
      </c>
      <c r="B2160" s="20" t="s">
        <v>1186</v>
      </c>
      <c r="C2160" s="20" t="s">
        <v>1186</v>
      </c>
      <c r="D2160" s="20" t="s">
        <v>1278</v>
      </c>
      <c r="E2160" s="27">
        <v>2</v>
      </c>
      <c r="F2160" s="27">
        <v>2</v>
      </c>
      <c r="G2160" s="29">
        <v>9.4101900000000001</v>
      </c>
    </row>
    <row r="2161" spans="1:7" x14ac:dyDescent="0.25">
      <c r="A2161" s="20" t="s">
        <v>585</v>
      </c>
      <c r="B2161" s="20" t="s">
        <v>1279</v>
      </c>
      <c r="C2161" s="20" t="s">
        <v>1279</v>
      </c>
      <c r="D2161" s="20" t="s">
        <v>1278</v>
      </c>
      <c r="E2161" s="27">
        <v>1</v>
      </c>
      <c r="F2161" s="27">
        <v>1</v>
      </c>
      <c r="G2161" s="29">
        <v>97.594430000000003</v>
      </c>
    </row>
    <row r="2162" spans="1:7" x14ac:dyDescent="0.25">
      <c r="A2162" s="20" t="s">
        <v>585</v>
      </c>
      <c r="B2162" s="20" t="s">
        <v>1280</v>
      </c>
      <c r="C2162" s="20" t="s">
        <v>1280</v>
      </c>
      <c r="D2162" s="20" t="s">
        <v>1278</v>
      </c>
      <c r="E2162" s="27">
        <v>1</v>
      </c>
      <c r="F2162" s="27">
        <v>1</v>
      </c>
      <c r="G2162" s="29">
        <v>21.91086</v>
      </c>
    </row>
    <row r="2163" spans="1:7" x14ac:dyDescent="0.25">
      <c r="A2163" s="20" t="s">
        <v>585</v>
      </c>
      <c r="B2163" s="20" t="s">
        <v>1281</v>
      </c>
      <c r="C2163" s="20" t="s">
        <v>1281</v>
      </c>
      <c r="D2163" s="20" t="s">
        <v>1278</v>
      </c>
      <c r="E2163" s="27">
        <v>1</v>
      </c>
      <c r="F2163" s="27">
        <v>1</v>
      </c>
      <c r="G2163" s="29">
        <v>35.681980000000003</v>
      </c>
    </row>
    <row r="2164" spans="1:7" x14ac:dyDescent="0.25">
      <c r="A2164" s="20" t="s">
        <v>585</v>
      </c>
      <c r="B2164" s="20" t="s">
        <v>1282</v>
      </c>
      <c r="C2164" s="20" t="s">
        <v>1282</v>
      </c>
      <c r="D2164" s="20" t="s">
        <v>1278</v>
      </c>
      <c r="E2164" s="27">
        <v>1</v>
      </c>
      <c r="F2164" s="27">
        <v>1</v>
      </c>
      <c r="G2164" s="29">
        <v>101.55204999999999</v>
      </c>
    </row>
    <row r="2165" spans="1:7" x14ac:dyDescent="0.25">
      <c r="A2165" s="20" t="s">
        <v>585</v>
      </c>
      <c r="B2165" s="20" t="s">
        <v>1283</v>
      </c>
      <c r="C2165" s="20" t="s">
        <v>1283</v>
      </c>
      <c r="D2165" s="20" t="s">
        <v>1278</v>
      </c>
      <c r="E2165" s="27">
        <v>1</v>
      </c>
      <c r="F2165" s="27">
        <v>1</v>
      </c>
      <c r="G2165" s="29">
        <v>8.4403199999999998</v>
      </c>
    </row>
    <row r="2166" spans="1:7" x14ac:dyDescent="0.25">
      <c r="A2166" s="20" t="s">
        <v>585</v>
      </c>
      <c r="B2166" s="20" t="s">
        <v>1284</v>
      </c>
      <c r="C2166" s="20" t="s">
        <v>1284</v>
      </c>
      <c r="D2166" s="20" t="s">
        <v>1278</v>
      </c>
      <c r="E2166" s="27">
        <v>1</v>
      </c>
      <c r="F2166" s="27">
        <v>1</v>
      </c>
      <c r="G2166" s="29">
        <v>21.585080000000001</v>
      </c>
    </row>
    <row r="2167" spans="1:7" x14ac:dyDescent="0.25">
      <c r="A2167" s="20" t="s">
        <v>585</v>
      </c>
      <c r="B2167" s="20" t="s">
        <v>1285</v>
      </c>
      <c r="C2167" s="20" t="s">
        <v>1285</v>
      </c>
      <c r="D2167" s="20" t="s">
        <v>1278</v>
      </c>
      <c r="E2167" s="27">
        <v>1</v>
      </c>
      <c r="F2167" s="27">
        <v>1</v>
      </c>
      <c r="G2167" s="29">
        <v>0.70574000000000003</v>
      </c>
    </row>
    <row r="2168" spans="1:7" x14ac:dyDescent="0.25">
      <c r="A2168" s="20" t="s">
        <v>585</v>
      </c>
      <c r="B2168" s="20" t="s">
        <v>1286</v>
      </c>
      <c r="C2168" s="20" t="s">
        <v>1286</v>
      </c>
      <c r="D2168" s="20" t="s">
        <v>1278</v>
      </c>
      <c r="E2168" s="27">
        <v>1</v>
      </c>
      <c r="F2168" s="27">
        <v>1</v>
      </c>
      <c r="G2168" s="29">
        <v>25.774789999999999</v>
      </c>
    </row>
    <row r="2169" spans="1:7" x14ac:dyDescent="0.25">
      <c r="A2169" s="20" t="s">
        <v>595</v>
      </c>
      <c r="B2169" s="20" t="s">
        <v>1188</v>
      </c>
      <c r="C2169" s="20" t="s">
        <v>1188</v>
      </c>
      <c r="D2169" s="20" t="s">
        <v>1278</v>
      </c>
      <c r="E2169" s="27">
        <v>2</v>
      </c>
      <c r="F2169" s="27">
        <v>2</v>
      </c>
      <c r="G2169" s="29">
        <v>0.10907</v>
      </c>
    </row>
    <row r="2170" spans="1:7" x14ac:dyDescent="0.25">
      <c r="A2170" s="20" t="s">
        <v>595</v>
      </c>
      <c r="B2170" s="20" t="s">
        <v>1189</v>
      </c>
      <c r="C2170" s="20" t="s">
        <v>1189</v>
      </c>
      <c r="D2170" s="20" t="s">
        <v>1278</v>
      </c>
      <c r="E2170" s="27">
        <v>2</v>
      </c>
      <c r="F2170" s="27">
        <v>2</v>
      </c>
      <c r="G2170" s="29">
        <v>0.24543999999999999</v>
      </c>
    </row>
    <row r="2171" spans="1:7" x14ac:dyDescent="0.25">
      <c r="A2171" s="20" t="s">
        <v>595</v>
      </c>
      <c r="B2171" s="20" t="s">
        <v>1192</v>
      </c>
      <c r="C2171" s="20" t="s">
        <v>1192</v>
      </c>
      <c r="D2171" s="20" t="s">
        <v>1278</v>
      </c>
      <c r="E2171" s="27">
        <v>2</v>
      </c>
      <c r="F2171" s="27">
        <v>2</v>
      </c>
      <c r="G2171" s="29">
        <v>3.1669999999999997E-2</v>
      </c>
    </row>
    <row r="2172" spans="1:7" x14ac:dyDescent="0.25">
      <c r="A2172" s="20" t="s">
        <v>595</v>
      </c>
      <c r="B2172" s="20" t="s">
        <v>1193</v>
      </c>
      <c r="C2172" s="20" t="s">
        <v>1193</v>
      </c>
      <c r="D2172" s="20" t="s">
        <v>1278</v>
      </c>
      <c r="E2172" s="27">
        <v>1</v>
      </c>
      <c r="F2172" s="27">
        <v>1</v>
      </c>
      <c r="G2172" s="28">
        <v>3.0291000000000001</v>
      </c>
    </row>
    <row r="2173" spans="1:7" x14ac:dyDescent="0.25">
      <c r="A2173" s="20" t="s">
        <v>595</v>
      </c>
      <c r="B2173" s="20" t="s">
        <v>1194</v>
      </c>
      <c r="C2173" s="20" t="s">
        <v>1194</v>
      </c>
      <c r="D2173" s="20" t="s">
        <v>1278</v>
      </c>
      <c r="E2173" s="27">
        <v>2</v>
      </c>
      <c r="F2173" s="27">
        <v>2</v>
      </c>
      <c r="G2173" s="29">
        <v>6.1120000000000001E-2</v>
      </c>
    </row>
    <row r="2174" spans="1:7" x14ac:dyDescent="0.25">
      <c r="A2174" s="20" t="s">
        <v>595</v>
      </c>
      <c r="B2174" s="20" t="s">
        <v>1195</v>
      </c>
      <c r="C2174" s="20" t="s">
        <v>1195</v>
      </c>
      <c r="D2174" s="20" t="s">
        <v>1278</v>
      </c>
      <c r="E2174" s="27">
        <v>2</v>
      </c>
      <c r="F2174" s="27">
        <v>2</v>
      </c>
      <c r="G2174" s="29">
        <v>5.7880000000000001E-2</v>
      </c>
    </row>
    <row r="2175" spans="1:7" x14ac:dyDescent="0.25">
      <c r="A2175" s="20" t="s">
        <v>595</v>
      </c>
      <c r="B2175" s="20" t="s">
        <v>1196</v>
      </c>
      <c r="C2175" s="20" t="s">
        <v>1196</v>
      </c>
      <c r="D2175" s="20" t="s">
        <v>1278</v>
      </c>
      <c r="E2175" s="27">
        <v>1</v>
      </c>
      <c r="F2175" s="27">
        <v>1</v>
      </c>
      <c r="G2175" s="29">
        <v>1.4852700000000001</v>
      </c>
    </row>
    <row r="2176" spans="1:7" x14ac:dyDescent="0.25">
      <c r="A2176" s="20" t="s">
        <v>595</v>
      </c>
      <c r="B2176" s="20" t="s">
        <v>1197</v>
      </c>
      <c r="C2176" s="20" t="s">
        <v>1197</v>
      </c>
      <c r="D2176" s="20" t="s">
        <v>1278</v>
      </c>
      <c r="E2176" s="27">
        <v>2</v>
      </c>
      <c r="F2176" s="27">
        <v>2</v>
      </c>
      <c r="G2176" s="29">
        <v>0.30839</v>
      </c>
    </row>
    <row r="2177" spans="1:7" x14ac:dyDescent="0.25">
      <c r="A2177" s="20" t="s">
        <v>595</v>
      </c>
      <c r="B2177" s="20" t="s">
        <v>1287</v>
      </c>
      <c r="C2177" s="20" t="s">
        <v>1287</v>
      </c>
      <c r="D2177" s="20" t="s">
        <v>1278</v>
      </c>
      <c r="E2177" s="27">
        <v>1</v>
      </c>
      <c r="F2177" s="27">
        <v>1</v>
      </c>
      <c r="G2177" s="28">
        <v>0.97319999999999995</v>
      </c>
    </row>
    <row r="2178" spans="1:7" x14ac:dyDescent="0.25">
      <c r="A2178" s="20" t="s">
        <v>595</v>
      </c>
      <c r="B2178" s="20" t="s">
        <v>1288</v>
      </c>
      <c r="C2178" s="20" t="s">
        <v>1288</v>
      </c>
      <c r="D2178" s="20" t="s">
        <v>1278</v>
      </c>
      <c r="E2178" s="27">
        <v>1</v>
      </c>
      <c r="F2178" s="27">
        <v>1</v>
      </c>
      <c r="G2178" s="29">
        <v>3.0280399999999998</v>
      </c>
    </row>
    <row r="2179" spans="1:7" x14ac:dyDescent="0.25">
      <c r="A2179" s="20" t="s">
        <v>595</v>
      </c>
      <c r="B2179" s="20" t="s">
        <v>1289</v>
      </c>
      <c r="C2179" s="20" t="s">
        <v>1289</v>
      </c>
      <c r="D2179" s="20" t="s">
        <v>1278</v>
      </c>
      <c r="E2179" s="27">
        <v>2</v>
      </c>
      <c r="F2179" s="27">
        <v>2</v>
      </c>
      <c r="G2179" s="29">
        <v>12.73732</v>
      </c>
    </row>
    <row r="2180" spans="1:7" ht="22.5" x14ac:dyDescent="0.25">
      <c r="A2180" s="20" t="s">
        <v>620</v>
      </c>
      <c r="B2180" s="20" t="s">
        <v>1198</v>
      </c>
      <c r="C2180" s="20" t="s">
        <v>301</v>
      </c>
      <c r="D2180" s="20" t="s">
        <v>1278</v>
      </c>
      <c r="E2180" s="27">
        <v>4</v>
      </c>
      <c r="F2180" s="27">
        <v>4</v>
      </c>
      <c r="G2180" s="28">
        <v>2.7699999999999999E-2</v>
      </c>
    </row>
    <row r="2181" spans="1:7" ht="22.5" x14ac:dyDescent="0.25">
      <c r="A2181" s="20" t="s">
        <v>620</v>
      </c>
      <c r="B2181" s="20" t="s">
        <v>1290</v>
      </c>
      <c r="C2181" s="20" t="s">
        <v>261</v>
      </c>
      <c r="D2181" s="20" t="s">
        <v>1278</v>
      </c>
      <c r="E2181" s="27">
        <v>12</v>
      </c>
      <c r="F2181" s="27">
        <v>12</v>
      </c>
      <c r="G2181" s="28">
        <v>3.1600000000000003E-2</v>
      </c>
    </row>
    <row r="2182" spans="1:7" ht="22.5" x14ac:dyDescent="0.25">
      <c r="A2182" s="20" t="s">
        <v>620</v>
      </c>
      <c r="B2182" s="20" t="s">
        <v>1291</v>
      </c>
      <c r="C2182" s="20" t="s">
        <v>308</v>
      </c>
      <c r="D2182" s="20" t="s">
        <v>1278</v>
      </c>
      <c r="E2182" s="27">
        <v>4</v>
      </c>
      <c r="F2182" s="27">
        <v>4</v>
      </c>
      <c r="G2182" s="35">
        <v>7.5999999999999998E-2</v>
      </c>
    </row>
    <row r="2183" spans="1:7" ht="22.5" x14ac:dyDescent="0.25">
      <c r="A2183" s="20" t="s">
        <v>620</v>
      </c>
      <c r="B2183" s="20" t="s">
        <v>622</v>
      </c>
      <c r="C2183" s="20" t="s">
        <v>256</v>
      </c>
      <c r="D2183" s="20" t="s">
        <v>1278</v>
      </c>
      <c r="E2183" s="27">
        <v>104</v>
      </c>
      <c r="F2183" s="27">
        <v>104</v>
      </c>
      <c r="G2183" s="28">
        <v>1.52E-2</v>
      </c>
    </row>
    <row r="2184" spans="1:7" ht="22.5" x14ac:dyDescent="0.25">
      <c r="A2184" s="20" t="s">
        <v>620</v>
      </c>
      <c r="B2184" s="20" t="s">
        <v>623</v>
      </c>
      <c r="C2184" s="20" t="s">
        <v>285</v>
      </c>
      <c r="D2184" s="20" t="s">
        <v>1278</v>
      </c>
      <c r="E2184" s="27">
        <v>5</v>
      </c>
      <c r="F2184" s="27">
        <v>5</v>
      </c>
      <c r="G2184" s="28">
        <v>1.67E-2</v>
      </c>
    </row>
    <row r="2185" spans="1:7" ht="22.5" x14ac:dyDescent="0.25">
      <c r="A2185" s="20" t="s">
        <v>620</v>
      </c>
      <c r="B2185" s="20" t="s">
        <v>1201</v>
      </c>
      <c r="C2185" s="20" t="s">
        <v>298</v>
      </c>
      <c r="D2185" s="20" t="s">
        <v>1278</v>
      </c>
      <c r="E2185" s="27">
        <v>4</v>
      </c>
      <c r="F2185" s="27">
        <v>4</v>
      </c>
      <c r="G2185" s="28">
        <v>0.13730000000000001</v>
      </c>
    </row>
    <row r="2186" spans="1:7" ht="22.5" x14ac:dyDescent="0.25">
      <c r="A2186" s="20" t="s">
        <v>620</v>
      </c>
      <c r="B2186" s="20" t="s">
        <v>745</v>
      </c>
      <c r="C2186" s="20" t="s">
        <v>246</v>
      </c>
      <c r="D2186" s="20" t="s">
        <v>1278</v>
      </c>
      <c r="E2186" s="27">
        <v>16</v>
      </c>
      <c r="F2186" s="27">
        <v>16</v>
      </c>
      <c r="G2186" s="29">
        <v>1.022E-2</v>
      </c>
    </row>
    <row r="2187" spans="1:7" ht="22.5" x14ac:dyDescent="0.25">
      <c r="A2187" s="20" t="s">
        <v>620</v>
      </c>
      <c r="B2187" s="20" t="s">
        <v>864</v>
      </c>
      <c r="C2187" s="20" t="s">
        <v>263</v>
      </c>
      <c r="D2187" s="20" t="s">
        <v>1278</v>
      </c>
      <c r="E2187" s="27">
        <v>4</v>
      </c>
      <c r="F2187" s="27">
        <v>4</v>
      </c>
      <c r="G2187" s="29">
        <v>1.567E-2</v>
      </c>
    </row>
    <row r="2188" spans="1:7" ht="22.5" x14ac:dyDescent="0.25">
      <c r="A2188" s="20" t="s">
        <v>620</v>
      </c>
      <c r="B2188" s="20" t="s">
        <v>818</v>
      </c>
      <c r="C2188" s="20" t="s">
        <v>259</v>
      </c>
      <c r="D2188" s="20" t="s">
        <v>1278</v>
      </c>
      <c r="E2188" s="27">
        <v>4</v>
      </c>
      <c r="F2188" s="27">
        <v>4</v>
      </c>
      <c r="G2188" s="29">
        <v>3.7609999999999998E-2</v>
      </c>
    </row>
    <row r="2189" spans="1:7" ht="22.5" x14ac:dyDescent="0.25">
      <c r="A2189" s="20" t="s">
        <v>620</v>
      </c>
      <c r="B2189" s="20" t="s">
        <v>733</v>
      </c>
      <c r="C2189" s="20" t="s">
        <v>235</v>
      </c>
      <c r="D2189" s="20" t="s">
        <v>1278</v>
      </c>
      <c r="E2189" s="27">
        <v>8</v>
      </c>
      <c r="F2189" s="27">
        <v>8</v>
      </c>
      <c r="G2189" s="29">
        <v>7.1440000000000003E-2</v>
      </c>
    </row>
    <row r="2190" spans="1:7" ht="22.5" x14ac:dyDescent="0.25">
      <c r="A2190" s="20" t="s">
        <v>620</v>
      </c>
      <c r="B2190" s="20" t="s">
        <v>625</v>
      </c>
      <c r="C2190" s="20" t="s">
        <v>219</v>
      </c>
      <c r="D2190" s="20" t="s">
        <v>1278</v>
      </c>
      <c r="E2190" s="27">
        <v>42</v>
      </c>
      <c r="F2190" s="27">
        <v>42</v>
      </c>
      <c r="G2190" s="29">
        <v>7.1399999999999996E-3</v>
      </c>
    </row>
    <row r="2191" spans="1:7" ht="22.5" x14ac:dyDescent="0.25">
      <c r="A2191" s="20" t="s">
        <v>620</v>
      </c>
      <c r="B2191" s="20" t="s">
        <v>767</v>
      </c>
      <c r="C2191" s="20" t="s">
        <v>249</v>
      </c>
      <c r="D2191" s="20" t="s">
        <v>1278</v>
      </c>
      <c r="E2191" s="27">
        <v>13</v>
      </c>
      <c r="F2191" s="27">
        <v>13</v>
      </c>
      <c r="G2191" s="29">
        <v>2.0100000000000001E-3</v>
      </c>
    </row>
    <row r="2192" spans="1:7" ht="22.5" x14ac:dyDescent="0.25">
      <c r="A2192" s="20" t="s">
        <v>620</v>
      </c>
      <c r="B2192" s="20" t="s">
        <v>865</v>
      </c>
      <c r="C2192" s="20" t="s">
        <v>264</v>
      </c>
      <c r="D2192" s="20" t="s">
        <v>1278</v>
      </c>
      <c r="E2192" s="27">
        <v>4</v>
      </c>
      <c r="F2192" s="27">
        <v>4</v>
      </c>
      <c r="G2192" s="29">
        <v>3.4499999999999999E-3</v>
      </c>
    </row>
    <row r="2193" spans="1:7" ht="22.5" x14ac:dyDescent="0.25">
      <c r="A2193" s="20" t="s">
        <v>620</v>
      </c>
      <c r="B2193" s="20" t="s">
        <v>819</v>
      </c>
      <c r="C2193" s="20" t="s">
        <v>260</v>
      </c>
      <c r="D2193" s="20" t="s">
        <v>1278</v>
      </c>
      <c r="E2193" s="27">
        <v>4</v>
      </c>
      <c r="F2193" s="27">
        <v>4</v>
      </c>
      <c r="G2193" s="29">
        <v>6.0800000000000003E-3</v>
      </c>
    </row>
    <row r="2194" spans="1:7" ht="22.5" x14ac:dyDescent="0.25">
      <c r="A2194" s="20" t="s">
        <v>620</v>
      </c>
      <c r="B2194" s="20" t="s">
        <v>735</v>
      </c>
      <c r="C2194" s="20" t="s">
        <v>241</v>
      </c>
      <c r="D2194" s="20" t="s">
        <v>1278</v>
      </c>
      <c r="E2194" s="27">
        <v>4</v>
      </c>
      <c r="F2194" s="27">
        <v>4</v>
      </c>
      <c r="G2194" s="29">
        <v>1.289E-2</v>
      </c>
    </row>
    <row r="2195" spans="1:7" ht="22.5" x14ac:dyDescent="0.25">
      <c r="A2195" s="20" t="s">
        <v>620</v>
      </c>
      <c r="B2195" s="20" t="s">
        <v>1292</v>
      </c>
      <c r="C2195" s="20" t="s">
        <v>307</v>
      </c>
      <c r="D2195" s="20" t="s">
        <v>1278</v>
      </c>
      <c r="E2195" s="27">
        <v>4</v>
      </c>
      <c r="F2195" s="27">
        <v>4</v>
      </c>
      <c r="G2195" s="35">
        <v>2.1999999999999999E-2</v>
      </c>
    </row>
    <row r="2196" spans="1:7" ht="22.5" x14ac:dyDescent="0.25">
      <c r="A2196" s="20" t="s">
        <v>620</v>
      </c>
      <c r="B2196" s="20" t="s">
        <v>1202</v>
      </c>
      <c r="C2196" s="20" t="s">
        <v>297</v>
      </c>
      <c r="D2196" s="20" t="s">
        <v>1278</v>
      </c>
      <c r="E2196" s="27">
        <v>4</v>
      </c>
      <c r="F2196" s="27">
        <v>4</v>
      </c>
      <c r="G2196" s="35">
        <v>7.8E-2</v>
      </c>
    </row>
    <row r="2197" spans="1:7" ht="22.5" x14ac:dyDescent="0.25">
      <c r="A2197" s="20" t="s">
        <v>620</v>
      </c>
      <c r="B2197" s="20" t="s">
        <v>747</v>
      </c>
      <c r="C2197" s="20" t="s">
        <v>244</v>
      </c>
      <c r="D2197" s="20" t="s">
        <v>1278</v>
      </c>
      <c r="E2197" s="27">
        <v>18</v>
      </c>
      <c r="F2197" s="27">
        <v>18</v>
      </c>
      <c r="G2197" s="29">
        <v>6.13E-3</v>
      </c>
    </row>
    <row r="2198" spans="1:7" ht="22.5" x14ac:dyDescent="0.25">
      <c r="A2198" s="20" t="s">
        <v>620</v>
      </c>
      <c r="B2198" s="20" t="s">
        <v>662</v>
      </c>
      <c r="C2198" s="20" t="s">
        <v>221</v>
      </c>
      <c r="D2198" s="20" t="s">
        <v>1278</v>
      </c>
      <c r="E2198" s="27">
        <v>8</v>
      </c>
      <c r="F2198" s="27">
        <v>8</v>
      </c>
      <c r="G2198" s="29">
        <v>1.098E-2</v>
      </c>
    </row>
    <row r="2199" spans="1:7" ht="22.5" x14ac:dyDescent="0.25">
      <c r="A2199" s="20" t="s">
        <v>620</v>
      </c>
      <c r="B2199" s="20" t="s">
        <v>736</v>
      </c>
      <c r="C2199" s="20" t="s">
        <v>239</v>
      </c>
      <c r="D2199" s="20" t="s">
        <v>1278</v>
      </c>
      <c r="E2199" s="27">
        <v>4</v>
      </c>
      <c r="F2199" s="27">
        <v>4</v>
      </c>
      <c r="G2199" s="29">
        <v>1.636E-2</v>
      </c>
    </row>
    <row r="2200" spans="1:7" x14ac:dyDescent="0.25">
      <c r="A2200" s="20" t="s">
        <v>597</v>
      </c>
      <c r="B2200" s="20" t="s">
        <v>7</v>
      </c>
      <c r="C2200" s="20" t="s">
        <v>7</v>
      </c>
      <c r="D2200" s="20" t="s">
        <v>1278</v>
      </c>
      <c r="E2200" s="27">
        <v>1</v>
      </c>
      <c r="F2200" s="27">
        <v>1</v>
      </c>
      <c r="G2200" s="37">
        <v>111</v>
      </c>
    </row>
    <row r="2201" spans="1:7" x14ac:dyDescent="0.25">
      <c r="A2201" s="20" t="s">
        <v>597</v>
      </c>
      <c r="B2201" s="20" t="s">
        <v>23</v>
      </c>
      <c r="C2201" s="20" t="s">
        <v>23</v>
      </c>
      <c r="D2201" s="20" t="s">
        <v>1278</v>
      </c>
      <c r="E2201" s="27">
        <v>1</v>
      </c>
      <c r="F2201" s="27">
        <v>1</v>
      </c>
      <c r="G2201" s="29">
        <v>1.1640699999999999</v>
      </c>
    </row>
    <row r="2202" spans="1:7" x14ac:dyDescent="0.25">
      <c r="A2202" s="20" t="s">
        <v>597</v>
      </c>
      <c r="B2202" s="20" t="s">
        <v>29</v>
      </c>
      <c r="C2202" s="20" t="s">
        <v>29</v>
      </c>
      <c r="D2202" s="20" t="s">
        <v>1278</v>
      </c>
      <c r="E2202" s="27">
        <v>1</v>
      </c>
      <c r="F2202" s="27">
        <v>1</v>
      </c>
      <c r="G2202" s="29">
        <v>5.7279499999999999</v>
      </c>
    </row>
    <row r="2203" spans="1:7" x14ac:dyDescent="0.25">
      <c r="A2203" s="20" t="s">
        <v>597</v>
      </c>
      <c r="B2203" s="20" t="s">
        <v>42</v>
      </c>
      <c r="C2203" s="20" t="s">
        <v>42</v>
      </c>
      <c r="D2203" s="20" t="s">
        <v>1278</v>
      </c>
      <c r="E2203" s="27">
        <v>2</v>
      </c>
      <c r="F2203" s="27">
        <v>2</v>
      </c>
      <c r="G2203" s="31">
        <v>0.15</v>
      </c>
    </row>
    <row r="2204" spans="1:7" x14ac:dyDescent="0.25">
      <c r="A2204" s="20" t="s">
        <v>597</v>
      </c>
      <c r="B2204" s="20" t="s">
        <v>68</v>
      </c>
      <c r="C2204" s="20" t="s">
        <v>68</v>
      </c>
      <c r="D2204" s="20" t="s">
        <v>1278</v>
      </c>
      <c r="E2204" s="27">
        <v>4</v>
      </c>
      <c r="F2204" s="27">
        <v>4</v>
      </c>
      <c r="G2204" s="29">
        <v>3.211E-2</v>
      </c>
    </row>
    <row r="2205" spans="1:7" x14ac:dyDescent="0.25">
      <c r="A2205" s="20" t="s">
        <v>585</v>
      </c>
      <c r="B2205" s="20" t="s">
        <v>1278</v>
      </c>
      <c r="C2205" s="20" t="s">
        <v>1278</v>
      </c>
      <c r="D2205" s="20" t="s">
        <v>1293</v>
      </c>
      <c r="E2205" s="27">
        <v>1</v>
      </c>
      <c r="F2205" s="27">
        <v>1</v>
      </c>
      <c r="G2205" s="29">
        <v>501.03426000000002</v>
      </c>
    </row>
    <row r="2206" spans="1:7" x14ac:dyDescent="0.25">
      <c r="A2206" s="20" t="s">
        <v>585</v>
      </c>
      <c r="B2206" s="20" t="s">
        <v>1294</v>
      </c>
      <c r="C2206" s="20" t="s">
        <v>1294</v>
      </c>
      <c r="D2206" s="20" t="s">
        <v>1293</v>
      </c>
      <c r="E2206" s="27">
        <v>1</v>
      </c>
      <c r="F2206" s="27">
        <v>1</v>
      </c>
      <c r="G2206" s="29">
        <v>24.263190000000002</v>
      </c>
    </row>
    <row r="2207" spans="1:7" x14ac:dyDescent="0.25">
      <c r="A2207" s="20" t="s">
        <v>595</v>
      </c>
      <c r="B2207" s="20" t="s">
        <v>1174</v>
      </c>
      <c r="C2207" s="20" t="s">
        <v>1174</v>
      </c>
      <c r="D2207" s="20" t="s">
        <v>1293</v>
      </c>
      <c r="E2207" s="27">
        <v>2</v>
      </c>
      <c r="F2207" s="27">
        <v>2</v>
      </c>
      <c r="G2207" s="29">
        <v>7.6410000000000006E-2</v>
      </c>
    </row>
    <row r="2208" spans="1:7" x14ac:dyDescent="0.25">
      <c r="A2208" s="20" t="s">
        <v>595</v>
      </c>
      <c r="B2208" s="20" t="s">
        <v>615</v>
      </c>
      <c r="C2208" s="20" t="s">
        <v>615</v>
      </c>
      <c r="D2208" s="20" t="s">
        <v>1293</v>
      </c>
      <c r="E2208" s="27">
        <v>1</v>
      </c>
      <c r="F2208" s="27">
        <v>1</v>
      </c>
      <c r="G2208" s="29">
        <v>0.32214999999999999</v>
      </c>
    </row>
    <row r="2209" spans="1:7" x14ac:dyDescent="0.25">
      <c r="A2209" s="20" t="s">
        <v>595</v>
      </c>
      <c r="B2209" s="20" t="s">
        <v>616</v>
      </c>
      <c r="C2209" s="20" t="s">
        <v>616</v>
      </c>
      <c r="D2209" s="20" t="s">
        <v>1293</v>
      </c>
      <c r="E2209" s="27">
        <v>1</v>
      </c>
      <c r="F2209" s="27">
        <v>1</v>
      </c>
      <c r="G2209" s="29">
        <v>6.9110000000000005E-2</v>
      </c>
    </row>
    <row r="2210" spans="1:7" ht="22.5" x14ac:dyDescent="0.25">
      <c r="A2210" s="20" t="s">
        <v>620</v>
      </c>
      <c r="B2210" s="20" t="s">
        <v>625</v>
      </c>
      <c r="C2210" s="20" t="s">
        <v>219</v>
      </c>
      <c r="D2210" s="20" t="s">
        <v>1293</v>
      </c>
      <c r="E2210" s="27">
        <v>2</v>
      </c>
      <c r="F2210" s="27">
        <v>2</v>
      </c>
      <c r="G2210" s="29">
        <v>7.1399999999999996E-3</v>
      </c>
    </row>
    <row r="2211" spans="1:7" x14ac:dyDescent="0.25">
      <c r="A2211" s="20" t="s">
        <v>588</v>
      </c>
      <c r="B2211" s="20" t="s">
        <v>112</v>
      </c>
      <c r="C2211" s="20" t="s">
        <v>112</v>
      </c>
      <c r="D2211" s="20" t="s">
        <v>1287</v>
      </c>
      <c r="E2211" s="33">
        <v>1.2</v>
      </c>
      <c r="F2211" s="33">
        <v>1.2</v>
      </c>
      <c r="G2211" s="22"/>
    </row>
    <row r="2212" spans="1:7" x14ac:dyDescent="0.25">
      <c r="A2212" s="20" t="s">
        <v>588</v>
      </c>
      <c r="B2212" s="20" t="s">
        <v>65</v>
      </c>
      <c r="C2212" s="20" t="s">
        <v>65</v>
      </c>
      <c r="D2212" s="20" t="s">
        <v>1288</v>
      </c>
      <c r="E2212" s="33">
        <v>0.1</v>
      </c>
      <c r="F2212" s="33">
        <v>0.1</v>
      </c>
      <c r="G2212" s="22"/>
    </row>
    <row r="2213" spans="1:7" x14ac:dyDescent="0.25">
      <c r="A2213" s="20" t="s">
        <v>588</v>
      </c>
      <c r="B2213" s="20" t="s">
        <v>109</v>
      </c>
      <c r="C2213" s="20" t="s">
        <v>109</v>
      </c>
      <c r="D2213" s="20" t="s">
        <v>1288</v>
      </c>
      <c r="E2213" s="27">
        <v>9</v>
      </c>
      <c r="F2213" s="27">
        <v>9</v>
      </c>
      <c r="G2213" s="22"/>
    </row>
    <row r="2214" spans="1:7" x14ac:dyDescent="0.25">
      <c r="A2214" s="20" t="s">
        <v>588</v>
      </c>
      <c r="B2214" s="20" t="s">
        <v>155</v>
      </c>
      <c r="C2214" s="20" t="s">
        <v>155</v>
      </c>
      <c r="D2214" s="20" t="s">
        <v>1288</v>
      </c>
      <c r="E2214" s="25">
        <v>0.06</v>
      </c>
      <c r="F2214" s="25">
        <v>0.06</v>
      </c>
      <c r="G2214" s="22"/>
    </row>
    <row r="2215" spans="1:7" x14ac:dyDescent="0.25">
      <c r="A2215" s="20" t="s">
        <v>588</v>
      </c>
      <c r="B2215" s="20" t="s">
        <v>156</v>
      </c>
      <c r="C2215" s="20" t="s">
        <v>156</v>
      </c>
      <c r="D2215" s="20" t="s">
        <v>1288</v>
      </c>
      <c r="E2215" s="25">
        <v>0.09</v>
      </c>
      <c r="F2215" s="25">
        <v>0.09</v>
      </c>
      <c r="G2215" s="22"/>
    </row>
    <row r="2216" spans="1:7" x14ac:dyDescent="0.25">
      <c r="A2216" s="20" t="s">
        <v>588</v>
      </c>
      <c r="B2216" s="20" t="s">
        <v>200</v>
      </c>
      <c r="C2216" s="20" t="s">
        <v>200</v>
      </c>
      <c r="D2216" s="20" t="s">
        <v>1288</v>
      </c>
      <c r="E2216" s="24">
        <v>8.5999999999999993E-2</v>
      </c>
      <c r="F2216" s="24">
        <v>8.5999999999999993E-2</v>
      </c>
      <c r="G2216" s="22"/>
    </row>
    <row r="2217" spans="1:7" x14ac:dyDescent="0.25">
      <c r="A2217" s="20" t="s">
        <v>588</v>
      </c>
      <c r="B2217" s="20" t="s">
        <v>215</v>
      </c>
      <c r="C2217" s="20" t="s">
        <v>215</v>
      </c>
      <c r="D2217" s="20" t="s">
        <v>1288</v>
      </c>
      <c r="E2217" s="33">
        <v>0.2</v>
      </c>
      <c r="F2217" s="33">
        <v>0.2</v>
      </c>
      <c r="G2217" s="22"/>
    </row>
    <row r="2218" spans="1:7" x14ac:dyDescent="0.25">
      <c r="A2218" s="20" t="s">
        <v>588</v>
      </c>
      <c r="B2218" s="20" t="s">
        <v>65</v>
      </c>
      <c r="C2218" s="20" t="s">
        <v>65</v>
      </c>
      <c r="D2218" s="20" t="s">
        <v>1289</v>
      </c>
      <c r="E2218" s="25">
        <v>0.15</v>
      </c>
      <c r="F2218" s="33">
        <v>0.3</v>
      </c>
      <c r="G2218" s="22"/>
    </row>
    <row r="2219" spans="1:7" x14ac:dyDescent="0.25">
      <c r="A2219" s="20" t="s">
        <v>588</v>
      </c>
      <c r="B2219" s="20" t="s">
        <v>115</v>
      </c>
      <c r="C2219" s="20" t="s">
        <v>115</v>
      </c>
      <c r="D2219" s="20" t="s">
        <v>1289</v>
      </c>
      <c r="E2219" s="25">
        <v>15.45</v>
      </c>
      <c r="F2219" s="33">
        <v>30.9</v>
      </c>
      <c r="G2219" s="22"/>
    </row>
    <row r="2220" spans="1:7" x14ac:dyDescent="0.25">
      <c r="A2220" s="20" t="s">
        <v>588</v>
      </c>
      <c r="B2220" s="20" t="s">
        <v>155</v>
      </c>
      <c r="C2220" s="20" t="s">
        <v>155</v>
      </c>
      <c r="D2220" s="20" t="s">
        <v>1289</v>
      </c>
      <c r="E2220" s="25">
        <v>0.09</v>
      </c>
      <c r="F2220" s="25">
        <v>0.18</v>
      </c>
      <c r="G2220" s="22"/>
    </row>
    <row r="2221" spans="1:7" x14ac:dyDescent="0.25">
      <c r="A2221" s="20" t="s">
        <v>588</v>
      </c>
      <c r="B2221" s="20" t="s">
        <v>156</v>
      </c>
      <c r="C2221" s="20" t="s">
        <v>156</v>
      </c>
      <c r="D2221" s="20" t="s">
        <v>1289</v>
      </c>
      <c r="E2221" s="25">
        <v>0.12</v>
      </c>
      <c r="F2221" s="25">
        <v>0.24</v>
      </c>
      <c r="G2221" s="22"/>
    </row>
    <row r="2222" spans="1:7" x14ac:dyDescent="0.25">
      <c r="A2222" s="20" t="s">
        <v>588</v>
      </c>
      <c r="B2222" s="20" t="s">
        <v>200</v>
      </c>
      <c r="C2222" s="20" t="s">
        <v>200</v>
      </c>
      <c r="D2222" s="20" t="s">
        <v>1289</v>
      </c>
      <c r="E2222" s="24">
        <v>0.16400000000000001</v>
      </c>
      <c r="F2222" s="24">
        <v>0.32800000000000001</v>
      </c>
      <c r="G2222" s="22"/>
    </row>
    <row r="2223" spans="1:7" x14ac:dyDescent="0.25">
      <c r="A2223" s="20" t="s">
        <v>588</v>
      </c>
      <c r="B2223" s="20" t="s">
        <v>215</v>
      </c>
      <c r="C2223" s="20" t="s">
        <v>215</v>
      </c>
      <c r="D2223" s="20" t="s">
        <v>1289</v>
      </c>
      <c r="E2223" s="33">
        <v>0.3</v>
      </c>
      <c r="F2223" s="33">
        <v>0.6</v>
      </c>
      <c r="G2223" s="22"/>
    </row>
    <row r="2224" spans="1:7" x14ac:dyDescent="0.25">
      <c r="A2224" s="20" t="s">
        <v>585</v>
      </c>
      <c r="B2224" s="20" t="s">
        <v>1208</v>
      </c>
      <c r="C2224" s="20" t="s">
        <v>1208</v>
      </c>
      <c r="D2224" s="20" t="s">
        <v>1279</v>
      </c>
      <c r="E2224" s="27">
        <v>1</v>
      </c>
      <c r="F2224" s="27">
        <v>6</v>
      </c>
      <c r="G2224" s="28">
        <v>7.9344000000000001</v>
      </c>
    </row>
    <row r="2225" spans="1:7" x14ac:dyDescent="0.25">
      <c r="A2225" s="20" t="s">
        <v>585</v>
      </c>
      <c r="B2225" s="20" t="s">
        <v>1209</v>
      </c>
      <c r="C2225" s="20" t="s">
        <v>1209</v>
      </c>
      <c r="D2225" s="20" t="s">
        <v>1279</v>
      </c>
      <c r="E2225" s="27">
        <v>1</v>
      </c>
      <c r="F2225" s="27">
        <v>6</v>
      </c>
      <c r="G2225" s="29">
        <v>1.51356</v>
      </c>
    </row>
    <row r="2226" spans="1:7" x14ac:dyDescent="0.25">
      <c r="A2226" s="20" t="s">
        <v>595</v>
      </c>
      <c r="B2226" s="20" t="s">
        <v>1212</v>
      </c>
      <c r="C2226" s="20" t="s">
        <v>1212</v>
      </c>
      <c r="D2226" s="20" t="s">
        <v>1279</v>
      </c>
      <c r="E2226" s="27">
        <v>1</v>
      </c>
      <c r="F2226" s="27">
        <v>6</v>
      </c>
      <c r="G2226" s="29">
        <v>43.787379999999999</v>
      </c>
    </row>
    <row r="2227" spans="1:7" x14ac:dyDescent="0.25">
      <c r="A2227" s="20" t="s">
        <v>595</v>
      </c>
      <c r="B2227" s="20" t="s">
        <v>1213</v>
      </c>
      <c r="C2227" s="20" t="s">
        <v>1213</v>
      </c>
      <c r="D2227" s="20" t="s">
        <v>1279</v>
      </c>
      <c r="E2227" s="27">
        <v>4</v>
      </c>
      <c r="F2227" s="27">
        <v>24</v>
      </c>
      <c r="G2227" s="29">
        <v>2.6890000000000001E-2</v>
      </c>
    </row>
    <row r="2228" spans="1:7" x14ac:dyDescent="0.25">
      <c r="A2228" s="20" t="s">
        <v>595</v>
      </c>
      <c r="B2228" s="20" t="s">
        <v>1295</v>
      </c>
      <c r="C2228" s="20" t="s">
        <v>1295</v>
      </c>
      <c r="D2228" s="20" t="s">
        <v>1279</v>
      </c>
      <c r="E2228" s="27">
        <v>1</v>
      </c>
      <c r="F2228" s="27">
        <v>6</v>
      </c>
      <c r="G2228" s="29">
        <v>21.544409999999999</v>
      </c>
    </row>
    <row r="2229" spans="1:7" x14ac:dyDescent="0.25">
      <c r="A2229" s="20" t="s">
        <v>595</v>
      </c>
      <c r="B2229" s="20" t="s">
        <v>1296</v>
      </c>
      <c r="C2229" s="20" t="s">
        <v>1296</v>
      </c>
      <c r="D2229" s="20" t="s">
        <v>1279</v>
      </c>
      <c r="E2229" s="27">
        <v>1</v>
      </c>
      <c r="F2229" s="27">
        <v>6</v>
      </c>
      <c r="G2229" s="29">
        <v>21.544409999999999</v>
      </c>
    </row>
    <row r="2230" spans="1:7" ht="22.5" x14ac:dyDescent="0.25">
      <c r="A2230" s="20" t="s">
        <v>620</v>
      </c>
      <c r="B2230" s="20" t="s">
        <v>1214</v>
      </c>
      <c r="C2230" s="20" t="s">
        <v>303</v>
      </c>
      <c r="D2230" s="20" t="s">
        <v>1279</v>
      </c>
      <c r="E2230" s="27">
        <v>4</v>
      </c>
      <c r="F2230" s="27">
        <v>24</v>
      </c>
      <c r="G2230" s="28">
        <v>9.5999999999999992E-3</v>
      </c>
    </row>
    <row r="2231" spans="1:7" ht="22.5" x14ac:dyDescent="0.25">
      <c r="A2231" s="20" t="s">
        <v>620</v>
      </c>
      <c r="B2231" s="20" t="s">
        <v>966</v>
      </c>
      <c r="C2231" s="20" t="s">
        <v>271</v>
      </c>
      <c r="D2231" s="20" t="s">
        <v>1279</v>
      </c>
      <c r="E2231" s="27">
        <v>46</v>
      </c>
      <c r="F2231" s="27">
        <v>276</v>
      </c>
      <c r="G2231" s="29">
        <v>5.2700000000000004E-3</v>
      </c>
    </row>
    <row r="2232" spans="1:7" x14ac:dyDescent="0.25">
      <c r="A2232" s="20" t="s">
        <v>597</v>
      </c>
      <c r="B2232" s="20" t="s">
        <v>106</v>
      </c>
      <c r="C2232" s="20" t="s">
        <v>106</v>
      </c>
      <c r="D2232" s="20" t="s">
        <v>1279</v>
      </c>
      <c r="E2232" s="33">
        <v>3.5</v>
      </c>
      <c r="F2232" s="27">
        <v>21</v>
      </c>
      <c r="G2232" s="22"/>
    </row>
    <row r="2233" spans="1:7" x14ac:dyDescent="0.25">
      <c r="A2233" s="20" t="s">
        <v>597</v>
      </c>
      <c r="B2233" s="20" t="s">
        <v>137</v>
      </c>
      <c r="C2233" s="20" t="s">
        <v>137</v>
      </c>
      <c r="D2233" s="20" t="s">
        <v>1279</v>
      </c>
      <c r="E2233" s="27">
        <v>1</v>
      </c>
      <c r="F2233" s="27">
        <v>6</v>
      </c>
      <c r="G2233" s="22"/>
    </row>
    <row r="2234" spans="1:7" x14ac:dyDescent="0.25">
      <c r="A2234" s="20" t="s">
        <v>597</v>
      </c>
      <c r="B2234" s="20" t="s">
        <v>138</v>
      </c>
      <c r="C2234" s="20" t="s">
        <v>138</v>
      </c>
      <c r="D2234" s="20" t="s">
        <v>1279</v>
      </c>
      <c r="E2234" s="27">
        <v>1</v>
      </c>
      <c r="F2234" s="27">
        <v>6</v>
      </c>
      <c r="G2234" s="22"/>
    </row>
    <row r="2235" spans="1:7" x14ac:dyDescent="0.25">
      <c r="A2235" s="20" t="s">
        <v>588</v>
      </c>
      <c r="B2235" s="20" t="s">
        <v>65</v>
      </c>
      <c r="C2235" s="20" t="s">
        <v>65</v>
      </c>
      <c r="D2235" s="20" t="s">
        <v>1279</v>
      </c>
      <c r="E2235" s="25">
        <v>1.28</v>
      </c>
      <c r="F2235" s="25">
        <v>7.68</v>
      </c>
      <c r="G2235" s="22"/>
    </row>
    <row r="2236" spans="1:7" x14ac:dyDescent="0.25">
      <c r="A2236" s="20" t="s">
        <v>588</v>
      </c>
      <c r="B2236" s="20" t="s">
        <v>67</v>
      </c>
      <c r="C2236" s="20" t="s">
        <v>67</v>
      </c>
      <c r="D2236" s="20" t="s">
        <v>1279</v>
      </c>
      <c r="E2236" s="24">
        <v>2.3290000000000002</v>
      </c>
      <c r="F2236" s="24">
        <v>13.974</v>
      </c>
      <c r="G2236" s="22"/>
    </row>
    <row r="2237" spans="1:7" x14ac:dyDescent="0.25">
      <c r="A2237" s="20" t="s">
        <v>588</v>
      </c>
      <c r="B2237" s="20" t="s">
        <v>146</v>
      </c>
      <c r="C2237" s="20" t="s">
        <v>146</v>
      </c>
      <c r="D2237" s="20" t="s">
        <v>1279</v>
      </c>
      <c r="E2237" s="24">
        <v>1.371</v>
      </c>
      <c r="F2237" s="24">
        <v>8.2260000000000009</v>
      </c>
      <c r="G2237" s="22"/>
    </row>
    <row r="2238" spans="1:7" x14ac:dyDescent="0.25">
      <c r="A2238" s="20" t="s">
        <v>588</v>
      </c>
      <c r="B2238" s="20" t="s">
        <v>155</v>
      </c>
      <c r="C2238" s="20" t="s">
        <v>155</v>
      </c>
      <c r="D2238" s="20" t="s">
        <v>1279</v>
      </c>
      <c r="E2238" s="24">
        <v>0.38400000000000001</v>
      </c>
      <c r="F2238" s="24">
        <v>2.3039999999999998</v>
      </c>
      <c r="G2238" s="22"/>
    </row>
    <row r="2239" spans="1:7" x14ac:dyDescent="0.25">
      <c r="A2239" s="20" t="s">
        <v>588</v>
      </c>
      <c r="B2239" s="20" t="s">
        <v>200</v>
      </c>
      <c r="C2239" s="20" t="s">
        <v>200</v>
      </c>
      <c r="D2239" s="20" t="s">
        <v>1279</v>
      </c>
      <c r="E2239" s="25">
        <v>1.59</v>
      </c>
      <c r="F2239" s="25">
        <v>9.5399999999999991</v>
      </c>
      <c r="G2239" s="22"/>
    </row>
    <row r="2240" spans="1:7" x14ac:dyDescent="0.25">
      <c r="A2240" s="20" t="s">
        <v>588</v>
      </c>
      <c r="B2240" s="20" t="s">
        <v>215</v>
      </c>
      <c r="C2240" s="20" t="s">
        <v>215</v>
      </c>
      <c r="D2240" s="20" t="s">
        <v>1279</v>
      </c>
      <c r="E2240" s="24">
        <v>2.5579999999999998</v>
      </c>
      <c r="F2240" s="24">
        <v>15.348000000000001</v>
      </c>
      <c r="G2240" s="22"/>
    </row>
    <row r="2241" spans="1:7" x14ac:dyDescent="0.25">
      <c r="A2241" s="20" t="s">
        <v>588</v>
      </c>
      <c r="B2241" s="20" t="s">
        <v>115</v>
      </c>
      <c r="C2241" s="20" t="s">
        <v>115</v>
      </c>
      <c r="D2241" s="20" t="s">
        <v>1295</v>
      </c>
      <c r="E2241" s="25">
        <v>39.409999999999997</v>
      </c>
      <c r="F2241" s="25">
        <v>236.46</v>
      </c>
      <c r="G2241" s="22"/>
    </row>
    <row r="2242" spans="1:7" x14ac:dyDescent="0.25">
      <c r="A2242" s="20" t="s">
        <v>588</v>
      </c>
      <c r="B2242" s="20" t="s">
        <v>115</v>
      </c>
      <c r="C2242" s="20" t="s">
        <v>115</v>
      </c>
      <c r="D2242" s="20" t="s">
        <v>1296</v>
      </c>
      <c r="E2242" s="25">
        <v>39.409999999999997</v>
      </c>
      <c r="F2242" s="25">
        <v>236.46</v>
      </c>
      <c r="G2242" s="22"/>
    </row>
    <row r="2243" spans="1:7" x14ac:dyDescent="0.25">
      <c r="A2243" s="20" t="s">
        <v>585</v>
      </c>
      <c r="B2243" s="20" t="s">
        <v>1218</v>
      </c>
      <c r="C2243" s="20" t="s">
        <v>1218</v>
      </c>
      <c r="D2243" s="20" t="s">
        <v>1280</v>
      </c>
      <c r="E2243" s="27">
        <v>1</v>
      </c>
      <c r="F2243" s="27">
        <v>6</v>
      </c>
      <c r="G2243" s="29">
        <v>17.11318</v>
      </c>
    </row>
    <row r="2244" spans="1:7" x14ac:dyDescent="0.25">
      <c r="A2244" s="20" t="s">
        <v>585</v>
      </c>
      <c r="B2244" s="20" t="s">
        <v>1219</v>
      </c>
      <c r="C2244" s="20" t="s">
        <v>1219</v>
      </c>
      <c r="D2244" s="20" t="s">
        <v>1280</v>
      </c>
      <c r="E2244" s="27">
        <v>1</v>
      </c>
      <c r="F2244" s="27">
        <v>6</v>
      </c>
      <c r="G2244" s="29">
        <v>3.5596100000000002</v>
      </c>
    </row>
    <row r="2245" spans="1:7" x14ac:dyDescent="0.25">
      <c r="A2245" s="20" t="s">
        <v>595</v>
      </c>
      <c r="B2245" s="20" t="s">
        <v>1220</v>
      </c>
      <c r="C2245" s="20" t="s">
        <v>1220</v>
      </c>
      <c r="D2245" s="20" t="s">
        <v>1280</v>
      </c>
      <c r="E2245" s="27">
        <v>1</v>
      </c>
      <c r="F2245" s="27">
        <v>6</v>
      </c>
      <c r="G2245" s="29">
        <v>1.11426</v>
      </c>
    </row>
    <row r="2246" spans="1:7" ht="22.5" x14ac:dyDescent="0.25">
      <c r="A2246" s="20" t="s">
        <v>620</v>
      </c>
      <c r="B2246" s="20" t="s">
        <v>1221</v>
      </c>
      <c r="C2246" s="20" t="s">
        <v>304</v>
      </c>
      <c r="D2246" s="20" t="s">
        <v>1280</v>
      </c>
      <c r="E2246" s="27">
        <v>4</v>
      </c>
      <c r="F2246" s="27">
        <v>24</v>
      </c>
      <c r="G2246" s="28">
        <v>6.9500000000000006E-2</v>
      </c>
    </row>
    <row r="2247" spans="1:7" ht="22.5" x14ac:dyDescent="0.25">
      <c r="A2247" s="20" t="s">
        <v>620</v>
      </c>
      <c r="B2247" s="20" t="s">
        <v>864</v>
      </c>
      <c r="C2247" s="20" t="s">
        <v>263</v>
      </c>
      <c r="D2247" s="20" t="s">
        <v>1280</v>
      </c>
      <c r="E2247" s="27">
        <v>4</v>
      </c>
      <c r="F2247" s="27">
        <v>24</v>
      </c>
      <c r="G2247" s="29">
        <v>1.567E-2</v>
      </c>
    </row>
    <row r="2248" spans="1:7" ht="22.5" x14ac:dyDescent="0.25">
      <c r="A2248" s="20" t="s">
        <v>620</v>
      </c>
      <c r="B2248" s="20" t="s">
        <v>865</v>
      </c>
      <c r="C2248" s="20" t="s">
        <v>264</v>
      </c>
      <c r="D2248" s="20" t="s">
        <v>1280</v>
      </c>
      <c r="E2248" s="27">
        <v>4</v>
      </c>
      <c r="F2248" s="27">
        <v>24</v>
      </c>
      <c r="G2248" s="29">
        <v>3.4499999999999999E-3</v>
      </c>
    </row>
    <row r="2249" spans="1:7" x14ac:dyDescent="0.25">
      <c r="A2249" s="20" t="s">
        <v>585</v>
      </c>
      <c r="B2249" s="20" t="s">
        <v>1228</v>
      </c>
      <c r="C2249" s="20" t="s">
        <v>1228</v>
      </c>
      <c r="D2249" s="20" t="s">
        <v>1281</v>
      </c>
      <c r="E2249" s="27">
        <v>1</v>
      </c>
      <c r="F2249" s="27">
        <v>1</v>
      </c>
      <c r="G2249" s="29">
        <v>4.0158199999999997</v>
      </c>
    </row>
    <row r="2250" spans="1:7" x14ac:dyDescent="0.25">
      <c r="A2250" s="20" t="s">
        <v>585</v>
      </c>
      <c r="B2250" s="20" t="s">
        <v>1297</v>
      </c>
      <c r="C2250" s="20" t="s">
        <v>1297</v>
      </c>
      <c r="D2250" s="20" t="s">
        <v>1281</v>
      </c>
      <c r="E2250" s="27">
        <v>1</v>
      </c>
      <c r="F2250" s="27">
        <v>1</v>
      </c>
      <c r="G2250" s="29">
        <v>31.542339999999999</v>
      </c>
    </row>
    <row r="2251" spans="1:7" ht="22.5" x14ac:dyDescent="0.25">
      <c r="A2251" s="20" t="s">
        <v>620</v>
      </c>
      <c r="B2251" s="20" t="s">
        <v>1221</v>
      </c>
      <c r="C2251" s="20" t="s">
        <v>304</v>
      </c>
      <c r="D2251" s="20" t="s">
        <v>1281</v>
      </c>
      <c r="E2251" s="27">
        <v>4</v>
      </c>
      <c r="F2251" s="27">
        <v>4</v>
      </c>
      <c r="G2251" s="28">
        <v>6.9500000000000006E-2</v>
      </c>
    </row>
    <row r="2252" spans="1:7" ht="22.5" x14ac:dyDescent="0.25">
      <c r="A2252" s="20" t="s">
        <v>620</v>
      </c>
      <c r="B2252" s="20" t="s">
        <v>864</v>
      </c>
      <c r="C2252" s="20" t="s">
        <v>263</v>
      </c>
      <c r="D2252" s="20" t="s">
        <v>1281</v>
      </c>
      <c r="E2252" s="27">
        <v>4</v>
      </c>
      <c r="F2252" s="27">
        <v>4</v>
      </c>
      <c r="G2252" s="29">
        <v>1.567E-2</v>
      </c>
    </row>
    <row r="2253" spans="1:7" ht="22.5" x14ac:dyDescent="0.25">
      <c r="A2253" s="20" t="s">
        <v>620</v>
      </c>
      <c r="B2253" s="20" t="s">
        <v>865</v>
      </c>
      <c r="C2253" s="20" t="s">
        <v>264</v>
      </c>
      <c r="D2253" s="20" t="s">
        <v>1281</v>
      </c>
      <c r="E2253" s="27">
        <v>4</v>
      </c>
      <c r="F2253" s="27">
        <v>4</v>
      </c>
      <c r="G2253" s="29">
        <v>3.4499999999999999E-3</v>
      </c>
    </row>
    <row r="2254" spans="1:7" x14ac:dyDescent="0.25">
      <c r="A2254" s="20" t="s">
        <v>585</v>
      </c>
      <c r="B2254" s="20" t="s">
        <v>1231</v>
      </c>
      <c r="C2254" s="20" t="s">
        <v>1231</v>
      </c>
      <c r="D2254" s="20" t="s">
        <v>1297</v>
      </c>
      <c r="E2254" s="27">
        <v>1</v>
      </c>
      <c r="F2254" s="27">
        <v>1</v>
      </c>
      <c r="G2254" s="29">
        <v>17.11318</v>
      </c>
    </row>
    <row r="2255" spans="1:7" x14ac:dyDescent="0.25">
      <c r="A2255" s="20" t="s">
        <v>595</v>
      </c>
      <c r="B2255" s="20" t="s">
        <v>1235</v>
      </c>
      <c r="C2255" s="20" t="s">
        <v>1235</v>
      </c>
      <c r="D2255" s="20" t="s">
        <v>1297</v>
      </c>
      <c r="E2255" s="27">
        <v>2</v>
      </c>
      <c r="F2255" s="27">
        <v>2</v>
      </c>
      <c r="G2255" s="29">
        <v>1.7407699999999999</v>
      </c>
    </row>
    <row r="2256" spans="1:7" x14ac:dyDescent="0.25">
      <c r="A2256" s="20" t="s">
        <v>595</v>
      </c>
      <c r="B2256" s="20" t="s">
        <v>1236</v>
      </c>
      <c r="C2256" s="20" t="s">
        <v>1236</v>
      </c>
      <c r="D2256" s="20" t="s">
        <v>1297</v>
      </c>
      <c r="E2256" s="27">
        <v>1</v>
      </c>
      <c r="F2256" s="27">
        <v>1</v>
      </c>
      <c r="G2256" s="29">
        <v>1.03599</v>
      </c>
    </row>
    <row r="2257" spans="1:7" x14ac:dyDescent="0.25">
      <c r="A2257" s="20" t="s">
        <v>595</v>
      </c>
      <c r="B2257" s="20" t="s">
        <v>1238</v>
      </c>
      <c r="C2257" s="20" t="s">
        <v>1238</v>
      </c>
      <c r="D2257" s="20" t="s">
        <v>1297</v>
      </c>
      <c r="E2257" s="27">
        <v>1</v>
      </c>
      <c r="F2257" s="27">
        <v>1</v>
      </c>
      <c r="G2257" s="29">
        <v>0.48792000000000002</v>
      </c>
    </row>
    <row r="2258" spans="1:7" x14ac:dyDescent="0.25">
      <c r="A2258" s="20" t="s">
        <v>595</v>
      </c>
      <c r="B2258" s="20" t="s">
        <v>1298</v>
      </c>
      <c r="C2258" s="20" t="s">
        <v>1298</v>
      </c>
      <c r="D2258" s="20" t="s">
        <v>1297</v>
      </c>
      <c r="E2258" s="27">
        <v>1</v>
      </c>
      <c r="F2258" s="27">
        <v>1</v>
      </c>
      <c r="G2258" s="29">
        <v>9.4184400000000004</v>
      </c>
    </row>
    <row r="2259" spans="1:7" ht="22.5" x14ac:dyDescent="0.25">
      <c r="A2259" s="20" t="s">
        <v>620</v>
      </c>
      <c r="B2259" s="20" t="s">
        <v>966</v>
      </c>
      <c r="C2259" s="20" t="s">
        <v>271</v>
      </c>
      <c r="D2259" s="20" t="s">
        <v>1297</v>
      </c>
      <c r="E2259" s="27">
        <v>1</v>
      </c>
      <c r="F2259" s="27">
        <v>1</v>
      </c>
      <c r="G2259" s="29">
        <v>5.2700000000000004E-3</v>
      </c>
    </row>
    <row r="2260" spans="1:7" x14ac:dyDescent="0.25">
      <c r="A2260" s="20" t="s">
        <v>588</v>
      </c>
      <c r="B2260" s="20" t="s">
        <v>65</v>
      </c>
      <c r="C2260" s="20" t="s">
        <v>65</v>
      </c>
      <c r="D2260" s="20" t="s">
        <v>1297</v>
      </c>
      <c r="E2260" s="25">
        <v>0.12</v>
      </c>
      <c r="F2260" s="25">
        <v>0.12</v>
      </c>
      <c r="G2260" s="22"/>
    </row>
    <row r="2261" spans="1:7" x14ac:dyDescent="0.25">
      <c r="A2261" s="20" t="s">
        <v>588</v>
      </c>
      <c r="B2261" s="20" t="s">
        <v>67</v>
      </c>
      <c r="C2261" s="20" t="s">
        <v>67</v>
      </c>
      <c r="D2261" s="20" t="s">
        <v>1297</v>
      </c>
      <c r="E2261" s="24">
        <v>0.22600000000000001</v>
      </c>
      <c r="F2261" s="24">
        <v>0.22600000000000001</v>
      </c>
      <c r="G2261" s="22"/>
    </row>
    <row r="2262" spans="1:7" x14ac:dyDescent="0.25">
      <c r="A2262" s="20" t="s">
        <v>588</v>
      </c>
      <c r="B2262" s="20" t="s">
        <v>146</v>
      </c>
      <c r="C2262" s="20" t="s">
        <v>146</v>
      </c>
      <c r="D2262" s="20" t="s">
        <v>1297</v>
      </c>
      <c r="E2262" s="24">
        <v>0.14399999999999999</v>
      </c>
      <c r="F2262" s="24">
        <v>0.14399999999999999</v>
      </c>
      <c r="G2262" s="22"/>
    </row>
    <row r="2263" spans="1:7" x14ac:dyDescent="0.25">
      <c r="A2263" s="20" t="s">
        <v>588</v>
      </c>
      <c r="B2263" s="20" t="s">
        <v>155</v>
      </c>
      <c r="C2263" s="20" t="s">
        <v>155</v>
      </c>
      <c r="D2263" s="20" t="s">
        <v>1297</v>
      </c>
      <c r="E2263" s="24">
        <v>7.1999999999999995E-2</v>
      </c>
      <c r="F2263" s="24">
        <v>7.1999999999999995E-2</v>
      </c>
      <c r="G2263" s="22"/>
    </row>
    <row r="2264" spans="1:7" x14ac:dyDescent="0.25">
      <c r="A2264" s="20" t="s">
        <v>588</v>
      </c>
      <c r="B2264" s="20" t="s">
        <v>215</v>
      </c>
      <c r="C2264" s="20" t="s">
        <v>215</v>
      </c>
      <c r="D2264" s="20" t="s">
        <v>1297</v>
      </c>
      <c r="E2264" s="25">
        <v>0.24</v>
      </c>
      <c r="F2264" s="25">
        <v>0.24</v>
      </c>
      <c r="G2264" s="22"/>
    </row>
    <row r="2265" spans="1:7" x14ac:dyDescent="0.25">
      <c r="A2265" s="20" t="s">
        <v>588</v>
      </c>
      <c r="B2265" s="20" t="s">
        <v>120</v>
      </c>
      <c r="C2265" s="20" t="s">
        <v>120</v>
      </c>
      <c r="D2265" s="20" t="s">
        <v>1298</v>
      </c>
      <c r="E2265" s="33">
        <v>13.6</v>
      </c>
      <c r="F2265" s="33">
        <v>13.6</v>
      </c>
      <c r="G2265" s="22"/>
    </row>
    <row r="2266" spans="1:7" x14ac:dyDescent="0.25">
      <c r="A2266" s="20" t="s">
        <v>585</v>
      </c>
      <c r="B2266" s="20" t="s">
        <v>1299</v>
      </c>
      <c r="C2266" s="20" t="s">
        <v>1299</v>
      </c>
      <c r="D2266" s="20" t="s">
        <v>1282</v>
      </c>
      <c r="E2266" s="27">
        <v>1</v>
      </c>
      <c r="F2266" s="27">
        <v>1</v>
      </c>
      <c r="G2266" s="28">
        <v>94.076300000000003</v>
      </c>
    </row>
    <row r="2267" spans="1:7" x14ac:dyDescent="0.25">
      <c r="A2267" s="20" t="s">
        <v>595</v>
      </c>
      <c r="B2267" s="20" t="s">
        <v>1240</v>
      </c>
      <c r="C2267" s="20" t="s">
        <v>1240</v>
      </c>
      <c r="D2267" s="20" t="s">
        <v>1282</v>
      </c>
      <c r="E2267" s="27">
        <v>1</v>
      </c>
      <c r="F2267" s="27">
        <v>1</v>
      </c>
      <c r="G2267" s="28">
        <v>5.2200000000000003E-2</v>
      </c>
    </row>
    <row r="2268" spans="1:7" x14ac:dyDescent="0.25">
      <c r="A2268" s="20" t="s">
        <v>597</v>
      </c>
      <c r="B2268" s="20" t="s">
        <v>24</v>
      </c>
      <c r="C2268" s="20" t="s">
        <v>24</v>
      </c>
      <c r="D2268" s="20" t="s">
        <v>1282</v>
      </c>
      <c r="E2268" s="27">
        <v>1</v>
      </c>
      <c r="F2268" s="27">
        <v>1</v>
      </c>
      <c r="G2268" s="29">
        <v>0.96411999999999998</v>
      </c>
    </row>
    <row r="2269" spans="1:7" x14ac:dyDescent="0.25">
      <c r="A2269" s="20" t="s">
        <v>597</v>
      </c>
      <c r="B2269" s="20" t="s">
        <v>28</v>
      </c>
      <c r="C2269" s="20" t="s">
        <v>28</v>
      </c>
      <c r="D2269" s="20" t="s">
        <v>1282</v>
      </c>
      <c r="E2269" s="27">
        <v>1</v>
      </c>
      <c r="F2269" s="27">
        <v>1</v>
      </c>
      <c r="G2269" s="29">
        <v>6.4595399999999996</v>
      </c>
    </row>
    <row r="2270" spans="1:7" x14ac:dyDescent="0.25">
      <c r="A2270" s="20" t="s">
        <v>597</v>
      </c>
      <c r="B2270" s="20" t="s">
        <v>40</v>
      </c>
      <c r="C2270" s="20" t="s">
        <v>40</v>
      </c>
      <c r="D2270" s="20" t="s">
        <v>1282</v>
      </c>
      <c r="E2270" s="27">
        <v>2</v>
      </c>
      <c r="F2270" s="27">
        <v>2</v>
      </c>
      <c r="G2270" s="34">
        <v>3.7</v>
      </c>
    </row>
    <row r="2271" spans="1:7" x14ac:dyDescent="0.25">
      <c r="A2271" s="20" t="s">
        <v>588</v>
      </c>
      <c r="B2271" s="20" t="s">
        <v>65</v>
      </c>
      <c r="C2271" s="20" t="s">
        <v>65</v>
      </c>
      <c r="D2271" s="20" t="s">
        <v>1282</v>
      </c>
      <c r="E2271" s="25">
        <v>0.04</v>
      </c>
      <c r="F2271" s="25">
        <v>0.04</v>
      </c>
      <c r="G2271" s="22"/>
    </row>
    <row r="2272" spans="1:7" x14ac:dyDescent="0.25">
      <c r="A2272" s="20" t="s">
        <v>588</v>
      </c>
      <c r="B2272" s="20" t="s">
        <v>155</v>
      </c>
      <c r="C2272" s="20" t="s">
        <v>155</v>
      </c>
      <c r="D2272" s="20" t="s">
        <v>1282</v>
      </c>
      <c r="E2272" s="25">
        <v>0.09</v>
      </c>
      <c r="F2272" s="25">
        <v>0.09</v>
      </c>
      <c r="G2272" s="22"/>
    </row>
    <row r="2273" spans="1:7" x14ac:dyDescent="0.25">
      <c r="A2273" s="20" t="s">
        <v>588</v>
      </c>
      <c r="B2273" s="20" t="s">
        <v>200</v>
      </c>
      <c r="C2273" s="20" t="s">
        <v>200</v>
      </c>
      <c r="D2273" s="20" t="s">
        <v>1282</v>
      </c>
      <c r="E2273" s="24">
        <v>0.38800000000000001</v>
      </c>
      <c r="F2273" s="24">
        <v>0.38800000000000001</v>
      </c>
      <c r="G2273" s="22"/>
    </row>
    <row r="2274" spans="1:7" x14ac:dyDescent="0.25">
      <c r="A2274" s="20" t="s">
        <v>588</v>
      </c>
      <c r="B2274" s="20" t="s">
        <v>215</v>
      </c>
      <c r="C2274" s="20" t="s">
        <v>215</v>
      </c>
      <c r="D2274" s="20" t="s">
        <v>1282</v>
      </c>
      <c r="E2274" s="33">
        <v>0.8</v>
      </c>
      <c r="F2274" s="33">
        <v>0.8</v>
      </c>
      <c r="G2274" s="22"/>
    </row>
    <row r="2275" spans="1:7" x14ac:dyDescent="0.25">
      <c r="A2275" s="20" t="s">
        <v>595</v>
      </c>
      <c r="B2275" s="20" t="s">
        <v>1241</v>
      </c>
      <c r="C2275" s="20" t="s">
        <v>1241</v>
      </c>
      <c r="D2275" s="20" t="s">
        <v>1300</v>
      </c>
      <c r="E2275" s="27">
        <v>1</v>
      </c>
      <c r="F2275" s="27">
        <v>1</v>
      </c>
      <c r="G2275" s="29">
        <v>16.82422</v>
      </c>
    </row>
    <row r="2276" spans="1:7" x14ac:dyDescent="0.25">
      <c r="A2276" s="20" t="s">
        <v>595</v>
      </c>
      <c r="B2276" s="20" t="s">
        <v>1243</v>
      </c>
      <c r="C2276" s="20" t="s">
        <v>1243</v>
      </c>
      <c r="D2276" s="20" t="s">
        <v>1300</v>
      </c>
      <c r="E2276" s="27">
        <v>1</v>
      </c>
      <c r="F2276" s="27">
        <v>1</v>
      </c>
      <c r="G2276" s="28">
        <v>3.9093</v>
      </c>
    </row>
    <row r="2277" spans="1:7" x14ac:dyDescent="0.25">
      <c r="A2277" s="20" t="s">
        <v>595</v>
      </c>
      <c r="B2277" s="20" t="s">
        <v>1245</v>
      </c>
      <c r="C2277" s="20" t="s">
        <v>1245</v>
      </c>
      <c r="D2277" s="20" t="s">
        <v>1300</v>
      </c>
      <c r="E2277" s="27">
        <v>1</v>
      </c>
      <c r="F2277" s="27">
        <v>1</v>
      </c>
      <c r="G2277" s="29">
        <v>0.50365000000000004</v>
      </c>
    </row>
    <row r="2278" spans="1:7" x14ac:dyDescent="0.25">
      <c r="A2278" s="20" t="s">
        <v>595</v>
      </c>
      <c r="B2278" s="20" t="s">
        <v>1301</v>
      </c>
      <c r="C2278" s="20" t="s">
        <v>1301</v>
      </c>
      <c r="D2278" s="20" t="s">
        <v>1300</v>
      </c>
      <c r="E2278" s="27">
        <v>12</v>
      </c>
      <c r="F2278" s="27">
        <v>12</v>
      </c>
      <c r="G2278" s="29">
        <v>0.46777999999999997</v>
      </c>
    </row>
    <row r="2279" spans="1:7" x14ac:dyDescent="0.25">
      <c r="A2279" s="20" t="s">
        <v>595</v>
      </c>
      <c r="B2279" s="20" t="s">
        <v>1302</v>
      </c>
      <c r="C2279" s="20" t="s">
        <v>1302</v>
      </c>
      <c r="D2279" s="20" t="s">
        <v>1300</v>
      </c>
      <c r="E2279" s="27">
        <v>3</v>
      </c>
      <c r="F2279" s="27">
        <v>3</v>
      </c>
      <c r="G2279" s="29">
        <v>0.20252000000000001</v>
      </c>
    </row>
    <row r="2280" spans="1:7" x14ac:dyDescent="0.25">
      <c r="A2280" s="20" t="s">
        <v>588</v>
      </c>
      <c r="B2280" s="20" t="s">
        <v>67</v>
      </c>
      <c r="C2280" s="20" t="s">
        <v>67</v>
      </c>
      <c r="D2280" s="20" t="s">
        <v>1300</v>
      </c>
      <c r="E2280" s="24">
        <v>1.038</v>
      </c>
      <c r="F2280" s="24">
        <v>1.038</v>
      </c>
      <c r="G2280" s="22"/>
    </row>
    <row r="2281" spans="1:7" x14ac:dyDescent="0.25">
      <c r="A2281" s="20" t="s">
        <v>588</v>
      </c>
      <c r="B2281" s="20" t="s">
        <v>146</v>
      </c>
      <c r="C2281" s="20" t="s">
        <v>146</v>
      </c>
      <c r="D2281" s="20" t="s">
        <v>1300</v>
      </c>
      <c r="E2281" s="24">
        <v>0.61099999999999999</v>
      </c>
      <c r="F2281" s="24">
        <v>0.61099999999999999</v>
      </c>
      <c r="G2281" s="22"/>
    </row>
    <row r="2282" spans="1:7" x14ac:dyDescent="0.25">
      <c r="A2282" s="20" t="s">
        <v>595</v>
      </c>
      <c r="B2282" s="20" t="s">
        <v>1241</v>
      </c>
      <c r="C2282" s="20" t="s">
        <v>1241</v>
      </c>
      <c r="D2282" s="20" t="s">
        <v>1303</v>
      </c>
      <c r="E2282" s="27">
        <v>1</v>
      </c>
      <c r="F2282" s="27">
        <v>1</v>
      </c>
      <c r="G2282" s="29">
        <v>16.82422</v>
      </c>
    </row>
    <row r="2283" spans="1:7" x14ac:dyDescent="0.25">
      <c r="A2283" s="20" t="s">
        <v>595</v>
      </c>
      <c r="B2283" s="20" t="s">
        <v>1243</v>
      </c>
      <c r="C2283" s="20" t="s">
        <v>1243</v>
      </c>
      <c r="D2283" s="20" t="s">
        <v>1303</v>
      </c>
      <c r="E2283" s="27">
        <v>1</v>
      </c>
      <c r="F2283" s="27">
        <v>1</v>
      </c>
      <c r="G2283" s="28">
        <v>3.9093</v>
      </c>
    </row>
    <row r="2284" spans="1:7" x14ac:dyDescent="0.25">
      <c r="A2284" s="20" t="s">
        <v>595</v>
      </c>
      <c r="B2284" s="20" t="s">
        <v>1245</v>
      </c>
      <c r="C2284" s="20" t="s">
        <v>1245</v>
      </c>
      <c r="D2284" s="20" t="s">
        <v>1303</v>
      </c>
      <c r="E2284" s="27">
        <v>1</v>
      </c>
      <c r="F2284" s="27">
        <v>1</v>
      </c>
      <c r="G2284" s="29">
        <v>0.50365000000000004</v>
      </c>
    </row>
    <row r="2285" spans="1:7" x14ac:dyDescent="0.25">
      <c r="A2285" s="20" t="s">
        <v>595</v>
      </c>
      <c r="B2285" s="20" t="s">
        <v>1301</v>
      </c>
      <c r="C2285" s="20" t="s">
        <v>1301</v>
      </c>
      <c r="D2285" s="20" t="s">
        <v>1303</v>
      </c>
      <c r="E2285" s="27">
        <v>12</v>
      </c>
      <c r="F2285" s="27">
        <v>12</v>
      </c>
      <c r="G2285" s="29">
        <v>0.46777999999999997</v>
      </c>
    </row>
    <row r="2286" spans="1:7" x14ac:dyDescent="0.25">
      <c r="A2286" s="20" t="s">
        <v>595</v>
      </c>
      <c r="B2286" s="20" t="s">
        <v>1302</v>
      </c>
      <c r="C2286" s="20" t="s">
        <v>1302</v>
      </c>
      <c r="D2286" s="20" t="s">
        <v>1303</v>
      </c>
      <c r="E2286" s="27">
        <v>3</v>
      </c>
      <c r="F2286" s="27">
        <v>3</v>
      </c>
      <c r="G2286" s="29">
        <v>0.20252000000000001</v>
      </c>
    </row>
    <row r="2287" spans="1:7" x14ac:dyDescent="0.25">
      <c r="A2287" s="20" t="s">
        <v>588</v>
      </c>
      <c r="B2287" s="20" t="s">
        <v>67</v>
      </c>
      <c r="C2287" s="20" t="s">
        <v>67</v>
      </c>
      <c r="D2287" s="20" t="s">
        <v>1303</v>
      </c>
      <c r="E2287" s="24">
        <v>0.91100000000000003</v>
      </c>
      <c r="F2287" s="24">
        <v>0.91100000000000003</v>
      </c>
      <c r="G2287" s="22"/>
    </row>
    <row r="2288" spans="1:7" x14ac:dyDescent="0.25">
      <c r="A2288" s="20" t="s">
        <v>588</v>
      </c>
      <c r="B2288" s="20" t="s">
        <v>146</v>
      </c>
      <c r="C2288" s="20" t="s">
        <v>146</v>
      </c>
      <c r="D2288" s="20" t="s">
        <v>1303</v>
      </c>
      <c r="E2288" s="24">
        <v>0.53600000000000003</v>
      </c>
      <c r="F2288" s="24">
        <v>0.53600000000000003</v>
      </c>
      <c r="G2288" s="22"/>
    </row>
    <row r="2289" spans="1:7" x14ac:dyDescent="0.25">
      <c r="A2289" s="20" t="s">
        <v>588</v>
      </c>
      <c r="B2289" s="20" t="s">
        <v>115</v>
      </c>
      <c r="C2289" s="20" t="s">
        <v>115</v>
      </c>
      <c r="D2289" s="20" t="s">
        <v>1301</v>
      </c>
      <c r="E2289" s="25">
        <v>0.57999999999999996</v>
      </c>
      <c r="F2289" s="25">
        <v>13.92</v>
      </c>
      <c r="G2289" s="22"/>
    </row>
    <row r="2290" spans="1:7" x14ac:dyDescent="0.25">
      <c r="A2290" s="20" t="s">
        <v>588</v>
      </c>
      <c r="B2290" s="20" t="s">
        <v>78</v>
      </c>
      <c r="C2290" s="20" t="s">
        <v>78</v>
      </c>
      <c r="D2290" s="20" t="s">
        <v>1302</v>
      </c>
      <c r="E2290" s="33">
        <v>0.2</v>
      </c>
      <c r="F2290" s="33">
        <v>1.2</v>
      </c>
      <c r="G2290" s="22"/>
    </row>
    <row r="2291" spans="1:7" x14ac:dyDescent="0.25">
      <c r="A2291" s="20" t="s">
        <v>585</v>
      </c>
      <c r="B2291" s="20" t="s">
        <v>1248</v>
      </c>
      <c r="C2291" s="20" t="s">
        <v>1248</v>
      </c>
      <c r="D2291" s="20" t="s">
        <v>1299</v>
      </c>
      <c r="E2291" s="27">
        <v>2</v>
      </c>
      <c r="F2291" s="27">
        <v>2</v>
      </c>
      <c r="G2291" s="29">
        <v>6.5386100000000003</v>
      </c>
    </row>
    <row r="2292" spans="1:7" x14ac:dyDescent="0.25">
      <c r="A2292" s="20" t="s">
        <v>585</v>
      </c>
      <c r="B2292" s="20" t="s">
        <v>1300</v>
      </c>
      <c r="C2292" s="20" t="s">
        <v>1300</v>
      </c>
      <c r="D2292" s="20" t="s">
        <v>1299</v>
      </c>
      <c r="E2292" s="27">
        <v>1</v>
      </c>
      <c r="F2292" s="27">
        <v>1</v>
      </c>
      <c r="G2292" s="29">
        <v>27.458069999999999</v>
      </c>
    </row>
    <row r="2293" spans="1:7" x14ac:dyDescent="0.25">
      <c r="A2293" s="20" t="s">
        <v>585</v>
      </c>
      <c r="B2293" s="20" t="s">
        <v>1303</v>
      </c>
      <c r="C2293" s="20" t="s">
        <v>1303</v>
      </c>
      <c r="D2293" s="20" t="s">
        <v>1299</v>
      </c>
      <c r="E2293" s="27">
        <v>1</v>
      </c>
      <c r="F2293" s="27">
        <v>1</v>
      </c>
      <c r="G2293" s="29">
        <v>27.458069999999999</v>
      </c>
    </row>
    <row r="2294" spans="1:7" x14ac:dyDescent="0.25">
      <c r="A2294" s="20" t="s">
        <v>595</v>
      </c>
      <c r="B2294" s="20" t="s">
        <v>1251</v>
      </c>
      <c r="C2294" s="20" t="s">
        <v>1251</v>
      </c>
      <c r="D2294" s="20" t="s">
        <v>1299</v>
      </c>
      <c r="E2294" s="27">
        <v>2</v>
      </c>
      <c r="F2294" s="27">
        <v>2</v>
      </c>
      <c r="G2294" s="28">
        <v>1.5804</v>
      </c>
    </row>
    <row r="2295" spans="1:7" x14ac:dyDescent="0.25">
      <c r="A2295" s="20" t="s">
        <v>595</v>
      </c>
      <c r="B2295" s="20" t="s">
        <v>1304</v>
      </c>
      <c r="C2295" s="20" t="s">
        <v>1304</v>
      </c>
      <c r="D2295" s="20" t="s">
        <v>1299</v>
      </c>
      <c r="E2295" s="27">
        <v>1</v>
      </c>
      <c r="F2295" s="27">
        <v>1</v>
      </c>
      <c r="G2295" s="29">
        <v>22.470680000000002</v>
      </c>
    </row>
    <row r="2296" spans="1:7" x14ac:dyDescent="0.25">
      <c r="A2296" s="20" t="s">
        <v>595</v>
      </c>
      <c r="B2296" s="20" t="s">
        <v>705</v>
      </c>
      <c r="C2296" s="20" t="s">
        <v>705</v>
      </c>
      <c r="D2296" s="20" t="s">
        <v>1299</v>
      </c>
      <c r="E2296" s="27">
        <v>2</v>
      </c>
      <c r="F2296" s="27">
        <v>2</v>
      </c>
      <c r="G2296" s="29">
        <v>7.4569999999999997E-2</v>
      </c>
    </row>
    <row r="2297" spans="1:7" ht="22.5" x14ac:dyDescent="0.25">
      <c r="A2297" s="20" t="s">
        <v>620</v>
      </c>
      <c r="B2297" s="20" t="s">
        <v>761</v>
      </c>
      <c r="C2297" s="20" t="s">
        <v>255</v>
      </c>
      <c r="D2297" s="20" t="s">
        <v>1299</v>
      </c>
      <c r="E2297" s="27">
        <v>8</v>
      </c>
      <c r="F2297" s="27">
        <v>8</v>
      </c>
      <c r="G2297" s="29">
        <v>3.696E-2</v>
      </c>
    </row>
    <row r="2298" spans="1:7" ht="22.5" x14ac:dyDescent="0.25">
      <c r="A2298" s="20" t="s">
        <v>620</v>
      </c>
      <c r="B2298" s="20" t="s">
        <v>767</v>
      </c>
      <c r="C2298" s="20" t="s">
        <v>249</v>
      </c>
      <c r="D2298" s="20" t="s">
        <v>1299</v>
      </c>
      <c r="E2298" s="27">
        <v>8</v>
      </c>
      <c r="F2298" s="27">
        <v>8</v>
      </c>
      <c r="G2298" s="29">
        <v>2.0100000000000001E-3</v>
      </c>
    </row>
    <row r="2299" spans="1:7" ht="22.5" x14ac:dyDescent="0.25">
      <c r="A2299" s="20" t="s">
        <v>620</v>
      </c>
      <c r="B2299" s="20" t="s">
        <v>768</v>
      </c>
      <c r="C2299" s="20" t="s">
        <v>248</v>
      </c>
      <c r="D2299" s="20" t="s">
        <v>1299</v>
      </c>
      <c r="E2299" s="27">
        <v>8</v>
      </c>
      <c r="F2299" s="27">
        <v>8</v>
      </c>
      <c r="G2299" s="29">
        <v>3.4399999999999999E-3</v>
      </c>
    </row>
    <row r="2300" spans="1:7" x14ac:dyDescent="0.25">
      <c r="A2300" s="20" t="s">
        <v>588</v>
      </c>
      <c r="B2300" s="20" t="s">
        <v>67</v>
      </c>
      <c r="C2300" s="20" t="s">
        <v>67</v>
      </c>
      <c r="D2300" s="20" t="s">
        <v>1299</v>
      </c>
      <c r="E2300" s="24">
        <v>0.154</v>
      </c>
      <c r="F2300" s="24">
        <v>0.154</v>
      </c>
      <c r="G2300" s="22"/>
    </row>
    <row r="2301" spans="1:7" x14ac:dyDescent="0.25">
      <c r="A2301" s="20" t="s">
        <v>588</v>
      </c>
      <c r="B2301" s="20" t="s">
        <v>146</v>
      </c>
      <c r="C2301" s="20" t="s">
        <v>146</v>
      </c>
      <c r="D2301" s="20" t="s">
        <v>1299</v>
      </c>
      <c r="E2301" s="25">
        <v>0.09</v>
      </c>
      <c r="F2301" s="25">
        <v>0.09</v>
      </c>
      <c r="G2301" s="22"/>
    </row>
    <row r="2302" spans="1:7" x14ac:dyDescent="0.25">
      <c r="A2302" s="20" t="s">
        <v>588</v>
      </c>
      <c r="B2302" s="20" t="s">
        <v>100</v>
      </c>
      <c r="C2302" s="20" t="s">
        <v>100</v>
      </c>
      <c r="D2302" s="20" t="s">
        <v>1304</v>
      </c>
      <c r="E2302" s="27">
        <v>29</v>
      </c>
      <c r="F2302" s="27">
        <v>29</v>
      </c>
      <c r="G2302" s="22"/>
    </row>
    <row r="2303" spans="1:7" x14ac:dyDescent="0.25">
      <c r="A2303" s="20" t="s">
        <v>595</v>
      </c>
      <c r="B2303" s="20" t="s">
        <v>1305</v>
      </c>
      <c r="C2303" s="20" t="s">
        <v>1305</v>
      </c>
      <c r="D2303" s="20" t="s">
        <v>1283</v>
      </c>
      <c r="E2303" s="27">
        <v>1</v>
      </c>
      <c r="F2303" s="27">
        <v>1</v>
      </c>
      <c r="G2303" s="29">
        <v>7.29392</v>
      </c>
    </row>
    <row r="2304" spans="1:7" x14ac:dyDescent="0.25">
      <c r="A2304" s="20" t="s">
        <v>595</v>
      </c>
      <c r="B2304" s="20" t="s">
        <v>1306</v>
      </c>
      <c r="C2304" s="20" t="s">
        <v>1306</v>
      </c>
      <c r="D2304" s="20" t="s">
        <v>1283</v>
      </c>
      <c r="E2304" s="27">
        <v>4</v>
      </c>
      <c r="F2304" s="27">
        <v>4</v>
      </c>
      <c r="G2304" s="28">
        <v>0.28660000000000002</v>
      </c>
    </row>
    <row r="2305" spans="1:7" x14ac:dyDescent="0.25">
      <c r="A2305" s="20" t="s">
        <v>588</v>
      </c>
      <c r="B2305" s="20" t="s">
        <v>65</v>
      </c>
      <c r="C2305" s="20" t="s">
        <v>65</v>
      </c>
      <c r="D2305" s="20" t="s">
        <v>1283</v>
      </c>
      <c r="E2305" s="25">
        <v>0.04</v>
      </c>
      <c r="F2305" s="25">
        <v>0.04</v>
      </c>
      <c r="G2305" s="22"/>
    </row>
    <row r="2306" spans="1:7" x14ac:dyDescent="0.25">
      <c r="A2306" s="20" t="s">
        <v>588</v>
      </c>
      <c r="B2306" s="20" t="s">
        <v>67</v>
      </c>
      <c r="C2306" s="20" t="s">
        <v>67</v>
      </c>
      <c r="D2306" s="20" t="s">
        <v>1283</v>
      </c>
      <c r="E2306" s="24">
        <v>4.2000000000000003E-2</v>
      </c>
      <c r="F2306" s="24">
        <v>4.2000000000000003E-2</v>
      </c>
      <c r="G2306" s="22"/>
    </row>
    <row r="2307" spans="1:7" x14ac:dyDescent="0.25">
      <c r="A2307" s="20" t="s">
        <v>588</v>
      </c>
      <c r="B2307" s="20" t="s">
        <v>146</v>
      </c>
      <c r="C2307" s="20" t="s">
        <v>146</v>
      </c>
      <c r="D2307" s="20" t="s">
        <v>1283</v>
      </c>
      <c r="E2307" s="24">
        <v>2.5000000000000001E-2</v>
      </c>
      <c r="F2307" s="24">
        <v>2.5000000000000001E-2</v>
      </c>
      <c r="G2307" s="22"/>
    </row>
    <row r="2308" spans="1:7" x14ac:dyDescent="0.25">
      <c r="A2308" s="20" t="s">
        <v>588</v>
      </c>
      <c r="B2308" s="20" t="s">
        <v>155</v>
      </c>
      <c r="C2308" s="20" t="s">
        <v>155</v>
      </c>
      <c r="D2308" s="20" t="s">
        <v>1283</v>
      </c>
      <c r="E2308" s="24">
        <v>2.4E-2</v>
      </c>
      <c r="F2308" s="24">
        <v>2.4E-2</v>
      </c>
      <c r="G2308" s="22"/>
    </row>
    <row r="2309" spans="1:7" x14ac:dyDescent="0.25">
      <c r="A2309" s="20" t="s">
        <v>588</v>
      </c>
      <c r="B2309" s="20" t="s">
        <v>215</v>
      </c>
      <c r="C2309" s="20" t="s">
        <v>215</v>
      </c>
      <c r="D2309" s="20" t="s">
        <v>1283</v>
      </c>
      <c r="E2309" s="25">
        <v>0.08</v>
      </c>
      <c r="F2309" s="25">
        <v>0.08</v>
      </c>
      <c r="G2309" s="22"/>
    </row>
    <row r="2310" spans="1:7" x14ac:dyDescent="0.25">
      <c r="A2310" s="20" t="s">
        <v>588</v>
      </c>
      <c r="B2310" s="20" t="s">
        <v>122</v>
      </c>
      <c r="C2310" s="20" t="s">
        <v>122</v>
      </c>
      <c r="D2310" s="20" t="s">
        <v>1305</v>
      </c>
      <c r="E2310" s="27">
        <v>9</v>
      </c>
      <c r="F2310" s="27">
        <v>9</v>
      </c>
      <c r="G2310" s="22"/>
    </row>
    <row r="2311" spans="1:7" x14ac:dyDescent="0.25">
      <c r="A2311" s="20" t="s">
        <v>588</v>
      </c>
      <c r="B2311" s="20" t="s">
        <v>1254</v>
      </c>
      <c r="C2311" s="20" t="s">
        <v>306</v>
      </c>
      <c r="D2311" s="20" t="s">
        <v>1306</v>
      </c>
      <c r="E2311" s="24">
        <v>0.125</v>
      </c>
      <c r="F2311" s="27">
        <v>3</v>
      </c>
      <c r="G2311" s="22"/>
    </row>
    <row r="2312" spans="1:7" x14ac:dyDescent="0.25">
      <c r="A2312" s="20" t="s">
        <v>595</v>
      </c>
      <c r="B2312" s="20" t="s">
        <v>1307</v>
      </c>
      <c r="C2312" s="20" t="s">
        <v>1307</v>
      </c>
      <c r="D2312" s="20" t="s">
        <v>1284</v>
      </c>
      <c r="E2312" s="27">
        <v>1</v>
      </c>
      <c r="F2312" s="27">
        <v>1</v>
      </c>
      <c r="G2312" s="29">
        <v>21.537649999999999</v>
      </c>
    </row>
    <row r="2313" spans="1:7" ht="22.5" x14ac:dyDescent="0.25">
      <c r="A2313" s="20" t="s">
        <v>620</v>
      </c>
      <c r="B2313" s="20" t="s">
        <v>966</v>
      </c>
      <c r="C2313" s="20" t="s">
        <v>271</v>
      </c>
      <c r="D2313" s="20" t="s">
        <v>1284</v>
      </c>
      <c r="E2313" s="27">
        <v>9</v>
      </c>
      <c r="F2313" s="27">
        <v>9</v>
      </c>
      <c r="G2313" s="29">
        <v>5.2700000000000004E-3</v>
      </c>
    </row>
    <row r="2314" spans="1:7" x14ac:dyDescent="0.25">
      <c r="A2314" s="20" t="s">
        <v>588</v>
      </c>
      <c r="B2314" s="20" t="s">
        <v>65</v>
      </c>
      <c r="C2314" s="20" t="s">
        <v>65</v>
      </c>
      <c r="D2314" s="20" t="s">
        <v>1284</v>
      </c>
      <c r="E2314" s="25">
        <v>0.45</v>
      </c>
      <c r="F2314" s="25">
        <v>0.45</v>
      </c>
      <c r="G2314" s="22"/>
    </row>
    <row r="2315" spans="1:7" x14ac:dyDescent="0.25">
      <c r="A2315" s="20" t="s">
        <v>588</v>
      </c>
      <c r="B2315" s="20" t="s">
        <v>67</v>
      </c>
      <c r="C2315" s="20" t="s">
        <v>67</v>
      </c>
      <c r="D2315" s="20" t="s">
        <v>1284</v>
      </c>
      <c r="E2315" s="24">
        <v>8.9999999999999993E-3</v>
      </c>
      <c r="F2315" s="24">
        <v>8.9999999999999993E-3</v>
      </c>
      <c r="G2315" s="22"/>
    </row>
    <row r="2316" spans="1:7" x14ac:dyDescent="0.25">
      <c r="A2316" s="20" t="s">
        <v>588</v>
      </c>
      <c r="B2316" s="20" t="s">
        <v>146</v>
      </c>
      <c r="C2316" s="20" t="s">
        <v>146</v>
      </c>
      <c r="D2316" s="20" t="s">
        <v>1284</v>
      </c>
      <c r="E2316" s="24">
        <v>5.0000000000000001E-3</v>
      </c>
      <c r="F2316" s="24">
        <v>5.0000000000000001E-3</v>
      </c>
      <c r="G2316" s="22"/>
    </row>
    <row r="2317" spans="1:7" x14ac:dyDescent="0.25">
      <c r="A2317" s="20" t="s">
        <v>588</v>
      </c>
      <c r="B2317" s="20" t="s">
        <v>155</v>
      </c>
      <c r="C2317" s="20" t="s">
        <v>155</v>
      </c>
      <c r="D2317" s="20" t="s">
        <v>1284</v>
      </c>
      <c r="E2317" s="25">
        <v>0.27</v>
      </c>
      <c r="F2317" s="25">
        <v>0.27</v>
      </c>
      <c r="G2317" s="22"/>
    </row>
    <row r="2318" spans="1:7" x14ac:dyDescent="0.25">
      <c r="A2318" s="20" t="s">
        <v>588</v>
      </c>
      <c r="B2318" s="20" t="s">
        <v>200</v>
      </c>
      <c r="C2318" s="20" t="s">
        <v>200</v>
      </c>
      <c r="D2318" s="20" t="s">
        <v>1284</v>
      </c>
      <c r="E2318" s="25">
        <v>0.06</v>
      </c>
      <c r="F2318" s="25">
        <v>0.06</v>
      </c>
      <c r="G2318" s="22"/>
    </row>
    <row r="2319" spans="1:7" x14ac:dyDescent="0.25">
      <c r="A2319" s="20" t="s">
        <v>588</v>
      </c>
      <c r="B2319" s="20" t="s">
        <v>215</v>
      </c>
      <c r="C2319" s="20" t="s">
        <v>215</v>
      </c>
      <c r="D2319" s="20" t="s">
        <v>1284</v>
      </c>
      <c r="E2319" s="33">
        <v>0.9</v>
      </c>
      <c r="F2319" s="33">
        <v>0.9</v>
      </c>
      <c r="G2319" s="22"/>
    </row>
    <row r="2320" spans="1:7" x14ac:dyDescent="0.25">
      <c r="A2320" s="20" t="s">
        <v>588</v>
      </c>
      <c r="B2320" s="20" t="s">
        <v>109</v>
      </c>
      <c r="C2320" s="20" t="s">
        <v>109</v>
      </c>
      <c r="D2320" s="20" t="s">
        <v>1307</v>
      </c>
      <c r="E2320" s="33">
        <v>26.8</v>
      </c>
      <c r="F2320" s="33">
        <v>26.8</v>
      </c>
      <c r="G2320" s="22"/>
    </row>
    <row r="2321" spans="1:7" x14ac:dyDescent="0.25">
      <c r="A2321" s="20" t="s">
        <v>595</v>
      </c>
      <c r="B2321" s="20" t="s">
        <v>1308</v>
      </c>
      <c r="C2321" s="20" t="s">
        <v>1308</v>
      </c>
      <c r="D2321" s="20" t="s">
        <v>1285</v>
      </c>
      <c r="E2321" s="27">
        <v>1</v>
      </c>
      <c r="F2321" s="27">
        <v>1</v>
      </c>
      <c r="G2321" s="29">
        <v>0.68354999999999999</v>
      </c>
    </row>
    <row r="2322" spans="1:7" ht="22.5" x14ac:dyDescent="0.25">
      <c r="A2322" s="20" t="s">
        <v>620</v>
      </c>
      <c r="B2322" s="20" t="s">
        <v>746</v>
      </c>
      <c r="C2322" s="20" t="s">
        <v>245</v>
      </c>
      <c r="D2322" s="20" t="s">
        <v>1285</v>
      </c>
      <c r="E2322" s="27">
        <v>4</v>
      </c>
      <c r="F2322" s="27">
        <v>4</v>
      </c>
      <c r="G2322" s="29">
        <v>5.5500000000000002E-3</v>
      </c>
    </row>
    <row r="2323" spans="1:7" x14ac:dyDescent="0.25">
      <c r="A2323" s="20" t="s">
        <v>588</v>
      </c>
      <c r="B2323" s="20" t="s">
        <v>65</v>
      </c>
      <c r="C2323" s="20" t="s">
        <v>65</v>
      </c>
      <c r="D2323" s="20" t="s">
        <v>1285</v>
      </c>
      <c r="E2323" s="24">
        <v>7.0000000000000001E-3</v>
      </c>
      <c r="F2323" s="24">
        <v>7.0000000000000001E-3</v>
      </c>
      <c r="G2323" s="22"/>
    </row>
    <row r="2324" spans="1:7" x14ac:dyDescent="0.25">
      <c r="A2324" s="20" t="s">
        <v>588</v>
      </c>
      <c r="B2324" s="20" t="s">
        <v>67</v>
      </c>
      <c r="C2324" s="20" t="s">
        <v>67</v>
      </c>
      <c r="D2324" s="20" t="s">
        <v>1285</v>
      </c>
      <c r="E2324" s="24">
        <v>1.4999999999999999E-2</v>
      </c>
      <c r="F2324" s="24">
        <v>1.4999999999999999E-2</v>
      </c>
      <c r="G2324" s="22"/>
    </row>
    <row r="2325" spans="1:7" x14ac:dyDescent="0.25">
      <c r="A2325" s="20" t="s">
        <v>588</v>
      </c>
      <c r="B2325" s="20" t="s">
        <v>146</v>
      </c>
      <c r="C2325" s="20" t="s">
        <v>146</v>
      </c>
      <c r="D2325" s="20" t="s">
        <v>1285</v>
      </c>
      <c r="E2325" s="24">
        <v>8.9999999999999993E-3</v>
      </c>
      <c r="F2325" s="24">
        <v>8.9999999999999993E-3</v>
      </c>
      <c r="G2325" s="22"/>
    </row>
    <row r="2326" spans="1:7" x14ac:dyDescent="0.25">
      <c r="A2326" s="20" t="s">
        <v>588</v>
      </c>
      <c r="B2326" s="20" t="s">
        <v>155</v>
      </c>
      <c r="C2326" s="20" t="s">
        <v>155</v>
      </c>
      <c r="D2326" s="20" t="s">
        <v>1285</v>
      </c>
      <c r="E2326" s="24">
        <v>4.0000000000000001E-3</v>
      </c>
      <c r="F2326" s="24">
        <v>4.0000000000000001E-3</v>
      </c>
      <c r="G2326" s="22"/>
    </row>
    <row r="2327" spans="1:7" x14ac:dyDescent="0.25">
      <c r="A2327" s="20" t="s">
        <v>588</v>
      </c>
      <c r="B2327" s="20" t="s">
        <v>200</v>
      </c>
      <c r="C2327" s="20" t="s">
        <v>200</v>
      </c>
      <c r="D2327" s="20" t="s">
        <v>1285</v>
      </c>
      <c r="E2327" s="24">
        <v>1E-3</v>
      </c>
      <c r="F2327" s="24">
        <v>1E-3</v>
      </c>
      <c r="G2327" s="22"/>
    </row>
    <row r="2328" spans="1:7" x14ac:dyDescent="0.25">
      <c r="A2328" s="20" t="s">
        <v>588</v>
      </c>
      <c r="B2328" s="20" t="s">
        <v>215</v>
      </c>
      <c r="C2328" s="20" t="s">
        <v>215</v>
      </c>
      <c r="D2328" s="20" t="s">
        <v>1285</v>
      </c>
      <c r="E2328" s="24">
        <v>1.4E-2</v>
      </c>
      <c r="F2328" s="24">
        <v>1.4E-2</v>
      </c>
      <c r="G2328" s="22"/>
    </row>
    <row r="2329" spans="1:7" x14ac:dyDescent="0.25">
      <c r="A2329" s="20" t="s">
        <v>588</v>
      </c>
      <c r="B2329" s="20" t="s">
        <v>115</v>
      </c>
      <c r="C2329" s="20" t="s">
        <v>115</v>
      </c>
      <c r="D2329" s="20" t="s">
        <v>1308</v>
      </c>
      <c r="E2329" s="25">
        <v>0.83</v>
      </c>
      <c r="F2329" s="25">
        <v>0.83</v>
      </c>
      <c r="G2329" s="22"/>
    </row>
    <row r="2330" spans="1:7" x14ac:dyDescent="0.25">
      <c r="A2330" s="20" t="s">
        <v>585</v>
      </c>
      <c r="B2330" s="20" t="s">
        <v>1176</v>
      </c>
      <c r="C2330" s="20" t="s">
        <v>1176</v>
      </c>
      <c r="D2330" s="20" t="s">
        <v>1309</v>
      </c>
      <c r="E2330" s="27">
        <v>1</v>
      </c>
      <c r="F2330" s="27">
        <v>5</v>
      </c>
      <c r="G2330" s="29">
        <v>1.3748100000000001</v>
      </c>
    </row>
    <row r="2331" spans="1:7" x14ac:dyDescent="0.25">
      <c r="A2331" s="20" t="s">
        <v>585</v>
      </c>
      <c r="B2331" s="20" t="s">
        <v>1183</v>
      </c>
      <c r="C2331" s="20" t="s">
        <v>1183</v>
      </c>
      <c r="D2331" s="20" t="s">
        <v>1309</v>
      </c>
      <c r="E2331" s="27">
        <v>1</v>
      </c>
      <c r="F2331" s="27">
        <v>5</v>
      </c>
      <c r="G2331" s="28">
        <v>2.0691999999999999</v>
      </c>
    </row>
    <row r="2332" spans="1:7" x14ac:dyDescent="0.25">
      <c r="A2332" s="20" t="s">
        <v>585</v>
      </c>
      <c r="B2332" s="20" t="s">
        <v>1186</v>
      </c>
      <c r="C2332" s="20" t="s">
        <v>1186</v>
      </c>
      <c r="D2332" s="20" t="s">
        <v>1309</v>
      </c>
      <c r="E2332" s="27">
        <v>2</v>
      </c>
      <c r="F2332" s="27">
        <v>10</v>
      </c>
      <c r="G2332" s="29">
        <v>9.4101900000000001</v>
      </c>
    </row>
    <row r="2333" spans="1:7" x14ac:dyDescent="0.25">
      <c r="A2333" s="20" t="s">
        <v>585</v>
      </c>
      <c r="B2333" s="20" t="s">
        <v>1279</v>
      </c>
      <c r="C2333" s="20" t="s">
        <v>1279</v>
      </c>
      <c r="D2333" s="20" t="s">
        <v>1309</v>
      </c>
      <c r="E2333" s="27">
        <v>1</v>
      </c>
      <c r="F2333" s="27">
        <v>5</v>
      </c>
      <c r="G2333" s="29">
        <v>97.594430000000003</v>
      </c>
    </row>
    <row r="2334" spans="1:7" x14ac:dyDescent="0.25">
      <c r="A2334" s="20" t="s">
        <v>585</v>
      </c>
      <c r="B2334" s="20" t="s">
        <v>1280</v>
      </c>
      <c r="C2334" s="20" t="s">
        <v>1280</v>
      </c>
      <c r="D2334" s="20" t="s">
        <v>1309</v>
      </c>
      <c r="E2334" s="27">
        <v>1</v>
      </c>
      <c r="F2334" s="27">
        <v>5</v>
      </c>
      <c r="G2334" s="29">
        <v>21.91086</v>
      </c>
    </row>
    <row r="2335" spans="1:7" x14ac:dyDescent="0.25">
      <c r="A2335" s="20" t="s">
        <v>585</v>
      </c>
      <c r="B2335" s="20" t="s">
        <v>1310</v>
      </c>
      <c r="C2335" s="20" t="s">
        <v>1310</v>
      </c>
      <c r="D2335" s="20" t="s">
        <v>1309</v>
      </c>
      <c r="E2335" s="27">
        <v>1</v>
      </c>
      <c r="F2335" s="27">
        <v>5</v>
      </c>
      <c r="G2335" s="29">
        <v>35.78528</v>
      </c>
    </row>
    <row r="2336" spans="1:7" x14ac:dyDescent="0.25">
      <c r="A2336" s="20" t="s">
        <v>585</v>
      </c>
      <c r="B2336" s="20" t="s">
        <v>1311</v>
      </c>
      <c r="C2336" s="20" t="s">
        <v>1311</v>
      </c>
      <c r="D2336" s="20" t="s">
        <v>1309</v>
      </c>
      <c r="E2336" s="27">
        <v>1</v>
      </c>
      <c r="F2336" s="27">
        <v>5</v>
      </c>
      <c r="G2336" s="29">
        <v>108.23519</v>
      </c>
    </row>
    <row r="2337" spans="1:7" x14ac:dyDescent="0.25">
      <c r="A2337" s="20" t="s">
        <v>585</v>
      </c>
      <c r="B2337" s="20" t="s">
        <v>1312</v>
      </c>
      <c r="C2337" s="20" t="s">
        <v>1312</v>
      </c>
      <c r="D2337" s="20" t="s">
        <v>1309</v>
      </c>
      <c r="E2337" s="27">
        <v>1</v>
      </c>
      <c r="F2337" s="27">
        <v>5</v>
      </c>
      <c r="G2337" s="29">
        <v>11.979810000000001</v>
      </c>
    </row>
    <row r="2338" spans="1:7" x14ac:dyDescent="0.25">
      <c r="A2338" s="20" t="s">
        <v>585</v>
      </c>
      <c r="B2338" s="20" t="s">
        <v>1313</v>
      </c>
      <c r="C2338" s="20" t="s">
        <v>1313</v>
      </c>
      <c r="D2338" s="20" t="s">
        <v>1309</v>
      </c>
      <c r="E2338" s="27">
        <v>1</v>
      </c>
      <c r="F2338" s="27">
        <v>5</v>
      </c>
      <c r="G2338" s="29">
        <v>15.919790000000001</v>
      </c>
    </row>
    <row r="2339" spans="1:7" x14ac:dyDescent="0.25">
      <c r="A2339" s="20" t="s">
        <v>585</v>
      </c>
      <c r="B2339" s="20" t="s">
        <v>1314</v>
      </c>
      <c r="C2339" s="20" t="s">
        <v>1314</v>
      </c>
      <c r="D2339" s="20" t="s">
        <v>1309</v>
      </c>
      <c r="E2339" s="27">
        <v>1</v>
      </c>
      <c r="F2339" s="27">
        <v>5</v>
      </c>
      <c r="G2339" s="28">
        <v>0.78769999999999996</v>
      </c>
    </row>
    <row r="2340" spans="1:7" x14ac:dyDescent="0.25">
      <c r="A2340" s="20" t="s">
        <v>585</v>
      </c>
      <c r="B2340" s="20" t="s">
        <v>1286</v>
      </c>
      <c r="C2340" s="20" t="s">
        <v>1286</v>
      </c>
      <c r="D2340" s="20" t="s">
        <v>1309</v>
      </c>
      <c r="E2340" s="27">
        <v>1</v>
      </c>
      <c r="F2340" s="27">
        <v>5</v>
      </c>
      <c r="G2340" s="29">
        <v>25.774789999999999</v>
      </c>
    </row>
    <row r="2341" spans="1:7" x14ac:dyDescent="0.25">
      <c r="A2341" s="20" t="s">
        <v>595</v>
      </c>
      <c r="B2341" s="20" t="s">
        <v>1188</v>
      </c>
      <c r="C2341" s="20" t="s">
        <v>1188</v>
      </c>
      <c r="D2341" s="20" t="s">
        <v>1309</v>
      </c>
      <c r="E2341" s="27">
        <v>2</v>
      </c>
      <c r="F2341" s="27">
        <v>10</v>
      </c>
      <c r="G2341" s="29">
        <v>0.10907</v>
      </c>
    </row>
    <row r="2342" spans="1:7" x14ac:dyDescent="0.25">
      <c r="A2342" s="20" t="s">
        <v>595</v>
      </c>
      <c r="B2342" s="20" t="s">
        <v>1189</v>
      </c>
      <c r="C2342" s="20" t="s">
        <v>1189</v>
      </c>
      <c r="D2342" s="20" t="s">
        <v>1309</v>
      </c>
      <c r="E2342" s="27">
        <v>2</v>
      </c>
      <c r="F2342" s="27">
        <v>10</v>
      </c>
      <c r="G2342" s="29">
        <v>0.24543999999999999</v>
      </c>
    </row>
    <row r="2343" spans="1:7" x14ac:dyDescent="0.25">
      <c r="A2343" s="20" t="s">
        <v>595</v>
      </c>
      <c r="B2343" s="20" t="s">
        <v>1192</v>
      </c>
      <c r="C2343" s="20" t="s">
        <v>1192</v>
      </c>
      <c r="D2343" s="20" t="s">
        <v>1309</v>
      </c>
      <c r="E2343" s="27">
        <v>2</v>
      </c>
      <c r="F2343" s="27">
        <v>10</v>
      </c>
      <c r="G2343" s="29">
        <v>3.1669999999999997E-2</v>
      </c>
    </row>
    <row r="2344" spans="1:7" x14ac:dyDescent="0.25">
      <c r="A2344" s="20" t="s">
        <v>595</v>
      </c>
      <c r="B2344" s="20" t="s">
        <v>1193</v>
      </c>
      <c r="C2344" s="20" t="s">
        <v>1193</v>
      </c>
      <c r="D2344" s="20" t="s">
        <v>1309</v>
      </c>
      <c r="E2344" s="27">
        <v>1</v>
      </c>
      <c r="F2344" s="27">
        <v>5</v>
      </c>
      <c r="G2344" s="28">
        <v>3.0291000000000001</v>
      </c>
    </row>
    <row r="2345" spans="1:7" x14ac:dyDescent="0.25">
      <c r="A2345" s="20" t="s">
        <v>595</v>
      </c>
      <c r="B2345" s="20" t="s">
        <v>1194</v>
      </c>
      <c r="C2345" s="20" t="s">
        <v>1194</v>
      </c>
      <c r="D2345" s="20" t="s">
        <v>1309</v>
      </c>
      <c r="E2345" s="27">
        <v>2</v>
      </c>
      <c r="F2345" s="27">
        <v>10</v>
      </c>
      <c r="G2345" s="29">
        <v>6.1120000000000001E-2</v>
      </c>
    </row>
    <row r="2346" spans="1:7" x14ac:dyDescent="0.25">
      <c r="A2346" s="20" t="s">
        <v>595</v>
      </c>
      <c r="B2346" s="20" t="s">
        <v>1195</v>
      </c>
      <c r="C2346" s="20" t="s">
        <v>1195</v>
      </c>
      <c r="D2346" s="20" t="s">
        <v>1309</v>
      </c>
      <c r="E2346" s="27">
        <v>2</v>
      </c>
      <c r="F2346" s="27">
        <v>10</v>
      </c>
      <c r="G2346" s="29">
        <v>5.7880000000000001E-2</v>
      </c>
    </row>
    <row r="2347" spans="1:7" x14ac:dyDescent="0.25">
      <c r="A2347" s="20" t="s">
        <v>595</v>
      </c>
      <c r="B2347" s="20" t="s">
        <v>1196</v>
      </c>
      <c r="C2347" s="20" t="s">
        <v>1196</v>
      </c>
      <c r="D2347" s="20" t="s">
        <v>1309</v>
      </c>
      <c r="E2347" s="27">
        <v>1</v>
      </c>
      <c r="F2347" s="27">
        <v>5</v>
      </c>
      <c r="G2347" s="29">
        <v>1.4852700000000001</v>
      </c>
    </row>
    <row r="2348" spans="1:7" x14ac:dyDescent="0.25">
      <c r="A2348" s="20" t="s">
        <v>595</v>
      </c>
      <c r="B2348" s="20" t="s">
        <v>1197</v>
      </c>
      <c r="C2348" s="20" t="s">
        <v>1197</v>
      </c>
      <c r="D2348" s="20" t="s">
        <v>1309</v>
      </c>
      <c r="E2348" s="27">
        <v>2</v>
      </c>
      <c r="F2348" s="27">
        <v>10</v>
      </c>
      <c r="G2348" s="29">
        <v>0.30839</v>
      </c>
    </row>
    <row r="2349" spans="1:7" x14ac:dyDescent="0.25">
      <c r="A2349" s="20" t="s">
        <v>595</v>
      </c>
      <c r="B2349" s="20" t="s">
        <v>1315</v>
      </c>
      <c r="C2349" s="20" t="s">
        <v>1315</v>
      </c>
      <c r="D2349" s="20" t="s">
        <v>1309</v>
      </c>
      <c r="E2349" s="27">
        <v>1</v>
      </c>
      <c r="F2349" s="27">
        <v>5</v>
      </c>
      <c r="G2349" s="29">
        <v>0.68137999999999999</v>
      </c>
    </row>
    <row r="2350" spans="1:7" x14ac:dyDescent="0.25">
      <c r="A2350" s="20" t="s">
        <v>595</v>
      </c>
      <c r="B2350" s="20" t="s">
        <v>1316</v>
      </c>
      <c r="C2350" s="20" t="s">
        <v>1316</v>
      </c>
      <c r="D2350" s="20" t="s">
        <v>1309</v>
      </c>
      <c r="E2350" s="27">
        <v>1</v>
      </c>
      <c r="F2350" s="27">
        <v>5</v>
      </c>
      <c r="G2350" s="29">
        <v>3.0816499999999998</v>
      </c>
    </row>
    <row r="2351" spans="1:7" ht="22.5" x14ac:dyDescent="0.25">
      <c r="A2351" s="20" t="s">
        <v>620</v>
      </c>
      <c r="B2351" s="20" t="s">
        <v>1198</v>
      </c>
      <c r="C2351" s="20" t="s">
        <v>301</v>
      </c>
      <c r="D2351" s="20" t="s">
        <v>1309</v>
      </c>
      <c r="E2351" s="27">
        <v>4</v>
      </c>
      <c r="F2351" s="27">
        <v>20</v>
      </c>
      <c r="G2351" s="28">
        <v>2.7699999999999999E-2</v>
      </c>
    </row>
    <row r="2352" spans="1:7" ht="22.5" x14ac:dyDescent="0.25">
      <c r="A2352" s="20" t="s">
        <v>620</v>
      </c>
      <c r="B2352" s="20" t="s">
        <v>1199</v>
      </c>
      <c r="C2352" s="20" t="s">
        <v>300</v>
      </c>
      <c r="D2352" s="20" t="s">
        <v>1309</v>
      </c>
      <c r="E2352" s="27">
        <v>12</v>
      </c>
      <c r="F2352" s="27">
        <v>60</v>
      </c>
      <c r="G2352" s="35">
        <v>3.5999999999999997E-2</v>
      </c>
    </row>
    <row r="2353" spans="1:7" ht="22.5" x14ac:dyDescent="0.25">
      <c r="A2353" s="20" t="s">
        <v>620</v>
      </c>
      <c r="B2353" s="20" t="s">
        <v>1317</v>
      </c>
      <c r="C2353" s="20" t="s">
        <v>553</v>
      </c>
      <c r="D2353" s="20" t="s">
        <v>1309</v>
      </c>
      <c r="E2353" s="27">
        <v>4</v>
      </c>
      <c r="F2353" s="27">
        <v>20</v>
      </c>
      <c r="G2353" s="35">
        <v>9.9000000000000005E-2</v>
      </c>
    </row>
    <row r="2354" spans="1:7" ht="22.5" x14ac:dyDescent="0.25">
      <c r="A2354" s="20" t="s">
        <v>620</v>
      </c>
      <c r="B2354" s="20" t="s">
        <v>622</v>
      </c>
      <c r="C2354" s="20" t="s">
        <v>256</v>
      </c>
      <c r="D2354" s="20" t="s">
        <v>1309</v>
      </c>
      <c r="E2354" s="27">
        <v>95</v>
      </c>
      <c r="F2354" s="27">
        <v>475</v>
      </c>
      <c r="G2354" s="28">
        <v>1.52E-2</v>
      </c>
    </row>
    <row r="2355" spans="1:7" ht="22.5" x14ac:dyDescent="0.25">
      <c r="A2355" s="20" t="s">
        <v>620</v>
      </c>
      <c r="B2355" s="20" t="s">
        <v>623</v>
      </c>
      <c r="C2355" s="20" t="s">
        <v>285</v>
      </c>
      <c r="D2355" s="20" t="s">
        <v>1309</v>
      </c>
      <c r="E2355" s="27">
        <v>4</v>
      </c>
      <c r="F2355" s="27">
        <v>20</v>
      </c>
      <c r="G2355" s="28">
        <v>1.67E-2</v>
      </c>
    </row>
    <row r="2356" spans="1:7" ht="22.5" x14ac:dyDescent="0.25">
      <c r="A2356" s="20" t="s">
        <v>620</v>
      </c>
      <c r="B2356" s="20" t="s">
        <v>1201</v>
      </c>
      <c r="C2356" s="20" t="s">
        <v>298</v>
      </c>
      <c r="D2356" s="20" t="s">
        <v>1309</v>
      </c>
      <c r="E2356" s="27">
        <v>4</v>
      </c>
      <c r="F2356" s="27">
        <v>20</v>
      </c>
      <c r="G2356" s="28">
        <v>0.13730000000000001</v>
      </c>
    </row>
    <row r="2357" spans="1:7" ht="22.5" x14ac:dyDescent="0.25">
      <c r="A2357" s="20" t="s">
        <v>620</v>
      </c>
      <c r="B2357" s="20" t="s">
        <v>745</v>
      </c>
      <c r="C2357" s="20" t="s">
        <v>246</v>
      </c>
      <c r="D2357" s="20" t="s">
        <v>1309</v>
      </c>
      <c r="E2357" s="27">
        <v>16</v>
      </c>
      <c r="F2357" s="27">
        <v>80</v>
      </c>
      <c r="G2357" s="29">
        <v>1.022E-2</v>
      </c>
    </row>
    <row r="2358" spans="1:7" ht="22.5" x14ac:dyDescent="0.25">
      <c r="A2358" s="20" t="s">
        <v>620</v>
      </c>
      <c r="B2358" s="20" t="s">
        <v>721</v>
      </c>
      <c r="C2358" s="20" t="s">
        <v>231</v>
      </c>
      <c r="D2358" s="20" t="s">
        <v>1309</v>
      </c>
      <c r="E2358" s="27">
        <v>4</v>
      </c>
      <c r="F2358" s="27">
        <v>20</v>
      </c>
      <c r="G2358" s="29">
        <v>2.5329999999999998E-2</v>
      </c>
    </row>
    <row r="2359" spans="1:7" ht="22.5" x14ac:dyDescent="0.25">
      <c r="A2359" s="20" t="s">
        <v>620</v>
      </c>
      <c r="B2359" s="20" t="s">
        <v>818</v>
      </c>
      <c r="C2359" s="20" t="s">
        <v>259</v>
      </c>
      <c r="D2359" s="20" t="s">
        <v>1309</v>
      </c>
      <c r="E2359" s="27">
        <v>4</v>
      </c>
      <c r="F2359" s="27">
        <v>20</v>
      </c>
      <c r="G2359" s="29">
        <v>3.7609999999999998E-2</v>
      </c>
    </row>
    <row r="2360" spans="1:7" ht="22.5" x14ac:dyDescent="0.25">
      <c r="A2360" s="20" t="s">
        <v>620</v>
      </c>
      <c r="B2360" s="20" t="s">
        <v>733</v>
      </c>
      <c r="C2360" s="20" t="s">
        <v>235</v>
      </c>
      <c r="D2360" s="20" t="s">
        <v>1309</v>
      </c>
      <c r="E2360" s="27">
        <v>8</v>
      </c>
      <c r="F2360" s="27">
        <v>40</v>
      </c>
      <c r="G2360" s="29">
        <v>7.1440000000000003E-2</v>
      </c>
    </row>
    <row r="2361" spans="1:7" ht="22.5" x14ac:dyDescent="0.25">
      <c r="A2361" s="20" t="s">
        <v>620</v>
      </c>
      <c r="B2361" s="20" t="s">
        <v>625</v>
      </c>
      <c r="C2361" s="20" t="s">
        <v>219</v>
      </c>
      <c r="D2361" s="20" t="s">
        <v>1309</v>
      </c>
      <c r="E2361" s="27">
        <v>30</v>
      </c>
      <c r="F2361" s="27">
        <v>150</v>
      </c>
      <c r="G2361" s="29">
        <v>7.1399999999999996E-3</v>
      </c>
    </row>
    <row r="2362" spans="1:7" ht="22.5" x14ac:dyDescent="0.25">
      <c r="A2362" s="20" t="s">
        <v>620</v>
      </c>
      <c r="B2362" s="20" t="s">
        <v>767</v>
      </c>
      <c r="C2362" s="20" t="s">
        <v>249</v>
      </c>
      <c r="D2362" s="20" t="s">
        <v>1309</v>
      </c>
      <c r="E2362" s="27">
        <v>13</v>
      </c>
      <c r="F2362" s="27">
        <v>65</v>
      </c>
      <c r="G2362" s="29">
        <v>2.0100000000000001E-3</v>
      </c>
    </row>
    <row r="2363" spans="1:7" ht="22.5" x14ac:dyDescent="0.25">
      <c r="A2363" s="20" t="s">
        <v>620</v>
      </c>
      <c r="B2363" s="20" t="s">
        <v>722</v>
      </c>
      <c r="C2363" s="20" t="s">
        <v>232</v>
      </c>
      <c r="D2363" s="20" t="s">
        <v>1309</v>
      </c>
      <c r="E2363" s="27">
        <v>4</v>
      </c>
      <c r="F2363" s="27">
        <v>20</v>
      </c>
      <c r="G2363" s="29">
        <v>4.4799999999999996E-3</v>
      </c>
    </row>
    <row r="2364" spans="1:7" ht="22.5" x14ac:dyDescent="0.25">
      <c r="A2364" s="20" t="s">
        <v>620</v>
      </c>
      <c r="B2364" s="20" t="s">
        <v>819</v>
      </c>
      <c r="C2364" s="20" t="s">
        <v>260</v>
      </c>
      <c r="D2364" s="20" t="s">
        <v>1309</v>
      </c>
      <c r="E2364" s="27">
        <v>4</v>
      </c>
      <c r="F2364" s="27">
        <v>20</v>
      </c>
      <c r="G2364" s="29">
        <v>6.0800000000000003E-3</v>
      </c>
    </row>
    <row r="2365" spans="1:7" ht="22.5" x14ac:dyDescent="0.25">
      <c r="A2365" s="20" t="s">
        <v>620</v>
      </c>
      <c r="B2365" s="20" t="s">
        <v>735</v>
      </c>
      <c r="C2365" s="20" t="s">
        <v>241</v>
      </c>
      <c r="D2365" s="20" t="s">
        <v>1309</v>
      </c>
      <c r="E2365" s="27">
        <v>4</v>
      </c>
      <c r="F2365" s="27">
        <v>20</v>
      </c>
      <c r="G2365" s="29">
        <v>1.289E-2</v>
      </c>
    </row>
    <row r="2366" spans="1:7" ht="22.5" x14ac:dyDescent="0.25">
      <c r="A2366" s="20" t="s">
        <v>620</v>
      </c>
      <c r="B2366" s="20" t="s">
        <v>1318</v>
      </c>
      <c r="C2366" s="20" t="s">
        <v>564</v>
      </c>
      <c r="D2366" s="20" t="s">
        <v>1309</v>
      </c>
      <c r="E2366" s="27">
        <v>4</v>
      </c>
      <c r="F2366" s="27">
        <v>20</v>
      </c>
      <c r="G2366" s="35">
        <v>3.2000000000000001E-2</v>
      </c>
    </row>
    <row r="2367" spans="1:7" ht="22.5" x14ac:dyDescent="0.25">
      <c r="A2367" s="20" t="s">
        <v>620</v>
      </c>
      <c r="B2367" s="20" t="s">
        <v>1202</v>
      </c>
      <c r="C2367" s="20" t="s">
        <v>297</v>
      </c>
      <c r="D2367" s="20" t="s">
        <v>1309</v>
      </c>
      <c r="E2367" s="27">
        <v>4</v>
      </c>
      <c r="F2367" s="27">
        <v>20</v>
      </c>
      <c r="G2367" s="35">
        <v>7.8E-2</v>
      </c>
    </row>
    <row r="2368" spans="1:7" ht="22.5" x14ac:dyDescent="0.25">
      <c r="A2368" s="20" t="s">
        <v>620</v>
      </c>
      <c r="B2368" s="20" t="s">
        <v>747</v>
      </c>
      <c r="C2368" s="20" t="s">
        <v>244</v>
      </c>
      <c r="D2368" s="20" t="s">
        <v>1309</v>
      </c>
      <c r="E2368" s="27">
        <v>31</v>
      </c>
      <c r="F2368" s="27">
        <v>155</v>
      </c>
      <c r="G2368" s="29">
        <v>6.13E-3</v>
      </c>
    </row>
    <row r="2369" spans="1:7" ht="22.5" x14ac:dyDescent="0.25">
      <c r="A2369" s="20" t="s">
        <v>620</v>
      </c>
      <c r="B2369" s="20" t="s">
        <v>662</v>
      </c>
      <c r="C2369" s="20" t="s">
        <v>221</v>
      </c>
      <c r="D2369" s="20" t="s">
        <v>1309</v>
      </c>
      <c r="E2369" s="27">
        <v>8</v>
      </c>
      <c r="F2369" s="27">
        <v>40</v>
      </c>
      <c r="G2369" s="29">
        <v>1.098E-2</v>
      </c>
    </row>
    <row r="2370" spans="1:7" ht="22.5" x14ac:dyDescent="0.25">
      <c r="A2370" s="20" t="s">
        <v>620</v>
      </c>
      <c r="B2370" s="20" t="s">
        <v>736</v>
      </c>
      <c r="C2370" s="20" t="s">
        <v>239</v>
      </c>
      <c r="D2370" s="20" t="s">
        <v>1309</v>
      </c>
      <c r="E2370" s="27">
        <v>4</v>
      </c>
      <c r="F2370" s="27">
        <v>20</v>
      </c>
      <c r="G2370" s="29">
        <v>1.636E-2</v>
      </c>
    </row>
    <row r="2371" spans="1:7" x14ac:dyDescent="0.25">
      <c r="A2371" s="20" t="s">
        <v>597</v>
      </c>
      <c r="B2371" s="20" t="s">
        <v>548</v>
      </c>
      <c r="C2371" s="20" t="s">
        <v>548</v>
      </c>
      <c r="D2371" s="20" t="s">
        <v>1309</v>
      </c>
      <c r="E2371" s="27">
        <v>1</v>
      </c>
      <c r="F2371" s="27">
        <v>5</v>
      </c>
      <c r="G2371" s="37">
        <v>145</v>
      </c>
    </row>
    <row r="2372" spans="1:7" x14ac:dyDescent="0.25">
      <c r="A2372" s="20" t="s">
        <v>597</v>
      </c>
      <c r="B2372" s="20" t="s">
        <v>24</v>
      </c>
      <c r="C2372" s="20" t="s">
        <v>24</v>
      </c>
      <c r="D2372" s="20" t="s">
        <v>1309</v>
      </c>
      <c r="E2372" s="27">
        <v>1</v>
      </c>
      <c r="F2372" s="27">
        <v>5</v>
      </c>
      <c r="G2372" s="29">
        <v>0.96411999999999998</v>
      </c>
    </row>
    <row r="2373" spans="1:7" x14ac:dyDescent="0.25">
      <c r="A2373" s="20" t="s">
        <v>597</v>
      </c>
      <c r="B2373" s="20" t="s">
        <v>550</v>
      </c>
      <c r="C2373" s="20" t="s">
        <v>550</v>
      </c>
      <c r="D2373" s="20" t="s">
        <v>1309</v>
      </c>
      <c r="E2373" s="27">
        <v>1</v>
      </c>
      <c r="F2373" s="27">
        <v>5</v>
      </c>
      <c r="G2373" s="29">
        <v>8.7119499999999999</v>
      </c>
    </row>
    <row r="2374" spans="1:7" x14ac:dyDescent="0.25">
      <c r="A2374" s="20" t="s">
        <v>597</v>
      </c>
      <c r="B2374" s="20" t="s">
        <v>42</v>
      </c>
      <c r="C2374" s="20" t="s">
        <v>42</v>
      </c>
      <c r="D2374" s="20" t="s">
        <v>1309</v>
      </c>
      <c r="E2374" s="27">
        <v>3</v>
      </c>
      <c r="F2374" s="27">
        <v>15</v>
      </c>
      <c r="G2374" s="31">
        <v>0.15</v>
      </c>
    </row>
    <row r="2375" spans="1:7" x14ac:dyDescent="0.25">
      <c r="A2375" s="20" t="s">
        <v>597</v>
      </c>
      <c r="B2375" s="20" t="s">
        <v>68</v>
      </c>
      <c r="C2375" s="20" t="s">
        <v>68</v>
      </c>
      <c r="D2375" s="20" t="s">
        <v>1309</v>
      </c>
      <c r="E2375" s="27">
        <v>4</v>
      </c>
      <c r="F2375" s="27">
        <v>20</v>
      </c>
      <c r="G2375" s="29">
        <v>3.211E-2</v>
      </c>
    </row>
    <row r="2376" spans="1:7" x14ac:dyDescent="0.25">
      <c r="A2376" s="20" t="s">
        <v>585</v>
      </c>
      <c r="B2376" s="20" t="s">
        <v>1309</v>
      </c>
      <c r="C2376" s="20" t="s">
        <v>1309</v>
      </c>
      <c r="D2376" s="20" t="s">
        <v>1319</v>
      </c>
      <c r="E2376" s="27">
        <v>1</v>
      </c>
      <c r="F2376" s="27">
        <v>5</v>
      </c>
      <c r="G2376" s="29">
        <v>510.64749</v>
      </c>
    </row>
    <row r="2377" spans="1:7" x14ac:dyDescent="0.25">
      <c r="A2377" s="20" t="s">
        <v>585</v>
      </c>
      <c r="B2377" s="20" t="s">
        <v>1320</v>
      </c>
      <c r="C2377" s="20" t="s">
        <v>1320</v>
      </c>
      <c r="D2377" s="20" t="s">
        <v>1319</v>
      </c>
      <c r="E2377" s="27">
        <v>1</v>
      </c>
      <c r="F2377" s="27">
        <v>5</v>
      </c>
      <c r="G2377" s="29">
        <v>24.263190000000002</v>
      </c>
    </row>
    <row r="2378" spans="1:7" x14ac:dyDescent="0.25">
      <c r="A2378" s="20" t="s">
        <v>595</v>
      </c>
      <c r="B2378" s="20" t="s">
        <v>1174</v>
      </c>
      <c r="C2378" s="20" t="s">
        <v>1174</v>
      </c>
      <c r="D2378" s="20" t="s">
        <v>1319</v>
      </c>
      <c r="E2378" s="27">
        <v>2</v>
      </c>
      <c r="F2378" s="27">
        <v>10</v>
      </c>
      <c r="G2378" s="29">
        <v>7.6410000000000006E-2</v>
      </c>
    </row>
    <row r="2379" spans="1:7" x14ac:dyDescent="0.25">
      <c r="A2379" s="20" t="s">
        <v>595</v>
      </c>
      <c r="B2379" s="20" t="s">
        <v>615</v>
      </c>
      <c r="C2379" s="20" t="s">
        <v>615</v>
      </c>
      <c r="D2379" s="20" t="s">
        <v>1319</v>
      </c>
      <c r="E2379" s="27">
        <v>1</v>
      </c>
      <c r="F2379" s="27">
        <v>5</v>
      </c>
      <c r="G2379" s="29">
        <v>0.32214999999999999</v>
      </c>
    </row>
    <row r="2380" spans="1:7" x14ac:dyDescent="0.25">
      <c r="A2380" s="20" t="s">
        <v>595</v>
      </c>
      <c r="B2380" s="20" t="s">
        <v>616</v>
      </c>
      <c r="C2380" s="20" t="s">
        <v>616</v>
      </c>
      <c r="D2380" s="20" t="s">
        <v>1319</v>
      </c>
      <c r="E2380" s="27">
        <v>1</v>
      </c>
      <c r="F2380" s="27">
        <v>5</v>
      </c>
      <c r="G2380" s="29">
        <v>6.9110000000000005E-2</v>
      </c>
    </row>
    <row r="2381" spans="1:7" ht="22.5" x14ac:dyDescent="0.25">
      <c r="A2381" s="20" t="s">
        <v>620</v>
      </c>
      <c r="B2381" s="20" t="s">
        <v>625</v>
      </c>
      <c r="C2381" s="20" t="s">
        <v>219</v>
      </c>
      <c r="D2381" s="20" t="s">
        <v>1319</v>
      </c>
      <c r="E2381" s="27">
        <v>2</v>
      </c>
      <c r="F2381" s="27">
        <v>10</v>
      </c>
      <c r="G2381" s="29">
        <v>7.1399999999999996E-3</v>
      </c>
    </row>
    <row r="2382" spans="1:7" x14ac:dyDescent="0.25">
      <c r="A2382" s="20" t="s">
        <v>588</v>
      </c>
      <c r="B2382" s="20" t="s">
        <v>112</v>
      </c>
      <c r="C2382" s="20" t="s">
        <v>112</v>
      </c>
      <c r="D2382" s="20" t="s">
        <v>1315</v>
      </c>
      <c r="E2382" s="24">
        <v>0.93400000000000005</v>
      </c>
      <c r="F2382" s="25">
        <v>4.67</v>
      </c>
      <c r="G2382" s="22"/>
    </row>
    <row r="2383" spans="1:7" x14ac:dyDescent="0.25">
      <c r="A2383" s="20" t="s">
        <v>588</v>
      </c>
      <c r="B2383" s="20" t="s">
        <v>65</v>
      </c>
      <c r="C2383" s="20" t="s">
        <v>65</v>
      </c>
      <c r="D2383" s="20" t="s">
        <v>1316</v>
      </c>
      <c r="E2383" s="24">
        <v>7.0999999999999994E-2</v>
      </c>
      <c r="F2383" s="24">
        <v>0.35499999999999998</v>
      </c>
      <c r="G2383" s="22"/>
    </row>
    <row r="2384" spans="1:7" x14ac:dyDescent="0.25">
      <c r="A2384" s="20" t="s">
        <v>588</v>
      </c>
      <c r="B2384" s="20" t="s">
        <v>109</v>
      </c>
      <c r="C2384" s="20" t="s">
        <v>109</v>
      </c>
      <c r="D2384" s="20" t="s">
        <v>1316</v>
      </c>
      <c r="E2384" s="26">
        <v>9.2975399999999997</v>
      </c>
      <c r="F2384" s="32">
        <v>46.487699999999997</v>
      </c>
      <c r="G2384" s="22"/>
    </row>
    <row r="2385" spans="1:7" x14ac:dyDescent="0.25">
      <c r="A2385" s="20" t="s">
        <v>588</v>
      </c>
      <c r="B2385" s="20" t="s">
        <v>155</v>
      </c>
      <c r="C2385" s="20" t="s">
        <v>155</v>
      </c>
      <c r="D2385" s="20" t="s">
        <v>1316</v>
      </c>
      <c r="E2385" s="24">
        <v>4.2999999999999997E-2</v>
      </c>
      <c r="F2385" s="24">
        <v>0.215</v>
      </c>
      <c r="G2385" s="22"/>
    </row>
    <row r="2386" spans="1:7" x14ac:dyDescent="0.25">
      <c r="A2386" s="20" t="s">
        <v>588</v>
      </c>
      <c r="B2386" s="20" t="s">
        <v>200</v>
      </c>
      <c r="C2386" s="20" t="s">
        <v>200</v>
      </c>
      <c r="D2386" s="20" t="s">
        <v>1316</v>
      </c>
      <c r="E2386" s="24">
        <v>9.0999999999999998E-2</v>
      </c>
      <c r="F2386" s="24">
        <v>0.45500000000000002</v>
      </c>
      <c r="G2386" s="22"/>
    </row>
    <row r="2387" spans="1:7" x14ac:dyDescent="0.25">
      <c r="A2387" s="20" t="s">
        <v>588</v>
      </c>
      <c r="B2387" s="20" t="s">
        <v>215</v>
      </c>
      <c r="C2387" s="20" t="s">
        <v>215</v>
      </c>
      <c r="D2387" s="20" t="s">
        <v>1316</v>
      </c>
      <c r="E2387" s="24">
        <v>0.14199999999999999</v>
      </c>
      <c r="F2387" s="25">
        <v>0.71</v>
      </c>
      <c r="G2387" s="22"/>
    </row>
    <row r="2388" spans="1:7" x14ac:dyDescent="0.25">
      <c r="A2388" s="20" t="s">
        <v>585</v>
      </c>
      <c r="B2388" s="20" t="s">
        <v>1228</v>
      </c>
      <c r="C2388" s="20" t="s">
        <v>1228</v>
      </c>
      <c r="D2388" s="20" t="s">
        <v>1310</v>
      </c>
      <c r="E2388" s="27">
        <v>1</v>
      </c>
      <c r="F2388" s="27">
        <v>5</v>
      </c>
      <c r="G2388" s="29">
        <v>4.0158199999999997</v>
      </c>
    </row>
    <row r="2389" spans="1:7" x14ac:dyDescent="0.25">
      <c r="A2389" s="20" t="s">
        <v>585</v>
      </c>
      <c r="B2389" s="20" t="s">
        <v>1321</v>
      </c>
      <c r="C2389" s="20" t="s">
        <v>1321</v>
      </c>
      <c r="D2389" s="20" t="s">
        <v>1310</v>
      </c>
      <c r="E2389" s="27">
        <v>1</v>
      </c>
      <c r="F2389" s="27">
        <v>5</v>
      </c>
      <c r="G2389" s="29">
        <v>31.64564</v>
      </c>
    </row>
    <row r="2390" spans="1:7" ht="22.5" x14ac:dyDescent="0.25">
      <c r="A2390" s="20" t="s">
        <v>620</v>
      </c>
      <c r="B2390" s="20" t="s">
        <v>1221</v>
      </c>
      <c r="C2390" s="20" t="s">
        <v>304</v>
      </c>
      <c r="D2390" s="20" t="s">
        <v>1310</v>
      </c>
      <c r="E2390" s="27">
        <v>4</v>
      </c>
      <c r="F2390" s="27">
        <v>20</v>
      </c>
      <c r="G2390" s="28">
        <v>6.9500000000000006E-2</v>
      </c>
    </row>
    <row r="2391" spans="1:7" ht="22.5" x14ac:dyDescent="0.25">
      <c r="A2391" s="20" t="s">
        <v>620</v>
      </c>
      <c r="B2391" s="20" t="s">
        <v>864</v>
      </c>
      <c r="C2391" s="20" t="s">
        <v>263</v>
      </c>
      <c r="D2391" s="20" t="s">
        <v>1310</v>
      </c>
      <c r="E2391" s="27">
        <v>4</v>
      </c>
      <c r="F2391" s="27">
        <v>20</v>
      </c>
      <c r="G2391" s="29">
        <v>1.567E-2</v>
      </c>
    </row>
    <row r="2392" spans="1:7" ht="22.5" x14ac:dyDescent="0.25">
      <c r="A2392" s="20" t="s">
        <v>620</v>
      </c>
      <c r="B2392" s="20" t="s">
        <v>865</v>
      </c>
      <c r="C2392" s="20" t="s">
        <v>264</v>
      </c>
      <c r="D2392" s="20" t="s">
        <v>1310</v>
      </c>
      <c r="E2392" s="27">
        <v>4</v>
      </c>
      <c r="F2392" s="27">
        <v>20</v>
      </c>
      <c r="G2392" s="29">
        <v>3.4499999999999999E-3</v>
      </c>
    </row>
    <row r="2393" spans="1:7" x14ac:dyDescent="0.25">
      <c r="A2393" s="20" t="s">
        <v>585</v>
      </c>
      <c r="B2393" s="20" t="s">
        <v>1231</v>
      </c>
      <c r="C2393" s="20" t="s">
        <v>1231</v>
      </c>
      <c r="D2393" s="20" t="s">
        <v>1321</v>
      </c>
      <c r="E2393" s="27">
        <v>1</v>
      </c>
      <c r="F2393" s="27">
        <v>5</v>
      </c>
      <c r="G2393" s="29">
        <v>17.11318</v>
      </c>
    </row>
    <row r="2394" spans="1:7" x14ac:dyDescent="0.25">
      <c r="A2394" s="20" t="s">
        <v>595</v>
      </c>
      <c r="B2394" s="20" t="s">
        <v>1235</v>
      </c>
      <c r="C2394" s="20" t="s">
        <v>1235</v>
      </c>
      <c r="D2394" s="20" t="s">
        <v>1321</v>
      </c>
      <c r="E2394" s="27">
        <v>2</v>
      </c>
      <c r="F2394" s="27">
        <v>10</v>
      </c>
      <c r="G2394" s="29">
        <v>1.7407699999999999</v>
      </c>
    </row>
    <row r="2395" spans="1:7" x14ac:dyDescent="0.25">
      <c r="A2395" s="20" t="s">
        <v>595</v>
      </c>
      <c r="B2395" s="20" t="s">
        <v>1236</v>
      </c>
      <c r="C2395" s="20" t="s">
        <v>1236</v>
      </c>
      <c r="D2395" s="20" t="s">
        <v>1321</v>
      </c>
      <c r="E2395" s="27">
        <v>1</v>
      </c>
      <c r="F2395" s="27">
        <v>5</v>
      </c>
      <c r="G2395" s="29">
        <v>1.03599</v>
      </c>
    </row>
    <row r="2396" spans="1:7" x14ac:dyDescent="0.25">
      <c r="A2396" s="20" t="s">
        <v>595</v>
      </c>
      <c r="B2396" s="20" t="s">
        <v>1238</v>
      </c>
      <c r="C2396" s="20" t="s">
        <v>1238</v>
      </c>
      <c r="D2396" s="20" t="s">
        <v>1321</v>
      </c>
      <c r="E2396" s="27">
        <v>1</v>
      </c>
      <c r="F2396" s="27">
        <v>5</v>
      </c>
      <c r="G2396" s="29">
        <v>0.48792000000000002</v>
      </c>
    </row>
    <row r="2397" spans="1:7" x14ac:dyDescent="0.25">
      <c r="A2397" s="20" t="s">
        <v>595</v>
      </c>
      <c r="B2397" s="20" t="s">
        <v>1322</v>
      </c>
      <c r="C2397" s="20" t="s">
        <v>1322</v>
      </c>
      <c r="D2397" s="20" t="s">
        <v>1321</v>
      </c>
      <c r="E2397" s="27">
        <v>1</v>
      </c>
      <c r="F2397" s="27">
        <v>5</v>
      </c>
      <c r="G2397" s="29">
        <v>9.5217399999999994</v>
      </c>
    </row>
    <row r="2398" spans="1:7" ht="22.5" x14ac:dyDescent="0.25">
      <c r="A2398" s="20" t="s">
        <v>620</v>
      </c>
      <c r="B2398" s="20" t="s">
        <v>966</v>
      </c>
      <c r="C2398" s="20" t="s">
        <v>271</v>
      </c>
      <c r="D2398" s="20" t="s">
        <v>1321</v>
      </c>
      <c r="E2398" s="27">
        <v>1</v>
      </c>
      <c r="F2398" s="27">
        <v>5</v>
      </c>
      <c r="G2398" s="29">
        <v>5.2700000000000004E-3</v>
      </c>
    </row>
    <row r="2399" spans="1:7" x14ac:dyDescent="0.25">
      <c r="A2399" s="20" t="s">
        <v>588</v>
      </c>
      <c r="B2399" s="20" t="s">
        <v>65</v>
      </c>
      <c r="C2399" s="20" t="s">
        <v>65</v>
      </c>
      <c r="D2399" s="20" t="s">
        <v>1321</v>
      </c>
      <c r="E2399" s="25">
        <v>0.13</v>
      </c>
      <c r="F2399" s="25">
        <v>0.65</v>
      </c>
      <c r="G2399" s="22"/>
    </row>
    <row r="2400" spans="1:7" x14ac:dyDescent="0.25">
      <c r="A2400" s="20" t="s">
        <v>588</v>
      </c>
      <c r="B2400" s="20" t="s">
        <v>67</v>
      </c>
      <c r="C2400" s="20" t="s">
        <v>67</v>
      </c>
      <c r="D2400" s="20" t="s">
        <v>1321</v>
      </c>
      <c r="E2400" s="24">
        <v>0.35699999999999998</v>
      </c>
      <c r="F2400" s="24">
        <v>1.7849999999999999</v>
      </c>
      <c r="G2400" s="22"/>
    </row>
    <row r="2401" spans="1:7" x14ac:dyDescent="0.25">
      <c r="A2401" s="20" t="s">
        <v>588</v>
      </c>
      <c r="B2401" s="20" t="s">
        <v>146</v>
      </c>
      <c r="C2401" s="20" t="s">
        <v>146</v>
      </c>
      <c r="D2401" s="20" t="s">
        <v>1321</v>
      </c>
      <c r="E2401" s="25">
        <v>0.21</v>
      </c>
      <c r="F2401" s="25">
        <v>1.05</v>
      </c>
      <c r="G2401" s="22"/>
    </row>
    <row r="2402" spans="1:7" x14ac:dyDescent="0.25">
      <c r="A2402" s="20" t="s">
        <v>588</v>
      </c>
      <c r="B2402" s="20" t="s">
        <v>155</v>
      </c>
      <c r="C2402" s="20" t="s">
        <v>155</v>
      </c>
      <c r="D2402" s="20" t="s">
        <v>1321</v>
      </c>
      <c r="E2402" s="24">
        <v>7.8E-2</v>
      </c>
      <c r="F2402" s="25">
        <v>0.39</v>
      </c>
      <c r="G2402" s="22"/>
    </row>
    <row r="2403" spans="1:7" x14ac:dyDescent="0.25">
      <c r="A2403" s="20" t="s">
        <v>588</v>
      </c>
      <c r="B2403" s="20" t="s">
        <v>200</v>
      </c>
      <c r="C2403" s="20" t="s">
        <v>200</v>
      </c>
      <c r="D2403" s="20" t="s">
        <v>1321</v>
      </c>
      <c r="E2403" s="24">
        <v>0.183</v>
      </c>
      <c r="F2403" s="24">
        <v>0.91500000000000004</v>
      </c>
      <c r="G2403" s="22"/>
    </row>
    <row r="2404" spans="1:7" x14ac:dyDescent="0.25">
      <c r="A2404" s="20" t="s">
        <v>588</v>
      </c>
      <c r="B2404" s="20" t="s">
        <v>215</v>
      </c>
      <c r="C2404" s="20" t="s">
        <v>215</v>
      </c>
      <c r="D2404" s="20" t="s">
        <v>1321</v>
      </c>
      <c r="E2404" s="25">
        <v>0.26</v>
      </c>
      <c r="F2404" s="33">
        <v>1.3</v>
      </c>
      <c r="G2404" s="22"/>
    </row>
    <row r="2405" spans="1:7" x14ac:dyDescent="0.25">
      <c r="A2405" s="20" t="s">
        <v>588</v>
      </c>
      <c r="B2405" s="20" t="s">
        <v>120</v>
      </c>
      <c r="C2405" s="20" t="s">
        <v>120</v>
      </c>
      <c r="D2405" s="20" t="s">
        <v>1322</v>
      </c>
      <c r="E2405" s="25">
        <v>13.73</v>
      </c>
      <c r="F2405" s="25">
        <v>68.650000000000006</v>
      </c>
      <c r="G2405" s="22"/>
    </row>
    <row r="2406" spans="1:7" x14ac:dyDescent="0.25">
      <c r="A2406" s="20" t="s">
        <v>585</v>
      </c>
      <c r="B2406" s="20" t="s">
        <v>1323</v>
      </c>
      <c r="C2406" s="20" t="s">
        <v>1323</v>
      </c>
      <c r="D2406" s="20" t="s">
        <v>1311</v>
      </c>
      <c r="E2406" s="27">
        <v>1</v>
      </c>
      <c r="F2406" s="27">
        <v>5</v>
      </c>
      <c r="G2406" s="29">
        <v>99.895510000000002</v>
      </c>
    </row>
    <row r="2407" spans="1:7" x14ac:dyDescent="0.25">
      <c r="A2407" s="20" t="s">
        <v>595</v>
      </c>
      <c r="B2407" s="20" t="s">
        <v>1240</v>
      </c>
      <c r="C2407" s="20" t="s">
        <v>1240</v>
      </c>
      <c r="D2407" s="20" t="s">
        <v>1311</v>
      </c>
      <c r="E2407" s="27">
        <v>1</v>
      </c>
      <c r="F2407" s="27">
        <v>5</v>
      </c>
      <c r="G2407" s="28">
        <v>5.2200000000000003E-2</v>
      </c>
    </row>
    <row r="2408" spans="1:7" x14ac:dyDescent="0.25">
      <c r="A2408" s="20" t="s">
        <v>597</v>
      </c>
      <c r="B2408" s="20" t="s">
        <v>24</v>
      </c>
      <c r="C2408" s="20" t="s">
        <v>24</v>
      </c>
      <c r="D2408" s="20" t="s">
        <v>1311</v>
      </c>
      <c r="E2408" s="27">
        <v>1</v>
      </c>
      <c r="F2408" s="27">
        <v>5</v>
      </c>
      <c r="G2408" s="29">
        <v>0.96411999999999998</v>
      </c>
    </row>
    <row r="2409" spans="1:7" x14ac:dyDescent="0.25">
      <c r="A2409" s="20" t="s">
        <v>597</v>
      </c>
      <c r="B2409" s="20" t="s">
        <v>549</v>
      </c>
      <c r="C2409" s="20" t="s">
        <v>549</v>
      </c>
      <c r="D2409" s="20" t="s">
        <v>1311</v>
      </c>
      <c r="E2409" s="27">
        <v>1</v>
      </c>
      <c r="F2409" s="27">
        <v>5</v>
      </c>
      <c r="G2409" s="29">
        <v>7.3233600000000001</v>
      </c>
    </row>
    <row r="2410" spans="1:7" x14ac:dyDescent="0.25">
      <c r="A2410" s="20" t="s">
        <v>597</v>
      </c>
      <c r="B2410" s="20" t="s">
        <v>40</v>
      </c>
      <c r="C2410" s="20" t="s">
        <v>40</v>
      </c>
      <c r="D2410" s="20" t="s">
        <v>1311</v>
      </c>
      <c r="E2410" s="27">
        <v>2</v>
      </c>
      <c r="F2410" s="27">
        <v>10</v>
      </c>
      <c r="G2410" s="34">
        <v>3.7</v>
      </c>
    </row>
    <row r="2411" spans="1:7" x14ac:dyDescent="0.25">
      <c r="A2411" s="20" t="s">
        <v>588</v>
      </c>
      <c r="B2411" s="20" t="s">
        <v>65</v>
      </c>
      <c r="C2411" s="20" t="s">
        <v>65</v>
      </c>
      <c r="D2411" s="20" t="s">
        <v>1311</v>
      </c>
      <c r="E2411" s="25">
        <v>0.45</v>
      </c>
      <c r="F2411" s="25">
        <v>2.25</v>
      </c>
      <c r="G2411" s="22"/>
    </row>
    <row r="2412" spans="1:7" x14ac:dyDescent="0.25">
      <c r="A2412" s="20" t="s">
        <v>588</v>
      </c>
      <c r="B2412" s="20" t="s">
        <v>155</v>
      </c>
      <c r="C2412" s="20" t="s">
        <v>155</v>
      </c>
      <c r="D2412" s="20" t="s">
        <v>1311</v>
      </c>
      <c r="E2412" s="25">
        <v>0.27</v>
      </c>
      <c r="F2412" s="25">
        <v>1.35</v>
      </c>
      <c r="G2412" s="22"/>
    </row>
    <row r="2413" spans="1:7" x14ac:dyDescent="0.25">
      <c r="A2413" s="20" t="s">
        <v>588</v>
      </c>
      <c r="B2413" s="20" t="s">
        <v>200</v>
      </c>
      <c r="C2413" s="20" t="s">
        <v>200</v>
      </c>
      <c r="D2413" s="20" t="s">
        <v>1311</v>
      </c>
      <c r="E2413" s="24">
        <v>0.73299999999999998</v>
      </c>
      <c r="F2413" s="24">
        <v>3.665</v>
      </c>
      <c r="G2413" s="22"/>
    </row>
    <row r="2414" spans="1:7" x14ac:dyDescent="0.25">
      <c r="A2414" s="20" t="s">
        <v>588</v>
      </c>
      <c r="B2414" s="20" t="s">
        <v>215</v>
      </c>
      <c r="C2414" s="20" t="s">
        <v>215</v>
      </c>
      <c r="D2414" s="20" t="s">
        <v>1311</v>
      </c>
      <c r="E2414" s="33">
        <v>0.9</v>
      </c>
      <c r="F2414" s="33">
        <v>4.5</v>
      </c>
      <c r="G2414" s="22"/>
    </row>
    <row r="2415" spans="1:7" x14ac:dyDescent="0.25">
      <c r="A2415" s="20" t="s">
        <v>595</v>
      </c>
      <c r="B2415" s="20" t="s">
        <v>1241</v>
      </c>
      <c r="C2415" s="20" t="s">
        <v>1241</v>
      </c>
      <c r="D2415" s="20" t="s">
        <v>1324</v>
      </c>
      <c r="E2415" s="27">
        <v>1</v>
      </c>
      <c r="F2415" s="27">
        <v>5</v>
      </c>
      <c r="G2415" s="29">
        <v>16.82422</v>
      </c>
    </row>
    <row r="2416" spans="1:7" x14ac:dyDescent="0.25">
      <c r="A2416" s="20" t="s">
        <v>595</v>
      </c>
      <c r="B2416" s="20" t="s">
        <v>1243</v>
      </c>
      <c r="C2416" s="20" t="s">
        <v>1243</v>
      </c>
      <c r="D2416" s="20" t="s">
        <v>1324</v>
      </c>
      <c r="E2416" s="27">
        <v>1</v>
      </c>
      <c r="F2416" s="27">
        <v>5</v>
      </c>
      <c r="G2416" s="28">
        <v>3.9093</v>
      </c>
    </row>
    <row r="2417" spans="1:7" x14ac:dyDescent="0.25">
      <c r="A2417" s="20" t="s">
        <v>595</v>
      </c>
      <c r="B2417" s="20" t="s">
        <v>1245</v>
      </c>
      <c r="C2417" s="20" t="s">
        <v>1245</v>
      </c>
      <c r="D2417" s="20" t="s">
        <v>1324</v>
      </c>
      <c r="E2417" s="27">
        <v>1</v>
      </c>
      <c r="F2417" s="27">
        <v>5</v>
      </c>
      <c r="G2417" s="29">
        <v>0.50365000000000004</v>
      </c>
    </row>
    <row r="2418" spans="1:7" x14ac:dyDescent="0.25">
      <c r="A2418" s="20" t="s">
        <v>595</v>
      </c>
      <c r="B2418" s="20" t="s">
        <v>1325</v>
      </c>
      <c r="C2418" s="20" t="s">
        <v>1325</v>
      </c>
      <c r="D2418" s="20" t="s">
        <v>1324</v>
      </c>
      <c r="E2418" s="27">
        <v>12</v>
      </c>
      <c r="F2418" s="27">
        <v>60</v>
      </c>
      <c r="G2418" s="29">
        <v>0.69537000000000004</v>
      </c>
    </row>
    <row r="2419" spans="1:7" x14ac:dyDescent="0.25">
      <c r="A2419" s="20" t="s">
        <v>595</v>
      </c>
      <c r="B2419" s="20" t="s">
        <v>1326</v>
      </c>
      <c r="C2419" s="20" t="s">
        <v>1326</v>
      </c>
      <c r="D2419" s="20" t="s">
        <v>1324</v>
      </c>
      <c r="E2419" s="27">
        <v>3</v>
      </c>
      <c r="F2419" s="27">
        <v>15</v>
      </c>
      <c r="G2419" s="29">
        <v>0.26204</v>
      </c>
    </row>
    <row r="2420" spans="1:7" x14ac:dyDescent="0.25">
      <c r="A2420" s="20" t="s">
        <v>588</v>
      </c>
      <c r="B2420" s="20" t="s">
        <v>67</v>
      </c>
      <c r="C2420" s="20" t="s">
        <v>67</v>
      </c>
      <c r="D2420" s="20" t="s">
        <v>1324</v>
      </c>
      <c r="E2420" s="24">
        <v>0.98699999999999999</v>
      </c>
      <c r="F2420" s="24">
        <v>4.9349999999999996</v>
      </c>
      <c r="G2420" s="22"/>
    </row>
    <row r="2421" spans="1:7" x14ac:dyDescent="0.25">
      <c r="A2421" s="20" t="s">
        <v>588</v>
      </c>
      <c r="B2421" s="20" t="s">
        <v>146</v>
      </c>
      <c r="C2421" s="20" t="s">
        <v>146</v>
      </c>
      <c r="D2421" s="20" t="s">
        <v>1324</v>
      </c>
      <c r="E2421" s="24">
        <v>0.58099999999999996</v>
      </c>
      <c r="F2421" s="24">
        <v>2.9049999999999998</v>
      </c>
      <c r="G2421" s="22"/>
    </row>
    <row r="2422" spans="1:7" x14ac:dyDescent="0.25">
      <c r="A2422" s="20" t="s">
        <v>595</v>
      </c>
      <c r="B2422" s="20" t="s">
        <v>1241</v>
      </c>
      <c r="C2422" s="20" t="s">
        <v>1241</v>
      </c>
      <c r="D2422" s="20" t="s">
        <v>1327</v>
      </c>
      <c r="E2422" s="27">
        <v>1</v>
      </c>
      <c r="F2422" s="27">
        <v>5</v>
      </c>
      <c r="G2422" s="29">
        <v>16.82422</v>
      </c>
    </row>
    <row r="2423" spans="1:7" x14ac:dyDescent="0.25">
      <c r="A2423" s="20" t="s">
        <v>595</v>
      </c>
      <c r="B2423" s="20" t="s">
        <v>1243</v>
      </c>
      <c r="C2423" s="20" t="s">
        <v>1243</v>
      </c>
      <c r="D2423" s="20" t="s">
        <v>1327</v>
      </c>
      <c r="E2423" s="27">
        <v>1</v>
      </c>
      <c r="F2423" s="27">
        <v>5</v>
      </c>
      <c r="G2423" s="28">
        <v>3.9093</v>
      </c>
    </row>
    <row r="2424" spans="1:7" x14ac:dyDescent="0.25">
      <c r="A2424" s="20" t="s">
        <v>595</v>
      </c>
      <c r="B2424" s="20" t="s">
        <v>1245</v>
      </c>
      <c r="C2424" s="20" t="s">
        <v>1245</v>
      </c>
      <c r="D2424" s="20" t="s">
        <v>1327</v>
      </c>
      <c r="E2424" s="27">
        <v>1</v>
      </c>
      <c r="F2424" s="27">
        <v>5</v>
      </c>
      <c r="G2424" s="29">
        <v>0.50365000000000004</v>
      </c>
    </row>
    <row r="2425" spans="1:7" x14ac:dyDescent="0.25">
      <c r="A2425" s="20" t="s">
        <v>595</v>
      </c>
      <c r="B2425" s="20" t="s">
        <v>1325</v>
      </c>
      <c r="C2425" s="20" t="s">
        <v>1325</v>
      </c>
      <c r="D2425" s="20" t="s">
        <v>1327</v>
      </c>
      <c r="E2425" s="27">
        <v>12</v>
      </c>
      <c r="F2425" s="27">
        <v>60</v>
      </c>
      <c r="G2425" s="29">
        <v>0.69537000000000004</v>
      </c>
    </row>
    <row r="2426" spans="1:7" x14ac:dyDescent="0.25">
      <c r="A2426" s="20" t="s">
        <v>595</v>
      </c>
      <c r="B2426" s="20" t="s">
        <v>1326</v>
      </c>
      <c r="C2426" s="20" t="s">
        <v>1326</v>
      </c>
      <c r="D2426" s="20" t="s">
        <v>1327</v>
      </c>
      <c r="E2426" s="27">
        <v>3</v>
      </c>
      <c r="F2426" s="27">
        <v>15</v>
      </c>
      <c r="G2426" s="29">
        <v>0.26204</v>
      </c>
    </row>
    <row r="2427" spans="1:7" x14ac:dyDescent="0.25">
      <c r="A2427" s="20" t="s">
        <v>588</v>
      </c>
      <c r="B2427" s="20" t="s">
        <v>67</v>
      </c>
      <c r="C2427" s="20" t="s">
        <v>67</v>
      </c>
      <c r="D2427" s="20" t="s">
        <v>1327</v>
      </c>
      <c r="E2427" s="24">
        <v>0.94799999999999995</v>
      </c>
      <c r="F2427" s="25">
        <v>4.74</v>
      </c>
      <c r="G2427" s="22"/>
    </row>
    <row r="2428" spans="1:7" x14ac:dyDescent="0.25">
      <c r="A2428" s="20" t="s">
        <v>588</v>
      </c>
      <c r="B2428" s="20" t="s">
        <v>146</v>
      </c>
      <c r="C2428" s="20" t="s">
        <v>146</v>
      </c>
      <c r="D2428" s="20" t="s">
        <v>1327</v>
      </c>
      <c r="E2428" s="25">
        <v>0.56000000000000005</v>
      </c>
      <c r="F2428" s="33">
        <v>2.8</v>
      </c>
      <c r="G2428" s="22"/>
    </row>
    <row r="2429" spans="1:7" x14ac:dyDescent="0.25">
      <c r="A2429" s="20" t="s">
        <v>588</v>
      </c>
      <c r="B2429" s="20" t="s">
        <v>115</v>
      </c>
      <c r="C2429" s="20" t="s">
        <v>115</v>
      </c>
      <c r="D2429" s="20" t="s">
        <v>1325</v>
      </c>
      <c r="E2429" s="25">
        <v>0.99</v>
      </c>
      <c r="F2429" s="33">
        <v>118.8</v>
      </c>
      <c r="G2429" s="22"/>
    </row>
    <row r="2430" spans="1:7" x14ac:dyDescent="0.25">
      <c r="A2430" s="20" t="s">
        <v>588</v>
      </c>
      <c r="B2430" s="20" t="s">
        <v>78</v>
      </c>
      <c r="C2430" s="20" t="s">
        <v>78</v>
      </c>
      <c r="D2430" s="20" t="s">
        <v>1326</v>
      </c>
      <c r="E2430" s="33">
        <v>0.3</v>
      </c>
      <c r="F2430" s="27">
        <v>9</v>
      </c>
      <c r="G2430" s="22"/>
    </row>
    <row r="2431" spans="1:7" x14ac:dyDescent="0.25">
      <c r="A2431" s="20" t="s">
        <v>585</v>
      </c>
      <c r="B2431" s="20" t="s">
        <v>1248</v>
      </c>
      <c r="C2431" s="20" t="s">
        <v>1248</v>
      </c>
      <c r="D2431" s="20" t="s">
        <v>1323</v>
      </c>
      <c r="E2431" s="27">
        <v>2</v>
      </c>
      <c r="F2431" s="27">
        <v>10</v>
      </c>
      <c r="G2431" s="29">
        <v>6.5386100000000003</v>
      </c>
    </row>
    <row r="2432" spans="1:7" x14ac:dyDescent="0.25">
      <c r="A2432" s="20" t="s">
        <v>585</v>
      </c>
      <c r="B2432" s="20" t="s">
        <v>1324</v>
      </c>
      <c r="C2432" s="20" t="s">
        <v>1324</v>
      </c>
      <c r="D2432" s="20" t="s">
        <v>1323</v>
      </c>
      <c r="E2432" s="27">
        <v>1</v>
      </c>
      <c r="F2432" s="27">
        <v>5</v>
      </c>
      <c r="G2432" s="29">
        <v>30.367719999999998</v>
      </c>
    </row>
    <row r="2433" spans="1:7" x14ac:dyDescent="0.25">
      <c r="A2433" s="20" t="s">
        <v>585</v>
      </c>
      <c r="B2433" s="20" t="s">
        <v>1327</v>
      </c>
      <c r="C2433" s="20" t="s">
        <v>1327</v>
      </c>
      <c r="D2433" s="20" t="s">
        <v>1323</v>
      </c>
      <c r="E2433" s="27">
        <v>1</v>
      </c>
      <c r="F2433" s="27">
        <v>5</v>
      </c>
      <c r="G2433" s="29">
        <v>30.367719999999998</v>
      </c>
    </row>
    <row r="2434" spans="1:7" x14ac:dyDescent="0.25">
      <c r="A2434" s="20" t="s">
        <v>595</v>
      </c>
      <c r="B2434" s="20" t="s">
        <v>1251</v>
      </c>
      <c r="C2434" s="20" t="s">
        <v>1251</v>
      </c>
      <c r="D2434" s="20" t="s">
        <v>1323</v>
      </c>
      <c r="E2434" s="27">
        <v>2</v>
      </c>
      <c r="F2434" s="27">
        <v>10</v>
      </c>
      <c r="G2434" s="28">
        <v>1.5804</v>
      </c>
    </row>
    <row r="2435" spans="1:7" x14ac:dyDescent="0.25">
      <c r="A2435" s="20" t="s">
        <v>595</v>
      </c>
      <c r="B2435" s="20" t="s">
        <v>1328</v>
      </c>
      <c r="C2435" s="20" t="s">
        <v>1328</v>
      </c>
      <c r="D2435" s="20" t="s">
        <v>1323</v>
      </c>
      <c r="E2435" s="27">
        <v>1</v>
      </c>
      <c r="F2435" s="27">
        <v>5</v>
      </c>
      <c r="G2435" s="29">
        <v>22.470580000000002</v>
      </c>
    </row>
    <row r="2436" spans="1:7" x14ac:dyDescent="0.25">
      <c r="A2436" s="20" t="s">
        <v>595</v>
      </c>
      <c r="B2436" s="20" t="s">
        <v>705</v>
      </c>
      <c r="C2436" s="20" t="s">
        <v>705</v>
      </c>
      <c r="D2436" s="20" t="s">
        <v>1323</v>
      </c>
      <c r="E2436" s="27">
        <v>2</v>
      </c>
      <c r="F2436" s="27">
        <v>10</v>
      </c>
      <c r="G2436" s="29">
        <v>7.4569999999999997E-2</v>
      </c>
    </row>
    <row r="2437" spans="1:7" ht="22.5" x14ac:dyDescent="0.25">
      <c r="A2437" s="20" t="s">
        <v>620</v>
      </c>
      <c r="B2437" s="20" t="s">
        <v>761</v>
      </c>
      <c r="C2437" s="20" t="s">
        <v>255</v>
      </c>
      <c r="D2437" s="20" t="s">
        <v>1323</v>
      </c>
      <c r="E2437" s="27">
        <v>8</v>
      </c>
      <c r="F2437" s="27">
        <v>40</v>
      </c>
      <c r="G2437" s="29">
        <v>3.696E-2</v>
      </c>
    </row>
    <row r="2438" spans="1:7" ht="22.5" x14ac:dyDescent="0.25">
      <c r="A2438" s="20" t="s">
        <v>620</v>
      </c>
      <c r="B2438" s="20" t="s">
        <v>767</v>
      </c>
      <c r="C2438" s="20" t="s">
        <v>249</v>
      </c>
      <c r="D2438" s="20" t="s">
        <v>1323</v>
      </c>
      <c r="E2438" s="27">
        <v>8</v>
      </c>
      <c r="F2438" s="27">
        <v>40</v>
      </c>
      <c r="G2438" s="29">
        <v>2.0100000000000001E-3</v>
      </c>
    </row>
    <row r="2439" spans="1:7" ht="22.5" x14ac:dyDescent="0.25">
      <c r="A2439" s="20" t="s">
        <v>620</v>
      </c>
      <c r="B2439" s="20" t="s">
        <v>768</v>
      </c>
      <c r="C2439" s="20" t="s">
        <v>248</v>
      </c>
      <c r="D2439" s="20" t="s">
        <v>1323</v>
      </c>
      <c r="E2439" s="27">
        <v>8</v>
      </c>
      <c r="F2439" s="27">
        <v>40</v>
      </c>
      <c r="G2439" s="29">
        <v>3.4399999999999999E-3</v>
      </c>
    </row>
    <row r="2440" spans="1:7" x14ac:dyDescent="0.25">
      <c r="A2440" s="20" t="s">
        <v>588</v>
      </c>
      <c r="B2440" s="20" t="s">
        <v>67</v>
      </c>
      <c r="C2440" s="20" t="s">
        <v>67</v>
      </c>
      <c r="D2440" s="20" t="s">
        <v>1323</v>
      </c>
      <c r="E2440" s="24">
        <v>0.154</v>
      </c>
      <c r="F2440" s="25">
        <v>0.77</v>
      </c>
      <c r="G2440" s="22"/>
    </row>
    <row r="2441" spans="1:7" x14ac:dyDescent="0.25">
      <c r="A2441" s="20" t="s">
        <v>588</v>
      </c>
      <c r="B2441" s="20" t="s">
        <v>146</v>
      </c>
      <c r="C2441" s="20" t="s">
        <v>146</v>
      </c>
      <c r="D2441" s="20" t="s">
        <v>1323</v>
      </c>
      <c r="E2441" s="25">
        <v>0.09</v>
      </c>
      <c r="F2441" s="25">
        <v>0.45</v>
      </c>
      <c r="G2441" s="22"/>
    </row>
    <row r="2442" spans="1:7" x14ac:dyDescent="0.25">
      <c r="A2442" s="20" t="s">
        <v>588</v>
      </c>
      <c r="B2442" s="20" t="s">
        <v>100</v>
      </c>
      <c r="C2442" s="20" t="s">
        <v>100</v>
      </c>
      <c r="D2442" s="20" t="s">
        <v>1328</v>
      </c>
      <c r="E2442" s="27">
        <v>29</v>
      </c>
      <c r="F2442" s="27">
        <v>145</v>
      </c>
      <c r="G2442" s="22"/>
    </row>
    <row r="2443" spans="1:7" x14ac:dyDescent="0.25">
      <c r="A2443" s="20" t="s">
        <v>595</v>
      </c>
      <c r="B2443" s="20" t="s">
        <v>1306</v>
      </c>
      <c r="C2443" s="20" t="s">
        <v>1306</v>
      </c>
      <c r="D2443" s="20" t="s">
        <v>1312</v>
      </c>
      <c r="E2443" s="27">
        <v>4</v>
      </c>
      <c r="F2443" s="27">
        <v>20</v>
      </c>
      <c r="G2443" s="28">
        <v>0.28660000000000002</v>
      </c>
    </row>
    <row r="2444" spans="1:7" x14ac:dyDescent="0.25">
      <c r="A2444" s="20" t="s">
        <v>595</v>
      </c>
      <c r="B2444" s="20" t="s">
        <v>1329</v>
      </c>
      <c r="C2444" s="20" t="s">
        <v>1329</v>
      </c>
      <c r="D2444" s="20" t="s">
        <v>1312</v>
      </c>
      <c r="E2444" s="27">
        <v>1</v>
      </c>
      <c r="F2444" s="27">
        <v>5</v>
      </c>
      <c r="G2444" s="29">
        <v>10.833410000000001</v>
      </c>
    </row>
    <row r="2445" spans="1:7" x14ac:dyDescent="0.25">
      <c r="A2445" s="20" t="s">
        <v>588</v>
      </c>
      <c r="B2445" s="20" t="s">
        <v>65</v>
      </c>
      <c r="C2445" s="20" t="s">
        <v>65</v>
      </c>
      <c r="D2445" s="20" t="s">
        <v>1312</v>
      </c>
      <c r="E2445" s="25">
        <v>0.04</v>
      </c>
      <c r="F2445" s="33">
        <v>0.2</v>
      </c>
      <c r="G2445" s="22"/>
    </row>
    <row r="2446" spans="1:7" x14ac:dyDescent="0.25">
      <c r="A2446" s="20" t="s">
        <v>588</v>
      </c>
      <c r="B2446" s="20" t="s">
        <v>67</v>
      </c>
      <c r="C2446" s="20" t="s">
        <v>67</v>
      </c>
      <c r="D2446" s="20" t="s">
        <v>1312</v>
      </c>
      <c r="E2446" s="24">
        <v>6.8000000000000005E-2</v>
      </c>
      <c r="F2446" s="25">
        <v>0.34</v>
      </c>
      <c r="G2446" s="22"/>
    </row>
    <row r="2447" spans="1:7" x14ac:dyDescent="0.25">
      <c r="A2447" s="20" t="s">
        <v>588</v>
      </c>
      <c r="B2447" s="20" t="s">
        <v>146</v>
      </c>
      <c r="C2447" s="20" t="s">
        <v>146</v>
      </c>
      <c r="D2447" s="20" t="s">
        <v>1312</v>
      </c>
      <c r="E2447" s="25">
        <v>0.04</v>
      </c>
      <c r="F2447" s="33">
        <v>0.2</v>
      </c>
      <c r="G2447" s="22"/>
    </row>
    <row r="2448" spans="1:7" x14ac:dyDescent="0.25">
      <c r="A2448" s="20" t="s">
        <v>588</v>
      </c>
      <c r="B2448" s="20" t="s">
        <v>155</v>
      </c>
      <c r="C2448" s="20" t="s">
        <v>155</v>
      </c>
      <c r="D2448" s="20" t="s">
        <v>1312</v>
      </c>
      <c r="E2448" s="24">
        <v>2.4E-2</v>
      </c>
      <c r="F2448" s="25">
        <v>0.12</v>
      </c>
      <c r="G2448" s="22"/>
    </row>
    <row r="2449" spans="1:7" x14ac:dyDescent="0.25">
      <c r="A2449" s="20" t="s">
        <v>588</v>
      </c>
      <c r="B2449" s="20" t="s">
        <v>156</v>
      </c>
      <c r="C2449" s="20" t="s">
        <v>156</v>
      </c>
      <c r="D2449" s="20" t="s">
        <v>1312</v>
      </c>
      <c r="E2449" s="24">
        <v>3.4000000000000002E-2</v>
      </c>
      <c r="F2449" s="25">
        <v>0.17</v>
      </c>
      <c r="G2449" s="22"/>
    </row>
    <row r="2450" spans="1:7" x14ac:dyDescent="0.25">
      <c r="A2450" s="20" t="s">
        <v>588</v>
      </c>
      <c r="B2450" s="20" t="s">
        <v>215</v>
      </c>
      <c r="C2450" s="20" t="s">
        <v>215</v>
      </c>
      <c r="D2450" s="20" t="s">
        <v>1312</v>
      </c>
      <c r="E2450" s="25">
        <v>0.08</v>
      </c>
      <c r="F2450" s="33">
        <v>0.4</v>
      </c>
      <c r="G2450" s="22"/>
    </row>
    <row r="2451" spans="1:7" x14ac:dyDescent="0.25">
      <c r="A2451" s="20" t="s">
        <v>588</v>
      </c>
      <c r="B2451" s="20" t="s">
        <v>110</v>
      </c>
      <c r="C2451" s="20" t="s">
        <v>110</v>
      </c>
      <c r="D2451" s="20" t="s">
        <v>1329</v>
      </c>
      <c r="E2451" s="27">
        <v>11</v>
      </c>
      <c r="F2451" s="27">
        <v>55</v>
      </c>
      <c r="G2451" s="22"/>
    </row>
    <row r="2452" spans="1:7" x14ac:dyDescent="0.25">
      <c r="A2452" s="20" t="s">
        <v>595</v>
      </c>
      <c r="B2452" s="20" t="s">
        <v>1330</v>
      </c>
      <c r="C2452" s="20" t="s">
        <v>1330</v>
      </c>
      <c r="D2452" s="20" t="s">
        <v>1313</v>
      </c>
      <c r="E2452" s="27">
        <v>1</v>
      </c>
      <c r="F2452" s="27">
        <v>5</v>
      </c>
      <c r="G2452" s="29">
        <v>15.87236</v>
      </c>
    </row>
    <row r="2453" spans="1:7" ht="22.5" x14ac:dyDescent="0.25">
      <c r="A2453" s="20" t="s">
        <v>620</v>
      </c>
      <c r="B2453" s="20" t="s">
        <v>966</v>
      </c>
      <c r="C2453" s="20" t="s">
        <v>271</v>
      </c>
      <c r="D2453" s="20" t="s">
        <v>1313</v>
      </c>
      <c r="E2453" s="27">
        <v>9</v>
      </c>
      <c r="F2453" s="27">
        <v>45</v>
      </c>
      <c r="G2453" s="29">
        <v>5.2700000000000004E-3</v>
      </c>
    </row>
    <row r="2454" spans="1:7" x14ac:dyDescent="0.25">
      <c r="A2454" s="20" t="s">
        <v>588</v>
      </c>
      <c r="B2454" s="20" t="s">
        <v>65</v>
      </c>
      <c r="C2454" s="20" t="s">
        <v>65</v>
      </c>
      <c r="D2454" s="20" t="s">
        <v>1313</v>
      </c>
      <c r="E2454" s="25">
        <v>0.35</v>
      </c>
      <c r="F2454" s="25">
        <v>1.75</v>
      </c>
      <c r="G2454" s="22"/>
    </row>
    <row r="2455" spans="1:7" x14ac:dyDescent="0.25">
      <c r="A2455" s="20" t="s">
        <v>588</v>
      </c>
      <c r="B2455" s="20" t="s">
        <v>67</v>
      </c>
      <c r="C2455" s="20" t="s">
        <v>67</v>
      </c>
      <c r="D2455" s="20" t="s">
        <v>1313</v>
      </c>
      <c r="E2455" s="24">
        <v>1.7000000000000001E-2</v>
      </c>
      <c r="F2455" s="24">
        <v>8.5000000000000006E-2</v>
      </c>
      <c r="G2455" s="22"/>
    </row>
    <row r="2456" spans="1:7" x14ac:dyDescent="0.25">
      <c r="A2456" s="20" t="s">
        <v>588</v>
      </c>
      <c r="B2456" s="20" t="s">
        <v>146</v>
      </c>
      <c r="C2456" s="20" t="s">
        <v>146</v>
      </c>
      <c r="D2456" s="20" t="s">
        <v>1313</v>
      </c>
      <c r="E2456" s="25">
        <v>0.01</v>
      </c>
      <c r="F2456" s="25">
        <v>0.05</v>
      </c>
      <c r="G2456" s="22"/>
    </row>
    <row r="2457" spans="1:7" x14ac:dyDescent="0.25">
      <c r="A2457" s="20" t="s">
        <v>588</v>
      </c>
      <c r="B2457" s="20" t="s">
        <v>155</v>
      </c>
      <c r="C2457" s="20" t="s">
        <v>155</v>
      </c>
      <c r="D2457" s="20" t="s">
        <v>1313</v>
      </c>
      <c r="E2457" s="25">
        <v>0.21</v>
      </c>
      <c r="F2457" s="25">
        <v>1.05</v>
      </c>
      <c r="G2457" s="22"/>
    </row>
    <row r="2458" spans="1:7" x14ac:dyDescent="0.25">
      <c r="A2458" s="20" t="s">
        <v>588</v>
      </c>
      <c r="B2458" s="20" t="s">
        <v>200</v>
      </c>
      <c r="C2458" s="20" t="s">
        <v>200</v>
      </c>
      <c r="D2458" s="20" t="s">
        <v>1313</v>
      </c>
      <c r="E2458" s="24">
        <v>0.40500000000000003</v>
      </c>
      <c r="F2458" s="24">
        <v>2.0249999999999999</v>
      </c>
      <c r="G2458" s="22"/>
    </row>
    <row r="2459" spans="1:7" x14ac:dyDescent="0.25">
      <c r="A2459" s="20" t="s">
        <v>588</v>
      </c>
      <c r="B2459" s="20" t="s">
        <v>215</v>
      </c>
      <c r="C2459" s="20" t="s">
        <v>215</v>
      </c>
      <c r="D2459" s="20" t="s">
        <v>1313</v>
      </c>
      <c r="E2459" s="33">
        <v>0.7</v>
      </c>
      <c r="F2459" s="33">
        <v>3.5</v>
      </c>
      <c r="G2459" s="22"/>
    </row>
    <row r="2460" spans="1:7" x14ac:dyDescent="0.25">
      <c r="A2460" s="20" t="s">
        <v>588</v>
      </c>
      <c r="B2460" s="20" t="s">
        <v>109</v>
      </c>
      <c r="C2460" s="20" t="s">
        <v>109</v>
      </c>
      <c r="D2460" s="20" t="s">
        <v>1330</v>
      </c>
      <c r="E2460" s="25">
        <v>19.559999999999999</v>
      </c>
      <c r="F2460" s="33">
        <v>97.8</v>
      </c>
      <c r="G2460" s="22"/>
    </row>
    <row r="2461" spans="1:7" x14ac:dyDescent="0.25">
      <c r="A2461" s="20" t="s">
        <v>595</v>
      </c>
      <c r="B2461" s="20" t="s">
        <v>1331</v>
      </c>
      <c r="C2461" s="20" t="s">
        <v>1331</v>
      </c>
      <c r="D2461" s="20" t="s">
        <v>1314</v>
      </c>
      <c r="E2461" s="27">
        <v>1</v>
      </c>
      <c r="F2461" s="27">
        <v>5</v>
      </c>
      <c r="G2461" s="29">
        <v>0.76551000000000002</v>
      </c>
    </row>
    <row r="2462" spans="1:7" ht="22.5" x14ac:dyDescent="0.25">
      <c r="A2462" s="20" t="s">
        <v>620</v>
      </c>
      <c r="B2462" s="20" t="s">
        <v>746</v>
      </c>
      <c r="C2462" s="20" t="s">
        <v>245</v>
      </c>
      <c r="D2462" s="20" t="s">
        <v>1314</v>
      </c>
      <c r="E2462" s="27">
        <v>4</v>
      </c>
      <c r="F2462" s="27">
        <v>20</v>
      </c>
      <c r="G2462" s="29">
        <v>5.5500000000000002E-3</v>
      </c>
    </row>
    <row r="2463" spans="1:7" x14ac:dyDescent="0.25">
      <c r="A2463" s="20" t="s">
        <v>588</v>
      </c>
      <c r="B2463" s="20" t="s">
        <v>65</v>
      </c>
      <c r="C2463" s="20" t="s">
        <v>65</v>
      </c>
      <c r="D2463" s="20" t="s">
        <v>1314</v>
      </c>
      <c r="E2463" s="24">
        <v>8.0000000000000002E-3</v>
      </c>
      <c r="F2463" s="25">
        <v>0.04</v>
      </c>
      <c r="G2463" s="22"/>
    </row>
    <row r="2464" spans="1:7" x14ac:dyDescent="0.25">
      <c r="A2464" s="20" t="s">
        <v>588</v>
      </c>
      <c r="B2464" s="20" t="s">
        <v>67</v>
      </c>
      <c r="C2464" s="20" t="s">
        <v>67</v>
      </c>
      <c r="D2464" s="20" t="s">
        <v>1314</v>
      </c>
      <c r="E2464" s="24">
        <v>2.5999999999999999E-2</v>
      </c>
      <c r="F2464" s="25">
        <v>0.13</v>
      </c>
      <c r="G2464" s="22"/>
    </row>
    <row r="2465" spans="1:7" x14ac:dyDescent="0.25">
      <c r="A2465" s="20" t="s">
        <v>588</v>
      </c>
      <c r="B2465" s="20" t="s">
        <v>146</v>
      </c>
      <c r="C2465" s="20" t="s">
        <v>146</v>
      </c>
      <c r="D2465" s="20" t="s">
        <v>1314</v>
      </c>
      <c r="E2465" s="24">
        <v>1.4999999999999999E-2</v>
      </c>
      <c r="F2465" s="24">
        <v>7.4999999999999997E-2</v>
      </c>
      <c r="G2465" s="22"/>
    </row>
    <row r="2466" spans="1:7" x14ac:dyDescent="0.25">
      <c r="A2466" s="20" t="s">
        <v>588</v>
      </c>
      <c r="B2466" s="20" t="s">
        <v>155</v>
      </c>
      <c r="C2466" s="20" t="s">
        <v>155</v>
      </c>
      <c r="D2466" s="20" t="s">
        <v>1314</v>
      </c>
      <c r="E2466" s="24">
        <v>4.0000000000000001E-3</v>
      </c>
      <c r="F2466" s="25">
        <v>0.02</v>
      </c>
      <c r="G2466" s="22"/>
    </row>
    <row r="2467" spans="1:7" x14ac:dyDescent="0.25">
      <c r="A2467" s="20" t="s">
        <v>588</v>
      </c>
      <c r="B2467" s="20" t="s">
        <v>156</v>
      </c>
      <c r="C2467" s="20" t="s">
        <v>156</v>
      </c>
      <c r="D2467" s="20" t="s">
        <v>1314</v>
      </c>
      <c r="E2467" s="24">
        <v>7.0000000000000001E-3</v>
      </c>
      <c r="F2467" s="24">
        <v>3.5000000000000003E-2</v>
      </c>
      <c r="G2467" s="22"/>
    </row>
    <row r="2468" spans="1:7" x14ac:dyDescent="0.25">
      <c r="A2468" s="20" t="s">
        <v>588</v>
      </c>
      <c r="B2468" s="20" t="s">
        <v>215</v>
      </c>
      <c r="C2468" s="20" t="s">
        <v>215</v>
      </c>
      <c r="D2468" s="20" t="s">
        <v>1314</v>
      </c>
      <c r="E2468" s="24">
        <v>1.6E-2</v>
      </c>
      <c r="F2468" s="25">
        <v>0.08</v>
      </c>
      <c r="G2468" s="22"/>
    </row>
    <row r="2469" spans="1:7" x14ac:dyDescent="0.25">
      <c r="A2469" s="20" t="s">
        <v>588</v>
      </c>
      <c r="B2469" s="20" t="s">
        <v>115</v>
      </c>
      <c r="C2469" s="20" t="s">
        <v>115</v>
      </c>
      <c r="D2469" s="20" t="s">
        <v>1331</v>
      </c>
      <c r="E2469" s="25">
        <v>0.93</v>
      </c>
      <c r="F2469" s="25">
        <v>4.6500000000000004</v>
      </c>
      <c r="G2469" s="22"/>
    </row>
    <row r="2470" spans="1:7" x14ac:dyDescent="0.25">
      <c r="A2470" s="20" t="s">
        <v>595</v>
      </c>
      <c r="B2470" s="20" t="s">
        <v>1332</v>
      </c>
      <c r="C2470" s="20" t="s">
        <v>1332</v>
      </c>
      <c r="D2470" s="20" t="s">
        <v>601</v>
      </c>
      <c r="E2470" s="27">
        <v>1</v>
      </c>
      <c r="F2470" s="27">
        <v>4</v>
      </c>
      <c r="G2470" s="29">
        <v>32.67248</v>
      </c>
    </row>
    <row r="2471" spans="1:7" x14ac:dyDescent="0.25">
      <c r="A2471" s="20" t="s">
        <v>595</v>
      </c>
      <c r="B2471" s="20" t="s">
        <v>1333</v>
      </c>
      <c r="C2471" s="20" t="s">
        <v>1333</v>
      </c>
      <c r="D2471" s="20" t="s">
        <v>601</v>
      </c>
      <c r="E2471" s="27">
        <v>1</v>
      </c>
      <c r="F2471" s="27">
        <v>4</v>
      </c>
      <c r="G2471" s="29">
        <v>32.67248</v>
      </c>
    </row>
    <row r="2472" spans="1:7" x14ac:dyDescent="0.25">
      <c r="A2472" s="20" t="s">
        <v>595</v>
      </c>
      <c r="B2472" s="20" t="s">
        <v>1334</v>
      </c>
      <c r="C2472" s="20" t="s">
        <v>1334</v>
      </c>
      <c r="D2472" s="20" t="s">
        <v>601</v>
      </c>
      <c r="E2472" s="27">
        <v>1</v>
      </c>
      <c r="F2472" s="27">
        <v>4</v>
      </c>
      <c r="G2472" s="29">
        <v>16.76932</v>
      </c>
    </row>
    <row r="2473" spans="1:7" x14ac:dyDescent="0.25">
      <c r="A2473" s="20" t="s">
        <v>588</v>
      </c>
      <c r="B2473" s="20" t="s">
        <v>65</v>
      </c>
      <c r="C2473" s="20" t="s">
        <v>65</v>
      </c>
      <c r="D2473" s="20" t="s">
        <v>1332</v>
      </c>
      <c r="E2473" s="24">
        <v>0.33400000000000002</v>
      </c>
      <c r="F2473" s="24">
        <v>1.3360000000000001</v>
      </c>
      <c r="G2473" s="22"/>
    </row>
    <row r="2474" spans="1:7" x14ac:dyDescent="0.25">
      <c r="A2474" s="20" t="s">
        <v>588</v>
      </c>
      <c r="B2474" s="20" t="s">
        <v>115</v>
      </c>
      <c r="C2474" s="20" t="s">
        <v>115</v>
      </c>
      <c r="D2474" s="20" t="s">
        <v>1332</v>
      </c>
      <c r="E2474" s="26">
        <v>39.414650000000002</v>
      </c>
      <c r="F2474" s="32">
        <v>157.65860000000001</v>
      </c>
      <c r="G2474" s="22"/>
    </row>
    <row r="2475" spans="1:7" x14ac:dyDescent="0.25">
      <c r="A2475" s="20" t="s">
        <v>588</v>
      </c>
      <c r="B2475" s="20" t="s">
        <v>155</v>
      </c>
      <c r="C2475" s="20" t="s">
        <v>155</v>
      </c>
      <c r="D2475" s="20" t="s">
        <v>1332</v>
      </c>
      <c r="E2475" s="24">
        <v>0.20100000000000001</v>
      </c>
      <c r="F2475" s="24">
        <v>0.80400000000000005</v>
      </c>
      <c r="G2475" s="22"/>
    </row>
    <row r="2476" spans="1:7" x14ac:dyDescent="0.25">
      <c r="A2476" s="20" t="s">
        <v>588</v>
      </c>
      <c r="B2476" s="20" t="s">
        <v>156</v>
      </c>
      <c r="C2476" s="20" t="s">
        <v>156</v>
      </c>
      <c r="D2476" s="20" t="s">
        <v>1332</v>
      </c>
      <c r="E2476" s="24">
        <v>0.30599999999999999</v>
      </c>
      <c r="F2476" s="24">
        <v>1.224</v>
      </c>
      <c r="G2476" s="22"/>
    </row>
    <row r="2477" spans="1:7" x14ac:dyDescent="0.25">
      <c r="A2477" s="20" t="s">
        <v>588</v>
      </c>
      <c r="B2477" s="20" t="s">
        <v>200</v>
      </c>
      <c r="C2477" s="20" t="s">
        <v>200</v>
      </c>
      <c r="D2477" s="20" t="s">
        <v>1332</v>
      </c>
      <c r="E2477" s="25">
        <v>0.02</v>
      </c>
      <c r="F2477" s="25">
        <v>0.08</v>
      </c>
      <c r="G2477" s="22"/>
    </row>
    <row r="2478" spans="1:7" x14ac:dyDescent="0.25">
      <c r="A2478" s="20" t="s">
        <v>588</v>
      </c>
      <c r="B2478" s="20" t="s">
        <v>215</v>
      </c>
      <c r="C2478" s="20" t="s">
        <v>215</v>
      </c>
      <c r="D2478" s="20" t="s">
        <v>1332</v>
      </c>
      <c r="E2478" s="24">
        <v>0.66900000000000004</v>
      </c>
      <c r="F2478" s="24">
        <v>2.6760000000000002</v>
      </c>
      <c r="G2478" s="22"/>
    </row>
    <row r="2479" spans="1:7" x14ac:dyDescent="0.25">
      <c r="A2479" s="20" t="s">
        <v>588</v>
      </c>
      <c r="B2479" s="20" t="s">
        <v>65</v>
      </c>
      <c r="C2479" s="20" t="s">
        <v>65</v>
      </c>
      <c r="D2479" s="20" t="s">
        <v>1333</v>
      </c>
      <c r="E2479" s="24">
        <v>0.33400000000000002</v>
      </c>
      <c r="F2479" s="24">
        <v>1.3360000000000001</v>
      </c>
      <c r="G2479" s="22"/>
    </row>
    <row r="2480" spans="1:7" x14ac:dyDescent="0.25">
      <c r="A2480" s="20" t="s">
        <v>588</v>
      </c>
      <c r="B2480" s="20" t="s">
        <v>115</v>
      </c>
      <c r="C2480" s="20" t="s">
        <v>115</v>
      </c>
      <c r="D2480" s="20" t="s">
        <v>1333</v>
      </c>
      <c r="E2480" s="26">
        <v>39.414650000000002</v>
      </c>
      <c r="F2480" s="32">
        <v>157.65860000000001</v>
      </c>
      <c r="G2480" s="22"/>
    </row>
    <row r="2481" spans="1:7" x14ac:dyDescent="0.25">
      <c r="A2481" s="20" t="s">
        <v>588</v>
      </c>
      <c r="B2481" s="20" t="s">
        <v>155</v>
      </c>
      <c r="C2481" s="20" t="s">
        <v>155</v>
      </c>
      <c r="D2481" s="20" t="s">
        <v>1333</v>
      </c>
      <c r="E2481" s="24">
        <v>0.20100000000000001</v>
      </c>
      <c r="F2481" s="24">
        <v>0.80400000000000005</v>
      </c>
      <c r="G2481" s="22"/>
    </row>
    <row r="2482" spans="1:7" x14ac:dyDescent="0.25">
      <c r="A2482" s="20" t="s">
        <v>588</v>
      </c>
      <c r="B2482" s="20" t="s">
        <v>156</v>
      </c>
      <c r="C2482" s="20" t="s">
        <v>156</v>
      </c>
      <c r="D2482" s="20" t="s">
        <v>1333</v>
      </c>
      <c r="E2482" s="24">
        <v>0.30599999999999999</v>
      </c>
      <c r="F2482" s="24">
        <v>1.224</v>
      </c>
      <c r="G2482" s="22"/>
    </row>
    <row r="2483" spans="1:7" x14ac:dyDescent="0.25">
      <c r="A2483" s="20" t="s">
        <v>588</v>
      </c>
      <c r="B2483" s="20" t="s">
        <v>200</v>
      </c>
      <c r="C2483" s="20" t="s">
        <v>200</v>
      </c>
      <c r="D2483" s="20" t="s">
        <v>1333</v>
      </c>
      <c r="E2483" s="25">
        <v>0.02</v>
      </c>
      <c r="F2483" s="25">
        <v>0.08</v>
      </c>
      <c r="G2483" s="22"/>
    </row>
    <row r="2484" spans="1:7" x14ac:dyDescent="0.25">
      <c r="A2484" s="20" t="s">
        <v>588</v>
      </c>
      <c r="B2484" s="20" t="s">
        <v>215</v>
      </c>
      <c r="C2484" s="20" t="s">
        <v>215</v>
      </c>
      <c r="D2484" s="20" t="s">
        <v>1333</v>
      </c>
      <c r="E2484" s="24">
        <v>0.66900000000000004</v>
      </c>
      <c r="F2484" s="24">
        <v>2.6760000000000002</v>
      </c>
      <c r="G2484" s="22"/>
    </row>
    <row r="2485" spans="1:7" x14ac:dyDescent="0.25">
      <c r="A2485" s="20" t="s">
        <v>588</v>
      </c>
      <c r="B2485" s="20" t="s">
        <v>65</v>
      </c>
      <c r="C2485" s="20" t="s">
        <v>65</v>
      </c>
      <c r="D2485" s="20" t="s">
        <v>1334</v>
      </c>
      <c r="E2485" s="24">
        <v>0.34200000000000003</v>
      </c>
      <c r="F2485" s="24">
        <v>1.3680000000000001</v>
      </c>
      <c r="G2485" s="22"/>
    </row>
    <row r="2486" spans="1:7" x14ac:dyDescent="0.25">
      <c r="A2486" s="20" t="s">
        <v>588</v>
      </c>
      <c r="B2486" s="20" t="s">
        <v>109</v>
      </c>
      <c r="C2486" s="20" t="s">
        <v>109</v>
      </c>
      <c r="D2486" s="20" t="s">
        <v>1334</v>
      </c>
      <c r="E2486" s="26">
        <v>20.145990000000001</v>
      </c>
      <c r="F2486" s="26">
        <v>80.583960000000005</v>
      </c>
      <c r="G2486" s="22"/>
    </row>
    <row r="2487" spans="1:7" x14ac:dyDescent="0.25">
      <c r="A2487" s="20" t="s">
        <v>588</v>
      </c>
      <c r="B2487" s="20" t="s">
        <v>155</v>
      </c>
      <c r="C2487" s="20" t="s">
        <v>155</v>
      </c>
      <c r="D2487" s="20" t="s">
        <v>1334</v>
      </c>
      <c r="E2487" s="24">
        <v>0.20599999999999999</v>
      </c>
      <c r="F2487" s="24">
        <v>0.82399999999999995</v>
      </c>
      <c r="G2487" s="22"/>
    </row>
    <row r="2488" spans="1:7" x14ac:dyDescent="0.25">
      <c r="A2488" s="20" t="s">
        <v>588</v>
      </c>
      <c r="B2488" s="20" t="s">
        <v>200</v>
      </c>
      <c r="C2488" s="20" t="s">
        <v>200</v>
      </c>
      <c r="D2488" s="20" t="s">
        <v>1334</v>
      </c>
      <c r="E2488" s="25">
        <v>0.01</v>
      </c>
      <c r="F2488" s="25">
        <v>0.04</v>
      </c>
      <c r="G2488" s="22"/>
    </row>
    <row r="2489" spans="1:7" x14ac:dyDescent="0.25">
      <c r="A2489" s="20" t="s">
        <v>588</v>
      </c>
      <c r="B2489" s="20" t="s">
        <v>215</v>
      </c>
      <c r="C2489" s="20" t="s">
        <v>215</v>
      </c>
      <c r="D2489" s="20" t="s">
        <v>1334</v>
      </c>
      <c r="E2489" s="24">
        <v>0.68500000000000005</v>
      </c>
      <c r="F2489" s="25">
        <v>2.74</v>
      </c>
      <c r="G2489" s="22"/>
    </row>
    <row r="2490" spans="1:7" x14ac:dyDescent="0.25">
      <c r="A2490" s="20" t="s">
        <v>585</v>
      </c>
      <c r="B2490" s="20" t="s">
        <v>1335</v>
      </c>
      <c r="C2490" s="20" t="s">
        <v>1335</v>
      </c>
      <c r="D2490" s="20" t="s">
        <v>1286</v>
      </c>
      <c r="E2490" s="27">
        <v>1</v>
      </c>
      <c r="F2490" s="27">
        <v>6</v>
      </c>
      <c r="G2490" s="29">
        <v>11.704840000000001</v>
      </c>
    </row>
    <row r="2491" spans="1:7" x14ac:dyDescent="0.25">
      <c r="A2491" s="20" t="s">
        <v>585</v>
      </c>
      <c r="B2491" s="20" t="s">
        <v>1336</v>
      </c>
      <c r="C2491" s="20" t="s">
        <v>1336</v>
      </c>
      <c r="D2491" s="20" t="s">
        <v>1286</v>
      </c>
      <c r="E2491" s="27">
        <v>1</v>
      </c>
      <c r="F2491" s="27">
        <v>6</v>
      </c>
      <c r="G2491" s="29">
        <v>4.04915</v>
      </c>
    </row>
    <row r="2492" spans="1:7" x14ac:dyDescent="0.25">
      <c r="A2492" s="20" t="s">
        <v>585</v>
      </c>
      <c r="B2492" s="20" t="s">
        <v>1337</v>
      </c>
      <c r="C2492" s="20" t="s">
        <v>1337</v>
      </c>
      <c r="D2492" s="20" t="s">
        <v>1286</v>
      </c>
      <c r="E2492" s="27">
        <v>1</v>
      </c>
      <c r="F2492" s="27">
        <v>6</v>
      </c>
      <c r="G2492" s="29">
        <v>4.04915</v>
      </c>
    </row>
    <row r="2493" spans="1:7" x14ac:dyDescent="0.25">
      <c r="A2493" s="20" t="s">
        <v>585</v>
      </c>
      <c r="B2493" s="20" t="s">
        <v>1338</v>
      </c>
      <c r="C2493" s="20" t="s">
        <v>1338</v>
      </c>
      <c r="D2493" s="20" t="s">
        <v>1286</v>
      </c>
      <c r="E2493" s="27">
        <v>2</v>
      </c>
      <c r="F2493" s="27">
        <v>12</v>
      </c>
      <c r="G2493" s="29">
        <v>1.83558</v>
      </c>
    </row>
    <row r="2494" spans="1:7" x14ac:dyDescent="0.25">
      <c r="A2494" s="20" t="s">
        <v>585</v>
      </c>
      <c r="B2494" s="20" t="s">
        <v>1339</v>
      </c>
      <c r="C2494" s="20" t="s">
        <v>1339</v>
      </c>
      <c r="D2494" s="20" t="s">
        <v>1286</v>
      </c>
      <c r="E2494" s="27">
        <v>1</v>
      </c>
      <c r="F2494" s="27">
        <v>6</v>
      </c>
      <c r="G2494" s="29">
        <v>4.1160000000000002E-2</v>
      </c>
    </row>
    <row r="2495" spans="1:7" x14ac:dyDescent="0.25">
      <c r="A2495" s="20" t="s">
        <v>595</v>
      </c>
      <c r="B2495" s="20" t="s">
        <v>1340</v>
      </c>
      <c r="C2495" s="20" t="s">
        <v>1340</v>
      </c>
      <c r="D2495" s="20" t="s">
        <v>1286</v>
      </c>
      <c r="E2495" s="27">
        <v>1</v>
      </c>
      <c r="F2495" s="27">
        <v>6</v>
      </c>
      <c r="G2495" s="29">
        <v>3.1150000000000001E-2</v>
      </c>
    </row>
    <row r="2496" spans="1:7" x14ac:dyDescent="0.25">
      <c r="A2496" s="20" t="s">
        <v>595</v>
      </c>
      <c r="B2496" s="20" t="s">
        <v>1341</v>
      </c>
      <c r="C2496" s="20" t="s">
        <v>1341</v>
      </c>
      <c r="D2496" s="20" t="s">
        <v>1286</v>
      </c>
      <c r="E2496" s="27">
        <v>1</v>
      </c>
      <c r="F2496" s="27">
        <v>6</v>
      </c>
      <c r="G2496" s="28">
        <v>0.65620000000000001</v>
      </c>
    </row>
    <row r="2497" spans="1:7" x14ac:dyDescent="0.25">
      <c r="A2497" s="20" t="s">
        <v>595</v>
      </c>
      <c r="B2497" s="20" t="s">
        <v>1342</v>
      </c>
      <c r="C2497" s="20" t="s">
        <v>1342</v>
      </c>
      <c r="D2497" s="20" t="s">
        <v>1286</v>
      </c>
      <c r="E2497" s="27">
        <v>1</v>
      </c>
      <c r="F2497" s="27">
        <v>6</v>
      </c>
      <c r="G2497" s="28">
        <v>0.65620000000000001</v>
      </c>
    </row>
    <row r="2498" spans="1:7" x14ac:dyDescent="0.25">
      <c r="A2498" s="20" t="s">
        <v>595</v>
      </c>
      <c r="B2498" s="20" t="s">
        <v>1343</v>
      </c>
      <c r="C2498" s="20" t="s">
        <v>1343</v>
      </c>
      <c r="D2498" s="20" t="s">
        <v>1286</v>
      </c>
      <c r="E2498" s="27">
        <v>1</v>
      </c>
      <c r="F2498" s="27">
        <v>6</v>
      </c>
      <c r="G2498" s="29">
        <v>5.3449999999999998E-2</v>
      </c>
    </row>
    <row r="2499" spans="1:7" x14ac:dyDescent="0.25">
      <c r="A2499" s="20" t="s">
        <v>595</v>
      </c>
      <c r="B2499" s="20" t="s">
        <v>1344</v>
      </c>
      <c r="C2499" s="20" t="s">
        <v>1344</v>
      </c>
      <c r="D2499" s="20" t="s">
        <v>1286</v>
      </c>
      <c r="E2499" s="27">
        <v>1</v>
      </c>
      <c r="F2499" s="27">
        <v>6</v>
      </c>
      <c r="G2499" s="29">
        <v>3.662E-2</v>
      </c>
    </row>
    <row r="2500" spans="1:7" x14ac:dyDescent="0.25">
      <c r="A2500" s="20" t="s">
        <v>595</v>
      </c>
      <c r="B2500" s="20" t="s">
        <v>1345</v>
      </c>
      <c r="C2500" s="20" t="s">
        <v>1345</v>
      </c>
      <c r="D2500" s="20" t="s">
        <v>1286</v>
      </c>
      <c r="E2500" s="27">
        <v>1</v>
      </c>
      <c r="F2500" s="27">
        <v>6</v>
      </c>
      <c r="G2500" s="29">
        <v>3.0429999999999999E-2</v>
      </c>
    </row>
    <row r="2501" spans="1:7" x14ac:dyDescent="0.25">
      <c r="A2501" s="20" t="s">
        <v>595</v>
      </c>
      <c r="B2501" s="20" t="s">
        <v>1346</v>
      </c>
      <c r="C2501" s="20" t="s">
        <v>1346</v>
      </c>
      <c r="D2501" s="20" t="s">
        <v>1286</v>
      </c>
      <c r="E2501" s="27">
        <v>6</v>
      </c>
      <c r="F2501" s="27">
        <v>36</v>
      </c>
      <c r="G2501" s="29">
        <v>3.3660000000000002E-2</v>
      </c>
    </row>
    <row r="2502" spans="1:7" x14ac:dyDescent="0.25">
      <c r="A2502" s="20" t="s">
        <v>595</v>
      </c>
      <c r="B2502" s="20" t="s">
        <v>1347</v>
      </c>
      <c r="C2502" s="20" t="s">
        <v>1347</v>
      </c>
      <c r="D2502" s="20" t="s">
        <v>1286</v>
      </c>
      <c r="E2502" s="27">
        <v>1</v>
      </c>
      <c r="F2502" s="27">
        <v>6</v>
      </c>
      <c r="G2502" s="29">
        <v>3.6850000000000001E-2</v>
      </c>
    </row>
    <row r="2503" spans="1:7" ht="22.5" x14ac:dyDescent="0.25">
      <c r="A2503" s="20" t="s">
        <v>620</v>
      </c>
      <c r="B2503" s="20" t="s">
        <v>623</v>
      </c>
      <c r="C2503" s="20" t="s">
        <v>285</v>
      </c>
      <c r="D2503" s="20" t="s">
        <v>1286</v>
      </c>
      <c r="E2503" s="27">
        <v>6</v>
      </c>
      <c r="F2503" s="27">
        <v>36</v>
      </c>
      <c r="G2503" s="28">
        <v>1.67E-2</v>
      </c>
    </row>
    <row r="2504" spans="1:7" ht="22.5" x14ac:dyDescent="0.25">
      <c r="A2504" s="20" t="s">
        <v>620</v>
      </c>
      <c r="B2504" s="20" t="s">
        <v>47</v>
      </c>
      <c r="C2504" s="20" t="s">
        <v>47</v>
      </c>
      <c r="D2504" s="20" t="s">
        <v>1286</v>
      </c>
      <c r="E2504" s="27">
        <v>3</v>
      </c>
      <c r="F2504" s="27">
        <v>18</v>
      </c>
      <c r="G2504" s="28">
        <v>1.5699999999999999E-2</v>
      </c>
    </row>
    <row r="2505" spans="1:7" ht="22.5" x14ac:dyDescent="0.25">
      <c r="A2505" s="20" t="s">
        <v>620</v>
      </c>
      <c r="B2505" s="20" t="s">
        <v>48</v>
      </c>
      <c r="C2505" s="20" t="s">
        <v>48</v>
      </c>
      <c r="D2505" s="20" t="s">
        <v>1286</v>
      </c>
      <c r="E2505" s="27">
        <v>6</v>
      </c>
      <c r="F2505" s="27">
        <v>36</v>
      </c>
      <c r="G2505" s="29">
        <v>3.3140000000000003E-2</v>
      </c>
    </row>
    <row r="2506" spans="1:7" ht="22.5" x14ac:dyDescent="0.25">
      <c r="A2506" s="20" t="s">
        <v>620</v>
      </c>
      <c r="B2506" s="20" t="s">
        <v>49</v>
      </c>
      <c r="C2506" s="20" t="s">
        <v>49</v>
      </c>
      <c r="D2506" s="20" t="s">
        <v>1286</v>
      </c>
      <c r="E2506" s="27">
        <v>4</v>
      </c>
      <c r="F2506" s="27">
        <v>24</v>
      </c>
      <c r="G2506" s="29">
        <v>1.2199999999999999E-3</v>
      </c>
    </row>
    <row r="2507" spans="1:7" ht="22.5" x14ac:dyDescent="0.25">
      <c r="A2507" s="20" t="s">
        <v>620</v>
      </c>
      <c r="B2507" s="20" t="s">
        <v>53</v>
      </c>
      <c r="C2507" s="20" t="s">
        <v>53</v>
      </c>
      <c r="D2507" s="20" t="s">
        <v>1286</v>
      </c>
      <c r="E2507" s="27">
        <v>2</v>
      </c>
      <c r="F2507" s="27">
        <v>12</v>
      </c>
      <c r="G2507" s="29">
        <v>1.32E-3</v>
      </c>
    </row>
    <row r="2508" spans="1:7" ht="22.5" x14ac:dyDescent="0.25">
      <c r="A2508" s="20" t="s">
        <v>620</v>
      </c>
      <c r="B2508" s="20" t="s">
        <v>1002</v>
      </c>
      <c r="C2508" s="20" t="s">
        <v>273</v>
      </c>
      <c r="D2508" s="20" t="s">
        <v>1286</v>
      </c>
      <c r="E2508" s="27">
        <v>6</v>
      </c>
      <c r="F2508" s="27">
        <v>36</v>
      </c>
      <c r="G2508" s="28">
        <v>8.0000000000000004E-4</v>
      </c>
    </row>
    <row r="2509" spans="1:7" ht="22.5" x14ac:dyDescent="0.25">
      <c r="A2509" s="20" t="s">
        <v>620</v>
      </c>
      <c r="B2509" s="20" t="s">
        <v>625</v>
      </c>
      <c r="C2509" s="20" t="s">
        <v>219</v>
      </c>
      <c r="D2509" s="20" t="s">
        <v>1286</v>
      </c>
      <c r="E2509" s="27">
        <v>10</v>
      </c>
      <c r="F2509" s="27">
        <v>60</v>
      </c>
      <c r="G2509" s="29">
        <v>7.1399999999999996E-3</v>
      </c>
    </row>
    <row r="2510" spans="1:7" ht="22.5" x14ac:dyDescent="0.25">
      <c r="A2510" s="20" t="s">
        <v>620</v>
      </c>
      <c r="B2510" s="20" t="s">
        <v>1348</v>
      </c>
      <c r="C2510" s="20" t="s">
        <v>309</v>
      </c>
      <c r="D2510" s="20" t="s">
        <v>1286</v>
      </c>
      <c r="E2510" s="27">
        <v>4</v>
      </c>
      <c r="F2510" s="27">
        <v>24</v>
      </c>
      <c r="G2510" s="28">
        <v>2.9999999999999997E-4</v>
      </c>
    </row>
    <row r="2511" spans="1:7" x14ac:dyDescent="0.25">
      <c r="A2511" s="20" t="s">
        <v>597</v>
      </c>
      <c r="B2511" s="20" t="s">
        <v>12</v>
      </c>
      <c r="C2511" s="20" t="s">
        <v>12</v>
      </c>
      <c r="D2511" s="20" t="s">
        <v>1286</v>
      </c>
      <c r="E2511" s="27">
        <v>1</v>
      </c>
      <c r="F2511" s="27">
        <v>6</v>
      </c>
      <c r="G2511" s="29">
        <v>0.15347</v>
      </c>
    </row>
    <row r="2512" spans="1:7" x14ac:dyDescent="0.25">
      <c r="A2512" s="20" t="s">
        <v>597</v>
      </c>
      <c r="B2512" s="20" t="s">
        <v>13</v>
      </c>
      <c r="C2512" s="20" t="s">
        <v>13</v>
      </c>
      <c r="D2512" s="20" t="s">
        <v>1286</v>
      </c>
      <c r="E2512" s="27">
        <v>1</v>
      </c>
      <c r="F2512" s="27">
        <v>6</v>
      </c>
      <c r="G2512" s="29">
        <v>0.12407</v>
      </c>
    </row>
    <row r="2513" spans="1:7" x14ac:dyDescent="0.25">
      <c r="A2513" s="20" t="s">
        <v>585</v>
      </c>
      <c r="B2513" s="20" t="s">
        <v>1349</v>
      </c>
      <c r="C2513" s="20" t="s">
        <v>1349</v>
      </c>
      <c r="D2513" s="20" t="s">
        <v>1187</v>
      </c>
      <c r="E2513" s="27">
        <v>1</v>
      </c>
      <c r="F2513" s="27">
        <v>2</v>
      </c>
      <c r="G2513" s="29">
        <v>11.70485</v>
      </c>
    </row>
    <row r="2514" spans="1:7" x14ac:dyDescent="0.25">
      <c r="A2514" s="20" t="s">
        <v>585</v>
      </c>
      <c r="B2514" s="20" t="s">
        <v>1336</v>
      </c>
      <c r="C2514" s="20" t="s">
        <v>1336</v>
      </c>
      <c r="D2514" s="20" t="s">
        <v>1187</v>
      </c>
      <c r="E2514" s="27">
        <v>1</v>
      </c>
      <c r="F2514" s="27">
        <v>2</v>
      </c>
      <c r="G2514" s="29">
        <v>4.04915</v>
      </c>
    </row>
    <row r="2515" spans="1:7" x14ac:dyDescent="0.25">
      <c r="A2515" s="20" t="s">
        <v>585</v>
      </c>
      <c r="B2515" s="20" t="s">
        <v>1337</v>
      </c>
      <c r="C2515" s="20" t="s">
        <v>1337</v>
      </c>
      <c r="D2515" s="20" t="s">
        <v>1187</v>
      </c>
      <c r="E2515" s="27">
        <v>1</v>
      </c>
      <c r="F2515" s="27">
        <v>2</v>
      </c>
      <c r="G2515" s="29">
        <v>4.04915</v>
      </c>
    </row>
    <row r="2516" spans="1:7" x14ac:dyDescent="0.25">
      <c r="A2516" s="20" t="s">
        <v>585</v>
      </c>
      <c r="B2516" s="20" t="s">
        <v>1338</v>
      </c>
      <c r="C2516" s="20" t="s">
        <v>1338</v>
      </c>
      <c r="D2516" s="20" t="s">
        <v>1187</v>
      </c>
      <c r="E2516" s="27">
        <v>2</v>
      </c>
      <c r="F2516" s="27">
        <v>4</v>
      </c>
      <c r="G2516" s="29">
        <v>1.83558</v>
      </c>
    </row>
    <row r="2517" spans="1:7" x14ac:dyDescent="0.25">
      <c r="A2517" s="20" t="s">
        <v>585</v>
      </c>
      <c r="B2517" s="20" t="s">
        <v>1339</v>
      </c>
      <c r="C2517" s="20" t="s">
        <v>1339</v>
      </c>
      <c r="D2517" s="20" t="s">
        <v>1187</v>
      </c>
      <c r="E2517" s="27">
        <v>1</v>
      </c>
      <c r="F2517" s="27">
        <v>2</v>
      </c>
      <c r="G2517" s="29">
        <v>4.1160000000000002E-2</v>
      </c>
    </row>
    <row r="2518" spans="1:7" x14ac:dyDescent="0.25">
      <c r="A2518" s="20" t="s">
        <v>595</v>
      </c>
      <c r="B2518" s="20" t="s">
        <v>1340</v>
      </c>
      <c r="C2518" s="20" t="s">
        <v>1340</v>
      </c>
      <c r="D2518" s="20" t="s">
        <v>1187</v>
      </c>
      <c r="E2518" s="27">
        <v>1</v>
      </c>
      <c r="F2518" s="27">
        <v>2</v>
      </c>
      <c r="G2518" s="29">
        <v>3.1150000000000001E-2</v>
      </c>
    </row>
    <row r="2519" spans="1:7" x14ac:dyDescent="0.25">
      <c r="A2519" s="20" t="s">
        <v>595</v>
      </c>
      <c r="B2519" s="20" t="s">
        <v>1341</v>
      </c>
      <c r="C2519" s="20" t="s">
        <v>1341</v>
      </c>
      <c r="D2519" s="20" t="s">
        <v>1187</v>
      </c>
      <c r="E2519" s="27">
        <v>1</v>
      </c>
      <c r="F2519" s="27">
        <v>2</v>
      </c>
      <c r="G2519" s="28">
        <v>0.65620000000000001</v>
      </c>
    </row>
    <row r="2520" spans="1:7" x14ac:dyDescent="0.25">
      <c r="A2520" s="20" t="s">
        <v>595</v>
      </c>
      <c r="B2520" s="20" t="s">
        <v>1342</v>
      </c>
      <c r="C2520" s="20" t="s">
        <v>1342</v>
      </c>
      <c r="D2520" s="20" t="s">
        <v>1187</v>
      </c>
      <c r="E2520" s="27">
        <v>1</v>
      </c>
      <c r="F2520" s="27">
        <v>2</v>
      </c>
      <c r="G2520" s="28">
        <v>0.65620000000000001</v>
      </c>
    </row>
    <row r="2521" spans="1:7" x14ac:dyDescent="0.25">
      <c r="A2521" s="20" t="s">
        <v>595</v>
      </c>
      <c r="B2521" s="20" t="s">
        <v>1343</v>
      </c>
      <c r="C2521" s="20" t="s">
        <v>1343</v>
      </c>
      <c r="D2521" s="20" t="s">
        <v>1187</v>
      </c>
      <c r="E2521" s="27">
        <v>1</v>
      </c>
      <c r="F2521" s="27">
        <v>2</v>
      </c>
      <c r="G2521" s="29">
        <v>5.3449999999999998E-2</v>
      </c>
    </row>
    <row r="2522" spans="1:7" x14ac:dyDescent="0.25">
      <c r="A2522" s="20" t="s">
        <v>595</v>
      </c>
      <c r="B2522" s="20" t="s">
        <v>1344</v>
      </c>
      <c r="C2522" s="20" t="s">
        <v>1344</v>
      </c>
      <c r="D2522" s="20" t="s">
        <v>1187</v>
      </c>
      <c r="E2522" s="27">
        <v>1</v>
      </c>
      <c r="F2522" s="27">
        <v>2</v>
      </c>
      <c r="G2522" s="29">
        <v>3.662E-2</v>
      </c>
    </row>
    <row r="2523" spans="1:7" x14ac:dyDescent="0.25">
      <c r="A2523" s="20" t="s">
        <v>595</v>
      </c>
      <c r="B2523" s="20" t="s">
        <v>1345</v>
      </c>
      <c r="C2523" s="20" t="s">
        <v>1345</v>
      </c>
      <c r="D2523" s="20" t="s">
        <v>1187</v>
      </c>
      <c r="E2523" s="27">
        <v>1</v>
      </c>
      <c r="F2523" s="27">
        <v>2</v>
      </c>
      <c r="G2523" s="29">
        <v>3.0429999999999999E-2</v>
      </c>
    </row>
    <row r="2524" spans="1:7" x14ac:dyDescent="0.25">
      <c r="A2524" s="20" t="s">
        <v>595</v>
      </c>
      <c r="B2524" s="20" t="s">
        <v>1346</v>
      </c>
      <c r="C2524" s="20" t="s">
        <v>1346</v>
      </c>
      <c r="D2524" s="20" t="s">
        <v>1187</v>
      </c>
      <c r="E2524" s="27">
        <v>6</v>
      </c>
      <c r="F2524" s="27">
        <v>12</v>
      </c>
      <c r="G2524" s="29">
        <v>3.3660000000000002E-2</v>
      </c>
    </row>
    <row r="2525" spans="1:7" x14ac:dyDescent="0.25">
      <c r="A2525" s="20" t="s">
        <v>595</v>
      </c>
      <c r="B2525" s="20" t="s">
        <v>1347</v>
      </c>
      <c r="C2525" s="20" t="s">
        <v>1347</v>
      </c>
      <c r="D2525" s="20" t="s">
        <v>1187</v>
      </c>
      <c r="E2525" s="27">
        <v>1</v>
      </c>
      <c r="F2525" s="27">
        <v>2</v>
      </c>
      <c r="G2525" s="29">
        <v>3.6850000000000001E-2</v>
      </c>
    </row>
    <row r="2526" spans="1:7" ht="22.5" x14ac:dyDescent="0.25">
      <c r="A2526" s="20" t="s">
        <v>620</v>
      </c>
      <c r="B2526" s="20" t="s">
        <v>623</v>
      </c>
      <c r="C2526" s="20" t="s">
        <v>285</v>
      </c>
      <c r="D2526" s="20" t="s">
        <v>1187</v>
      </c>
      <c r="E2526" s="27">
        <v>6</v>
      </c>
      <c r="F2526" s="27">
        <v>12</v>
      </c>
      <c r="G2526" s="28">
        <v>1.67E-2</v>
      </c>
    </row>
    <row r="2527" spans="1:7" ht="22.5" x14ac:dyDescent="0.25">
      <c r="A2527" s="20" t="s">
        <v>620</v>
      </c>
      <c r="B2527" s="20" t="s">
        <v>47</v>
      </c>
      <c r="C2527" s="20" t="s">
        <v>47</v>
      </c>
      <c r="D2527" s="20" t="s">
        <v>1187</v>
      </c>
      <c r="E2527" s="27">
        <v>3</v>
      </c>
      <c r="F2527" s="27">
        <v>6</v>
      </c>
      <c r="G2527" s="28">
        <v>1.5699999999999999E-2</v>
      </c>
    </row>
    <row r="2528" spans="1:7" ht="22.5" x14ac:dyDescent="0.25">
      <c r="A2528" s="20" t="s">
        <v>620</v>
      </c>
      <c r="B2528" s="20" t="s">
        <v>48</v>
      </c>
      <c r="C2528" s="20" t="s">
        <v>48</v>
      </c>
      <c r="D2528" s="20" t="s">
        <v>1187</v>
      </c>
      <c r="E2528" s="27">
        <v>6</v>
      </c>
      <c r="F2528" s="27">
        <v>12</v>
      </c>
      <c r="G2528" s="29">
        <v>3.3140000000000003E-2</v>
      </c>
    </row>
    <row r="2529" spans="1:7" ht="22.5" x14ac:dyDescent="0.25">
      <c r="A2529" s="20" t="s">
        <v>620</v>
      </c>
      <c r="B2529" s="20" t="s">
        <v>49</v>
      </c>
      <c r="C2529" s="20" t="s">
        <v>49</v>
      </c>
      <c r="D2529" s="20" t="s">
        <v>1187</v>
      </c>
      <c r="E2529" s="27">
        <v>4</v>
      </c>
      <c r="F2529" s="27">
        <v>8</v>
      </c>
      <c r="G2529" s="29">
        <v>1.2199999999999999E-3</v>
      </c>
    </row>
    <row r="2530" spans="1:7" ht="22.5" x14ac:dyDescent="0.25">
      <c r="A2530" s="20" t="s">
        <v>620</v>
      </c>
      <c r="B2530" s="20" t="s">
        <v>53</v>
      </c>
      <c r="C2530" s="20" t="s">
        <v>53</v>
      </c>
      <c r="D2530" s="20" t="s">
        <v>1187</v>
      </c>
      <c r="E2530" s="27">
        <v>2</v>
      </c>
      <c r="F2530" s="27">
        <v>4</v>
      </c>
      <c r="G2530" s="29">
        <v>1.32E-3</v>
      </c>
    </row>
    <row r="2531" spans="1:7" ht="22.5" x14ac:dyDescent="0.25">
      <c r="A2531" s="20" t="s">
        <v>620</v>
      </c>
      <c r="B2531" s="20" t="s">
        <v>1002</v>
      </c>
      <c r="C2531" s="20" t="s">
        <v>273</v>
      </c>
      <c r="D2531" s="20" t="s">
        <v>1187</v>
      </c>
      <c r="E2531" s="27">
        <v>6</v>
      </c>
      <c r="F2531" s="27">
        <v>12</v>
      </c>
      <c r="G2531" s="28">
        <v>8.0000000000000004E-4</v>
      </c>
    </row>
    <row r="2532" spans="1:7" ht="22.5" x14ac:dyDescent="0.25">
      <c r="A2532" s="20" t="s">
        <v>620</v>
      </c>
      <c r="B2532" s="20" t="s">
        <v>625</v>
      </c>
      <c r="C2532" s="20" t="s">
        <v>219</v>
      </c>
      <c r="D2532" s="20" t="s">
        <v>1187</v>
      </c>
      <c r="E2532" s="27">
        <v>10</v>
      </c>
      <c r="F2532" s="27">
        <v>20</v>
      </c>
      <c r="G2532" s="29">
        <v>7.1399999999999996E-3</v>
      </c>
    </row>
    <row r="2533" spans="1:7" ht="22.5" x14ac:dyDescent="0.25">
      <c r="A2533" s="20" t="s">
        <v>620</v>
      </c>
      <c r="B2533" s="20" t="s">
        <v>1348</v>
      </c>
      <c r="C2533" s="20" t="s">
        <v>309</v>
      </c>
      <c r="D2533" s="20" t="s">
        <v>1187</v>
      </c>
      <c r="E2533" s="27">
        <v>4</v>
      </c>
      <c r="F2533" s="27">
        <v>8</v>
      </c>
      <c r="G2533" s="28">
        <v>2.9999999999999997E-4</v>
      </c>
    </row>
    <row r="2534" spans="1:7" x14ac:dyDescent="0.25">
      <c r="A2534" s="20" t="s">
        <v>597</v>
      </c>
      <c r="B2534" s="20" t="s">
        <v>12</v>
      </c>
      <c r="C2534" s="20" t="s">
        <v>12</v>
      </c>
      <c r="D2534" s="20" t="s">
        <v>1187</v>
      </c>
      <c r="E2534" s="27">
        <v>1</v>
      </c>
      <c r="F2534" s="27">
        <v>2</v>
      </c>
      <c r="G2534" s="29">
        <v>0.15347</v>
      </c>
    </row>
    <row r="2535" spans="1:7" x14ac:dyDescent="0.25">
      <c r="A2535" s="20" t="s">
        <v>597</v>
      </c>
      <c r="B2535" s="20" t="s">
        <v>13</v>
      </c>
      <c r="C2535" s="20" t="s">
        <v>13</v>
      </c>
      <c r="D2535" s="20" t="s">
        <v>1187</v>
      </c>
      <c r="E2535" s="27">
        <v>1</v>
      </c>
      <c r="F2535" s="27">
        <v>2</v>
      </c>
      <c r="G2535" s="29">
        <v>0.12407</v>
      </c>
    </row>
    <row r="2536" spans="1:7" x14ac:dyDescent="0.25">
      <c r="A2536" s="20" t="s">
        <v>588</v>
      </c>
      <c r="B2536" s="20" t="s">
        <v>65</v>
      </c>
      <c r="C2536" s="20" t="s">
        <v>65</v>
      </c>
      <c r="D2536" s="20" t="s">
        <v>1340</v>
      </c>
      <c r="E2536" s="24">
        <v>1E-3</v>
      </c>
      <c r="F2536" s="24">
        <v>8.0000000000000002E-3</v>
      </c>
      <c r="G2536" s="22"/>
    </row>
    <row r="2537" spans="1:7" x14ac:dyDescent="0.25">
      <c r="A2537" s="20" t="s">
        <v>588</v>
      </c>
      <c r="B2537" s="20" t="s">
        <v>112</v>
      </c>
      <c r="C2537" s="20" t="s">
        <v>112</v>
      </c>
      <c r="D2537" s="20" t="s">
        <v>1340</v>
      </c>
      <c r="E2537" s="24">
        <v>4.5999999999999999E-2</v>
      </c>
      <c r="F2537" s="24">
        <v>0.36799999999999999</v>
      </c>
      <c r="G2537" s="22"/>
    </row>
    <row r="2538" spans="1:7" x14ac:dyDescent="0.25">
      <c r="A2538" s="20" t="s">
        <v>588</v>
      </c>
      <c r="B2538" s="20" t="s">
        <v>155</v>
      </c>
      <c r="C2538" s="20" t="s">
        <v>155</v>
      </c>
      <c r="D2538" s="20" t="s">
        <v>1340</v>
      </c>
      <c r="E2538" s="24">
        <v>1E-3</v>
      </c>
      <c r="F2538" s="24">
        <v>8.0000000000000002E-3</v>
      </c>
      <c r="G2538" s="22"/>
    </row>
    <row r="2539" spans="1:7" x14ac:dyDescent="0.25">
      <c r="A2539" s="20" t="s">
        <v>588</v>
      </c>
      <c r="B2539" s="20" t="s">
        <v>156</v>
      </c>
      <c r="C2539" s="20" t="s">
        <v>156</v>
      </c>
      <c r="D2539" s="20" t="s">
        <v>1340</v>
      </c>
      <c r="E2539" s="24">
        <v>1E-3</v>
      </c>
      <c r="F2539" s="24">
        <v>8.0000000000000002E-3</v>
      </c>
      <c r="G2539" s="22"/>
    </row>
    <row r="2540" spans="1:7" x14ac:dyDescent="0.25">
      <c r="A2540" s="20" t="s">
        <v>588</v>
      </c>
      <c r="B2540" s="20" t="s">
        <v>215</v>
      </c>
      <c r="C2540" s="20" t="s">
        <v>215</v>
      </c>
      <c r="D2540" s="20" t="s">
        <v>1340</v>
      </c>
      <c r="E2540" s="24">
        <v>2E-3</v>
      </c>
      <c r="F2540" s="24">
        <v>1.6E-2</v>
      </c>
      <c r="G2540" s="22"/>
    </row>
    <row r="2541" spans="1:7" x14ac:dyDescent="0.25">
      <c r="A2541" s="20" t="s">
        <v>588</v>
      </c>
      <c r="B2541" s="20" t="s">
        <v>131</v>
      </c>
      <c r="C2541" s="20" t="s">
        <v>131</v>
      </c>
      <c r="D2541" s="20" t="s">
        <v>1341</v>
      </c>
      <c r="E2541" s="26">
        <v>1.04647</v>
      </c>
      <c r="F2541" s="26">
        <v>8.3717600000000001</v>
      </c>
      <c r="G2541" s="22"/>
    </row>
    <row r="2542" spans="1:7" x14ac:dyDescent="0.25">
      <c r="A2542" s="20" t="s">
        <v>588</v>
      </c>
      <c r="B2542" s="20" t="s">
        <v>131</v>
      </c>
      <c r="C2542" s="20" t="s">
        <v>131</v>
      </c>
      <c r="D2542" s="20" t="s">
        <v>1342</v>
      </c>
      <c r="E2542" s="26">
        <v>1.04647</v>
      </c>
      <c r="F2542" s="26">
        <v>8.3717600000000001</v>
      </c>
      <c r="G2542" s="22"/>
    </row>
    <row r="2543" spans="1:7" x14ac:dyDescent="0.25">
      <c r="A2543" s="20" t="s">
        <v>588</v>
      </c>
      <c r="B2543" s="20" t="s">
        <v>123</v>
      </c>
      <c r="C2543" s="20" t="s">
        <v>123</v>
      </c>
      <c r="D2543" s="20" t="s">
        <v>1343</v>
      </c>
      <c r="E2543" s="26">
        <v>6.547E-2</v>
      </c>
      <c r="F2543" s="26">
        <v>0.52376</v>
      </c>
      <c r="G2543" s="22"/>
    </row>
    <row r="2544" spans="1:7" x14ac:dyDescent="0.25">
      <c r="A2544" s="20" t="s">
        <v>588</v>
      </c>
      <c r="B2544" s="20" t="s">
        <v>123</v>
      </c>
      <c r="C2544" s="20" t="s">
        <v>123</v>
      </c>
      <c r="D2544" s="20" t="s">
        <v>1344</v>
      </c>
      <c r="E2544" s="26">
        <v>4.7849999999999997E-2</v>
      </c>
      <c r="F2544" s="32">
        <v>0.38279999999999997</v>
      </c>
      <c r="G2544" s="22"/>
    </row>
    <row r="2545" spans="1:7" x14ac:dyDescent="0.25">
      <c r="A2545" s="20" t="s">
        <v>588</v>
      </c>
      <c r="B2545" s="20" t="s">
        <v>123</v>
      </c>
      <c r="C2545" s="20" t="s">
        <v>123</v>
      </c>
      <c r="D2545" s="20" t="s">
        <v>1345</v>
      </c>
      <c r="E2545" s="26">
        <v>4.0320000000000002E-2</v>
      </c>
      <c r="F2545" s="26">
        <v>0.32256000000000001</v>
      </c>
      <c r="G2545" s="22"/>
    </row>
    <row r="2546" spans="1:7" x14ac:dyDescent="0.25">
      <c r="A2546" s="20" t="s">
        <v>588</v>
      </c>
      <c r="B2546" s="20" t="s">
        <v>65</v>
      </c>
      <c r="C2546" s="20" t="s">
        <v>65</v>
      </c>
      <c r="D2546" s="20" t="s">
        <v>1346</v>
      </c>
      <c r="E2546" s="24">
        <v>1E-3</v>
      </c>
      <c r="F2546" s="24">
        <v>4.8000000000000001E-2</v>
      </c>
      <c r="G2546" s="22"/>
    </row>
    <row r="2547" spans="1:7" x14ac:dyDescent="0.25">
      <c r="A2547" s="20" t="s">
        <v>588</v>
      </c>
      <c r="B2547" s="20" t="s">
        <v>83</v>
      </c>
      <c r="C2547" s="20" t="s">
        <v>83</v>
      </c>
      <c r="D2547" s="20" t="s">
        <v>1346</v>
      </c>
      <c r="E2547" s="24">
        <v>8.2000000000000003E-2</v>
      </c>
      <c r="F2547" s="24">
        <v>3.9359999999999999</v>
      </c>
      <c r="G2547" s="22"/>
    </row>
    <row r="2548" spans="1:7" x14ac:dyDescent="0.25">
      <c r="A2548" s="20" t="s">
        <v>588</v>
      </c>
      <c r="B2548" s="20" t="s">
        <v>155</v>
      </c>
      <c r="C2548" s="20" t="s">
        <v>155</v>
      </c>
      <c r="D2548" s="20" t="s">
        <v>1346</v>
      </c>
      <c r="E2548" s="24">
        <v>1E-3</v>
      </c>
      <c r="F2548" s="24">
        <v>4.8000000000000001E-2</v>
      </c>
      <c r="G2548" s="22"/>
    </row>
    <row r="2549" spans="1:7" x14ac:dyDescent="0.25">
      <c r="A2549" s="20" t="s">
        <v>588</v>
      </c>
      <c r="B2549" s="20" t="s">
        <v>156</v>
      </c>
      <c r="C2549" s="20" t="s">
        <v>156</v>
      </c>
      <c r="D2549" s="20" t="s">
        <v>1346</v>
      </c>
      <c r="E2549" s="24">
        <v>1E-3</v>
      </c>
      <c r="F2549" s="24">
        <v>4.8000000000000001E-2</v>
      </c>
      <c r="G2549" s="22"/>
    </row>
    <row r="2550" spans="1:7" x14ac:dyDescent="0.25">
      <c r="A2550" s="20" t="s">
        <v>588</v>
      </c>
      <c r="B2550" s="20" t="s">
        <v>215</v>
      </c>
      <c r="C2550" s="20" t="s">
        <v>215</v>
      </c>
      <c r="D2550" s="20" t="s">
        <v>1346</v>
      </c>
      <c r="E2550" s="24">
        <v>1E-3</v>
      </c>
      <c r="F2550" s="24">
        <v>4.8000000000000001E-2</v>
      </c>
      <c r="G2550" s="22"/>
    </row>
    <row r="2551" spans="1:7" x14ac:dyDescent="0.25">
      <c r="A2551" s="20" t="s">
        <v>588</v>
      </c>
      <c r="B2551" s="20" t="s">
        <v>65</v>
      </c>
      <c r="C2551" s="20" t="s">
        <v>65</v>
      </c>
      <c r="D2551" s="20" t="s">
        <v>1347</v>
      </c>
      <c r="E2551" s="24">
        <v>1E-3</v>
      </c>
      <c r="F2551" s="24">
        <v>8.0000000000000002E-3</v>
      </c>
      <c r="G2551" s="22"/>
    </row>
    <row r="2552" spans="1:7" x14ac:dyDescent="0.25">
      <c r="A2552" s="20" t="s">
        <v>588</v>
      </c>
      <c r="B2552" s="20" t="s">
        <v>155</v>
      </c>
      <c r="C2552" s="20" t="s">
        <v>155</v>
      </c>
      <c r="D2552" s="20" t="s">
        <v>1347</v>
      </c>
      <c r="E2552" s="24">
        <v>1E-3</v>
      </c>
      <c r="F2552" s="24">
        <v>8.0000000000000002E-3</v>
      </c>
      <c r="G2552" s="22"/>
    </row>
    <row r="2553" spans="1:7" x14ac:dyDescent="0.25">
      <c r="A2553" s="20" t="s">
        <v>588</v>
      </c>
      <c r="B2553" s="20" t="s">
        <v>156</v>
      </c>
      <c r="C2553" s="20" t="s">
        <v>156</v>
      </c>
      <c r="D2553" s="20" t="s">
        <v>1347</v>
      </c>
      <c r="E2553" s="24">
        <v>1E-3</v>
      </c>
      <c r="F2553" s="24">
        <v>8.0000000000000002E-3</v>
      </c>
      <c r="G2553" s="22"/>
    </row>
    <row r="2554" spans="1:7" x14ac:dyDescent="0.25">
      <c r="A2554" s="20" t="s">
        <v>588</v>
      </c>
      <c r="B2554" s="20" t="s">
        <v>208</v>
      </c>
      <c r="C2554" s="20" t="s">
        <v>208</v>
      </c>
      <c r="D2554" s="20" t="s">
        <v>1347</v>
      </c>
      <c r="E2554" s="25">
        <v>0.09</v>
      </c>
      <c r="F2554" s="25">
        <v>0.72</v>
      </c>
      <c r="G2554" s="22"/>
    </row>
    <row r="2555" spans="1:7" x14ac:dyDescent="0.25">
      <c r="A2555" s="20" t="s">
        <v>588</v>
      </c>
      <c r="B2555" s="20" t="s">
        <v>215</v>
      </c>
      <c r="C2555" s="20" t="s">
        <v>215</v>
      </c>
      <c r="D2555" s="20" t="s">
        <v>1347</v>
      </c>
      <c r="E2555" s="24">
        <v>1E-3</v>
      </c>
      <c r="F2555" s="24">
        <v>8.0000000000000002E-3</v>
      </c>
      <c r="G2555" s="22"/>
    </row>
    <row r="2556" spans="1:7" x14ac:dyDescent="0.25">
      <c r="A2556" s="20" t="s">
        <v>595</v>
      </c>
      <c r="B2556" s="20" t="s">
        <v>1350</v>
      </c>
      <c r="C2556" s="20" t="s">
        <v>1350</v>
      </c>
      <c r="D2556" s="20" t="s">
        <v>1335</v>
      </c>
      <c r="E2556" s="27">
        <v>2</v>
      </c>
      <c r="F2556" s="27">
        <v>12</v>
      </c>
      <c r="G2556" s="29">
        <v>3.7277800000000001</v>
      </c>
    </row>
    <row r="2557" spans="1:7" x14ac:dyDescent="0.25">
      <c r="A2557" s="20" t="s">
        <v>595</v>
      </c>
      <c r="B2557" s="20" t="s">
        <v>1351</v>
      </c>
      <c r="C2557" s="20" t="s">
        <v>1351</v>
      </c>
      <c r="D2557" s="20" t="s">
        <v>1335</v>
      </c>
      <c r="E2557" s="27">
        <v>2</v>
      </c>
      <c r="F2557" s="27">
        <v>12</v>
      </c>
      <c r="G2557" s="29">
        <v>0.28765000000000002</v>
      </c>
    </row>
    <row r="2558" spans="1:7" x14ac:dyDescent="0.25">
      <c r="A2558" s="20" t="s">
        <v>595</v>
      </c>
      <c r="B2558" s="20" t="s">
        <v>1352</v>
      </c>
      <c r="C2558" s="20" t="s">
        <v>1352</v>
      </c>
      <c r="D2558" s="20" t="s">
        <v>1335</v>
      </c>
      <c r="E2558" s="27">
        <v>1</v>
      </c>
      <c r="F2558" s="27">
        <v>6</v>
      </c>
      <c r="G2558" s="29">
        <v>1.48038</v>
      </c>
    </row>
    <row r="2559" spans="1:7" x14ac:dyDescent="0.25">
      <c r="A2559" s="20" t="s">
        <v>595</v>
      </c>
      <c r="B2559" s="20" t="s">
        <v>1353</v>
      </c>
      <c r="C2559" s="20" t="s">
        <v>1353</v>
      </c>
      <c r="D2559" s="20" t="s">
        <v>1335</v>
      </c>
      <c r="E2559" s="27">
        <v>1</v>
      </c>
      <c r="F2559" s="27">
        <v>6</v>
      </c>
      <c r="G2559" s="29">
        <v>1.46516</v>
      </c>
    </row>
    <row r="2560" spans="1:7" x14ac:dyDescent="0.25">
      <c r="A2560" s="20" t="s">
        <v>595</v>
      </c>
      <c r="B2560" s="20" t="s">
        <v>1354</v>
      </c>
      <c r="C2560" s="20" t="s">
        <v>1354</v>
      </c>
      <c r="D2560" s="20" t="s">
        <v>1335</v>
      </c>
      <c r="E2560" s="27">
        <v>1</v>
      </c>
      <c r="F2560" s="27">
        <v>6</v>
      </c>
      <c r="G2560" s="29">
        <v>0.69088000000000005</v>
      </c>
    </row>
    <row r="2561" spans="1:7" x14ac:dyDescent="0.25">
      <c r="A2561" s="20" t="s">
        <v>595</v>
      </c>
      <c r="B2561" s="20" t="s">
        <v>1355</v>
      </c>
      <c r="C2561" s="20" t="s">
        <v>1355</v>
      </c>
      <c r="D2561" s="20" t="s">
        <v>1335</v>
      </c>
      <c r="E2561" s="27">
        <v>1</v>
      </c>
      <c r="F2561" s="27">
        <v>6</v>
      </c>
      <c r="G2561" s="29">
        <v>3.7560000000000003E-2</v>
      </c>
    </row>
    <row r="2562" spans="1:7" x14ac:dyDescent="0.25">
      <c r="A2562" s="20" t="s">
        <v>588</v>
      </c>
      <c r="B2562" s="20" t="s">
        <v>65</v>
      </c>
      <c r="C2562" s="20" t="s">
        <v>65</v>
      </c>
      <c r="D2562" s="20" t="s">
        <v>1335</v>
      </c>
      <c r="E2562" s="33">
        <v>0.2</v>
      </c>
      <c r="F2562" s="33">
        <v>1.2</v>
      </c>
      <c r="G2562" s="22"/>
    </row>
    <row r="2563" spans="1:7" x14ac:dyDescent="0.25">
      <c r="A2563" s="20" t="s">
        <v>588</v>
      </c>
      <c r="B2563" s="20" t="s">
        <v>67</v>
      </c>
      <c r="C2563" s="20" t="s">
        <v>67</v>
      </c>
      <c r="D2563" s="20" t="s">
        <v>1335</v>
      </c>
      <c r="E2563" s="24">
        <v>0.35599999999999998</v>
      </c>
      <c r="F2563" s="24">
        <v>2.1360000000000001</v>
      </c>
      <c r="G2563" s="22"/>
    </row>
    <row r="2564" spans="1:7" x14ac:dyDescent="0.25">
      <c r="A2564" s="20" t="s">
        <v>588</v>
      </c>
      <c r="B2564" s="20" t="s">
        <v>147</v>
      </c>
      <c r="C2564" s="20" t="s">
        <v>147</v>
      </c>
      <c r="D2564" s="20" t="s">
        <v>1335</v>
      </c>
      <c r="E2564" s="24">
        <v>0.20899999999999999</v>
      </c>
      <c r="F2564" s="24">
        <v>1.254</v>
      </c>
      <c r="G2564" s="22"/>
    </row>
    <row r="2565" spans="1:7" x14ac:dyDescent="0.25">
      <c r="A2565" s="20" t="s">
        <v>588</v>
      </c>
      <c r="B2565" s="20" t="s">
        <v>155</v>
      </c>
      <c r="C2565" s="20" t="s">
        <v>155</v>
      </c>
      <c r="D2565" s="20" t="s">
        <v>1335</v>
      </c>
      <c r="E2565" s="25">
        <v>0.12</v>
      </c>
      <c r="F2565" s="25">
        <v>0.72</v>
      </c>
      <c r="G2565" s="22"/>
    </row>
    <row r="2566" spans="1:7" x14ac:dyDescent="0.25">
      <c r="A2566" s="20" t="s">
        <v>588</v>
      </c>
      <c r="B2566" s="20" t="s">
        <v>200</v>
      </c>
      <c r="C2566" s="20" t="s">
        <v>200</v>
      </c>
      <c r="D2566" s="20" t="s">
        <v>1335</v>
      </c>
      <c r="E2566" s="25">
        <v>0.17</v>
      </c>
      <c r="F2566" s="25">
        <v>1.02</v>
      </c>
      <c r="G2566" s="22"/>
    </row>
    <row r="2567" spans="1:7" x14ac:dyDescent="0.25">
      <c r="A2567" s="20" t="s">
        <v>588</v>
      </c>
      <c r="B2567" s="20" t="s">
        <v>215</v>
      </c>
      <c r="C2567" s="20" t="s">
        <v>215</v>
      </c>
      <c r="D2567" s="20" t="s">
        <v>1335</v>
      </c>
      <c r="E2567" s="33">
        <v>0.4</v>
      </c>
      <c r="F2567" s="33">
        <v>2.4</v>
      </c>
      <c r="G2567" s="22"/>
    </row>
    <row r="2568" spans="1:7" x14ac:dyDescent="0.25">
      <c r="A2568" s="20" t="s">
        <v>595</v>
      </c>
      <c r="B2568" s="20" t="s">
        <v>1350</v>
      </c>
      <c r="C2568" s="20" t="s">
        <v>1350</v>
      </c>
      <c r="D2568" s="20" t="s">
        <v>1349</v>
      </c>
      <c r="E2568" s="27">
        <v>2</v>
      </c>
      <c r="F2568" s="27">
        <v>4</v>
      </c>
      <c r="G2568" s="29">
        <v>3.7277800000000001</v>
      </c>
    </row>
    <row r="2569" spans="1:7" x14ac:dyDescent="0.25">
      <c r="A2569" s="20" t="s">
        <v>595</v>
      </c>
      <c r="B2569" s="20" t="s">
        <v>1351</v>
      </c>
      <c r="C2569" s="20" t="s">
        <v>1351</v>
      </c>
      <c r="D2569" s="20" t="s">
        <v>1349</v>
      </c>
      <c r="E2569" s="27">
        <v>2</v>
      </c>
      <c r="F2569" s="27">
        <v>4</v>
      </c>
      <c r="G2569" s="29">
        <v>0.28765000000000002</v>
      </c>
    </row>
    <row r="2570" spans="1:7" x14ac:dyDescent="0.25">
      <c r="A2570" s="20" t="s">
        <v>595</v>
      </c>
      <c r="B2570" s="20" t="s">
        <v>1352</v>
      </c>
      <c r="C2570" s="20" t="s">
        <v>1352</v>
      </c>
      <c r="D2570" s="20" t="s">
        <v>1349</v>
      </c>
      <c r="E2570" s="27">
        <v>1</v>
      </c>
      <c r="F2570" s="27">
        <v>2</v>
      </c>
      <c r="G2570" s="29">
        <v>1.48038</v>
      </c>
    </row>
    <row r="2571" spans="1:7" x14ac:dyDescent="0.25">
      <c r="A2571" s="20" t="s">
        <v>595</v>
      </c>
      <c r="B2571" s="20" t="s">
        <v>1356</v>
      </c>
      <c r="C2571" s="20" t="s">
        <v>1356</v>
      </c>
      <c r="D2571" s="20" t="s">
        <v>1349</v>
      </c>
      <c r="E2571" s="27">
        <v>1</v>
      </c>
      <c r="F2571" s="27">
        <v>2</v>
      </c>
      <c r="G2571" s="29">
        <v>1.4651700000000001</v>
      </c>
    </row>
    <row r="2572" spans="1:7" x14ac:dyDescent="0.25">
      <c r="A2572" s="20" t="s">
        <v>595</v>
      </c>
      <c r="B2572" s="20" t="s">
        <v>1354</v>
      </c>
      <c r="C2572" s="20" t="s">
        <v>1354</v>
      </c>
      <c r="D2572" s="20" t="s">
        <v>1349</v>
      </c>
      <c r="E2572" s="27">
        <v>1</v>
      </c>
      <c r="F2572" s="27">
        <v>2</v>
      </c>
      <c r="G2572" s="29">
        <v>0.69088000000000005</v>
      </c>
    </row>
    <row r="2573" spans="1:7" x14ac:dyDescent="0.25">
      <c r="A2573" s="20" t="s">
        <v>595</v>
      </c>
      <c r="B2573" s="20" t="s">
        <v>1355</v>
      </c>
      <c r="C2573" s="20" t="s">
        <v>1355</v>
      </c>
      <c r="D2573" s="20" t="s">
        <v>1349</v>
      </c>
      <c r="E2573" s="27">
        <v>1</v>
      </c>
      <c r="F2573" s="27">
        <v>2</v>
      </c>
      <c r="G2573" s="29">
        <v>3.7560000000000003E-2</v>
      </c>
    </row>
    <row r="2574" spans="1:7" x14ac:dyDescent="0.25">
      <c r="A2574" s="20" t="s">
        <v>588</v>
      </c>
      <c r="B2574" s="20" t="s">
        <v>65</v>
      </c>
      <c r="C2574" s="20" t="s">
        <v>65</v>
      </c>
      <c r="D2574" s="20" t="s">
        <v>1349</v>
      </c>
      <c r="E2574" s="24">
        <v>0.17799999999999999</v>
      </c>
      <c r="F2574" s="24">
        <v>0.35599999999999998</v>
      </c>
      <c r="G2574" s="22"/>
    </row>
    <row r="2575" spans="1:7" x14ac:dyDescent="0.25">
      <c r="A2575" s="20" t="s">
        <v>588</v>
      </c>
      <c r="B2575" s="20" t="s">
        <v>67</v>
      </c>
      <c r="C2575" s="20" t="s">
        <v>67</v>
      </c>
      <c r="D2575" s="20" t="s">
        <v>1349</v>
      </c>
      <c r="E2575" s="24">
        <v>0.51200000000000001</v>
      </c>
      <c r="F2575" s="24">
        <v>1.024</v>
      </c>
      <c r="G2575" s="22"/>
    </row>
    <row r="2576" spans="1:7" x14ac:dyDescent="0.25">
      <c r="A2576" s="20" t="s">
        <v>588</v>
      </c>
      <c r="B2576" s="20" t="s">
        <v>147</v>
      </c>
      <c r="C2576" s="20" t="s">
        <v>147</v>
      </c>
      <c r="D2576" s="20" t="s">
        <v>1349</v>
      </c>
      <c r="E2576" s="24">
        <v>0.30199999999999999</v>
      </c>
      <c r="F2576" s="24">
        <v>0.60399999999999998</v>
      </c>
      <c r="G2576" s="22"/>
    </row>
    <row r="2577" spans="1:7" x14ac:dyDescent="0.25">
      <c r="A2577" s="20" t="s">
        <v>588</v>
      </c>
      <c r="B2577" s="20" t="s">
        <v>155</v>
      </c>
      <c r="C2577" s="20" t="s">
        <v>155</v>
      </c>
      <c r="D2577" s="20" t="s">
        <v>1349</v>
      </c>
      <c r="E2577" s="24">
        <v>5.2999999999999999E-2</v>
      </c>
      <c r="F2577" s="24">
        <v>0.106</v>
      </c>
      <c r="G2577" s="22"/>
    </row>
    <row r="2578" spans="1:7" x14ac:dyDescent="0.25">
      <c r="A2578" s="20" t="s">
        <v>588</v>
      </c>
      <c r="B2578" s="20" t="s">
        <v>200</v>
      </c>
      <c r="C2578" s="20" t="s">
        <v>200</v>
      </c>
      <c r="D2578" s="20" t="s">
        <v>1349</v>
      </c>
      <c r="E2578" s="24">
        <v>0.222</v>
      </c>
      <c r="F2578" s="24">
        <v>0.44400000000000001</v>
      </c>
      <c r="G2578" s="22"/>
    </row>
    <row r="2579" spans="1:7" x14ac:dyDescent="0.25">
      <c r="A2579" s="20" t="s">
        <v>588</v>
      </c>
      <c r="B2579" s="20" t="s">
        <v>215</v>
      </c>
      <c r="C2579" s="20" t="s">
        <v>215</v>
      </c>
      <c r="D2579" s="20" t="s">
        <v>1349</v>
      </c>
      <c r="E2579" s="24">
        <v>0.35599999999999998</v>
      </c>
      <c r="F2579" s="24">
        <v>0.71199999999999997</v>
      </c>
      <c r="G2579" s="22"/>
    </row>
    <row r="2580" spans="1:7" x14ac:dyDescent="0.25">
      <c r="A2580" s="20" t="s">
        <v>588</v>
      </c>
      <c r="B2580" s="20" t="s">
        <v>67</v>
      </c>
      <c r="C2580" s="20" t="s">
        <v>67</v>
      </c>
      <c r="D2580" s="20" t="s">
        <v>1350</v>
      </c>
      <c r="E2580" s="24">
        <v>6.4000000000000001E-2</v>
      </c>
      <c r="F2580" s="24">
        <v>1.024</v>
      </c>
      <c r="G2580" s="22"/>
    </row>
    <row r="2581" spans="1:7" x14ac:dyDescent="0.25">
      <c r="A2581" s="20" t="s">
        <v>588</v>
      </c>
      <c r="B2581" s="20" t="s">
        <v>113</v>
      </c>
      <c r="C2581" s="20" t="s">
        <v>113</v>
      </c>
      <c r="D2581" s="20" t="s">
        <v>1350</v>
      </c>
      <c r="E2581" s="33">
        <v>4.5</v>
      </c>
      <c r="F2581" s="27">
        <v>72</v>
      </c>
      <c r="G2581" s="22"/>
    </row>
    <row r="2582" spans="1:7" x14ac:dyDescent="0.25">
      <c r="A2582" s="20" t="s">
        <v>588</v>
      </c>
      <c r="B2582" s="20" t="s">
        <v>146</v>
      </c>
      <c r="C2582" s="20" t="s">
        <v>146</v>
      </c>
      <c r="D2582" s="20" t="s">
        <v>1350</v>
      </c>
      <c r="E2582" s="24">
        <v>3.7999999999999999E-2</v>
      </c>
      <c r="F2582" s="24">
        <v>0.60799999999999998</v>
      </c>
      <c r="G2582" s="22"/>
    </row>
    <row r="2583" spans="1:7" x14ac:dyDescent="0.25">
      <c r="A2583" s="20" t="s">
        <v>588</v>
      </c>
      <c r="B2583" s="20" t="s">
        <v>113</v>
      </c>
      <c r="C2583" s="20" t="s">
        <v>113</v>
      </c>
      <c r="D2583" s="20" t="s">
        <v>1351</v>
      </c>
      <c r="E2583" s="25">
        <v>0.74</v>
      </c>
      <c r="F2583" s="25">
        <v>11.84</v>
      </c>
      <c r="G2583" s="22"/>
    </row>
    <row r="2584" spans="1:7" x14ac:dyDescent="0.25">
      <c r="A2584" s="20" t="s">
        <v>588</v>
      </c>
      <c r="B2584" s="20" t="s">
        <v>67</v>
      </c>
      <c r="C2584" s="20" t="s">
        <v>67</v>
      </c>
      <c r="D2584" s="20" t="s">
        <v>1352</v>
      </c>
      <c r="E2584" s="24">
        <v>2.5999999999999999E-2</v>
      </c>
      <c r="F2584" s="24">
        <v>0.20799999999999999</v>
      </c>
      <c r="G2584" s="22"/>
    </row>
    <row r="2585" spans="1:7" x14ac:dyDescent="0.25">
      <c r="A2585" s="20" t="s">
        <v>588</v>
      </c>
      <c r="B2585" s="20" t="s">
        <v>112</v>
      </c>
      <c r="C2585" s="20" t="s">
        <v>112</v>
      </c>
      <c r="D2585" s="20" t="s">
        <v>1352</v>
      </c>
      <c r="E2585" s="33">
        <v>1.8</v>
      </c>
      <c r="F2585" s="33">
        <v>14.4</v>
      </c>
      <c r="G2585" s="22"/>
    </row>
    <row r="2586" spans="1:7" x14ac:dyDescent="0.25">
      <c r="A2586" s="20" t="s">
        <v>588</v>
      </c>
      <c r="B2586" s="20" t="s">
        <v>147</v>
      </c>
      <c r="C2586" s="20" t="s">
        <v>147</v>
      </c>
      <c r="D2586" s="20" t="s">
        <v>1352</v>
      </c>
      <c r="E2586" s="24">
        <v>1.4999999999999999E-2</v>
      </c>
      <c r="F2586" s="25">
        <v>0.12</v>
      </c>
      <c r="G2586" s="22"/>
    </row>
    <row r="2587" spans="1:7" x14ac:dyDescent="0.25">
      <c r="A2587" s="20" t="s">
        <v>588</v>
      </c>
      <c r="B2587" s="20" t="s">
        <v>67</v>
      </c>
      <c r="C2587" s="20" t="s">
        <v>67</v>
      </c>
      <c r="D2587" s="20" t="s">
        <v>1353</v>
      </c>
      <c r="E2587" s="24">
        <v>2.5999999999999999E-2</v>
      </c>
      <c r="F2587" s="24">
        <v>0.156</v>
      </c>
      <c r="G2587" s="22"/>
    </row>
    <row r="2588" spans="1:7" x14ac:dyDescent="0.25">
      <c r="A2588" s="20" t="s">
        <v>588</v>
      </c>
      <c r="B2588" s="20" t="s">
        <v>112</v>
      </c>
      <c r="C2588" s="20" t="s">
        <v>112</v>
      </c>
      <c r="D2588" s="20" t="s">
        <v>1353</v>
      </c>
      <c r="E2588" s="33">
        <v>1.8</v>
      </c>
      <c r="F2588" s="33">
        <v>10.8</v>
      </c>
      <c r="G2588" s="22"/>
    </row>
    <row r="2589" spans="1:7" x14ac:dyDescent="0.25">
      <c r="A2589" s="20" t="s">
        <v>588</v>
      </c>
      <c r="B2589" s="20" t="s">
        <v>147</v>
      </c>
      <c r="C2589" s="20" t="s">
        <v>147</v>
      </c>
      <c r="D2589" s="20" t="s">
        <v>1353</v>
      </c>
      <c r="E2589" s="24">
        <v>1.4999999999999999E-2</v>
      </c>
      <c r="F2589" s="25">
        <v>0.09</v>
      </c>
      <c r="G2589" s="22"/>
    </row>
    <row r="2590" spans="1:7" x14ac:dyDescent="0.25">
      <c r="A2590" s="20" t="s">
        <v>588</v>
      </c>
      <c r="B2590" s="20" t="s">
        <v>67</v>
      </c>
      <c r="C2590" s="20" t="s">
        <v>67</v>
      </c>
      <c r="D2590" s="20" t="s">
        <v>1356</v>
      </c>
      <c r="E2590" s="24">
        <v>3.7999999999999999E-2</v>
      </c>
      <c r="F2590" s="24">
        <v>7.5999999999999998E-2</v>
      </c>
      <c r="G2590" s="22"/>
    </row>
    <row r="2591" spans="1:7" x14ac:dyDescent="0.25">
      <c r="A2591" s="20" t="s">
        <v>588</v>
      </c>
      <c r="B2591" s="20" t="s">
        <v>112</v>
      </c>
      <c r="C2591" s="20" t="s">
        <v>112</v>
      </c>
      <c r="D2591" s="20" t="s">
        <v>1356</v>
      </c>
      <c r="E2591" s="26">
        <v>1.79741</v>
      </c>
      <c r="F2591" s="26">
        <v>3.5948199999999999</v>
      </c>
      <c r="G2591" s="22"/>
    </row>
    <row r="2592" spans="1:7" x14ac:dyDescent="0.25">
      <c r="A2592" s="20" t="s">
        <v>588</v>
      </c>
      <c r="B2592" s="20" t="s">
        <v>147</v>
      </c>
      <c r="C2592" s="20" t="s">
        <v>147</v>
      </c>
      <c r="D2592" s="20" t="s">
        <v>1356</v>
      </c>
      <c r="E2592" s="24">
        <v>2.3E-2</v>
      </c>
      <c r="F2592" s="24">
        <v>4.5999999999999999E-2</v>
      </c>
      <c r="G2592" s="22"/>
    </row>
    <row r="2593" spans="1:7" x14ac:dyDescent="0.25">
      <c r="A2593" s="20" t="s">
        <v>588</v>
      </c>
      <c r="B2593" s="20" t="s">
        <v>115</v>
      </c>
      <c r="C2593" s="20" t="s">
        <v>115</v>
      </c>
      <c r="D2593" s="20" t="s">
        <v>1354</v>
      </c>
      <c r="E2593" s="26">
        <v>1.0011099999999999</v>
      </c>
      <c r="F2593" s="26">
        <v>8.0088799999999996</v>
      </c>
      <c r="G2593" s="22"/>
    </row>
    <row r="2594" spans="1:7" x14ac:dyDescent="0.25">
      <c r="A2594" s="20" t="s">
        <v>588</v>
      </c>
      <c r="B2594" s="20" t="s">
        <v>112</v>
      </c>
      <c r="C2594" s="20" t="s">
        <v>112</v>
      </c>
      <c r="D2594" s="20" t="s">
        <v>1355</v>
      </c>
      <c r="E2594" s="24">
        <v>4.4999999999999998E-2</v>
      </c>
      <c r="F2594" s="25">
        <v>0.36</v>
      </c>
      <c r="G2594" s="22"/>
    </row>
    <row r="2595" spans="1:7" x14ac:dyDescent="0.25">
      <c r="A2595" s="20" t="s">
        <v>585</v>
      </c>
      <c r="B2595" s="20" t="s">
        <v>1357</v>
      </c>
      <c r="C2595" s="20" t="s">
        <v>1357</v>
      </c>
      <c r="D2595" s="20" t="s">
        <v>1336</v>
      </c>
      <c r="E2595" s="27">
        <v>1</v>
      </c>
      <c r="F2595" s="27">
        <v>8</v>
      </c>
      <c r="G2595" s="29">
        <v>1.17445</v>
      </c>
    </row>
    <row r="2596" spans="1:7" x14ac:dyDescent="0.25">
      <c r="A2596" s="20" t="s">
        <v>595</v>
      </c>
      <c r="B2596" s="20" t="s">
        <v>1358</v>
      </c>
      <c r="C2596" s="20" t="s">
        <v>1358</v>
      </c>
      <c r="D2596" s="20" t="s">
        <v>1336</v>
      </c>
      <c r="E2596" s="27">
        <v>1</v>
      </c>
      <c r="F2596" s="27">
        <v>8</v>
      </c>
      <c r="G2596" s="28">
        <v>1.1667000000000001</v>
      </c>
    </row>
    <row r="2597" spans="1:7" x14ac:dyDescent="0.25">
      <c r="A2597" s="20" t="s">
        <v>595</v>
      </c>
      <c r="B2597" s="20" t="s">
        <v>1359</v>
      </c>
      <c r="C2597" s="20" t="s">
        <v>1359</v>
      </c>
      <c r="D2597" s="20" t="s">
        <v>1336</v>
      </c>
      <c r="E2597" s="27">
        <v>1</v>
      </c>
      <c r="F2597" s="27">
        <v>8</v>
      </c>
      <c r="G2597" s="29">
        <v>0.57042999999999999</v>
      </c>
    </row>
    <row r="2598" spans="1:7" x14ac:dyDescent="0.25">
      <c r="A2598" s="20" t="s">
        <v>595</v>
      </c>
      <c r="B2598" s="20" t="s">
        <v>1360</v>
      </c>
      <c r="C2598" s="20" t="s">
        <v>1360</v>
      </c>
      <c r="D2598" s="20" t="s">
        <v>1336</v>
      </c>
      <c r="E2598" s="27">
        <v>1</v>
      </c>
      <c r="F2598" s="27">
        <v>8</v>
      </c>
      <c r="G2598" s="29">
        <v>0.30038999999999999</v>
      </c>
    </row>
    <row r="2599" spans="1:7" x14ac:dyDescent="0.25">
      <c r="A2599" s="20" t="s">
        <v>595</v>
      </c>
      <c r="B2599" s="20" t="s">
        <v>1361</v>
      </c>
      <c r="C2599" s="20" t="s">
        <v>1361</v>
      </c>
      <c r="D2599" s="20" t="s">
        <v>1336</v>
      </c>
      <c r="E2599" s="27">
        <v>1</v>
      </c>
      <c r="F2599" s="27">
        <v>8</v>
      </c>
      <c r="G2599" s="29">
        <v>0.68423999999999996</v>
      </c>
    </row>
    <row r="2600" spans="1:7" x14ac:dyDescent="0.25">
      <c r="A2600" s="20" t="s">
        <v>595</v>
      </c>
      <c r="B2600" s="20" t="s">
        <v>1362</v>
      </c>
      <c r="C2600" s="20" t="s">
        <v>1362</v>
      </c>
      <c r="D2600" s="20" t="s">
        <v>1336</v>
      </c>
      <c r="E2600" s="27">
        <v>1</v>
      </c>
      <c r="F2600" s="27">
        <v>8</v>
      </c>
      <c r="G2600" s="29">
        <v>8.3070000000000005E-2</v>
      </c>
    </row>
    <row r="2601" spans="1:7" x14ac:dyDescent="0.25">
      <c r="A2601" s="20" t="s">
        <v>588</v>
      </c>
      <c r="B2601" s="20" t="s">
        <v>65</v>
      </c>
      <c r="C2601" s="20" t="s">
        <v>65</v>
      </c>
      <c r="D2601" s="20" t="s">
        <v>1336</v>
      </c>
      <c r="E2601" s="25">
        <v>0.06</v>
      </c>
      <c r="F2601" s="25">
        <v>0.48</v>
      </c>
      <c r="G2601" s="22"/>
    </row>
    <row r="2602" spans="1:7" x14ac:dyDescent="0.25">
      <c r="A2602" s="20" t="s">
        <v>588</v>
      </c>
      <c r="B2602" s="20" t="s">
        <v>67</v>
      </c>
      <c r="C2602" s="20" t="s">
        <v>67</v>
      </c>
      <c r="D2602" s="20" t="s">
        <v>1336</v>
      </c>
      <c r="E2602" s="24">
        <v>0.373</v>
      </c>
      <c r="F2602" s="24">
        <v>2.984</v>
      </c>
      <c r="G2602" s="22"/>
    </row>
    <row r="2603" spans="1:7" x14ac:dyDescent="0.25">
      <c r="A2603" s="20" t="s">
        <v>588</v>
      </c>
      <c r="B2603" s="20" t="s">
        <v>146</v>
      </c>
      <c r="C2603" s="20" t="s">
        <v>146</v>
      </c>
      <c r="D2603" s="20" t="s">
        <v>1336</v>
      </c>
      <c r="E2603" s="24">
        <v>0.219</v>
      </c>
      <c r="F2603" s="24">
        <v>1.752</v>
      </c>
      <c r="G2603" s="22"/>
    </row>
    <row r="2604" spans="1:7" x14ac:dyDescent="0.25">
      <c r="A2604" s="20" t="s">
        <v>588</v>
      </c>
      <c r="B2604" s="20" t="s">
        <v>155</v>
      </c>
      <c r="C2604" s="20" t="s">
        <v>155</v>
      </c>
      <c r="D2604" s="20" t="s">
        <v>1336</v>
      </c>
      <c r="E2604" s="24">
        <v>3.5999999999999997E-2</v>
      </c>
      <c r="F2604" s="24">
        <v>0.28799999999999998</v>
      </c>
      <c r="G2604" s="22"/>
    </row>
    <row r="2605" spans="1:7" x14ac:dyDescent="0.25">
      <c r="A2605" s="20" t="s">
        <v>588</v>
      </c>
      <c r="B2605" s="20" t="s">
        <v>200</v>
      </c>
      <c r="C2605" s="20" t="s">
        <v>200</v>
      </c>
      <c r="D2605" s="20" t="s">
        <v>1336</v>
      </c>
      <c r="E2605" s="24">
        <v>6.5000000000000002E-2</v>
      </c>
      <c r="F2605" s="25">
        <v>0.52</v>
      </c>
      <c r="G2605" s="22"/>
    </row>
    <row r="2606" spans="1:7" x14ac:dyDescent="0.25">
      <c r="A2606" s="20" t="s">
        <v>588</v>
      </c>
      <c r="B2606" s="20" t="s">
        <v>215</v>
      </c>
      <c r="C2606" s="20" t="s">
        <v>215</v>
      </c>
      <c r="D2606" s="20" t="s">
        <v>1336</v>
      </c>
      <c r="E2606" s="25">
        <v>0.12</v>
      </c>
      <c r="F2606" s="25">
        <v>0.96</v>
      </c>
      <c r="G2606" s="22"/>
    </row>
    <row r="2607" spans="1:7" x14ac:dyDescent="0.25">
      <c r="A2607" s="20" t="s">
        <v>585</v>
      </c>
      <c r="B2607" s="20" t="s">
        <v>1357</v>
      </c>
      <c r="C2607" s="20" t="s">
        <v>1357</v>
      </c>
      <c r="D2607" s="20" t="s">
        <v>1337</v>
      </c>
      <c r="E2607" s="27">
        <v>1</v>
      </c>
      <c r="F2607" s="27">
        <v>8</v>
      </c>
      <c r="G2607" s="29">
        <v>1.17445</v>
      </c>
    </row>
    <row r="2608" spans="1:7" x14ac:dyDescent="0.25">
      <c r="A2608" s="20" t="s">
        <v>595</v>
      </c>
      <c r="B2608" s="20" t="s">
        <v>1358</v>
      </c>
      <c r="C2608" s="20" t="s">
        <v>1358</v>
      </c>
      <c r="D2608" s="20" t="s">
        <v>1337</v>
      </c>
      <c r="E2608" s="27">
        <v>1</v>
      </c>
      <c r="F2608" s="27">
        <v>8</v>
      </c>
      <c r="G2608" s="28">
        <v>1.1667000000000001</v>
      </c>
    </row>
    <row r="2609" spans="1:7" x14ac:dyDescent="0.25">
      <c r="A2609" s="20" t="s">
        <v>595</v>
      </c>
      <c r="B2609" s="20" t="s">
        <v>1359</v>
      </c>
      <c r="C2609" s="20" t="s">
        <v>1359</v>
      </c>
      <c r="D2609" s="20" t="s">
        <v>1337</v>
      </c>
      <c r="E2609" s="27">
        <v>1</v>
      </c>
      <c r="F2609" s="27">
        <v>8</v>
      </c>
      <c r="G2609" s="29">
        <v>0.57042999999999999</v>
      </c>
    </row>
    <row r="2610" spans="1:7" x14ac:dyDescent="0.25">
      <c r="A2610" s="20" t="s">
        <v>595</v>
      </c>
      <c r="B2610" s="20" t="s">
        <v>1360</v>
      </c>
      <c r="C2610" s="20" t="s">
        <v>1360</v>
      </c>
      <c r="D2610" s="20" t="s">
        <v>1337</v>
      </c>
      <c r="E2610" s="27">
        <v>1</v>
      </c>
      <c r="F2610" s="27">
        <v>8</v>
      </c>
      <c r="G2610" s="29">
        <v>0.30038999999999999</v>
      </c>
    </row>
    <row r="2611" spans="1:7" x14ac:dyDescent="0.25">
      <c r="A2611" s="20" t="s">
        <v>595</v>
      </c>
      <c r="B2611" s="20" t="s">
        <v>1361</v>
      </c>
      <c r="C2611" s="20" t="s">
        <v>1361</v>
      </c>
      <c r="D2611" s="20" t="s">
        <v>1337</v>
      </c>
      <c r="E2611" s="27">
        <v>1</v>
      </c>
      <c r="F2611" s="27">
        <v>8</v>
      </c>
      <c r="G2611" s="29">
        <v>0.68423999999999996</v>
      </c>
    </row>
    <row r="2612" spans="1:7" x14ac:dyDescent="0.25">
      <c r="A2612" s="20" t="s">
        <v>595</v>
      </c>
      <c r="B2612" s="20" t="s">
        <v>1362</v>
      </c>
      <c r="C2612" s="20" t="s">
        <v>1362</v>
      </c>
      <c r="D2612" s="20" t="s">
        <v>1337</v>
      </c>
      <c r="E2612" s="27">
        <v>1</v>
      </c>
      <c r="F2612" s="27">
        <v>8</v>
      </c>
      <c r="G2612" s="29">
        <v>8.3070000000000005E-2</v>
      </c>
    </row>
    <row r="2613" spans="1:7" x14ac:dyDescent="0.25">
      <c r="A2613" s="20" t="s">
        <v>588</v>
      </c>
      <c r="B2613" s="20" t="s">
        <v>65</v>
      </c>
      <c r="C2613" s="20" t="s">
        <v>65</v>
      </c>
      <c r="D2613" s="20" t="s">
        <v>1337</v>
      </c>
      <c r="E2613" s="25">
        <v>0.06</v>
      </c>
      <c r="F2613" s="25">
        <v>0.48</v>
      </c>
      <c r="G2613" s="22"/>
    </row>
    <row r="2614" spans="1:7" x14ac:dyDescent="0.25">
      <c r="A2614" s="20" t="s">
        <v>588</v>
      </c>
      <c r="B2614" s="20" t="s">
        <v>67</v>
      </c>
      <c r="C2614" s="20" t="s">
        <v>67</v>
      </c>
      <c r="D2614" s="20" t="s">
        <v>1337</v>
      </c>
      <c r="E2614" s="24">
        <v>0.317</v>
      </c>
      <c r="F2614" s="24">
        <v>2.536</v>
      </c>
      <c r="G2614" s="22"/>
    </row>
    <row r="2615" spans="1:7" x14ac:dyDescent="0.25">
      <c r="A2615" s="20" t="s">
        <v>588</v>
      </c>
      <c r="B2615" s="20" t="s">
        <v>146</v>
      </c>
      <c r="C2615" s="20" t="s">
        <v>146</v>
      </c>
      <c r="D2615" s="20" t="s">
        <v>1337</v>
      </c>
      <c r="E2615" s="24">
        <v>0.186</v>
      </c>
      <c r="F2615" s="24">
        <v>1.488</v>
      </c>
      <c r="G2615" s="22"/>
    </row>
    <row r="2616" spans="1:7" x14ac:dyDescent="0.25">
      <c r="A2616" s="20" t="s">
        <v>588</v>
      </c>
      <c r="B2616" s="20" t="s">
        <v>155</v>
      </c>
      <c r="C2616" s="20" t="s">
        <v>155</v>
      </c>
      <c r="D2616" s="20" t="s">
        <v>1337</v>
      </c>
      <c r="E2616" s="24">
        <v>3.5999999999999997E-2</v>
      </c>
      <c r="F2616" s="24">
        <v>0.28799999999999998</v>
      </c>
      <c r="G2616" s="22"/>
    </row>
    <row r="2617" spans="1:7" x14ac:dyDescent="0.25">
      <c r="A2617" s="20" t="s">
        <v>588</v>
      </c>
      <c r="B2617" s="20" t="s">
        <v>200</v>
      </c>
      <c r="C2617" s="20" t="s">
        <v>200</v>
      </c>
      <c r="D2617" s="20" t="s">
        <v>1337</v>
      </c>
      <c r="E2617" s="24">
        <v>8.0000000000000002E-3</v>
      </c>
      <c r="F2617" s="24">
        <v>6.4000000000000001E-2</v>
      </c>
      <c r="G2617" s="22"/>
    </row>
    <row r="2618" spans="1:7" x14ac:dyDescent="0.25">
      <c r="A2618" s="20" t="s">
        <v>588</v>
      </c>
      <c r="B2618" s="20" t="s">
        <v>215</v>
      </c>
      <c r="C2618" s="20" t="s">
        <v>215</v>
      </c>
      <c r="D2618" s="20" t="s">
        <v>1337</v>
      </c>
      <c r="E2618" s="25">
        <v>0.12</v>
      </c>
      <c r="F2618" s="25">
        <v>0.96</v>
      </c>
      <c r="G2618" s="22"/>
    </row>
    <row r="2619" spans="1:7" x14ac:dyDescent="0.25">
      <c r="A2619" s="20" t="s">
        <v>588</v>
      </c>
      <c r="B2619" s="20" t="s">
        <v>67</v>
      </c>
      <c r="C2619" s="20" t="s">
        <v>67</v>
      </c>
      <c r="D2619" s="20" t="s">
        <v>1358</v>
      </c>
      <c r="E2619" s="24">
        <v>7.0999999999999994E-2</v>
      </c>
      <c r="F2619" s="24">
        <v>1.1359999999999999</v>
      </c>
      <c r="G2619" s="22"/>
    </row>
    <row r="2620" spans="1:7" x14ac:dyDescent="0.25">
      <c r="A2620" s="20" t="s">
        <v>588</v>
      </c>
      <c r="B2620" s="20" t="s">
        <v>109</v>
      </c>
      <c r="C2620" s="20" t="s">
        <v>109</v>
      </c>
      <c r="D2620" s="20" t="s">
        <v>1358</v>
      </c>
      <c r="E2620" s="25">
        <v>1.93</v>
      </c>
      <c r="F2620" s="25">
        <v>30.88</v>
      </c>
      <c r="G2620" s="22"/>
    </row>
    <row r="2621" spans="1:7" x14ac:dyDescent="0.25">
      <c r="A2621" s="20" t="s">
        <v>588</v>
      </c>
      <c r="B2621" s="20" t="s">
        <v>146</v>
      </c>
      <c r="C2621" s="20" t="s">
        <v>146</v>
      </c>
      <c r="D2621" s="20" t="s">
        <v>1358</v>
      </c>
      <c r="E2621" s="24">
        <v>4.2000000000000003E-2</v>
      </c>
      <c r="F2621" s="24">
        <v>0.67200000000000004</v>
      </c>
      <c r="G2621" s="22"/>
    </row>
    <row r="2622" spans="1:7" x14ac:dyDescent="0.25">
      <c r="A2622" s="20" t="s">
        <v>588</v>
      </c>
      <c r="B2622" s="20" t="s">
        <v>67</v>
      </c>
      <c r="C2622" s="20" t="s">
        <v>67</v>
      </c>
      <c r="D2622" s="20" t="s">
        <v>1359</v>
      </c>
      <c r="E2622" s="24">
        <v>1.2E-2</v>
      </c>
      <c r="F2622" s="24">
        <v>0.192</v>
      </c>
      <c r="G2622" s="22"/>
    </row>
    <row r="2623" spans="1:7" x14ac:dyDescent="0.25">
      <c r="A2623" s="20" t="s">
        <v>588</v>
      </c>
      <c r="B2623" s="20" t="s">
        <v>116</v>
      </c>
      <c r="C2623" s="20" t="s">
        <v>116</v>
      </c>
      <c r="D2623" s="20" t="s">
        <v>1359</v>
      </c>
      <c r="E2623" s="33">
        <v>0.7</v>
      </c>
      <c r="F2623" s="33">
        <v>11.2</v>
      </c>
      <c r="G2623" s="22"/>
    </row>
    <row r="2624" spans="1:7" x14ac:dyDescent="0.25">
      <c r="A2624" s="20" t="s">
        <v>588</v>
      </c>
      <c r="B2624" s="20" t="s">
        <v>146</v>
      </c>
      <c r="C2624" s="20" t="s">
        <v>146</v>
      </c>
      <c r="D2624" s="20" t="s">
        <v>1359</v>
      </c>
      <c r="E2624" s="24">
        <v>7.0000000000000001E-3</v>
      </c>
      <c r="F2624" s="24">
        <v>0.112</v>
      </c>
      <c r="G2624" s="22"/>
    </row>
    <row r="2625" spans="1:7" x14ac:dyDescent="0.25">
      <c r="A2625" s="20" t="s">
        <v>588</v>
      </c>
      <c r="B2625" s="20" t="s">
        <v>113</v>
      </c>
      <c r="C2625" s="20" t="s">
        <v>113</v>
      </c>
      <c r="D2625" s="20" t="s">
        <v>1360</v>
      </c>
      <c r="E2625" s="25">
        <v>0.45</v>
      </c>
      <c r="F2625" s="33">
        <v>7.2</v>
      </c>
      <c r="G2625" s="22"/>
    </row>
    <row r="2626" spans="1:7" x14ac:dyDescent="0.25">
      <c r="A2626" s="20" t="s">
        <v>588</v>
      </c>
      <c r="B2626" s="20" t="s">
        <v>183</v>
      </c>
      <c r="C2626" s="20" t="s">
        <v>183</v>
      </c>
      <c r="D2626" s="20" t="s">
        <v>1361</v>
      </c>
      <c r="E2626" s="33">
        <v>0.8</v>
      </c>
      <c r="F2626" s="33">
        <v>12.8</v>
      </c>
      <c r="G2626" s="22"/>
    </row>
    <row r="2627" spans="1:7" x14ac:dyDescent="0.25">
      <c r="A2627" s="20" t="s">
        <v>588</v>
      </c>
      <c r="B2627" s="20" t="s">
        <v>67</v>
      </c>
      <c r="C2627" s="20" t="s">
        <v>67</v>
      </c>
      <c r="D2627" s="20" t="s">
        <v>1362</v>
      </c>
      <c r="E2627" s="24">
        <v>7.0000000000000001E-3</v>
      </c>
      <c r="F2627" s="24">
        <v>0.112</v>
      </c>
      <c r="G2627" s="22"/>
    </row>
    <row r="2628" spans="1:7" x14ac:dyDescent="0.25">
      <c r="A2628" s="20" t="s">
        <v>588</v>
      </c>
      <c r="B2628" s="20" t="s">
        <v>108</v>
      </c>
      <c r="C2628" s="20" t="s">
        <v>108</v>
      </c>
      <c r="D2628" s="20" t="s">
        <v>1362</v>
      </c>
      <c r="E2628" s="25">
        <v>0.11</v>
      </c>
      <c r="F2628" s="25">
        <v>1.76</v>
      </c>
      <c r="G2628" s="22"/>
    </row>
    <row r="2629" spans="1:7" x14ac:dyDescent="0.25">
      <c r="A2629" s="20" t="s">
        <v>588</v>
      </c>
      <c r="B2629" s="20" t="s">
        <v>146</v>
      </c>
      <c r="C2629" s="20" t="s">
        <v>146</v>
      </c>
      <c r="D2629" s="20" t="s">
        <v>1362</v>
      </c>
      <c r="E2629" s="24">
        <v>4.0000000000000001E-3</v>
      </c>
      <c r="F2629" s="24">
        <v>6.4000000000000001E-2</v>
      </c>
      <c r="G2629" s="22"/>
    </row>
    <row r="2630" spans="1:7" x14ac:dyDescent="0.25">
      <c r="A2630" s="20" t="s">
        <v>595</v>
      </c>
      <c r="B2630" s="20" t="s">
        <v>1363</v>
      </c>
      <c r="C2630" s="20" t="s">
        <v>1363</v>
      </c>
      <c r="D2630" s="20" t="s">
        <v>1357</v>
      </c>
      <c r="E2630" s="27">
        <v>1</v>
      </c>
      <c r="F2630" s="27">
        <v>16</v>
      </c>
      <c r="G2630" s="29">
        <v>0.26058999999999999</v>
      </c>
    </row>
    <row r="2631" spans="1:7" x14ac:dyDescent="0.25">
      <c r="A2631" s="20" t="s">
        <v>595</v>
      </c>
      <c r="B2631" s="20" t="s">
        <v>1364</v>
      </c>
      <c r="C2631" s="20" t="s">
        <v>1364</v>
      </c>
      <c r="D2631" s="20" t="s">
        <v>1357</v>
      </c>
      <c r="E2631" s="27">
        <v>1</v>
      </c>
      <c r="F2631" s="27">
        <v>16</v>
      </c>
      <c r="G2631" s="29">
        <v>0.34426000000000001</v>
      </c>
    </row>
    <row r="2632" spans="1:7" x14ac:dyDescent="0.25">
      <c r="A2632" s="20" t="s">
        <v>595</v>
      </c>
      <c r="B2632" s="20" t="s">
        <v>1365</v>
      </c>
      <c r="C2632" s="20" t="s">
        <v>1365</v>
      </c>
      <c r="D2632" s="20" t="s">
        <v>1357</v>
      </c>
      <c r="E2632" s="27">
        <v>2</v>
      </c>
      <c r="F2632" s="27">
        <v>32</v>
      </c>
      <c r="G2632" s="29">
        <v>0.14924000000000001</v>
      </c>
    </row>
    <row r="2633" spans="1:7" x14ac:dyDescent="0.25">
      <c r="A2633" s="20" t="s">
        <v>595</v>
      </c>
      <c r="B2633" s="20" t="s">
        <v>1366</v>
      </c>
      <c r="C2633" s="20" t="s">
        <v>1366</v>
      </c>
      <c r="D2633" s="20" t="s">
        <v>1357</v>
      </c>
      <c r="E2633" s="27">
        <v>1</v>
      </c>
      <c r="F2633" s="27">
        <v>16</v>
      </c>
      <c r="G2633" s="29">
        <v>0.10181999999999999</v>
      </c>
    </row>
    <row r="2634" spans="1:7" x14ac:dyDescent="0.25">
      <c r="A2634" s="20" t="s">
        <v>595</v>
      </c>
      <c r="B2634" s="20" t="s">
        <v>1367</v>
      </c>
      <c r="C2634" s="20" t="s">
        <v>1367</v>
      </c>
      <c r="D2634" s="20" t="s">
        <v>1357</v>
      </c>
      <c r="E2634" s="27">
        <v>1</v>
      </c>
      <c r="F2634" s="27">
        <v>16</v>
      </c>
      <c r="G2634" s="29">
        <v>0.16932</v>
      </c>
    </row>
    <row r="2635" spans="1:7" x14ac:dyDescent="0.25">
      <c r="A2635" s="20" t="s">
        <v>588</v>
      </c>
      <c r="B2635" s="20" t="s">
        <v>67</v>
      </c>
      <c r="C2635" s="20" t="s">
        <v>67</v>
      </c>
      <c r="D2635" s="20" t="s">
        <v>1357</v>
      </c>
      <c r="E2635" s="24">
        <v>7.3999999999999996E-2</v>
      </c>
      <c r="F2635" s="24">
        <v>1.1839999999999999</v>
      </c>
      <c r="G2635" s="22"/>
    </row>
    <row r="2636" spans="1:7" x14ac:dyDescent="0.25">
      <c r="A2636" s="20" t="s">
        <v>588</v>
      </c>
      <c r="B2636" s="20" t="s">
        <v>146</v>
      </c>
      <c r="C2636" s="20" t="s">
        <v>146</v>
      </c>
      <c r="D2636" s="20" t="s">
        <v>1357</v>
      </c>
      <c r="E2636" s="24">
        <v>4.3999999999999997E-2</v>
      </c>
      <c r="F2636" s="24">
        <v>0.70399999999999996</v>
      </c>
      <c r="G2636" s="22"/>
    </row>
    <row r="2637" spans="1:7" x14ac:dyDescent="0.25">
      <c r="A2637" s="20" t="s">
        <v>588</v>
      </c>
      <c r="B2637" s="20" t="s">
        <v>115</v>
      </c>
      <c r="C2637" s="20" t="s">
        <v>115</v>
      </c>
      <c r="D2637" s="20" t="s">
        <v>1363</v>
      </c>
      <c r="E2637" s="24">
        <v>0.51400000000000001</v>
      </c>
      <c r="F2637" s="24">
        <v>8.2240000000000002</v>
      </c>
      <c r="G2637" s="22"/>
    </row>
    <row r="2638" spans="1:7" x14ac:dyDescent="0.25">
      <c r="A2638" s="20" t="s">
        <v>588</v>
      </c>
      <c r="B2638" s="20" t="s">
        <v>115</v>
      </c>
      <c r="C2638" s="20" t="s">
        <v>115</v>
      </c>
      <c r="D2638" s="20" t="s">
        <v>1364</v>
      </c>
      <c r="E2638" s="25">
        <v>0.67</v>
      </c>
      <c r="F2638" s="25">
        <v>10.72</v>
      </c>
      <c r="G2638" s="22"/>
    </row>
    <row r="2639" spans="1:7" x14ac:dyDescent="0.25">
      <c r="A2639" s="20" t="s">
        <v>588</v>
      </c>
      <c r="B2639" s="20" t="s">
        <v>115</v>
      </c>
      <c r="C2639" s="20" t="s">
        <v>115</v>
      </c>
      <c r="D2639" s="20" t="s">
        <v>1365</v>
      </c>
      <c r="E2639" s="24">
        <v>0.182</v>
      </c>
      <c r="F2639" s="24">
        <v>5.8239999999999998</v>
      </c>
      <c r="G2639" s="22"/>
    </row>
    <row r="2640" spans="1:7" x14ac:dyDescent="0.25">
      <c r="A2640" s="20" t="s">
        <v>588</v>
      </c>
      <c r="B2640" s="20" t="s">
        <v>117</v>
      </c>
      <c r="C2640" s="20" t="s">
        <v>117</v>
      </c>
      <c r="D2640" s="20" t="s">
        <v>1366</v>
      </c>
      <c r="E2640" s="25">
        <v>0.13</v>
      </c>
      <c r="F2640" s="25">
        <v>2.08</v>
      </c>
      <c r="G2640" s="22"/>
    </row>
    <row r="2641" spans="1:7" x14ac:dyDescent="0.25">
      <c r="A2641" s="20" t="s">
        <v>588</v>
      </c>
      <c r="B2641" s="20" t="s">
        <v>75</v>
      </c>
      <c r="C2641" s="20" t="s">
        <v>75</v>
      </c>
      <c r="D2641" s="20" t="s">
        <v>1367</v>
      </c>
      <c r="E2641" s="25">
        <v>0.18</v>
      </c>
      <c r="F2641" s="25">
        <v>2.88</v>
      </c>
      <c r="G2641" s="22"/>
    </row>
    <row r="2642" spans="1:7" x14ac:dyDescent="0.25">
      <c r="A2642" s="20" t="s">
        <v>585</v>
      </c>
      <c r="B2642" s="20" t="s">
        <v>1368</v>
      </c>
      <c r="C2642" s="20" t="s">
        <v>1368</v>
      </c>
      <c r="D2642" s="20" t="s">
        <v>1338</v>
      </c>
      <c r="E2642" s="27">
        <v>1</v>
      </c>
      <c r="F2642" s="27">
        <v>16</v>
      </c>
      <c r="G2642" s="29">
        <v>0.81493000000000004</v>
      </c>
    </row>
    <row r="2643" spans="1:7" x14ac:dyDescent="0.25">
      <c r="A2643" s="20" t="s">
        <v>585</v>
      </c>
      <c r="B2643" s="20" t="s">
        <v>1369</v>
      </c>
      <c r="C2643" s="20" t="s">
        <v>1369</v>
      </c>
      <c r="D2643" s="20" t="s">
        <v>1338</v>
      </c>
      <c r="E2643" s="27">
        <v>1</v>
      </c>
      <c r="F2643" s="27">
        <v>16</v>
      </c>
      <c r="G2643" s="29">
        <v>0.16705</v>
      </c>
    </row>
    <row r="2644" spans="1:7" x14ac:dyDescent="0.25">
      <c r="A2644" s="20" t="s">
        <v>595</v>
      </c>
      <c r="B2644" s="20" t="s">
        <v>1370</v>
      </c>
      <c r="C2644" s="20" t="s">
        <v>1370</v>
      </c>
      <c r="D2644" s="20" t="s">
        <v>1338</v>
      </c>
      <c r="E2644" s="27">
        <v>1</v>
      </c>
      <c r="F2644" s="27">
        <v>16</v>
      </c>
      <c r="G2644" s="29">
        <v>0.85358999999999996</v>
      </c>
    </row>
    <row r="2645" spans="1:7" x14ac:dyDescent="0.25">
      <c r="A2645" s="20" t="s">
        <v>588</v>
      </c>
      <c r="B2645" s="20" t="s">
        <v>65</v>
      </c>
      <c r="C2645" s="20" t="s">
        <v>65</v>
      </c>
      <c r="D2645" s="20" t="s">
        <v>1338</v>
      </c>
      <c r="E2645" s="24">
        <v>1.4999999999999999E-2</v>
      </c>
      <c r="F2645" s="25">
        <v>0.24</v>
      </c>
      <c r="G2645" s="22"/>
    </row>
    <row r="2646" spans="1:7" x14ac:dyDescent="0.25">
      <c r="A2646" s="20" t="s">
        <v>588</v>
      </c>
      <c r="B2646" s="20" t="s">
        <v>67</v>
      </c>
      <c r="C2646" s="20" t="s">
        <v>67</v>
      </c>
      <c r="D2646" s="20" t="s">
        <v>1338</v>
      </c>
      <c r="E2646" s="24">
        <v>1.0999999999999999E-2</v>
      </c>
      <c r="F2646" s="24">
        <v>0.17599999999999999</v>
      </c>
      <c r="G2646" s="22"/>
    </row>
    <row r="2647" spans="1:7" x14ac:dyDescent="0.25">
      <c r="A2647" s="20" t="s">
        <v>588</v>
      </c>
      <c r="B2647" s="20" t="s">
        <v>146</v>
      </c>
      <c r="C2647" s="20" t="s">
        <v>146</v>
      </c>
      <c r="D2647" s="20" t="s">
        <v>1338</v>
      </c>
      <c r="E2647" s="24">
        <v>6.0000000000000001E-3</v>
      </c>
      <c r="F2647" s="24">
        <v>9.6000000000000002E-2</v>
      </c>
      <c r="G2647" s="22"/>
    </row>
    <row r="2648" spans="1:7" x14ac:dyDescent="0.25">
      <c r="A2648" s="20" t="s">
        <v>588</v>
      </c>
      <c r="B2648" s="20" t="s">
        <v>155</v>
      </c>
      <c r="C2648" s="20" t="s">
        <v>155</v>
      </c>
      <c r="D2648" s="20" t="s">
        <v>1338</v>
      </c>
      <c r="E2648" s="24">
        <v>8.9999999999999993E-3</v>
      </c>
      <c r="F2648" s="24">
        <v>0.14399999999999999</v>
      </c>
      <c r="G2648" s="22"/>
    </row>
    <row r="2649" spans="1:7" x14ac:dyDescent="0.25">
      <c r="A2649" s="20" t="s">
        <v>588</v>
      </c>
      <c r="B2649" s="20" t="s">
        <v>156</v>
      </c>
      <c r="C2649" s="20" t="s">
        <v>156</v>
      </c>
      <c r="D2649" s="20" t="s">
        <v>1338</v>
      </c>
      <c r="E2649" s="24">
        <v>1.2999999999999999E-2</v>
      </c>
      <c r="F2649" s="24">
        <v>0.20799999999999999</v>
      </c>
      <c r="G2649" s="22"/>
    </row>
    <row r="2650" spans="1:7" x14ac:dyDescent="0.25">
      <c r="A2650" s="20" t="s">
        <v>588</v>
      </c>
      <c r="B2650" s="20" t="s">
        <v>161</v>
      </c>
      <c r="C2650" s="20" t="s">
        <v>161</v>
      </c>
      <c r="D2650" s="20" t="s">
        <v>1338</v>
      </c>
      <c r="E2650" s="25">
        <v>0.05</v>
      </c>
      <c r="F2650" s="33">
        <v>0.8</v>
      </c>
      <c r="G2650" s="22"/>
    </row>
    <row r="2651" spans="1:7" x14ac:dyDescent="0.25">
      <c r="A2651" s="20" t="s">
        <v>588</v>
      </c>
      <c r="B2651" s="20" t="s">
        <v>215</v>
      </c>
      <c r="C2651" s="20" t="s">
        <v>215</v>
      </c>
      <c r="D2651" s="20" t="s">
        <v>1338</v>
      </c>
      <c r="E2651" s="25">
        <v>0.03</v>
      </c>
      <c r="F2651" s="25">
        <v>0.48</v>
      </c>
      <c r="G2651" s="22"/>
    </row>
    <row r="2652" spans="1:7" x14ac:dyDescent="0.25">
      <c r="A2652" s="20" t="s">
        <v>588</v>
      </c>
      <c r="B2652" s="20" t="s">
        <v>177</v>
      </c>
      <c r="C2652" s="20" t="s">
        <v>177</v>
      </c>
      <c r="D2652" s="20" t="s">
        <v>1370</v>
      </c>
      <c r="E2652" s="33">
        <v>0.9</v>
      </c>
      <c r="F2652" s="33">
        <v>14.4</v>
      </c>
      <c r="G2652" s="22"/>
    </row>
    <row r="2653" spans="1:7" x14ac:dyDescent="0.25">
      <c r="A2653" s="20" t="s">
        <v>595</v>
      </c>
      <c r="B2653" s="20" t="s">
        <v>1371</v>
      </c>
      <c r="C2653" s="20" t="s">
        <v>1371</v>
      </c>
      <c r="D2653" s="20" t="s">
        <v>1368</v>
      </c>
      <c r="E2653" s="27">
        <v>1</v>
      </c>
      <c r="F2653" s="27">
        <v>16</v>
      </c>
      <c r="G2653" s="29">
        <v>0.29077999999999998</v>
      </c>
    </row>
    <row r="2654" spans="1:7" x14ac:dyDescent="0.25">
      <c r="A2654" s="20" t="s">
        <v>595</v>
      </c>
      <c r="B2654" s="20" t="s">
        <v>1372</v>
      </c>
      <c r="C2654" s="20" t="s">
        <v>1372</v>
      </c>
      <c r="D2654" s="20" t="s">
        <v>1368</v>
      </c>
      <c r="E2654" s="27">
        <v>1</v>
      </c>
      <c r="F2654" s="27">
        <v>16</v>
      </c>
      <c r="G2654" s="29">
        <v>8.9849999999999999E-2</v>
      </c>
    </row>
    <row r="2655" spans="1:7" x14ac:dyDescent="0.25">
      <c r="A2655" s="20" t="s">
        <v>595</v>
      </c>
      <c r="B2655" s="20" t="s">
        <v>1373</v>
      </c>
      <c r="C2655" s="20" t="s">
        <v>1373</v>
      </c>
      <c r="D2655" s="20" t="s">
        <v>1368</v>
      </c>
      <c r="E2655" s="27">
        <v>1</v>
      </c>
      <c r="F2655" s="27">
        <v>16</v>
      </c>
      <c r="G2655" s="28">
        <v>0.43430000000000002</v>
      </c>
    </row>
    <row r="2656" spans="1:7" x14ac:dyDescent="0.25">
      <c r="A2656" s="20" t="s">
        <v>588</v>
      </c>
      <c r="B2656" s="20" t="s">
        <v>67</v>
      </c>
      <c r="C2656" s="20" t="s">
        <v>67</v>
      </c>
      <c r="D2656" s="20" t="s">
        <v>1368</v>
      </c>
      <c r="E2656" s="24">
        <v>9.4E-2</v>
      </c>
      <c r="F2656" s="24">
        <v>1.504</v>
      </c>
      <c r="G2656" s="22"/>
    </row>
    <row r="2657" spans="1:7" x14ac:dyDescent="0.25">
      <c r="A2657" s="20" t="s">
        <v>588</v>
      </c>
      <c r="B2657" s="20" t="s">
        <v>146</v>
      </c>
      <c r="C2657" s="20" t="s">
        <v>146</v>
      </c>
      <c r="D2657" s="20" t="s">
        <v>1368</v>
      </c>
      <c r="E2657" s="24">
        <v>5.5E-2</v>
      </c>
      <c r="F2657" s="25">
        <v>0.88</v>
      </c>
      <c r="G2657" s="22"/>
    </row>
    <row r="2658" spans="1:7" x14ac:dyDescent="0.25">
      <c r="A2658" s="20" t="s">
        <v>588</v>
      </c>
      <c r="B2658" s="20" t="s">
        <v>109</v>
      </c>
      <c r="C2658" s="20" t="s">
        <v>109</v>
      </c>
      <c r="D2658" s="20" t="s">
        <v>1371</v>
      </c>
      <c r="E2658" s="33">
        <v>0.5</v>
      </c>
      <c r="F2658" s="27">
        <v>8</v>
      </c>
      <c r="G2658" s="22"/>
    </row>
    <row r="2659" spans="1:7" x14ac:dyDescent="0.25">
      <c r="A2659" s="20" t="s">
        <v>588</v>
      </c>
      <c r="B2659" s="20" t="s">
        <v>97</v>
      </c>
      <c r="C2659" s="20" t="s">
        <v>97</v>
      </c>
      <c r="D2659" s="20" t="s">
        <v>1372</v>
      </c>
      <c r="E2659" s="25">
        <v>0.26</v>
      </c>
      <c r="F2659" s="25">
        <v>8.32</v>
      </c>
      <c r="G2659" s="22"/>
    </row>
    <row r="2660" spans="1:7" x14ac:dyDescent="0.25">
      <c r="A2660" s="20" t="s">
        <v>588</v>
      </c>
      <c r="B2660" s="20" t="s">
        <v>180</v>
      </c>
      <c r="C2660" s="20" t="s">
        <v>180</v>
      </c>
      <c r="D2660" s="20" t="s">
        <v>1373</v>
      </c>
      <c r="E2660" s="25">
        <v>0.47</v>
      </c>
      <c r="F2660" s="25">
        <v>7.52</v>
      </c>
      <c r="G2660" s="22"/>
    </row>
    <row r="2661" spans="1:7" x14ac:dyDescent="0.25">
      <c r="A2661" s="20" t="s">
        <v>595</v>
      </c>
      <c r="B2661" s="20" t="s">
        <v>1372</v>
      </c>
      <c r="C2661" s="20" t="s">
        <v>1372</v>
      </c>
      <c r="D2661" s="20" t="s">
        <v>1369</v>
      </c>
      <c r="E2661" s="27">
        <v>1</v>
      </c>
      <c r="F2661" s="27">
        <v>16</v>
      </c>
      <c r="G2661" s="29">
        <v>8.9849999999999999E-2</v>
      </c>
    </row>
    <row r="2662" spans="1:7" x14ac:dyDescent="0.25">
      <c r="A2662" s="20" t="s">
        <v>595</v>
      </c>
      <c r="B2662" s="20" t="s">
        <v>1374</v>
      </c>
      <c r="C2662" s="20" t="s">
        <v>1374</v>
      </c>
      <c r="D2662" s="20" t="s">
        <v>1369</v>
      </c>
      <c r="E2662" s="27">
        <v>3</v>
      </c>
      <c r="F2662" s="27">
        <v>48</v>
      </c>
      <c r="G2662" s="29">
        <v>2.5729999999999999E-2</v>
      </c>
    </row>
    <row r="2663" spans="1:7" x14ac:dyDescent="0.25">
      <c r="A2663" s="20" t="s">
        <v>588</v>
      </c>
      <c r="B2663" s="20" t="s">
        <v>67</v>
      </c>
      <c r="C2663" s="20" t="s">
        <v>67</v>
      </c>
      <c r="D2663" s="20" t="s">
        <v>1369</v>
      </c>
      <c r="E2663" s="24">
        <v>5.0999999999999997E-2</v>
      </c>
      <c r="F2663" s="24">
        <v>0.81599999999999995</v>
      </c>
      <c r="G2663" s="22"/>
    </row>
    <row r="2664" spans="1:7" x14ac:dyDescent="0.25">
      <c r="A2664" s="20" t="s">
        <v>588</v>
      </c>
      <c r="B2664" s="20" t="s">
        <v>146</v>
      </c>
      <c r="C2664" s="20" t="s">
        <v>146</v>
      </c>
      <c r="D2664" s="20" t="s">
        <v>1369</v>
      </c>
      <c r="E2664" s="25">
        <v>0.03</v>
      </c>
      <c r="F2664" s="25">
        <v>0.48</v>
      </c>
      <c r="G2664" s="22"/>
    </row>
    <row r="2665" spans="1:7" x14ac:dyDescent="0.25">
      <c r="A2665" s="20" t="s">
        <v>588</v>
      </c>
      <c r="B2665" s="20" t="s">
        <v>78</v>
      </c>
      <c r="C2665" s="20" t="s">
        <v>78</v>
      </c>
      <c r="D2665" s="20" t="s">
        <v>1374</v>
      </c>
      <c r="E2665" s="24">
        <v>4.2000000000000003E-2</v>
      </c>
      <c r="F2665" s="24">
        <v>2.016</v>
      </c>
      <c r="G2665" s="22"/>
    </row>
    <row r="2666" spans="1:7" x14ac:dyDescent="0.25">
      <c r="A2666" s="20" t="s">
        <v>595</v>
      </c>
      <c r="B2666" s="20" t="s">
        <v>1375</v>
      </c>
      <c r="C2666" s="20" t="s">
        <v>1375</v>
      </c>
      <c r="D2666" s="20" t="s">
        <v>1339</v>
      </c>
      <c r="E2666" s="27">
        <v>1</v>
      </c>
      <c r="F2666" s="27">
        <v>8</v>
      </c>
      <c r="G2666" s="29">
        <v>2.632E-2</v>
      </c>
    </row>
    <row r="2667" spans="1:7" ht="22.5" x14ac:dyDescent="0.25">
      <c r="A2667" s="20" t="s">
        <v>620</v>
      </c>
      <c r="B2667" s="20" t="s">
        <v>47</v>
      </c>
      <c r="C2667" s="20" t="s">
        <v>47</v>
      </c>
      <c r="D2667" s="20" t="s">
        <v>1339</v>
      </c>
      <c r="E2667" s="27">
        <v>1</v>
      </c>
      <c r="F2667" s="27">
        <v>8</v>
      </c>
      <c r="G2667" s="28">
        <v>1.5699999999999999E-2</v>
      </c>
    </row>
    <row r="2668" spans="1:7" x14ac:dyDescent="0.25">
      <c r="A2668" s="20" t="s">
        <v>588</v>
      </c>
      <c r="B2668" s="20" t="s">
        <v>67</v>
      </c>
      <c r="C2668" s="20" t="s">
        <v>67</v>
      </c>
      <c r="D2668" s="20" t="s">
        <v>1339</v>
      </c>
      <c r="E2668" s="24">
        <v>7.0000000000000001E-3</v>
      </c>
      <c r="F2668" s="24">
        <v>5.6000000000000001E-2</v>
      </c>
      <c r="G2668" s="22"/>
    </row>
    <row r="2669" spans="1:7" x14ac:dyDescent="0.25">
      <c r="A2669" s="20" t="s">
        <v>588</v>
      </c>
      <c r="B2669" s="20" t="s">
        <v>147</v>
      </c>
      <c r="C2669" s="20" t="s">
        <v>147</v>
      </c>
      <c r="D2669" s="20" t="s">
        <v>1339</v>
      </c>
      <c r="E2669" s="24">
        <v>4.0000000000000001E-3</v>
      </c>
      <c r="F2669" s="24">
        <v>3.2000000000000001E-2</v>
      </c>
      <c r="G2669" s="22"/>
    </row>
    <row r="2670" spans="1:7" x14ac:dyDescent="0.25">
      <c r="A2670" s="20" t="s">
        <v>588</v>
      </c>
      <c r="B2670" s="20" t="s">
        <v>99</v>
      </c>
      <c r="C2670" s="20" t="s">
        <v>99</v>
      </c>
      <c r="D2670" s="20" t="s">
        <v>1375</v>
      </c>
      <c r="E2670" s="25">
        <v>0.03</v>
      </c>
      <c r="F2670" s="25">
        <v>0.24</v>
      </c>
      <c r="G2670" s="22"/>
    </row>
    <row r="2671" spans="1:7" x14ac:dyDescent="0.25">
      <c r="A2671" s="20" t="s">
        <v>585</v>
      </c>
      <c r="B2671" s="20" t="s">
        <v>1376</v>
      </c>
      <c r="C2671" s="20" t="s">
        <v>1376</v>
      </c>
      <c r="D2671" s="20" t="s">
        <v>1204</v>
      </c>
      <c r="E2671" s="27">
        <v>1</v>
      </c>
      <c r="F2671" s="27">
        <v>2</v>
      </c>
      <c r="G2671" s="29">
        <v>17.32376</v>
      </c>
    </row>
    <row r="2672" spans="1:7" x14ac:dyDescent="0.25">
      <c r="A2672" s="20" t="s">
        <v>585</v>
      </c>
      <c r="B2672" s="20" t="s">
        <v>1377</v>
      </c>
      <c r="C2672" s="20" t="s">
        <v>1377</v>
      </c>
      <c r="D2672" s="20" t="s">
        <v>1204</v>
      </c>
      <c r="E2672" s="27">
        <v>1</v>
      </c>
      <c r="F2672" s="27">
        <v>2</v>
      </c>
      <c r="G2672" s="29">
        <v>5.7201599999999999</v>
      </c>
    </row>
    <row r="2673" spans="1:7" x14ac:dyDescent="0.25">
      <c r="A2673" s="20" t="s">
        <v>585</v>
      </c>
      <c r="B2673" s="20" t="s">
        <v>1378</v>
      </c>
      <c r="C2673" s="20" t="s">
        <v>1378</v>
      </c>
      <c r="D2673" s="20" t="s">
        <v>1204</v>
      </c>
      <c r="E2673" s="27">
        <v>1</v>
      </c>
      <c r="F2673" s="27">
        <v>2</v>
      </c>
      <c r="G2673" s="29">
        <v>4.2926099999999998</v>
      </c>
    </row>
    <row r="2674" spans="1:7" x14ac:dyDescent="0.25">
      <c r="A2674" s="20" t="s">
        <v>585</v>
      </c>
      <c r="B2674" s="20" t="s">
        <v>1379</v>
      </c>
      <c r="C2674" s="20" t="s">
        <v>1379</v>
      </c>
      <c r="D2674" s="20" t="s">
        <v>1204</v>
      </c>
      <c r="E2674" s="27">
        <v>1</v>
      </c>
      <c r="F2674" s="27">
        <v>2</v>
      </c>
      <c r="G2674" s="29">
        <v>3.5384899999999999</v>
      </c>
    </row>
    <row r="2675" spans="1:7" x14ac:dyDescent="0.25">
      <c r="A2675" s="20" t="s">
        <v>585</v>
      </c>
      <c r="B2675" s="20" t="s">
        <v>1380</v>
      </c>
      <c r="C2675" s="20" t="s">
        <v>1380</v>
      </c>
      <c r="D2675" s="20" t="s">
        <v>1204</v>
      </c>
      <c r="E2675" s="27">
        <v>1</v>
      </c>
      <c r="F2675" s="27">
        <v>2</v>
      </c>
      <c r="G2675" s="29">
        <v>0.24001</v>
      </c>
    </row>
    <row r="2676" spans="1:7" ht="22.5" x14ac:dyDescent="0.25">
      <c r="A2676" s="20" t="s">
        <v>620</v>
      </c>
      <c r="B2676" s="20" t="s">
        <v>1010</v>
      </c>
      <c r="C2676" s="20" t="s">
        <v>278</v>
      </c>
      <c r="D2676" s="20" t="s">
        <v>1204</v>
      </c>
      <c r="E2676" s="27">
        <v>1</v>
      </c>
      <c r="F2676" s="27">
        <v>2</v>
      </c>
      <c r="G2676" s="29">
        <v>1.2199999999999999E-3</v>
      </c>
    </row>
    <row r="2677" spans="1:7" ht="22.5" x14ac:dyDescent="0.25">
      <c r="A2677" s="20" t="s">
        <v>620</v>
      </c>
      <c r="B2677" s="20" t="s">
        <v>1381</v>
      </c>
      <c r="C2677" s="20" t="s">
        <v>310</v>
      </c>
      <c r="D2677" s="20" t="s">
        <v>1204</v>
      </c>
      <c r="E2677" s="27">
        <v>1</v>
      </c>
      <c r="F2677" s="27">
        <v>2</v>
      </c>
      <c r="G2677" s="29">
        <v>8.8999999999999995E-4</v>
      </c>
    </row>
    <row r="2678" spans="1:7" x14ac:dyDescent="0.25">
      <c r="A2678" s="20" t="s">
        <v>588</v>
      </c>
      <c r="B2678" s="20" t="s">
        <v>62</v>
      </c>
      <c r="C2678" s="20" t="s">
        <v>62</v>
      </c>
      <c r="D2678" s="20" t="s">
        <v>1204</v>
      </c>
      <c r="E2678" s="33">
        <v>0.3</v>
      </c>
      <c r="F2678" s="33">
        <v>0.6</v>
      </c>
      <c r="G2678" s="22"/>
    </row>
    <row r="2679" spans="1:7" x14ac:dyDescent="0.25">
      <c r="A2679" s="20" t="s">
        <v>588</v>
      </c>
      <c r="B2679" s="20" t="s">
        <v>65</v>
      </c>
      <c r="C2679" s="20" t="s">
        <v>65</v>
      </c>
      <c r="D2679" s="20" t="s">
        <v>1204</v>
      </c>
      <c r="E2679" s="24">
        <v>0.17100000000000001</v>
      </c>
      <c r="F2679" s="24">
        <v>0.34200000000000003</v>
      </c>
      <c r="G2679" s="22"/>
    </row>
    <row r="2680" spans="1:7" x14ac:dyDescent="0.25">
      <c r="A2680" s="20" t="s">
        <v>588</v>
      </c>
      <c r="B2680" s="20" t="s">
        <v>155</v>
      </c>
      <c r="C2680" s="20" t="s">
        <v>155</v>
      </c>
      <c r="D2680" s="20" t="s">
        <v>1204</v>
      </c>
      <c r="E2680" s="24">
        <v>5.0999999999999997E-2</v>
      </c>
      <c r="F2680" s="24">
        <v>0.10199999999999999</v>
      </c>
      <c r="G2680" s="22"/>
    </row>
    <row r="2681" spans="1:7" x14ac:dyDescent="0.25">
      <c r="A2681" s="20" t="s">
        <v>588</v>
      </c>
      <c r="B2681" s="20" t="s">
        <v>156</v>
      </c>
      <c r="C2681" s="20" t="s">
        <v>156</v>
      </c>
      <c r="D2681" s="20" t="s">
        <v>1204</v>
      </c>
      <c r="E2681" s="24">
        <v>0.157</v>
      </c>
      <c r="F2681" s="24">
        <v>0.314</v>
      </c>
      <c r="G2681" s="22"/>
    </row>
    <row r="2682" spans="1:7" x14ac:dyDescent="0.25">
      <c r="A2682" s="20" t="s">
        <v>588</v>
      </c>
      <c r="B2682" s="20" t="s">
        <v>215</v>
      </c>
      <c r="C2682" s="20" t="s">
        <v>215</v>
      </c>
      <c r="D2682" s="20" t="s">
        <v>1204</v>
      </c>
      <c r="E2682" s="24">
        <v>0.34799999999999998</v>
      </c>
      <c r="F2682" s="24">
        <v>0.69599999999999995</v>
      </c>
      <c r="G2682" s="22"/>
    </row>
    <row r="2683" spans="1:7" x14ac:dyDescent="0.25">
      <c r="A2683" s="20" t="s">
        <v>595</v>
      </c>
      <c r="B2683" s="20" t="s">
        <v>1382</v>
      </c>
      <c r="C2683" s="20" t="s">
        <v>1382</v>
      </c>
      <c r="D2683" s="20" t="s">
        <v>1376</v>
      </c>
      <c r="E2683" s="27">
        <v>1</v>
      </c>
      <c r="F2683" s="27">
        <v>2</v>
      </c>
      <c r="G2683" s="28">
        <v>1.0962000000000001</v>
      </c>
    </row>
    <row r="2684" spans="1:7" x14ac:dyDescent="0.25">
      <c r="A2684" s="20" t="s">
        <v>595</v>
      </c>
      <c r="B2684" s="20" t="s">
        <v>1383</v>
      </c>
      <c r="C2684" s="20" t="s">
        <v>1383</v>
      </c>
      <c r="D2684" s="20" t="s">
        <v>1376</v>
      </c>
      <c r="E2684" s="27">
        <v>1</v>
      </c>
      <c r="F2684" s="27">
        <v>2</v>
      </c>
      <c r="G2684" s="28">
        <v>0.3024</v>
      </c>
    </row>
    <row r="2685" spans="1:7" x14ac:dyDescent="0.25">
      <c r="A2685" s="20" t="s">
        <v>595</v>
      </c>
      <c r="B2685" s="20" t="s">
        <v>1384</v>
      </c>
      <c r="C2685" s="20" t="s">
        <v>1384</v>
      </c>
      <c r="D2685" s="20" t="s">
        <v>1376</v>
      </c>
      <c r="E2685" s="27">
        <v>1</v>
      </c>
      <c r="F2685" s="27">
        <v>2</v>
      </c>
      <c r="G2685" s="28">
        <v>0.6048</v>
      </c>
    </row>
    <row r="2686" spans="1:7" x14ac:dyDescent="0.25">
      <c r="A2686" s="20" t="s">
        <v>595</v>
      </c>
      <c r="B2686" s="20" t="s">
        <v>1385</v>
      </c>
      <c r="C2686" s="20" t="s">
        <v>1385</v>
      </c>
      <c r="D2686" s="20" t="s">
        <v>1376</v>
      </c>
      <c r="E2686" s="27">
        <v>1</v>
      </c>
      <c r="F2686" s="27">
        <v>2</v>
      </c>
      <c r="G2686" s="29">
        <v>9.2859999999999998E-2</v>
      </c>
    </row>
    <row r="2687" spans="1:7" x14ac:dyDescent="0.25">
      <c r="A2687" s="20" t="s">
        <v>595</v>
      </c>
      <c r="B2687" s="20" t="s">
        <v>1386</v>
      </c>
      <c r="C2687" s="20" t="s">
        <v>1386</v>
      </c>
      <c r="D2687" s="20" t="s">
        <v>1376</v>
      </c>
      <c r="E2687" s="27">
        <v>2</v>
      </c>
      <c r="F2687" s="27">
        <v>4</v>
      </c>
      <c r="G2687" s="28">
        <v>0.2268</v>
      </c>
    </row>
    <row r="2688" spans="1:7" x14ac:dyDescent="0.25">
      <c r="A2688" s="20" t="s">
        <v>595</v>
      </c>
      <c r="B2688" s="20" t="s">
        <v>1387</v>
      </c>
      <c r="C2688" s="20" t="s">
        <v>1387</v>
      </c>
      <c r="D2688" s="20" t="s">
        <v>1376</v>
      </c>
      <c r="E2688" s="27">
        <v>1</v>
      </c>
      <c r="F2688" s="27">
        <v>2</v>
      </c>
      <c r="G2688" s="28">
        <v>0.6048</v>
      </c>
    </row>
    <row r="2689" spans="1:7" x14ac:dyDescent="0.25">
      <c r="A2689" s="20" t="s">
        <v>595</v>
      </c>
      <c r="B2689" s="20" t="s">
        <v>1388</v>
      </c>
      <c r="C2689" s="20" t="s">
        <v>1388</v>
      </c>
      <c r="D2689" s="20" t="s">
        <v>1376</v>
      </c>
      <c r="E2689" s="27">
        <v>1</v>
      </c>
      <c r="F2689" s="27">
        <v>2</v>
      </c>
      <c r="G2689" s="28">
        <v>0.6048</v>
      </c>
    </row>
    <row r="2690" spans="1:7" x14ac:dyDescent="0.25">
      <c r="A2690" s="20" t="s">
        <v>595</v>
      </c>
      <c r="B2690" s="20" t="s">
        <v>1389</v>
      </c>
      <c r="C2690" s="20" t="s">
        <v>1389</v>
      </c>
      <c r="D2690" s="20" t="s">
        <v>1376</v>
      </c>
      <c r="E2690" s="27">
        <v>1</v>
      </c>
      <c r="F2690" s="27">
        <v>2</v>
      </c>
      <c r="G2690" s="28">
        <v>0.96389999999999998</v>
      </c>
    </row>
    <row r="2691" spans="1:7" ht="22.5" x14ac:dyDescent="0.25">
      <c r="A2691" s="20" t="s">
        <v>620</v>
      </c>
      <c r="B2691" s="20" t="s">
        <v>171</v>
      </c>
      <c r="C2691" s="20" t="s">
        <v>171</v>
      </c>
      <c r="D2691" s="20" t="s">
        <v>1376</v>
      </c>
      <c r="E2691" s="27">
        <v>1</v>
      </c>
      <c r="F2691" s="27">
        <v>2</v>
      </c>
      <c r="G2691" s="31">
        <v>0.49</v>
      </c>
    </row>
    <row r="2692" spans="1:7" ht="22.5" x14ac:dyDescent="0.25">
      <c r="A2692" s="20" t="s">
        <v>620</v>
      </c>
      <c r="B2692" s="20" t="s">
        <v>172</v>
      </c>
      <c r="C2692" s="20" t="s">
        <v>172</v>
      </c>
      <c r="D2692" s="20" t="s">
        <v>1376</v>
      </c>
      <c r="E2692" s="27">
        <v>3</v>
      </c>
      <c r="F2692" s="27">
        <v>6</v>
      </c>
      <c r="G2692" s="35">
        <v>0.35199999999999998</v>
      </c>
    </row>
    <row r="2693" spans="1:7" ht="22.5" x14ac:dyDescent="0.25">
      <c r="A2693" s="20" t="s">
        <v>620</v>
      </c>
      <c r="B2693" s="20" t="s">
        <v>194</v>
      </c>
      <c r="C2693" s="20" t="s">
        <v>194</v>
      </c>
      <c r="D2693" s="20" t="s">
        <v>1376</v>
      </c>
      <c r="E2693" s="27">
        <v>2</v>
      </c>
      <c r="F2693" s="27">
        <v>4</v>
      </c>
      <c r="G2693" s="35">
        <v>0.22900000000000001</v>
      </c>
    </row>
    <row r="2694" spans="1:7" ht="22.5" x14ac:dyDescent="0.25">
      <c r="A2694" s="20" t="s">
        <v>620</v>
      </c>
      <c r="B2694" s="20" t="s">
        <v>195</v>
      </c>
      <c r="C2694" s="20" t="s">
        <v>195</v>
      </c>
      <c r="D2694" s="20" t="s">
        <v>1376</v>
      </c>
      <c r="E2694" s="27">
        <v>3</v>
      </c>
      <c r="F2694" s="27">
        <v>6</v>
      </c>
      <c r="G2694" s="35">
        <v>0.35199999999999998</v>
      </c>
    </row>
    <row r="2695" spans="1:7" ht="22.5" x14ac:dyDescent="0.25">
      <c r="A2695" s="20" t="s">
        <v>620</v>
      </c>
      <c r="B2695" s="20" t="s">
        <v>199</v>
      </c>
      <c r="C2695" s="20" t="s">
        <v>199</v>
      </c>
      <c r="D2695" s="20" t="s">
        <v>1376</v>
      </c>
      <c r="E2695" s="27">
        <v>2</v>
      </c>
      <c r="F2695" s="27">
        <v>4</v>
      </c>
      <c r="G2695" s="35">
        <v>0.14599999999999999</v>
      </c>
    </row>
    <row r="2696" spans="1:7" x14ac:dyDescent="0.25">
      <c r="A2696" s="20" t="s">
        <v>597</v>
      </c>
      <c r="B2696" s="20" t="s">
        <v>18</v>
      </c>
      <c r="C2696" s="20" t="s">
        <v>18</v>
      </c>
      <c r="D2696" s="20" t="s">
        <v>1376</v>
      </c>
      <c r="E2696" s="27">
        <v>1</v>
      </c>
      <c r="F2696" s="27">
        <v>2</v>
      </c>
      <c r="G2696" s="29">
        <v>1.26095</v>
      </c>
    </row>
    <row r="2697" spans="1:7" x14ac:dyDescent="0.25">
      <c r="A2697" s="20" t="s">
        <v>597</v>
      </c>
      <c r="B2697" s="20" t="s">
        <v>32</v>
      </c>
      <c r="C2697" s="20" t="s">
        <v>32</v>
      </c>
      <c r="D2697" s="20" t="s">
        <v>1376</v>
      </c>
      <c r="E2697" s="27">
        <v>1</v>
      </c>
      <c r="F2697" s="27">
        <v>2</v>
      </c>
      <c r="G2697" s="35">
        <v>1.8180000000000001</v>
      </c>
    </row>
    <row r="2698" spans="1:7" x14ac:dyDescent="0.25">
      <c r="A2698" s="20" t="s">
        <v>597</v>
      </c>
      <c r="B2698" s="20" t="s">
        <v>163</v>
      </c>
      <c r="C2698" s="20" t="s">
        <v>163</v>
      </c>
      <c r="D2698" s="20" t="s">
        <v>1376</v>
      </c>
      <c r="E2698" s="27">
        <v>2</v>
      </c>
      <c r="F2698" s="27">
        <v>4</v>
      </c>
      <c r="G2698" s="29">
        <v>0.66662999999999994</v>
      </c>
    </row>
    <row r="2699" spans="1:7" x14ac:dyDescent="0.25">
      <c r="A2699" s="20" t="s">
        <v>597</v>
      </c>
      <c r="B2699" s="20" t="s">
        <v>1390</v>
      </c>
      <c r="C2699" s="20" t="s">
        <v>311</v>
      </c>
      <c r="D2699" s="20" t="s">
        <v>1376</v>
      </c>
      <c r="E2699" s="27">
        <v>1</v>
      </c>
      <c r="F2699" s="27">
        <v>2</v>
      </c>
      <c r="G2699" s="29">
        <v>0.30236000000000002</v>
      </c>
    </row>
    <row r="2700" spans="1:7" x14ac:dyDescent="0.25">
      <c r="A2700" s="20" t="s">
        <v>588</v>
      </c>
      <c r="B2700" s="20" t="s">
        <v>62</v>
      </c>
      <c r="C2700" s="20" t="s">
        <v>62</v>
      </c>
      <c r="D2700" s="20" t="s">
        <v>1376</v>
      </c>
      <c r="E2700" s="33">
        <v>0.5</v>
      </c>
      <c r="F2700" s="27">
        <v>1</v>
      </c>
      <c r="G2700" s="22"/>
    </row>
    <row r="2701" spans="1:7" x14ac:dyDescent="0.25">
      <c r="A2701" s="20" t="s">
        <v>588</v>
      </c>
      <c r="B2701" s="20" t="s">
        <v>157</v>
      </c>
      <c r="C2701" s="20" t="s">
        <v>157</v>
      </c>
      <c r="D2701" s="20" t="s">
        <v>1376</v>
      </c>
      <c r="E2701" s="33">
        <v>0.1</v>
      </c>
      <c r="F2701" s="33">
        <v>0.2</v>
      </c>
      <c r="G2701" s="22"/>
    </row>
    <row r="2702" spans="1:7" x14ac:dyDescent="0.25">
      <c r="A2702" s="20" t="s">
        <v>588</v>
      </c>
      <c r="B2702" s="20" t="s">
        <v>179</v>
      </c>
      <c r="C2702" s="20" t="s">
        <v>179</v>
      </c>
      <c r="D2702" s="20" t="s">
        <v>1382</v>
      </c>
      <c r="E2702" s="24">
        <v>1.111</v>
      </c>
      <c r="F2702" s="24">
        <v>2.222</v>
      </c>
      <c r="G2702" s="22"/>
    </row>
    <row r="2703" spans="1:7" x14ac:dyDescent="0.25">
      <c r="A2703" s="20" t="s">
        <v>588</v>
      </c>
      <c r="B2703" s="20" t="s">
        <v>179</v>
      </c>
      <c r="C2703" s="20" t="s">
        <v>179</v>
      </c>
      <c r="D2703" s="20" t="s">
        <v>1383</v>
      </c>
      <c r="E2703" s="24">
        <v>0.315</v>
      </c>
      <c r="F2703" s="25">
        <v>0.63</v>
      </c>
      <c r="G2703" s="22"/>
    </row>
    <row r="2704" spans="1:7" x14ac:dyDescent="0.25">
      <c r="A2704" s="20" t="s">
        <v>588</v>
      </c>
      <c r="B2704" s="20" t="s">
        <v>179</v>
      </c>
      <c r="C2704" s="20" t="s">
        <v>179</v>
      </c>
      <c r="D2704" s="20" t="s">
        <v>1384</v>
      </c>
      <c r="E2704" s="24">
        <v>0.625</v>
      </c>
      <c r="F2704" s="27">
        <v>5</v>
      </c>
      <c r="G2704" s="22"/>
    </row>
    <row r="2705" spans="1:7" x14ac:dyDescent="0.25">
      <c r="A2705" s="20" t="s">
        <v>588</v>
      </c>
      <c r="B2705" s="20" t="s">
        <v>88</v>
      </c>
      <c r="C2705" s="20" t="s">
        <v>88</v>
      </c>
      <c r="D2705" s="20" t="s">
        <v>1385</v>
      </c>
      <c r="E2705" s="24">
        <v>0.158</v>
      </c>
      <c r="F2705" s="24">
        <v>1.264</v>
      </c>
      <c r="G2705" s="22"/>
    </row>
    <row r="2706" spans="1:7" x14ac:dyDescent="0.25">
      <c r="A2706" s="20" t="s">
        <v>588</v>
      </c>
      <c r="B2706" s="20" t="s">
        <v>179</v>
      </c>
      <c r="C2706" s="20" t="s">
        <v>179</v>
      </c>
      <c r="D2706" s="20" t="s">
        <v>1386</v>
      </c>
      <c r="E2706" s="25">
        <v>0.24</v>
      </c>
      <c r="F2706" s="25">
        <v>3.84</v>
      </c>
      <c r="G2706" s="22"/>
    </row>
    <row r="2707" spans="1:7" x14ac:dyDescent="0.25">
      <c r="A2707" s="20" t="s">
        <v>588</v>
      </c>
      <c r="B2707" s="20" t="s">
        <v>179</v>
      </c>
      <c r="C2707" s="20" t="s">
        <v>179</v>
      </c>
      <c r="D2707" s="20" t="s">
        <v>1387</v>
      </c>
      <c r="E2707" s="24">
        <v>0.625</v>
      </c>
      <c r="F2707" s="25">
        <v>1.25</v>
      </c>
      <c r="G2707" s="22"/>
    </row>
    <row r="2708" spans="1:7" x14ac:dyDescent="0.25">
      <c r="A2708" s="20" t="s">
        <v>588</v>
      </c>
      <c r="B2708" s="20" t="s">
        <v>179</v>
      </c>
      <c r="C2708" s="20" t="s">
        <v>179</v>
      </c>
      <c r="D2708" s="20" t="s">
        <v>1388</v>
      </c>
      <c r="E2708" s="24">
        <v>0.61799999999999999</v>
      </c>
      <c r="F2708" s="24">
        <v>1.236</v>
      </c>
      <c r="G2708" s="22"/>
    </row>
    <row r="2709" spans="1:7" x14ac:dyDescent="0.25">
      <c r="A2709" s="20" t="s">
        <v>588</v>
      </c>
      <c r="B2709" s="20" t="s">
        <v>179</v>
      </c>
      <c r="C2709" s="20" t="s">
        <v>179</v>
      </c>
      <c r="D2709" s="20" t="s">
        <v>1389</v>
      </c>
      <c r="E2709" s="24">
        <v>0.96799999999999997</v>
      </c>
      <c r="F2709" s="24">
        <v>7.7439999999999998</v>
      </c>
      <c r="G2709" s="22"/>
    </row>
    <row r="2710" spans="1:7" x14ac:dyDescent="0.25">
      <c r="A2710" s="20" t="s">
        <v>595</v>
      </c>
      <c r="B2710" s="20" t="s">
        <v>1391</v>
      </c>
      <c r="C2710" s="20" t="s">
        <v>1391</v>
      </c>
      <c r="D2710" s="20" t="s">
        <v>1377</v>
      </c>
      <c r="E2710" s="27">
        <v>1</v>
      </c>
      <c r="F2710" s="27">
        <v>8</v>
      </c>
      <c r="G2710" s="29">
        <v>0.30442000000000002</v>
      </c>
    </row>
    <row r="2711" spans="1:7" ht="22.5" x14ac:dyDescent="0.25">
      <c r="A2711" s="20" t="s">
        <v>620</v>
      </c>
      <c r="B2711" s="20" t="s">
        <v>1009</v>
      </c>
      <c r="C2711" s="20" t="s">
        <v>279</v>
      </c>
      <c r="D2711" s="20" t="s">
        <v>1377</v>
      </c>
      <c r="E2711" s="27">
        <v>2</v>
      </c>
      <c r="F2711" s="27">
        <v>16</v>
      </c>
      <c r="G2711" s="28">
        <v>6.4999999999999997E-3</v>
      </c>
    </row>
    <row r="2712" spans="1:7" ht="22.5" x14ac:dyDescent="0.25">
      <c r="A2712" s="20" t="s">
        <v>620</v>
      </c>
      <c r="B2712" s="20" t="s">
        <v>1022</v>
      </c>
      <c r="C2712" s="20" t="s">
        <v>283</v>
      </c>
      <c r="D2712" s="20" t="s">
        <v>1377</v>
      </c>
      <c r="E2712" s="27">
        <v>4</v>
      </c>
      <c r="F2712" s="27">
        <v>32</v>
      </c>
      <c r="G2712" s="29">
        <v>8.9499999999999996E-3</v>
      </c>
    </row>
    <row r="2713" spans="1:7" ht="22.5" x14ac:dyDescent="0.25">
      <c r="A2713" s="20" t="s">
        <v>620</v>
      </c>
      <c r="B2713" s="20" t="s">
        <v>871</v>
      </c>
      <c r="C2713" s="20" t="s">
        <v>266</v>
      </c>
      <c r="D2713" s="20" t="s">
        <v>1377</v>
      </c>
      <c r="E2713" s="27">
        <v>4</v>
      </c>
      <c r="F2713" s="27">
        <v>32</v>
      </c>
      <c r="G2713" s="28">
        <v>3.3E-3</v>
      </c>
    </row>
    <row r="2714" spans="1:7" x14ac:dyDescent="0.25">
      <c r="A2714" s="20" t="s">
        <v>597</v>
      </c>
      <c r="B2714" s="20" t="s">
        <v>134</v>
      </c>
      <c r="C2714" s="20" t="s">
        <v>134</v>
      </c>
      <c r="D2714" s="20" t="s">
        <v>1377</v>
      </c>
      <c r="E2714" s="27">
        <v>1</v>
      </c>
      <c r="F2714" s="27">
        <v>8</v>
      </c>
      <c r="G2714" s="29">
        <v>4.1453100000000003</v>
      </c>
    </row>
    <row r="2715" spans="1:7" x14ac:dyDescent="0.25">
      <c r="A2715" s="20" t="s">
        <v>588</v>
      </c>
      <c r="B2715" s="20" t="s">
        <v>130</v>
      </c>
      <c r="C2715" s="20" t="s">
        <v>130</v>
      </c>
      <c r="D2715" s="20" t="s">
        <v>1391</v>
      </c>
      <c r="E2715" s="33">
        <v>0.4</v>
      </c>
      <c r="F2715" s="33">
        <v>3.2</v>
      </c>
      <c r="G2715" s="22"/>
    </row>
    <row r="2716" spans="1:7" x14ac:dyDescent="0.25">
      <c r="A2716" s="20" t="s">
        <v>585</v>
      </c>
      <c r="B2716" s="20" t="s">
        <v>1392</v>
      </c>
      <c r="C2716" s="20" t="s">
        <v>1392</v>
      </c>
      <c r="D2716" s="20" t="s">
        <v>1378</v>
      </c>
      <c r="E2716" s="27">
        <v>1</v>
      </c>
      <c r="F2716" s="27">
        <v>8</v>
      </c>
      <c r="G2716" s="29">
        <v>4.8410000000000002E-2</v>
      </c>
    </row>
    <row r="2717" spans="1:7" x14ac:dyDescent="0.25">
      <c r="A2717" s="20" t="s">
        <v>595</v>
      </c>
      <c r="B2717" s="20" t="s">
        <v>1393</v>
      </c>
      <c r="C2717" s="20" t="s">
        <v>1393</v>
      </c>
      <c r="D2717" s="20" t="s">
        <v>1378</v>
      </c>
      <c r="E2717" s="27">
        <v>11</v>
      </c>
      <c r="F2717" s="27">
        <v>88</v>
      </c>
      <c r="G2717" s="29">
        <v>7.0150000000000004E-2</v>
      </c>
    </row>
    <row r="2718" spans="1:7" x14ac:dyDescent="0.25">
      <c r="A2718" s="20" t="s">
        <v>595</v>
      </c>
      <c r="B2718" s="20" t="s">
        <v>1394</v>
      </c>
      <c r="C2718" s="20" t="s">
        <v>1394</v>
      </c>
      <c r="D2718" s="20" t="s">
        <v>1378</v>
      </c>
      <c r="E2718" s="27">
        <v>2</v>
      </c>
      <c r="F2718" s="27">
        <v>16</v>
      </c>
      <c r="G2718" s="29">
        <v>6.2219999999999998E-2</v>
      </c>
    </row>
    <row r="2719" spans="1:7" x14ac:dyDescent="0.25">
      <c r="A2719" s="20" t="s">
        <v>595</v>
      </c>
      <c r="B2719" s="20" t="s">
        <v>1395</v>
      </c>
      <c r="C2719" s="20" t="s">
        <v>1395</v>
      </c>
      <c r="D2719" s="20" t="s">
        <v>1378</v>
      </c>
      <c r="E2719" s="27">
        <v>1</v>
      </c>
      <c r="F2719" s="27">
        <v>8</v>
      </c>
      <c r="G2719" s="28">
        <v>5.9200000000000003E-2</v>
      </c>
    </row>
    <row r="2720" spans="1:7" ht="22.5" x14ac:dyDescent="0.25">
      <c r="A2720" s="20" t="s">
        <v>620</v>
      </c>
      <c r="B2720" s="20" t="s">
        <v>61</v>
      </c>
      <c r="C2720" s="20" t="s">
        <v>61</v>
      </c>
      <c r="D2720" s="20" t="s">
        <v>1378</v>
      </c>
      <c r="E2720" s="27">
        <v>2</v>
      </c>
      <c r="F2720" s="27">
        <v>16</v>
      </c>
      <c r="G2720" s="35">
        <v>0.46400000000000002</v>
      </c>
    </row>
    <row r="2721" spans="1:7" ht="22.5" x14ac:dyDescent="0.25">
      <c r="A2721" s="20" t="s">
        <v>620</v>
      </c>
      <c r="B2721" s="20" t="s">
        <v>145</v>
      </c>
      <c r="C2721" s="20" t="s">
        <v>145</v>
      </c>
      <c r="D2721" s="20" t="s">
        <v>1378</v>
      </c>
      <c r="E2721" s="27">
        <v>2</v>
      </c>
      <c r="F2721" s="27">
        <v>16</v>
      </c>
      <c r="G2721" s="31">
        <v>0.04</v>
      </c>
    </row>
    <row r="2722" spans="1:7" ht="22.5" x14ac:dyDescent="0.25">
      <c r="A2722" s="20" t="s">
        <v>620</v>
      </c>
      <c r="B2722" s="20" t="s">
        <v>170</v>
      </c>
      <c r="C2722" s="20" t="s">
        <v>170</v>
      </c>
      <c r="D2722" s="20" t="s">
        <v>1378</v>
      </c>
      <c r="E2722" s="27">
        <v>3</v>
      </c>
      <c r="F2722" s="27">
        <v>24</v>
      </c>
      <c r="G2722" s="35">
        <v>0.13300000000000001</v>
      </c>
    </row>
    <row r="2723" spans="1:7" ht="22.5" x14ac:dyDescent="0.25">
      <c r="A2723" s="20" t="s">
        <v>620</v>
      </c>
      <c r="B2723" s="20" t="s">
        <v>193</v>
      </c>
      <c r="C2723" s="20" t="s">
        <v>193</v>
      </c>
      <c r="D2723" s="20" t="s">
        <v>1378</v>
      </c>
      <c r="E2723" s="27">
        <v>4</v>
      </c>
      <c r="F2723" s="27">
        <v>32</v>
      </c>
      <c r="G2723" s="35">
        <v>9.4E-2</v>
      </c>
    </row>
    <row r="2724" spans="1:7" ht="22.5" x14ac:dyDescent="0.25">
      <c r="A2724" s="20" t="s">
        <v>620</v>
      </c>
      <c r="B2724" s="20" t="s">
        <v>198</v>
      </c>
      <c r="C2724" s="20" t="s">
        <v>198</v>
      </c>
      <c r="D2724" s="20" t="s">
        <v>1378</v>
      </c>
      <c r="E2724" s="27">
        <v>1</v>
      </c>
      <c r="F2724" s="27">
        <v>8</v>
      </c>
      <c r="G2724" s="35">
        <v>3.7999999999999999E-2</v>
      </c>
    </row>
    <row r="2725" spans="1:7" x14ac:dyDescent="0.25">
      <c r="A2725" s="20" t="s">
        <v>597</v>
      </c>
      <c r="B2725" s="20" t="s">
        <v>10</v>
      </c>
      <c r="C2725" s="20" t="s">
        <v>10</v>
      </c>
      <c r="D2725" s="20" t="s">
        <v>1378</v>
      </c>
      <c r="E2725" s="27">
        <v>1</v>
      </c>
      <c r="F2725" s="27">
        <v>8</v>
      </c>
      <c r="G2725" s="29">
        <v>0.70323999999999998</v>
      </c>
    </row>
    <row r="2726" spans="1:7" x14ac:dyDescent="0.25">
      <c r="A2726" s="20" t="s">
        <v>597</v>
      </c>
      <c r="B2726" s="20" t="s">
        <v>33</v>
      </c>
      <c r="C2726" s="20" t="s">
        <v>33</v>
      </c>
      <c r="D2726" s="20" t="s">
        <v>1378</v>
      </c>
      <c r="E2726" s="27">
        <v>1</v>
      </c>
      <c r="F2726" s="27">
        <v>8</v>
      </c>
      <c r="G2726" s="29">
        <v>0.72860999999999998</v>
      </c>
    </row>
    <row r="2727" spans="1:7" x14ac:dyDescent="0.25">
      <c r="A2727" s="20" t="s">
        <v>588</v>
      </c>
      <c r="B2727" s="20" t="s">
        <v>62</v>
      </c>
      <c r="C2727" s="20" t="s">
        <v>62</v>
      </c>
      <c r="D2727" s="20" t="s">
        <v>1378</v>
      </c>
      <c r="E2727" s="33">
        <v>0.7</v>
      </c>
      <c r="F2727" s="33">
        <v>5.6</v>
      </c>
      <c r="G2727" s="22"/>
    </row>
    <row r="2728" spans="1:7" x14ac:dyDescent="0.25">
      <c r="A2728" s="20" t="s">
        <v>588</v>
      </c>
      <c r="B2728" s="20" t="s">
        <v>157</v>
      </c>
      <c r="C2728" s="20" t="s">
        <v>157</v>
      </c>
      <c r="D2728" s="20" t="s">
        <v>1378</v>
      </c>
      <c r="E2728" s="25">
        <v>0.23</v>
      </c>
      <c r="F2728" s="25">
        <v>1.84</v>
      </c>
      <c r="G2728" s="22"/>
    </row>
    <row r="2729" spans="1:7" x14ac:dyDescent="0.25">
      <c r="A2729" s="20" t="s">
        <v>588</v>
      </c>
      <c r="B2729" s="20" t="s">
        <v>208</v>
      </c>
      <c r="C2729" s="20" t="s">
        <v>208</v>
      </c>
      <c r="D2729" s="20" t="s">
        <v>1393</v>
      </c>
      <c r="E2729" s="24">
        <v>0.20300000000000001</v>
      </c>
      <c r="F2729" s="24">
        <v>17.864000000000001</v>
      </c>
      <c r="G2729" s="22"/>
    </row>
    <row r="2730" spans="1:7" x14ac:dyDescent="0.25">
      <c r="A2730" s="20" t="s">
        <v>588</v>
      </c>
      <c r="B2730" s="20" t="s">
        <v>209</v>
      </c>
      <c r="C2730" s="20" t="s">
        <v>209</v>
      </c>
      <c r="D2730" s="20" t="s">
        <v>1394</v>
      </c>
      <c r="E2730" s="24">
        <v>0.17799999999999999</v>
      </c>
      <c r="F2730" s="24">
        <v>2.8479999999999999</v>
      </c>
      <c r="G2730" s="22"/>
    </row>
    <row r="2731" spans="1:7" x14ac:dyDescent="0.25">
      <c r="A2731" s="20" t="s">
        <v>588</v>
      </c>
      <c r="B2731" s="20" t="s">
        <v>83</v>
      </c>
      <c r="C2731" s="20" t="s">
        <v>83</v>
      </c>
      <c r="D2731" s="20" t="s">
        <v>1395</v>
      </c>
      <c r="E2731" s="24">
        <v>0.13100000000000001</v>
      </c>
      <c r="F2731" s="24">
        <v>1.048</v>
      </c>
      <c r="G2731" s="22"/>
    </row>
    <row r="2732" spans="1:7" x14ac:dyDescent="0.25">
      <c r="A2732" s="20" t="s">
        <v>595</v>
      </c>
      <c r="B2732" s="20" t="s">
        <v>1396</v>
      </c>
      <c r="C2732" s="20" t="s">
        <v>1396</v>
      </c>
      <c r="D2732" s="20" t="s">
        <v>1392</v>
      </c>
      <c r="E2732" s="27">
        <v>1</v>
      </c>
      <c r="F2732" s="27">
        <v>9</v>
      </c>
      <c r="G2732" s="29">
        <v>4.0910000000000002E-2</v>
      </c>
    </row>
    <row r="2733" spans="1:7" x14ac:dyDescent="0.25">
      <c r="A2733" s="20" t="s">
        <v>595</v>
      </c>
      <c r="B2733" s="20" t="s">
        <v>1397</v>
      </c>
      <c r="C2733" s="20" t="s">
        <v>1397</v>
      </c>
      <c r="D2733" s="20" t="s">
        <v>1392</v>
      </c>
      <c r="E2733" s="27">
        <v>1</v>
      </c>
      <c r="F2733" s="27">
        <v>9</v>
      </c>
      <c r="G2733" s="29">
        <v>3.0699999999999998E-3</v>
      </c>
    </row>
    <row r="2734" spans="1:7" x14ac:dyDescent="0.25">
      <c r="A2734" s="20" t="s">
        <v>597</v>
      </c>
      <c r="B2734" s="20" t="s">
        <v>197</v>
      </c>
      <c r="C2734" s="20" t="s">
        <v>197</v>
      </c>
      <c r="D2734" s="20" t="s">
        <v>1392</v>
      </c>
      <c r="E2734" s="27">
        <v>1</v>
      </c>
      <c r="F2734" s="27">
        <v>9</v>
      </c>
      <c r="G2734" s="29">
        <v>4.4400000000000004E-3</v>
      </c>
    </row>
    <row r="2735" spans="1:7" x14ac:dyDescent="0.25">
      <c r="A2735" s="20" t="s">
        <v>588</v>
      </c>
      <c r="B2735" s="20" t="s">
        <v>157</v>
      </c>
      <c r="C2735" s="20" t="s">
        <v>157</v>
      </c>
      <c r="D2735" s="20" t="s">
        <v>1392</v>
      </c>
      <c r="E2735" s="24">
        <v>2E-3</v>
      </c>
      <c r="F2735" s="24">
        <v>1.7999999999999999E-2</v>
      </c>
      <c r="G2735" s="22"/>
    </row>
    <row r="2736" spans="1:7" x14ac:dyDescent="0.25">
      <c r="A2736" s="20" t="s">
        <v>588</v>
      </c>
      <c r="B2736" s="20" t="s">
        <v>154</v>
      </c>
      <c r="C2736" s="20" t="s">
        <v>154</v>
      </c>
      <c r="D2736" s="20" t="s">
        <v>1396</v>
      </c>
      <c r="E2736" s="24">
        <v>0.10199999999999999</v>
      </c>
      <c r="F2736" s="24">
        <v>0.91800000000000004</v>
      </c>
      <c r="G2736" s="22"/>
    </row>
    <row r="2737" spans="1:7" x14ac:dyDescent="0.25">
      <c r="A2737" s="20" t="s">
        <v>588</v>
      </c>
      <c r="B2737" s="20" t="s">
        <v>153</v>
      </c>
      <c r="C2737" s="20" t="s">
        <v>153</v>
      </c>
      <c r="D2737" s="20" t="s">
        <v>1397</v>
      </c>
      <c r="E2737" s="24">
        <v>4.8000000000000001E-2</v>
      </c>
      <c r="F2737" s="24">
        <v>0.432</v>
      </c>
      <c r="G2737" s="22"/>
    </row>
    <row r="2738" spans="1:7" x14ac:dyDescent="0.25">
      <c r="A2738" s="20" t="s">
        <v>595</v>
      </c>
      <c r="B2738" s="20" t="s">
        <v>1398</v>
      </c>
      <c r="C2738" s="20" t="s">
        <v>1398</v>
      </c>
      <c r="D2738" s="20" t="s">
        <v>1379</v>
      </c>
      <c r="E2738" s="27">
        <v>1</v>
      </c>
      <c r="F2738" s="27">
        <v>8</v>
      </c>
      <c r="G2738" s="35">
        <v>0.56699999999999995</v>
      </c>
    </row>
    <row r="2739" spans="1:7" x14ac:dyDescent="0.25">
      <c r="A2739" s="20" t="s">
        <v>595</v>
      </c>
      <c r="B2739" s="20" t="s">
        <v>1399</v>
      </c>
      <c r="C2739" s="20" t="s">
        <v>1399</v>
      </c>
      <c r="D2739" s="20" t="s">
        <v>1379</v>
      </c>
      <c r="E2739" s="27">
        <v>1</v>
      </c>
      <c r="F2739" s="27">
        <v>8</v>
      </c>
      <c r="G2739" s="28">
        <v>0.3024</v>
      </c>
    </row>
    <row r="2740" spans="1:7" x14ac:dyDescent="0.25">
      <c r="A2740" s="20" t="s">
        <v>595</v>
      </c>
      <c r="B2740" s="20" t="s">
        <v>1400</v>
      </c>
      <c r="C2740" s="20" t="s">
        <v>1400</v>
      </c>
      <c r="D2740" s="20" t="s">
        <v>1379</v>
      </c>
      <c r="E2740" s="27">
        <v>1</v>
      </c>
      <c r="F2740" s="27">
        <v>8</v>
      </c>
      <c r="G2740" s="28">
        <v>0.3024</v>
      </c>
    </row>
    <row r="2741" spans="1:7" x14ac:dyDescent="0.25">
      <c r="A2741" s="20" t="s">
        <v>597</v>
      </c>
      <c r="B2741" s="20" t="s">
        <v>32</v>
      </c>
      <c r="C2741" s="20" t="s">
        <v>32</v>
      </c>
      <c r="D2741" s="20" t="s">
        <v>1379</v>
      </c>
      <c r="E2741" s="27">
        <v>1</v>
      </c>
      <c r="F2741" s="27">
        <v>8</v>
      </c>
      <c r="G2741" s="35">
        <v>1.8180000000000001</v>
      </c>
    </row>
    <row r="2742" spans="1:7" x14ac:dyDescent="0.25">
      <c r="A2742" s="20" t="s">
        <v>597</v>
      </c>
      <c r="B2742" s="20" t="s">
        <v>73</v>
      </c>
      <c r="C2742" s="20" t="s">
        <v>1401</v>
      </c>
      <c r="D2742" s="20" t="s">
        <v>1379</v>
      </c>
      <c r="E2742" s="27">
        <v>1</v>
      </c>
      <c r="F2742" s="27">
        <v>8</v>
      </c>
      <c r="G2742" s="29">
        <v>0.54867999999999995</v>
      </c>
    </row>
    <row r="2743" spans="1:7" x14ac:dyDescent="0.25">
      <c r="A2743" s="20" t="s">
        <v>588</v>
      </c>
      <c r="B2743" s="20" t="s">
        <v>62</v>
      </c>
      <c r="C2743" s="20" t="s">
        <v>62</v>
      </c>
      <c r="D2743" s="20" t="s">
        <v>1379</v>
      </c>
      <c r="E2743" s="33">
        <v>0.5</v>
      </c>
      <c r="F2743" s="27">
        <v>4</v>
      </c>
      <c r="G2743" s="22"/>
    </row>
    <row r="2744" spans="1:7" x14ac:dyDescent="0.25">
      <c r="A2744" s="20" t="s">
        <v>588</v>
      </c>
      <c r="B2744" s="20" t="s">
        <v>157</v>
      </c>
      <c r="C2744" s="20" t="s">
        <v>157</v>
      </c>
      <c r="D2744" s="20" t="s">
        <v>1379</v>
      </c>
      <c r="E2744" s="25">
        <v>0.02</v>
      </c>
      <c r="F2744" s="25">
        <v>0.16</v>
      </c>
      <c r="G2744" s="22"/>
    </row>
    <row r="2745" spans="1:7" x14ac:dyDescent="0.25">
      <c r="A2745" s="20" t="s">
        <v>588</v>
      </c>
      <c r="B2745" s="20" t="s">
        <v>179</v>
      </c>
      <c r="C2745" s="20" t="s">
        <v>179</v>
      </c>
      <c r="D2745" s="20" t="s">
        <v>1398</v>
      </c>
      <c r="E2745" s="24">
        <v>0.57399999999999995</v>
      </c>
      <c r="F2745" s="24">
        <v>4.5919999999999996</v>
      </c>
      <c r="G2745" s="22"/>
    </row>
    <row r="2746" spans="1:7" x14ac:dyDescent="0.25">
      <c r="A2746" s="20" t="s">
        <v>588</v>
      </c>
      <c r="B2746" s="20" t="s">
        <v>179</v>
      </c>
      <c r="C2746" s="20" t="s">
        <v>179</v>
      </c>
      <c r="D2746" s="20" t="s">
        <v>1399</v>
      </c>
      <c r="E2746" s="24">
        <v>0.33200000000000002</v>
      </c>
      <c r="F2746" s="24">
        <v>2.6560000000000001</v>
      </c>
      <c r="G2746" s="22"/>
    </row>
    <row r="2747" spans="1:7" x14ac:dyDescent="0.25">
      <c r="A2747" s="20" t="s">
        <v>588</v>
      </c>
      <c r="B2747" s="20" t="s">
        <v>179</v>
      </c>
      <c r="C2747" s="20" t="s">
        <v>179</v>
      </c>
      <c r="D2747" s="20" t="s">
        <v>1400</v>
      </c>
      <c r="E2747" s="24">
        <v>0.311</v>
      </c>
      <c r="F2747" s="24">
        <v>2.488</v>
      </c>
      <c r="G2747" s="22"/>
    </row>
    <row r="2748" spans="1:7" x14ac:dyDescent="0.25">
      <c r="A2748" s="20" t="s">
        <v>595</v>
      </c>
      <c r="B2748" s="20" t="s">
        <v>1402</v>
      </c>
      <c r="C2748" s="20" t="s">
        <v>1402</v>
      </c>
      <c r="D2748" s="20" t="s">
        <v>1380</v>
      </c>
      <c r="E2748" s="27">
        <v>4</v>
      </c>
      <c r="F2748" s="27">
        <v>32</v>
      </c>
      <c r="G2748" s="29">
        <v>1.013E-2</v>
      </c>
    </row>
    <row r="2749" spans="1:7" x14ac:dyDescent="0.25">
      <c r="A2749" s="20" t="s">
        <v>595</v>
      </c>
      <c r="B2749" s="20" t="s">
        <v>1403</v>
      </c>
      <c r="C2749" s="20" t="s">
        <v>1403</v>
      </c>
      <c r="D2749" s="20" t="s">
        <v>1380</v>
      </c>
      <c r="E2749" s="27">
        <v>2</v>
      </c>
      <c r="F2749" s="27">
        <v>16</v>
      </c>
      <c r="G2749" s="29">
        <v>7.8899999999999994E-3</v>
      </c>
    </row>
    <row r="2750" spans="1:7" x14ac:dyDescent="0.25">
      <c r="A2750" s="20" t="s">
        <v>595</v>
      </c>
      <c r="B2750" s="20" t="s">
        <v>1404</v>
      </c>
      <c r="C2750" s="20" t="s">
        <v>1404</v>
      </c>
      <c r="D2750" s="20" t="s">
        <v>1380</v>
      </c>
      <c r="E2750" s="27">
        <v>1</v>
      </c>
      <c r="F2750" s="27">
        <v>8</v>
      </c>
      <c r="G2750" s="29">
        <v>5.1569999999999998E-2</v>
      </c>
    </row>
    <row r="2751" spans="1:7" ht="22.5" x14ac:dyDescent="0.25">
      <c r="A2751" s="20" t="s">
        <v>620</v>
      </c>
      <c r="B2751" s="20" t="s">
        <v>1405</v>
      </c>
      <c r="C2751" s="20" t="s">
        <v>318</v>
      </c>
      <c r="D2751" s="20" t="s">
        <v>1380</v>
      </c>
      <c r="E2751" s="27">
        <v>4</v>
      </c>
      <c r="F2751" s="27">
        <v>32</v>
      </c>
      <c r="G2751" s="29">
        <v>1.06E-3</v>
      </c>
    </row>
    <row r="2752" spans="1:7" ht="22.5" x14ac:dyDescent="0.25">
      <c r="A2752" s="20" t="s">
        <v>620</v>
      </c>
      <c r="B2752" s="20" t="s">
        <v>1406</v>
      </c>
      <c r="C2752" s="20" t="s">
        <v>317</v>
      </c>
      <c r="D2752" s="20" t="s">
        <v>1380</v>
      </c>
      <c r="E2752" s="27">
        <v>2</v>
      </c>
      <c r="F2752" s="27">
        <v>16</v>
      </c>
      <c r="G2752" s="29">
        <v>8.9800000000000001E-3</v>
      </c>
    </row>
    <row r="2753" spans="1:7" ht="22.5" x14ac:dyDescent="0.25">
      <c r="A2753" s="20" t="s">
        <v>620</v>
      </c>
      <c r="B2753" s="20" t="s">
        <v>1407</v>
      </c>
      <c r="C2753" s="20" t="s">
        <v>316</v>
      </c>
      <c r="D2753" s="20" t="s">
        <v>1380</v>
      </c>
      <c r="E2753" s="27">
        <v>4</v>
      </c>
      <c r="F2753" s="27">
        <v>32</v>
      </c>
      <c r="G2753" s="29">
        <v>2.0699999999999998E-3</v>
      </c>
    </row>
    <row r="2754" spans="1:7" ht="22.5" x14ac:dyDescent="0.25">
      <c r="A2754" s="20" t="s">
        <v>620</v>
      </c>
      <c r="B2754" s="20" t="s">
        <v>1408</v>
      </c>
      <c r="C2754" s="20" t="s">
        <v>315</v>
      </c>
      <c r="D2754" s="20" t="s">
        <v>1380</v>
      </c>
      <c r="E2754" s="27">
        <v>2</v>
      </c>
      <c r="F2754" s="27">
        <v>16</v>
      </c>
      <c r="G2754" s="29">
        <v>2.5699999999999998E-3</v>
      </c>
    </row>
    <row r="2755" spans="1:7" ht="22.5" x14ac:dyDescent="0.25">
      <c r="A2755" s="20" t="s">
        <v>620</v>
      </c>
      <c r="B2755" s="20" t="s">
        <v>1409</v>
      </c>
      <c r="C2755" s="20" t="s">
        <v>314</v>
      </c>
      <c r="D2755" s="20" t="s">
        <v>1380</v>
      </c>
      <c r="E2755" s="27">
        <v>4</v>
      </c>
      <c r="F2755" s="27">
        <v>32</v>
      </c>
      <c r="G2755" s="29">
        <v>4.0000000000000003E-5</v>
      </c>
    </row>
    <row r="2756" spans="1:7" ht="22.5" x14ac:dyDescent="0.25">
      <c r="A2756" s="20" t="s">
        <v>620</v>
      </c>
      <c r="B2756" s="20" t="s">
        <v>1410</v>
      </c>
      <c r="C2756" s="20" t="s">
        <v>313</v>
      </c>
      <c r="D2756" s="20" t="s">
        <v>1380</v>
      </c>
      <c r="E2756" s="27">
        <v>2</v>
      </c>
      <c r="F2756" s="27">
        <v>16</v>
      </c>
      <c r="G2756" s="29">
        <v>3.8000000000000002E-4</v>
      </c>
    </row>
    <row r="2757" spans="1:7" ht="22.5" x14ac:dyDescent="0.25">
      <c r="A2757" s="20" t="s">
        <v>620</v>
      </c>
      <c r="B2757" s="20" t="s">
        <v>1411</v>
      </c>
      <c r="C2757" s="20" t="s">
        <v>312</v>
      </c>
      <c r="D2757" s="20" t="s">
        <v>1380</v>
      </c>
      <c r="E2757" s="27">
        <v>4</v>
      </c>
      <c r="F2757" s="27">
        <v>32</v>
      </c>
      <c r="G2757" s="29">
        <v>9.8999999999999999E-4</v>
      </c>
    </row>
    <row r="2758" spans="1:7" x14ac:dyDescent="0.25">
      <c r="A2758" s="20" t="s">
        <v>588</v>
      </c>
      <c r="B2758" s="20" t="s">
        <v>128</v>
      </c>
      <c r="C2758" s="20" t="s">
        <v>128</v>
      </c>
      <c r="D2758" s="20" t="s">
        <v>1402</v>
      </c>
      <c r="E2758" s="24">
        <v>1.4E-2</v>
      </c>
      <c r="F2758" s="24">
        <v>0.44800000000000001</v>
      </c>
      <c r="G2758" s="22"/>
    </row>
    <row r="2759" spans="1:7" x14ac:dyDescent="0.25">
      <c r="A2759" s="20" t="s">
        <v>588</v>
      </c>
      <c r="B2759" s="20" t="s">
        <v>81</v>
      </c>
      <c r="C2759" s="20" t="s">
        <v>81</v>
      </c>
      <c r="D2759" s="20" t="s">
        <v>1403</v>
      </c>
      <c r="E2759" s="24">
        <v>2.1000000000000001E-2</v>
      </c>
      <c r="F2759" s="24">
        <v>0.33600000000000002</v>
      </c>
      <c r="G2759" s="22"/>
    </row>
    <row r="2760" spans="1:7" x14ac:dyDescent="0.25">
      <c r="A2760" s="20" t="s">
        <v>588</v>
      </c>
      <c r="B2760" s="20" t="s">
        <v>151</v>
      </c>
      <c r="C2760" s="20" t="s">
        <v>151</v>
      </c>
      <c r="D2760" s="20" t="s">
        <v>1404</v>
      </c>
      <c r="E2760" s="24">
        <v>5.1999999999999998E-2</v>
      </c>
      <c r="F2760" s="24">
        <v>0.41599999999999998</v>
      </c>
      <c r="G2760" s="22"/>
    </row>
    <row r="2761" spans="1:7" x14ac:dyDescent="0.25">
      <c r="A2761" s="20" t="s">
        <v>585</v>
      </c>
      <c r="B2761" s="20" t="s">
        <v>1377</v>
      </c>
      <c r="C2761" s="20" t="s">
        <v>1377</v>
      </c>
      <c r="D2761" s="20" t="s">
        <v>1294</v>
      </c>
      <c r="E2761" s="27">
        <v>1</v>
      </c>
      <c r="F2761" s="27">
        <v>1</v>
      </c>
      <c r="G2761" s="29">
        <v>5.7201599999999999</v>
      </c>
    </row>
    <row r="2762" spans="1:7" x14ac:dyDescent="0.25">
      <c r="A2762" s="20" t="s">
        <v>585</v>
      </c>
      <c r="B2762" s="20" t="s">
        <v>1378</v>
      </c>
      <c r="C2762" s="20" t="s">
        <v>1378</v>
      </c>
      <c r="D2762" s="20" t="s">
        <v>1294</v>
      </c>
      <c r="E2762" s="27">
        <v>1</v>
      </c>
      <c r="F2762" s="27">
        <v>1</v>
      </c>
      <c r="G2762" s="29">
        <v>4.2926099999999998</v>
      </c>
    </row>
    <row r="2763" spans="1:7" x14ac:dyDescent="0.25">
      <c r="A2763" s="20" t="s">
        <v>585</v>
      </c>
      <c r="B2763" s="20" t="s">
        <v>1379</v>
      </c>
      <c r="C2763" s="20" t="s">
        <v>1379</v>
      </c>
      <c r="D2763" s="20" t="s">
        <v>1294</v>
      </c>
      <c r="E2763" s="27">
        <v>1</v>
      </c>
      <c r="F2763" s="27">
        <v>1</v>
      </c>
      <c r="G2763" s="29">
        <v>3.5384899999999999</v>
      </c>
    </row>
    <row r="2764" spans="1:7" x14ac:dyDescent="0.25">
      <c r="A2764" s="20" t="s">
        <v>585</v>
      </c>
      <c r="B2764" s="20" t="s">
        <v>1380</v>
      </c>
      <c r="C2764" s="20" t="s">
        <v>1380</v>
      </c>
      <c r="D2764" s="20" t="s">
        <v>1294</v>
      </c>
      <c r="E2764" s="27">
        <v>1</v>
      </c>
      <c r="F2764" s="27">
        <v>1</v>
      </c>
      <c r="G2764" s="29">
        <v>0.24001</v>
      </c>
    </row>
    <row r="2765" spans="1:7" x14ac:dyDescent="0.25">
      <c r="A2765" s="20" t="s">
        <v>585</v>
      </c>
      <c r="B2765" s="20" t="s">
        <v>1412</v>
      </c>
      <c r="C2765" s="20" t="s">
        <v>1412</v>
      </c>
      <c r="D2765" s="20" t="s">
        <v>1294</v>
      </c>
      <c r="E2765" s="27">
        <v>1</v>
      </c>
      <c r="F2765" s="27">
        <v>1</v>
      </c>
      <c r="G2765" s="29">
        <v>16.18976</v>
      </c>
    </row>
    <row r="2766" spans="1:7" ht="22.5" x14ac:dyDescent="0.25">
      <c r="A2766" s="20" t="s">
        <v>620</v>
      </c>
      <c r="B2766" s="20" t="s">
        <v>1010</v>
      </c>
      <c r="C2766" s="20" t="s">
        <v>278</v>
      </c>
      <c r="D2766" s="20" t="s">
        <v>1294</v>
      </c>
      <c r="E2766" s="27">
        <v>1</v>
      </c>
      <c r="F2766" s="27">
        <v>1</v>
      </c>
      <c r="G2766" s="29">
        <v>1.2199999999999999E-3</v>
      </c>
    </row>
    <row r="2767" spans="1:7" ht="22.5" x14ac:dyDescent="0.25">
      <c r="A2767" s="20" t="s">
        <v>620</v>
      </c>
      <c r="B2767" s="20" t="s">
        <v>1381</v>
      </c>
      <c r="C2767" s="20" t="s">
        <v>310</v>
      </c>
      <c r="D2767" s="20" t="s">
        <v>1294</v>
      </c>
      <c r="E2767" s="27">
        <v>1</v>
      </c>
      <c r="F2767" s="27">
        <v>1</v>
      </c>
      <c r="G2767" s="29">
        <v>8.8999999999999995E-4</v>
      </c>
    </row>
    <row r="2768" spans="1:7" x14ac:dyDescent="0.25">
      <c r="A2768" s="20" t="s">
        <v>588</v>
      </c>
      <c r="B2768" s="20" t="s">
        <v>62</v>
      </c>
      <c r="C2768" s="20" t="s">
        <v>62</v>
      </c>
      <c r="D2768" s="20" t="s">
        <v>1294</v>
      </c>
      <c r="E2768" s="33">
        <v>0.3</v>
      </c>
      <c r="F2768" s="33">
        <v>0.3</v>
      </c>
      <c r="G2768" s="22"/>
    </row>
    <row r="2769" spans="1:7" x14ac:dyDescent="0.25">
      <c r="A2769" s="20" t="s">
        <v>588</v>
      </c>
      <c r="B2769" s="20" t="s">
        <v>65</v>
      </c>
      <c r="C2769" s="20" t="s">
        <v>65</v>
      </c>
      <c r="D2769" s="20" t="s">
        <v>1294</v>
      </c>
      <c r="E2769" s="24">
        <v>5.5E-2</v>
      </c>
      <c r="F2769" s="24">
        <v>5.5E-2</v>
      </c>
      <c r="G2769" s="22"/>
    </row>
    <row r="2770" spans="1:7" x14ac:dyDescent="0.25">
      <c r="A2770" s="20" t="s">
        <v>588</v>
      </c>
      <c r="B2770" s="20" t="s">
        <v>155</v>
      </c>
      <c r="C2770" s="20" t="s">
        <v>155</v>
      </c>
      <c r="D2770" s="20" t="s">
        <v>1294</v>
      </c>
      <c r="E2770" s="24">
        <v>3.3000000000000002E-2</v>
      </c>
      <c r="F2770" s="24">
        <v>3.3000000000000002E-2</v>
      </c>
      <c r="G2770" s="22"/>
    </row>
    <row r="2771" spans="1:7" x14ac:dyDescent="0.25">
      <c r="A2771" s="20" t="s">
        <v>588</v>
      </c>
      <c r="B2771" s="20" t="s">
        <v>156</v>
      </c>
      <c r="C2771" s="20" t="s">
        <v>156</v>
      </c>
      <c r="D2771" s="20" t="s">
        <v>1294</v>
      </c>
      <c r="E2771" s="25">
        <v>0.05</v>
      </c>
      <c r="F2771" s="25">
        <v>0.05</v>
      </c>
      <c r="G2771" s="22"/>
    </row>
    <row r="2772" spans="1:7" x14ac:dyDescent="0.25">
      <c r="A2772" s="20" t="s">
        <v>588</v>
      </c>
      <c r="B2772" s="20" t="s">
        <v>215</v>
      </c>
      <c r="C2772" s="20" t="s">
        <v>215</v>
      </c>
      <c r="D2772" s="20" t="s">
        <v>1294</v>
      </c>
      <c r="E2772" s="25">
        <v>0.11</v>
      </c>
      <c r="F2772" s="25">
        <v>0.11</v>
      </c>
      <c r="G2772" s="22"/>
    </row>
    <row r="2773" spans="1:7" x14ac:dyDescent="0.25">
      <c r="A2773" s="20" t="s">
        <v>595</v>
      </c>
      <c r="B2773" s="20" t="s">
        <v>1384</v>
      </c>
      <c r="C2773" s="20" t="s">
        <v>1384</v>
      </c>
      <c r="D2773" s="20" t="s">
        <v>1412</v>
      </c>
      <c r="E2773" s="27">
        <v>1</v>
      </c>
      <c r="F2773" s="27">
        <v>1</v>
      </c>
      <c r="G2773" s="28">
        <v>0.6048</v>
      </c>
    </row>
    <row r="2774" spans="1:7" x14ac:dyDescent="0.25">
      <c r="A2774" s="20" t="s">
        <v>595</v>
      </c>
      <c r="B2774" s="20" t="s">
        <v>1385</v>
      </c>
      <c r="C2774" s="20" t="s">
        <v>1385</v>
      </c>
      <c r="D2774" s="20" t="s">
        <v>1412</v>
      </c>
      <c r="E2774" s="27">
        <v>1</v>
      </c>
      <c r="F2774" s="27">
        <v>1</v>
      </c>
      <c r="G2774" s="29">
        <v>9.2859999999999998E-2</v>
      </c>
    </row>
    <row r="2775" spans="1:7" x14ac:dyDescent="0.25">
      <c r="A2775" s="20" t="s">
        <v>595</v>
      </c>
      <c r="B2775" s="20" t="s">
        <v>1386</v>
      </c>
      <c r="C2775" s="20" t="s">
        <v>1386</v>
      </c>
      <c r="D2775" s="20" t="s">
        <v>1412</v>
      </c>
      <c r="E2775" s="27">
        <v>2</v>
      </c>
      <c r="F2775" s="27">
        <v>2</v>
      </c>
      <c r="G2775" s="28">
        <v>0.2268</v>
      </c>
    </row>
    <row r="2776" spans="1:7" x14ac:dyDescent="0.25">
      <c r="A2776" s="20" t="s">
        <v>595</v>
      </c>
      <c r="B2776" s="20" t="s">
        <v>1389</v>
      </c>
      <c r="C2776" s="20" t="s">
        <v>1389</v>
      </c>
      <c r="D2776" s="20" t="s">
        <v>1412</v>
      </c>
      <c r="E2776" s="27">
        <v>1</v>
      </c>
      <c r="F2776" s="27">
        <v>1</v>
      </c>
      <c r="G2776" s="28">
        <v>0.96389999999999998</v>
      </c>
    </row>
    <row r="2777" spans="1:7" x14ac:dyDescent="0.25">
      <c r="A2777" s="20" t="s">
        <v>595</v>
      </c>
      <c r="B2777" s="20" t="s">
        <v>1413</v>
      </c>
      <c r="C2777" s="20" t="s">
        <v>1413</v>
      </c>
      <c r="D2777" s="20" t="s">
        <v>1412</v>
      </c>
      <c r="E2777" s="27">
        <v>1</v>
      </c>
      <c r="F2777" s="27">
        <v>1</v>
      </c>
      <c r="G2777" s="35">
        <v>0.56699999999999995</v>
      </c>
    </row>
    <row r="2778" spans="1:7" x14ac:dyDescent="0.25">
      <c r="A2778" s="20" t="s">
        <v>595</v>
      </c>
      <c r="B2778" s="20" t="s">
        <v>1414</v>
      </c>
      <c r="C2778" s="20" t="s">
        <v>1414</v>
      </c>
      <c r="D2778" s="20" t="s">
        <v>1412</v>
      </c>
      <c r="E2778" s="27">
        <v>2</v>
      </c>
      <c r="F2778" s="27">
        <v>2</v>
      </c>
      <c r="G2778" s="35">
        <v>0.378</v>
      </c>
    </row>
    <row r="2779" spans="1:7" x14ac:dyDescent="0.25">
      <c r="A2779" s="20" t="s">
        <v>595</v>
      </c>
      <c r="B2779" s="20" t="s">
        <v>1415</v>
      </c>
      <c r="C2779" s="20" t="s">
        <v>1415</v>
      </c>
      <c r="D2779" s="20" t="s">
        <v>1412</v>
      </c>
      <c r="E2779" s="27">
        <v>1</v>
      </c>
      <c r="F2779" s="27">
        <v>1</v>
      </c>
      <c r="G2779" s="28">
        <v>0.2268</v>
      </c>
    </row>
    <row r="2780" spans="1:7" ht="22.5" x14ac:dyDescent="0.25">
      <c r="A2780" s="20" t="s">
        <v>620</v>
      </c>
      <c r="B2780" s="20" t="s">
        <v>171</v>
      </c>
      <c r="C2780" s="20" t="s">
        <v>171</v>
      </c>
      <c r="D2780" s="20" t="s">
        <v>1412</v>
      </c>
      <c r="E2780" s="27">
        <v>1</v>
      </c>
      <c r="F2780" s="27">
        <v>1</v>
      </c>
      <c r="G2780" s="31">
        <v>0.49</v>
      </c>
    </row>
    <row r="2781" spans="1:7" ht="22.5" x14ac:dyDescent="0.25">
      <c r="A2781" s="20" t="s">
        <v>620</v>
      </c>
      <c r="B2781" s="20" t="s">
        <v>172</v>
      </c>
      <c r="C2781" s="20" t="s">
        <v>172</v>
      </c>
      <c r="D2781" s="20" t="s">
        <v>1412</v>
      </c>
      <c r="E2781" s="27">
        <v>3</v>
      </c>
      <c r="F2781" s="27">
        <v>3</v>
      </c>
      <c r="G2781" s="35">
        <v>0.35199999999999998</v>
      </c>
    </row>
    <row r="2782" spans="1:7" ht="22.5" x14ac:dyDescent="0.25">
      <c r="A2782" s="20" t="s">
        <v>620</v>
      </c>
      <c r="B2782" s="20" t="s">
        <v>194</v>
      </c>
      <c r="C2782" s="20" t="s">
        <v>194</v>
      </c>
      <c r="D2782" s="20" t="s">
        <v>1412</v>
      </c>
      <c r="E2782" s="27">
        <v>2</v>
      </c>
      <c r="F2782" s="27">
        <v>2</v>
      </c>
      <c r="G2782" s="35">
        <v>0.22900000000000001</v>
      </c>
    </row>
    <row r="2783" spans="1:7" ht="22.5" x14ac:dyDescent="0.25">
      <c r="A2783" s="20" t="s">
        <v>620</v>
      </c>
      <c r="B2783" s="20" t="s">
        <v>195</v>
      </c>
      <c r="C2783" s="20" t="s">
        <v>195</v>
      </c>
      <c r="D2783" s="20" t="s">
        <v>1412</v>
      </c>
      <c r="E2783" s="27">
        <v>3</v>
      </c>
      <c r="F2783" s="27">
        <v>3</v>
      </c>
      <c r="G2783" s="35">
        <v>0.35199999999999998</v>
      </c>
    </row>
    <row r="2784" spans="1:7" ht="22.5" x14ac:dyDescent="0.25">
      <c r="A2784" s="20" t="s">
        <v>620</v>
      </c>
      <c r="B2784" s="20" t="s">
        <v>199</v>
      </c>
      <c r="C2784" s="20" t="s">
        <v>199</v>
      </c>
      <c r="D2784" s="20" t="s">
        <v>1412</v>
      </c>
      <c r="E2784" s="27">
        <v>2</v>
      </c>
      <c r="F2784" s="27">
        <v>2</v>
      </c>
      <c r="G2784" s="35">
        <v>0.14599999999999999</v>
      </c>
    </row>
    <row r="2785" spans="1:7" x14ac:dyDescent="0.25">
      <c r="A2785" s="20" t="s">
        <v>597</v>
      </c>
      <c r="B2785" s="20" t="s">
        <v>18</v>
      </c>
      <c r="C2785" s="20" t="s">
        <v>18</v>
      </c>
      <c r="D2785" s="20" t="s">
        <v>1412</v>
      </c>
      <c r="E2785" s="27">
        <v>1</v>
      </c>
      <c r="F2785" s="27">
        <v>1</v>
      </c>
      <c r="G2785" s="29">
        <v>1.26095</v>
      </c>
    </row>
    <row r="2786" spans="1:7" x14ac:dyDescent="0.25">
      <c r="A2786" s="20" t="s">
        <v>597</v>
      </c>
      <c r="B2786" s="20" t="s">
        <v>32</v>
      </c>
      <c r="C2786" s="20" t="s">
        <v>32</v>
      </c>
      <c r="D2786" s="20" t="s">
        <v>1412</v>
      </c>
      <c r="E2786" s="27">
        <v>1</v>
      </c>
      <c r="F2786" s="27">
        <v>1</v>
      </c>
      <c r="G2786" s="35">
        <v>1.8180000000000001</v>
      </c>
    </row>
    <row r="2787" spans="1:7" x14ac:dyDescent="0.25">
      <c r="A2787" s="20" t="s">
        <v>597</v>
      </c>
      <c r="B2787" s="20" t="s">
        <v>163</v>
      </c>
      <c r="C2787" s="20" t="s">
        <v>163</v>
      </c>
      <c r="D2787" s="20" t="s">
        <v>1412</v>
      </c>
      <c r="E2787" s="27">
        <v>2</v>
      </c>
      <c r="F2787" s="27">
        <v>2</v>
      </c>
      <c r="G2787" s="29">
        <v>0.66662999999999994</v>
      </c>
    </row>
    <row r="2788" spans="1:7" x14ac:dyDescent="0.25">
      <c r="A2788" s="20" t="s">
        <v>597</v>
      </c>
      <c r="B2788" s="20" t="s">
        <v>1390</v>
      </c>
      <c r="C2788" s="20" t="s">
        <v>311</v>
      </c>
      <c r="D2788" s="20" t="s">
        <v>1412</v>
      </c>
      <c r="E2788" s="27">
        <v>1</v>
      </c>
      <c r="F2788" s="27">
        <v>1</v>
      </c>
      <c r="G2788" s="29">
        <v>0.30236000000000002</v>
      </c>
    </row>
    <row r="2789" spans="1:7" x14ac:dyDescent="0.25">
      <c r="A2789" s="20" t="s">
        <v>588</v>
      </c>
      <c r="B2789" s="20" t="s">
        <v>62</v>
      </c>
      <c r="C2789" s="20" t="s">
        <v>62</v>
      </c>
      <c r="D2789" s="20" t="s">
        <v>1412</v>
      </c>
      <c r="E2789" s="33">
        <v>0.5</v>
      </c>
      <c r="F2789" s="33">
        <v>0.5</v>
      </c>
      <c r="G2789" s="22"/>
    </row>
    <row r="2790" spans="1:7" x14ac:dyDescent="0.25">
      <c r="A2790" s="20" t="s">
        <v>588</v>
      </c>
      <c r="B2790" s="20" t="s">
        <v>157</v>
      </c>
      <c r="C2790" s="20" t="s">
        <v>157</v>
      </c>
      <c r="D2790" s="20" t="s">
        <v>1412</v>
      </c>
      <c r="E2790" s="25">
        <v>0.21</v>
      </c>
      <c r="F2790" s="25">
        <v>0.21</v>
      </c>
      <c r="G2790" s="22"/>
    </row>
    <row r="2791" spans="1:7" x14ac:dyDescent="0.25">
      <c r="A2791" s="20" t="s">
        <v>588</v>
      </c>
      <c r="B2791" s="20" t="s">
        <v>179</v>
      </c>
      <c r="C2791" s="20" t="s">
        <v>179</v>
      </c>
      <c r="D2791" s="20" t="s">
        <v>1413</v>
      </c>
      <c r="E2791" s="24">
        <v>0.57399999999999995</v>
      </c>
      <c r="F2791" s="24">
        <v>3.444</v>
      </c>
      <c r="G2791" s="22"/>
    </row>
    <row r="2792" spans="1:7" x14ac:dyDescent="0.25">
      <c r="A2792" s="20" t="s">
        <v>588</v>
      </c>
      <c r="B2792" s="20" t="s">
        <v>179</v>
      </c>
      <c r="C2792" s="20" t="s">
        <v>179</v>
      </c>
      <c r="D2792" s="20" t="s">
        <v>1414</v>
      </c>
      <c r="E2792" s="24">
        <v>0.38600000000000001</v>
      </c>
      <c r="F2792" s="24">
        <v>4.6319999999999997</v>
      </c>
      <c r="G2792" s="22"/>
    </row>
    <row r="2793" spans="1:7" x14ac:dyDescent="0.25">
      <c r="A2793" s="20" t="s">
        <v>588</v>
      </c>
      <c r="B2793" s="20" t="s">
        <v>179</v>
      </c>
      <c r="C2793" s="20" t="s">
        <v>179</v>
      </c>
      <c r="D2793" s="20" t="s">
        <v>1415</v>
      </c>
      <c r="E2793" s="24">
        <v>0.23599999999999999</v>
      </c>
      <c r="F2793" s="24">
        <v>1.4159999999999999</v>
      </c>
      <c r="G2793" s="22"/>
    </row>
    <row r="2794" spans="1:7" x14ac:dyDescent="0.25">
      <c r="A2794" s="20" t="s">
        <v>585</v>
      </c>
      <c r="B2794" s="20" t="s">
        <v>1377</v>
      </c>
      <c r="C2794" s="20" t="s">
        <v>1377</v>
      </c>
      <c r="D2794" s="20" t="s">
        <v>1320</v>
      </c>
      <c r="E2794" s="27">
        <v>1</v>
      </c>
      <c r="F2794" s="27">
        <v>5</v>
      </c>
      <c r="G2794" s="29">
        <v>5.7201599999999999</v>
      </c>
    </row>
    <row r="2795" spans="1:7" x14ac:dyDescent="0.25">
      <c r="A2795" s="20" t="s">
        <v>585</v>
      </c>
      <c r="B2795" s="20" t="s">
        <v>1378</v>
      </c>
      <c r="C2795" s="20" t="s">
        <v>1378</v>
      </c>
      <c r="D2795" s="20" t="s">
        <v>1320</v>
      </c>
      <c r="E2795" s="27">
        <v>1</v>
      </c>
      <c r="F2795" s="27">
        <v>5</v>
      </c>
      <c r="G2795" s="29">
        <v>4.2926099999999998</v>
      </c>
    </row>
    <row r="2796" spans="1:7" x14ac:dyDescent="0.25">
      <c r="A2796" s="20" t="s">
        <v>585</v>
      </c>
      <c r="B2796" s="20" t="s">
        <v>1379</v>
      </c>
      <c r="C2796" s="20" t="s">
        <v>1379</v>
      </c>
      <c r="D2796" s="20" t="s">
        <v>1320</v>
      </c>
      <c r="E2796" s="27">
        <v>1</v>
      </c>
      <c r="F2796" s="27">
        <v>5</v>
      </c>
      <c r="G2796" s="29">
        <v>3.5384899999999999</v>
      </c>
    </row>
    <row r="2797" spans="1:7" x14ac:dyDescent="0.25">
      <c r="A2797" s="20" t="s">
        <v>585</v>
      </c>
      <c r="B2797" s="20" t="s">
        <v>1380</v>
      </c>
      <c r="C2797" s="20" t="s">
        <v>1380</v>
      </c>
      <c r="D2797" s="20" t="s">
        <v>1320</v>
      </c>
      <c r="E2797" s="27">
        <v>1</v>
      </c>
      <c r="F2797" s="27">
        <v>5</v>
      </c>
      <c r="G2797" s="29">
        <v>0.24001</v>
      </c>
    </row>
    <row r="2798" spans="1:7" x14ac:dyDescent="0.25">
      <c r="A2798" s="20" t="s">
        <v>585</v>
      </c>
      <c r="B2798" s="20" t="s">
        <v>1416</v>
      </c>
      <c r="C2798" s="20" t="s">
        <v>1416</v>
      </c>
      <c r="D2798" s="20" t="s">
        <v>1320</v>
      </c>
      <c r="E2798" s="27">
        <v>1</v>
      </c>
      <c r="F2798" s="27">
        <v>5</v>
      </c>
      <c r="G2798" s="29">
        <v>16.18976</v>
      </c>
    </row>
    <row r="2799" spans="1:7" ht="22.5" x14ac:dyDescent="0.25">
      <c r="A2799" s="20" t="s">
        <v>620</v>
      </c>
      <c r="B2799" s="20" t="s">
        <v>1010</v>
      </c>
      <c r="C2799" s="20" t="s">
        <v>278</v>
      </c>
      <c r="D2799" s="20" t="s">
        <v>1320</v>
      </c>
      <c r="E2799" s="27">
        <v>1</v>
      </c>
      <c r="F2799" s="27">
        <v>5</v>
      </c>
      <c r="G2799" s="29">
        <v>1.2199999999999999E-3</v>
      </c>
    </row>
    <row r="2800" spans="1:7" ht="22.5" x14ac:dyDescent="0.25">
      <c r="A2800" s="20" t="s">
        <v>620</v>
      </c>
      <c r="B2800" s="20" t="s">
        <v>1381</v>
      </c>
      <c r="C2800" s="20" t="s">
        <v>310</v>
      </c>
      <c r="D2800" s="20" t="s">
        <v>1320</v>
      </c>
      <c r="E2800" s="27">
        <v>1</v>
      </c>
      <c r="F2800" s="27">
        <v>5</v>
      </c>
      <c r="G2800" s="29">
        <v>8.8999999999999995E-4</v>
      </c>
    </row>
    <row r="2801" spans="1:7" x14ac:dyDescent="0.25">
      <c r="A2801" s="20" t="s">
        <v>588</v>
      </c>
      <c r="B2801" s="20" t="s">
        <v>62</v>
      </c>
      <c r="C2801" s="20" t="s">
        <v>62</v>
      </c>
      <c r="D2801" s="20" t="s">
        <v>1320</v>
      </c>
      <c r="E2801" s="33">
        <v>0.3</v>
      </c>
      <c r="F2801" s="33">
        <v>1.5</v>
      </c>
      <c r="G2801" s="22"/>
    </row>
    <row r="2802" spans="1:7" x14ac:dyDescent="0.25">
      <c r="A2802" s="20" t="s">
        <v>588</v>
      </c>
      <c r="B2802" s="20" t="s">
        <v>65</v>
      </c>
      <c r="C2802" s="20" t="s">
        <v>65</v>
      </c>
      <c r="D2802" s="20" t="s">
        <v>1320</v>
      </c>
      <c r="E2802" s="24">
        <v>0.16300000000000001</v>
      </c>
      <c r="F2802" s="24">
        <v>0.81499999999999995</v>
      </c>
      <c r="G2802" s="22"/>
    </row>
    <row r="2803" spans="1:7" x14ac:dyDescent="0.25">
      <c r="A2803" s="20" t="s">
        <v>588</v>
      </c>
      <c r="B2803" s="20" t="s">
        <v>155</v>
      </c>
      <c r="C2803" s="20" t="s">
        <v>155</v>
      </c>
      <c r="D2803" s="20" t="s">
        <v>1320</v>
      </c>
      <c r="E2803" s="24">
        <v>4.9000000000000002E-2</v>
      </c>
      <c r="F2803" s="24">
        <v>0.245</v>
      </c>
      <c r="G2803" s="22"/>
    </row>
    <row r="2804" spans="1:7" x14ac:dyDescent="0.25">
      <c r="A2804" s="20" t="s">
        <v>588</v>
      </c>
      <c r="B2804" s="20" t="s">
        <v>156</v>
      </c>
      <c r="C2804" s="20" t="s">
        <v>156</v>
      </c>
      <c r="D2804" s="20" t="s">
        <v>1320</v>
      </c>
      <c r="E2804" s="25">
        <v>0.15</v>
      </c>
      <c r="F2804" s="25">
        <v>0.75</v>
      </c>
      <c r="G2804" s="22"/>
    </row>
    <row r="2805" spans="1:7" x14ac:dyDescent="0.25">
      <c r="A2805" s="20" t="s">
        <v>588</v>
      </c>
      <c r="B2805" s="20" t="s">
        <v>215</v>
      </c>
      <c r="C2805" s="20" t="s">
        <v>215</v>
      </c>
      <c r="D2805" s="20" t="s">
        <v>1320</v>
      </c>
      <c r="E2805" s="24">
        <v>0.32800000000000001</v>
      </c>
      <c r="F2805" s="25">
        <v>1.64</v>
      </c>
      <c r="G2805" s="22"/>
    </row>
    <row r="2806" spans="1:7" x14ac:dyDescent="0.25">
      <c r="A2806" s="20" t="s">
        <v>595</v>
      </c>
      <c r="B2806" s="20" t="s">
        <v>1384</v>
      </c>
      <c r="C2806" s="20" t="s">
        <v>1384</v>
      </c>
      <c r="D2806" s="20" t="s">
        <v>1416</v>
      </c>
      <c r="E2806" s="27">
        <v>1</v>
      </c>
      <c r="F2806" s="27">
        <v>5</v>
      </c>
      <c r="G2806" s="28">
        <v>0.6048</v>
      </c>
    </row>
    <row r="2807" spans="1:7" x14ac:dyDescent="0.25">
      <c r="A2807" s="20" t="s">
        <v>595</v>
      </c>
      <c r="B2807" s="20" t="s">
        <v>1385</v>
      </c>
      <c r="C2807" s="20" t="s">
        <v>1385</v>
      </c>
      <c r="D2807" s="20" t="s">
        <v>1416</v>
      </c>
      <c r="E2807" s="27">
        <v>1</v>
      </c>
      <c r="F2807" s="27">
        <v>5</v>
      </c>
      <c r="G2807" s="29">
        <v>9.2859999999999998E-2</v>
      </c>
    </row>
    <row r="2808" spans="1:7" x14ac:dyDescent="0.25">
      <c r="A2808" s="20" t="s">
        <v>595</v>
      </c>
      <c r="B2808" s="20" t="s">
        <v>1386</v>
      </c>
      <c r="C2808" s="20" t="s">
        <v>1386</v>
      </c>
      <c r="D2808" s="20" t="s">
        <v>1416</v>
      </c>
      <c r="E2808" s="27">
        <v>2</v>
      </c>
      <c r="F2808" s="27">
        <v>10</v>
      </c>
      <c r="G2808" s="28">
        <v>0.2268</v>
      </c>
    </row>
    <row r="2809" spans="1:7" x14ac:dyDescent="0.25">
      <c r="A2809" s="20" t="s">
        <v>595</v>
      </c>
      <c r="B2809" s="20" t="s">
        <v>1389</v>
      </c>
      <c r="C2809" s="20" t="s">
        <v>1389</v>
      </c>
      <c r="D2809" s="20" t="s">
        <v>1416</v>
      </c>
      <c r="E2809" s="27">
        <v>1</v>
      </c>
      <c r="F2809" s="27">
        <v>5</v>
      </c>
      <c r="G2809" s="28">
        <v>0.96389999999999998</v>
      </c>
    </row>
    <row r="2810" spans="1:7" x14ac:dyDescent="0.25">
      <c r="A2810" s="20" t="s">
        <v>595</v>
      </c>
      <c r="B2810" s="20" t="s">
        <v>1413</v>
      </c>
      <c r="C2810" s="20" t="s">
        <v>1413</v>
      </c>
      <c r="D2810" s="20" t="s">
        <v>1416</v>
      </c>
      <c r="E2810" s="27">
        <v>1</v>
      </c>
      <c r="F2810" s="27">
        <v>5</v>
      </c>
      <c r="G2810" s="35">
        <v>0.56699999999999995</v>
      </c>
    </row>
    <row r="2811" spans="1:7" x14ac:dyDescent="0.25">
      <c r="A2811" s="20" t="s">
        <v>595</v>
      </c>
      <c r="B2811" s="20" t="s">
        <v>1414</v>
      </c>
      <c r="C2811" s="20" t="s">
        <v>1414</v>
      </c>
      <c r="D2811" s="20" t="s">
        <v>1416</v>
      </c>
      <c r="E2811" s="27">
        <v>2</v>
      </c>
      <c r="F2811" s="27">
        <v>10</v>
      </c>
      <c r="G2811" s="35">
        <v>0.378</v>
      </c>
    </row>
    <row r="2812" spans="1:7" x14ac:dyDescent="0.25">
      <c r="A2812" s="20" t="s">
        <v>595</v>
      </c>
      <c r="B2812" s="20" t="s">
        <v>1415</v>
      </c>
      <c r="C2812" s="20" t="s">
        <v>1415</v>
      </c>
      <c r="D2812" s="20" t="s">
        <v>1416</v>
      </c>
      <c r="E2812" s="27">
        <v>1</v>
      </c>
      <c r="F2812" s="27">
        <v>5</v>
      </c>
      <c r="G2812" s="28">
        <v>0.2268</v>
      </c>
    </row>
    <row r="2813" spans="1:7" ht="22.5" x14ac:dyDescent="0.25">
      <c r="A2813" s="20" t="s">
        <v>620</v>
      </c>
      <c r="B2813" s="20" t="s">
        <v>171</v>
      </c>
      <c r="C2813" s="20" t="s">
        <v>171</v>
      </c>
      <c r="D2813" s="20" t="s">
        <v>1416</v>
      </c>
      <c r="E2813" s="27">
        <v>1</v>
      </c>
      <c r="F2813" s="27">
        <v>5</v>
      </c>
      <c r="G2813" s="31">
        <v>0.49</v>
      </c>
    </row>
    <row r="2814" spans="1:7" ht="22.5" x14ac:dyDescent="0.25">
      <c r="A2814" s="20" t="s">
        <v>620</v>
      </c>
      <c r="B2814" s="20" t="s">
        <v>172</v>
      </c>
      <c r="C2814" s="20" t="s">
        <v>172</v>
      </c>
      <c r="D2814" s="20" t="s">
        <v>1416</v>
      </c>
      <c r="E2814" s="27">
        <v>3</v>
      </c>
      <c r="F2814" s="27">
        <v>15</v>
      </c>
      <c r="G2814" s="35">
        <v>0.35199999999999998</v>
      </c>
    </row>
    <row r="2815" spans="1:7" ht="22.5" x14ac:dyDescent="0.25">
      <c r="A2815" s="20" t="s">
        <v>620</v>
      </c>
      <c r="B2815" s="20" t="s">
        <v>194</v>
      </c>
      <c r="C2815" s="20" t="s">
        <v>194</v>
      </c>
      <c r="D2815" s="20" t="s">
        <v>1416</v>
      </c>
      <c r="E2815" s="27">
        <v>2</v>
      </c>
      <c r="F2815" s="27">
        <v>10</v>
      </c>
      <c r="G2815" s="35">
        <v>0.22900000000000001</v>
      </c>
    </row>
    <row r="2816" spans="1:7" ht="22.5" x14ac:dyDescent="0.25">
      <c r="A2816" s="20" t="s">
        <v>620</v>
      </c>
      <c r="B2816" s="20" t="s">
        <v>195</v>
      </c>
      <c r="C2816" s="20" t="s">
        <v>195</v>
      </c>
      <c r="D2816" s="20" t="s">
        <v>1416</v>
      </c>
      <c r="E2816" s="27">
        <v>3</v>
      </c>
      <c r="F2816" s="27">
        <v>15</v>
      </c>
      <c r="G2816" s="35">
        <v>0.35199999999999998</v>
      </c>
    </row>
    <row r="2817" spans="1:7" ht="22.5" x14ac:dyDescent="0.25">
      <c r="A2817" s="20" t="s">
        <v>620</v>
      </c>
      <c r="B2817" s="20" t="s">
        <v>199</v>
      </c>
      <c r="C2817" s="20" t="s">
        <v>199</v>
      </c>
      <c r="D2817" s="20" t="s">
        <v>1416</v>
      </c>
      <c r="E2817" s="27">
        <v>2</v>
      </c>
      <c r="F2817" s="27">
        <v>10</v>
      </c>
      <c r="G2817" s="35">
        <v>0.14599999999999999</v>
      </c>
    </row>
    <row r="2818" spans="1:7" x14ac:dyDescent="0.25">
      <c r="A2818" s="20" t="s">
        <v>597</v>
      </c>
      <c r="B2818" s="20" t="s">
        <v>18</v>
      </c>
      <c r="C2818" s="20" t="s">
        <v>18</v>
      </c>
      <c r="D2818" s="20" t="s">
        <v>1416</v>
      </c>
      <c r="E2818" s="27">
        <v>1</v>
      </c>
      <c r="F2818" s="27">
        <v>5</v>
      </c>
      <c r="G2818" s="29">
        <v>1.26095</v>
      </c>
    </row>
    <row r="2819" spans="1:7" x14ac:dyDescent="0.25">
      <c r="A2819" s="20" t="s">
        <v>597</v>
      </c>
      <c r="B2819" s="20" t="s">
        <v>32</v>
      </c>
      <c r="C2819" s="20" t="s">
        <v>32</v>
      </c>
      <c r="D2819" s="20" t="s">
        <v>1416</v>
      </c>
      <c r="E2819" s="27">
        <v>1</v>
      </c>
      <c r="F2819" s="27">
        <v>5</v>
      </c>
      <c r="G2819" s="35">
        <v>1.8180000000000001</v>
      </c>
    </row>
    <row r="2820" spans="1:7" x14ac:dyDescent="0.25">
      <c r="A2820" s="20" t="s">
        <v>597</v>
      </c>
      <c r="B2820" s="20" t="s">
        <v>163</v>
      </c>
      <c r="C2820" s="20" t="s">
        <v>163</v>
      </c>
      <c r="D2820" s="20" t="s">
        <v>1416</v>
      </c>
      <c r="E2820" s="27">
        <v>1</v>
      </c>
      <c r="F2820" s="27">
        <v>5</v>
      </c>
      <c r="G2820" s="29">
        <v>0.66662999999999994</v>
      </c>
    </row>
    <row r="2821" spans="1:7" x14ac:dyDescent="0.25">
      <c r="A2821" s="20" t="s">
        <v>597</v>
      </c>
      <c r="B2821" s="20" t="s">
        <v>1390</v>
      </c>
      <c r="C2821" s="20" t="s">
        <v>311</v>
      </c>
      <c r="D2821" s="20" t="s">
        <v>1416</v>
      </c>
      <c r="E2821" s="27">
        <v>1</v>
      </c>
      <c r="F2821" s="27">
        <v>5</v>
      </c>
      <c r="G2821" s="29">
        <v>0.30236000000000002</v>
      </c>
    </row>
    <row r="2822" spans="1:7" x14ac:dyDescent="0.25">
      <c r="A2822" s="20" t="s">
        <v>588</v>
      </c>
      <c r="B2822" s="20" t="s">
        <v>62</v>
      </c>
      <c r="C2822" s="20" t="s">
        <v>62</v>
      </c>
      <c r="D2822" s="20" t="s">
        <v>1416</v>
      </c>
      <c r="E2822" s="33">
        <v>0.5</v>
      </c>
      <c r="F2822" s="33">
        <v>2.5</v>
      </c>
      <c r="G2822" s="22"/>
    </row>
    <row r="2823" spans="1:7" x14ac:dyDescent="0.25">
      <c r="A2823" s="20" t="s">
        <v>588</v>
      </c>
      <c r="B2823" s="20" t="s">
        <v>157</v>
      </c>
      <c r="C2823" s="20" t="s">
        <v>157</v>
      </c>
      <c r="D2823" s="20" t="s">
        <v>1416</v>
      </c>
      <c r="E2823" s="25">
        <v>0.02</v>
      </c>
      <c r="F2823" s="33">
        <v>0.1</v>
      </c>
      <c r="G2823" s="22"/>
    </row>
    <row r="2824" spans="1:7" x14ac:dyDescent="0.25">
      <c r="A2824" s="20" t="s">
        <v>595</v>
      </c>
      <c r="B2824" s="20" t="s">
        <v>1417</v>
      </c>
      <c r="C2824" s="20" t="s">
        <v>1417</v>
      </c>
      <c r="D2824" s="20" t="s">
        <v>1418</v>
      </c>
      <c r="E2824" s="27">
        <v>2</v>
      </c>
      <c r="F2824" s="27">
        <v>2</v>
      </c>
      <c r="G2824" s="29">
        <v>3.4724599999999999</v>
      </c>
    </row>
    <row r="2825" spans="1:7" x14ac:dyDescent="0.25">
      <c r="A2825" s="20" t="s">
        <v>595</v>
      </c>
      <c r="B2825" s="20" t="s">
        <v>1419</v>
      </c>
      <c r="C2825" s="20" t="s">
        <v>1419</v>
      </c>
      <c r="D2825" s="20" t="s">
        <v>1418</v>
      </c>
      <c r="E2825" s="27">
        <v>1</v>
      </c>
      <c r="F2825" s="27">
        <v>1</v>
      </c>
      <c r="G2825" s="29">
        <v>4.1940799999999996</v>
      </c>
    </row>
    <row r="2826" spans="1:7" x14ac:dyDescent="0.25">
      <c r="A2826" s="20" t="s">
        <v>595</v>
      </c>
      <c r="B2826" s="20" t="s">
        <v>1420</v>
      </c>
      <c r="C2826" s="20" t="s">
        <v>1420</v>
      </c>
      <c r="D2826" s="20" t="s">
        <v>1418</v>
      </c>
      <c r="E2826" s="27">
        <v>1</v>
      </c>
      <c r="F2826" s="27">
        <v>1</v>
      </c>
      <c r="G2826" s="29">
        <v>2.85555</v>
      </c>
    </row>
    <row r="2827" spans="1:7" x14ac:dyDescent="0.25">
      <c r="A2827" s="20" t="s">
        <v>595</v>
      </c>
      <c r="B2827" s="20" t="s">
        <v>1421</v>
      </c>
      <c r="C2827" s="20" t="s">
        <v>1421</v>
      </c>
      <c r="D2827" s="20" t="s">
        <v>1418</v>
      </c>
      <c r="E2827" s="27">
        <v>2</v>
      </c>
      <c r="F2827" s="27">
        <v>2</v>
      </c>
      <c r="G2827" s="29">
        <v>2.37696</v>
      </c>
    </row>
    <row r="2828" spans="1:7" x14ac:dyDescent="0.25">
      <c r="A2828" s="20" t="s">
        <v>595</v>
      </c>
      <c r="B2828" s="20" t="s">
        <v>1422</v>
      </c>
      <c r="C2828" s="20" t="s">
        <v>1422</v>
      </c>
      <c r="D2828" s="20" t="s">
        <v>1418</v>
      </c>
      <c r="E2828" s="27">
        <v>1</v>
      </c>
      <c r="F2828" s="27">
        <v>1</v>
      </c>
      <c r="G2828" s="29">
        <v>1.90703</v>
      </c>
    </row>
    <row r="2829" spans="1:7" x14ac:dyDescent="0.25">
      <c r="A2829" s="20" t="s">
        <v>595</v>
      </c>
      <c r="B2829" s="20" t="s">
        <v>1423</v>
      </c>
      <c r="C2829" s="20" t="s">
        <v>1423</v>
      </c>
      <c r="D2829" s="20" t="s">
        <v>1418</v>
      </c>
      <c r="E2829" s="27">
        <v>2</v>
      </c>
      <c r="F2829" s="27">
        <v>2</v>
      </c>
      <c r="G2829" s="29">
        <v>1.22342</v>
      </c>
    </row>
    <row r="2830" spans="1:7" x14ac:dyDescent="0.25">
      <c r="A2830" s="20" t="s">
        <v>595</v>
      </c>
      <c r="B2830" s="20" t="s">
        <v>1424</v>
      </c>
      <c r="C2830" s="20" t="s">
        <v>1424</v>
      </c>
      <c r="D2830" s="20" t="s">
        <v>1418</v>
      </c>
      <c r="E2830" s="27">
        <v>2</v>
      </c>
      <c r="F2830" s="27">
        <v>2</v>
      </c>
      <c r="G2830" s="29">
        <v>1.0656600000000001</v>
      </c>
    </row>
    <row r="2831" spans="1:7" x14ac:dyDescent="0.25">
      <c r="A2831" s="20" t="s">
        <v>595</v>
      </c>
      <c r="B2831" s="20" t="s">
        <v>1425</v>
      </c>
      <c r="C2831" s="20" t="s">
        <v>1425</v>
      </c>
      <c r="D2831" s="20" t="s">
        <v>1418</v>
      </c>
      <c r="E2831" s="27">
        <v>2</v>
      </c>
      <c r="F2831" s="27">
        <v>2</v>
      </c>
      <c r="G2831" s="29">
        <v>0.46405999999999997</v>
      </c>
    </row>
    <row r="2832" spans="1:7" x14ac:dyDescent="0.25">
      <c r="A2832" s="20" t="s">
        <v>595</v>
      </c>
      <c r="B2832" s="20" t="s">
        <v>1426</v>
      </c>
      <c r="C2832" s="20" t="s">
        <v>1426</v>
      </c>
      <c r="D2832" s="20" t="s">
        <v>1418</v>
      </c>
      <c r="E2832" s="27">
        <v>1</v>
      </c>
      <c r="F2832" s="27">
        <v>1</v>
      </c>
      <c r="G2832" s="29">
        <v>0.49084</v>
      </c>
    </row>
    <row r="2833" spans="1:7" x14ac:dyDescent="0.25">
      <c r="A2833" s="20" t="s">
        <v>595</v>
      </c>
      <c r="B2833" s="20" t="s">
        <v>1427</v>
      </c>
      <c r="C2833" s="20" t="s">
        <v>1427</v>
      </c>
      <c r="D2833" s="20" t="s">
        <v>1418</v>
      </c>
      <c r="E2833" s="27">
        <v>1</v>
      </c>
      <c r="F2833" s="27">
        <v>1</v>
      </c>
      <c r="G2833" s="29">
        <v>0.61794000000000004</v>
      </c>
    </row>
    <row r="2834" spans="1:7" x14ac:dyDescent="0.25">
      <c r="A2834" s="20" t="s">
        <v>595</v>
      </c>
      <c r="B2834" s="20" t="s">
        <v>1428</v>
      </c>
      <c r="C2834" s="20" t="s">
        <v>1428</v>
      </c>
      <c r="D2834" s="20" t="s">
        <v>1418</v>
      </c>
      <c r="E2834" s="27">
        <v>2</v>
      </c>
      <c r="F2834" s="27">
        <v>2</v>
      </c>
      <c r="G2834" s="29">
        <v>5.9949199999999996</v>
      </c>
    </row>
    <row r="2835" spans="1:7" x14ac:dyDescent="0.25">
      <c r="A2835" s="20" t="s">
        <v>595</v>
      </c>
      <c r="B2835" s="20" t="s">
        <v>1429</v>
      </c>
      <c r="C2835" s="20" t="s">
        <v>1429</v>
      </c>
      <c r="D2835" s="20" t="s">
        <v>1418</v>
      </c>
      <c r="E2835" s="27">
        <v>8</v>
      </c>
      <c r="F2835" s="27">
        <v>8</v>
      </c>
      <c r="G2835" s="29">
        <v>9.3600000000000003E-3</v>
      </c>
    </row>
    <row r="2836" spans="1:7" ht="22.5" x14ac:dyDescent="0.25">
      <c r="A2836" s="20" t="s">
        <v>620</v>
      </c>
      <c r="B2836" s="20" t="s">
        <v>622</v>
      </c>
      <c r="C2836" s="20" t="s">
        <v>256</v>
      </c>
      <c r="D2836" s="20" t="s">
        <v>1418</v>
      </c>
      <c r="E2836" s="27">
        <v>27</v>
      </c>
      <c r="F2836" s="27">
        <v>27</v>
      </c>
      <c r="G2836" s="28">
        <v>1.52E-2</v>
      </c>
    </row>
    <row r="2837" spans="1:7" ht="22.5" x14ac:dyDescent="0.25">
      <c r="A2837" s="20" t="s">
        <v>620</v>
      </c>
      <c r="B2837" s="20" t="s">
        <v>1430</v>
      </c>
      <c r="C2837" s="20" t="s">
        <v>319</v>
      </c>
      <c r="D2837" s="20" t="s">
        <v>1418</v>
      </c>
      <c r="E2837" s="27">
        <v>5</v>
      </c>
      <c r="F2837" s="27">
        <v>5</v>
      </c>
      <c r="G2837" s="28">
        <v>1.11E-2</v>
      </c>
    </row>
    <row r="2838" spans="1:7" ht="22.5" x14ac:dyDescent="0.25">
      <c r="A2838" s="20" t="s">
        <v>620</v>
      </c>
      <c r="B2838" s="20" t="s">
        <v>1066</v>
      </c>
      <c r="C2838" s="20" t="s">
        <v>284</v>
      </c>
      <c r="D2838" s="20" t="s">
        <v>1418</v>
      </c>
      <c r="E2838" s="27">
        <v>8</v>
      </c>
      <c r="F2838" s="27">
        <v>8</v>
      </c>
      <c r="G2838" s="28">
        <v>2.53E-2</v>
      </c>
    </row>
    <row r="2839" spans="1:7" ht="22.5" x14ac:dyDescent="0.25">
      <c r="A2839" s="20" t="s">
        <v>620</v>
      </c>
      <c r="B2839" s="20" t="s">
        <v>625</v>
      </c>
      <c r="C2839" s="20" t="s">
        <v>219</v>
      </c>
      <c r="D2839" s="20" t="s">
        <v>1418</v>
      </c>
      <c r="E2839" s="27">
        <v>40</v>
      </c>
      <c r="F2839" s="27">
        <v>40</v>
      </c>
      <c r="G2839" s="29">
        <v>7.1399999999999996E-3</v>
      </c>
    </row>
    <row r="2840" spans="1:7" x14ac:dyDescent="0.25">
      <c r="A2840" s="20" t="s">
        <v>588</v>
      </c>
      <c r="B2840" s="20" t="s">
        <v>131</v>
      </c>
      <c r="C2840" s="20" t="s">
        <v>131</v>
      </c>
      <c r="D2840" s="20" t="s">
        <v>1417</v>
      </c>
      <c r="E2840" s="26">
        <v>4.2084799999999998</v>
      </c>
      <c r="F2840" s="26">
        <v>8.4169599999999996</v>
      </c>
      <c r="G2840" s="22"/>
    </row>
    <row r="2841" spans="1:7" x14ac:dyDescent="0.25">
      <c r="A2841" s="20" t="s">
        <v>588</v>
      </c>
      <c r="B2841" s="20" t="s">
        <v>131</v>
      </c>
      <c r="C2841" s="20" t="s">
        <v>131</v>
      </c>
      <c r="D2841" s="20" t="s">
        <v>1419</v>
      </c>
      <c r="E2841" s="26">
        <v>5.0155799999999999</v>
      </c>
      <c r="F2841" s="26">
        <v>5.0155799999999999</v>
      </c>
      <c r="G2841" s="22"/>
    </row>
    <row r="2842" spans="1:7" x14ac:dyDescent="0.25">
      <c r="A2842" s="20" t="s">
        <v>588</v>
      </c>
      <c r="B2842" s="20" t="s">
        <v>131</v>
      </c>
      <c r="C2842" s="20" t="s">
        <v>131</v>
      </c>
      <c r="D2842" s="20" t="s">
        <v>1420</v>
      </c>
      <c r="E2842" s="26">
        <v>3.51667</v>
      </c>
      <c r="F2842" s="26">
        <v>3.51667</v>
      </c>
      <c r="G2842" s="22"/>
    </row>
    <row r="2843" spans="1:7" x14ac:dyDescent="0.25">
      <c r="A2843" s="20" t="s">
        <v>588</v>
      </c>
      <c r="B2843" s="20" t="s">
        <v>131</v>
      </c>
      <c r="C2843" s="20" t="s">
        <v>131</v>
      </c>
      <c r="D2843" s="20" t="s">
        <v>1421</v>
      </c>
      <c r="E2843" s="26">
        <v>2.8336299999999999</v>
      </c>
      <c r="F2843" s="26">
        <v>5.6672599999999997</v>
      </c>
      <c r="G2843" s="22"/>
    </row>
    <row r="2844" spans="1:7" x14ac:dyDescent="0.25">
      <c r="A2844" s="20" t="s">
        <v>588</v>
      </c>
      <c r="B2844" s="20" t="s">
        <v>131</v>
      </c>
      <c r="C2844" s="20" t="s">
        <v>131</v>
      </c>
      <c r="D2844" s="20" t="s">
        <v>1422</v>
      </c>
      <c r="E2844" s="32">
        <v>2.2755000000000001</v>
      </c>
      <c r="F2844" s="32">
        <v>2.2755000000000001</v>
      </c>
      <c r="G2844" s="22"/>
    </row>
    <row r="2845" spans="1:7" x14ac:dyDescent="0.25">
      <c r="A2845" s="20" t="s">
        <v>588</v>
      </c>
      <c r="B2845" s="20" t="s">
        <v>131</v>
      </c>
      <c r="C2845" s="20" t="s">
        <v>131</v>
      </c>
      <c r="D2845" s="20" t="s">
        <v>1423</v>
      </c>
      <c r="E2845" s="26">
        <v>1.5463899999999999</v>
      </c>
      <c r="F2845" s="26">
        <v>3.0927799999999999</v>
      </c>
      <c r="G2845" s="22"/>
    </row>
    <row r="2846" spans="1:7" x14ac:dyDescent="0.25">
      <c r="A2846" s="20" t="s">
        <v>588</v>
      </c>
      <c r="B2846" s="20" t="s">
        <v>131</v>
      </c>
      <c r="C2846" s="20" t="s">
        <v>131</v>
      </c>
      <c r="D2846" s="20" t="s">
        <v>1424</v>
      </c>
      <c r="E2846" s="32">
        <v>1.2986</v>
      </c>
      <c r="F2846" s="32">
        <v>2.5972</v>
      </c>
      <c r="G2846" s="22"/>
    </row>
    <row r="2847" spans="1:7" x14ac:dyDescent="0.25">
      <c r="A2847" s="20" t="s">
        <v>588</v>
      </c>
      <c r="B2847" s="20" t="s">
        <v>131</v>
      </c>
      <c r="C2847" s="20" t="s">
        <v>131</v>
      </c>
      <c r="D2847" s="20" t="s">
        <v>1425</v>
      </c>
      <c r="E2847" s="32">
        <v>0.57650000000000001</v>
      </c>
      <c r="F2847" s="24">
        <v>1.153</v>
      </c>
      <c r="G2847" s="22"/>
    </row>
    <row r="2848" spans="1:7" x14ac:dyDescent="0.25">
      <c r="A2848" s="20" t="s">
        <v>588</v>
      </c>
      <c r="B2848" s="20" t="s">
        <v>131</v>
      </c>
      <c r="C2848" s="20" t="s">
        <v>131</v>
      </c>
      <c r="D2848" s="20" t="s">
        <v>1426</v>
      </c>
      <c r="E2848" s="26">
        <v>0.59516000000000002</v>
      </c>
      <c r="F2848" s="26">
        <v>0.59516000000000002</v>
      </c>
      <c r="G2848" s="22"/>
    </row>
    <row r="2849" spans="1:7" x14ac:dyDescent="0.25">
      <c r="A2849" s="20" t="s">
        <v>588</v>
      </c>
      <c r="B2849" s="20" t="s">
        <v>131</v>
      </c>
      <c r="C2849" s="20" t="s">
        <v>131</v>
      </c>
      <c r="D2849" s="20" t="s">
        <v>1427</v>
      </c>
      <c r="E2849" s="26">
        <v>0.68367</v>
      </c>
      <c r="F2849" s="26">
        <v>0.68367</v>
      </c>
      <c r="G2849" s="22"/>
    </row>
    <row r="2850" spans="1:7" x14ac:dyDescent="0.25">
      <c r="A2850" s="20" t="s">
        <v>588</v>
      </c>
      <c r="B2850" s="20" t="s">
        <v>130</v>
      </c>
      <c r="C2850" s="20" t="s">
        <v>130</v>
      </c>
      <c r="D2850" s="20" t="s">
        <v>1428</v>
      </c>
      <c r="E2850" s="26">
        <v>7.6884199999999998</v>
      </c>
      <c r="F2850" s="26">
        <v>15.37684</v>
      </c>
      <c r="G2850" s="22"/>
    </row>
    <row r="2851" spans="1:7" x14ac:dyDescent="0.25">
      <c r="A2851" s="20" t="s">
        <v>588</v>
      </c>
      <c r="B2851" s="20" t="s">
        <v>130</v>
      </c>
      <c r="C2851" s="20" t="s">
        <v>130</v>
      </c>
      <c r="D2851" s="20" t="s">
        <v>1429</v>
      </c>
      <c r="E2851" s="26">
        <v>1.933E-2</v>
      </c>
      <c r="F2851" s="26">
        <v>0.15464</v>
      </c>
      <c r="G2851" s="22"/>
    </row>
    <row r="2852" spans="1:7" x14ac:dyDescent="0.25">
      <c r="A2852" s="20" t="s">
        <v>588</v>
      </c>
      <c r="B2852" s="20" t="s">
        <v>131</v>
      </c>
      <c r="C2852" s="20" t="s">
        <v>131</v>
      </c>
      <c r="D2852" s="20" t="s">
        <v>1431</v>
      </c>
      <c r="E2852" s="32">
        <v>0.60829999999999995</v>
      </c>
      <c r="F2852" s="32">
        <v>1.2165999999999999</v>
      </c>
      <c r="G2852" s="22"/>
    </row>
    <row r="2853" spans="1:7" x14ac:dyDescent="0.25">
      <c r="A2853" s="20" t="s">
        <v>588</v>
      </c>
      <c r="B2853" s="20" t="s">
        <v>131</v>
      </c>
      <c r="C2853" s="20" t="s">
        <v>131</v>
      </c>
      <c r="D2853" s="20" t="s">
        <v>1432</v>
      </c>
      <c r="E2853" s="26">
        <v>0.76781999999999995</v>
      </c>
      <c r="F2853" s="26">
        <v>1.5356399999999999</v>
      </c>
      <c r="G2853" s="22"/>
    </row>
    <row r="2854" spans="1:7" x14ac:dyDescent="0.25">
      <c r="A2854" s="20" t="s">
        <v>588</v>
      </c>
      <c r="B2854" s="20" t="s">
        <v>131</v>
      </c>
      <c r="C2854" s="20" t="s">
        <v>131</v>
      </c>
      <c r="D2854" s="20" t="s">
        <v>1433</v>
      </c>
      <c r="E2854" s="26">
        <v>0.11276</v>
      </c>
      <c r="F2854" s="26">
        <v>0.45104</v>
      </c>
      <c r="G2854" s="22"/>
    </row>
    <row r="2855" spans="1:7" x14ac:dyDescent="0.25">
      <c r="A2855" s="20" t="s">
        <v>588</v>
      </c>
      <c r="B2855" s="20" t="s">
        <v>131</v>
      </c>
      <c r="C2855" s="20" t="s">
        <v>131</v>
      </c>
      <c r="D2855" s="20" t="s">
        <v>1434</v>
      </c>
      <c r="E2855" s="26">
        <v>0.88170999999999999</v>
      </c>
      <c r="F2855" s="26">
        <v>12.34394</v>
      </c>
      <c r="G2855" s="22"/>
    </row>
    <row r="2856" spans="1:7" x14ac:dyDescent="0.25">
      <c r="A2856" s="20" t="s">
        <v>588</v>
      </c>
      <c r="B2856" s="20" t="s">
        <v>131</v>
      </c>
      <c r="C2856" s="20" t="s">
        <v>131</v>
      </c>
      <c r="D2856" s="20" t="s">
        <v>1435</v>
      </c>
      <c r="E2856" s="26">
        <v>0.53835</v>
      </c>
      <c r="F2856" s="26">
        <v>31.762650000000001</v>
      </c>
      <c r="G2856" s="22"/>
    </row>
    <row r="2857" spans="1:7" x14ac:dyDescent="0.25">
      <c r="A2857" s="20" t="s">
        <v>588</v>
      </c>
      <c r="B2857" s="20" t="s">
        <v>131</v>
      </c>
      <c r="C2857" s="20" t="s">
        <v>131</v>
      </c>
      <c r="D2857" s="20" t="s">
        <v>1436</v>
      </c>
      <c r="E2857" s="26">
        <v>0.19217000000000001</v>
      </c>
      <c r="F2857" s="26">
        <v>4.9964199999999996</v>
      </c>
      <c r="G2857" s="22"/>
    </row>
    <row r="2858" spans="1:7" x14ac:dyDescent="0.25">
      <c r="A2858" s="20" t="s">
        <v>588</v>
      </c>
      <c r="B2858" s="20" t="s">
        <v>131</v>
      </c>
      <c r="C2858" s="20" t="s">
        <v>131</v>
      </c>
      <c r="D2858" s="20" t="s">
        <v>1437</v>
      </c>
      <c r="E2858" s="26">
        <v>2.7793700000000001</v>
      </c>
      <c r="F2858" s="26">
        <v>22.234960000000001</v>
      </c>
      <c r="G2858" s="22"/>
    </row>
    <row r="2859" spans="1:7" x14ac:dyDescent="0.25">
      <c r="A2859" s="20" t="s">
        <v>588</v>
      </c>
      <c r="B2859" s="20" t="s">
        <v>131</v>
      </c>
      <c r="C2859" s="20" t="s">
        <v>131</v>
      </c>
      <c r="D2859" s="20" t="s">
        <v>1438</v>
      </c>
      <c r="E2859" s="26">
        <v>1.0767100000000001</v>
      </c>
      <c r="F2859" s="26">
        <v>45.221820000000001</v>
      </c>
      <c r="G2859" s="22"/>
    </row>
    <row r="2860" spans="1:7" x14ac:dyDescent="0.25">
      <c r="A2860" s="20" t="s">
        <v>588</v>
      </c>
      <c r="B2860" s="20" t="s">
        <v>131</v>
      </c>
      <c r="C2860" s="20" t="s">
        <v>131</v>
      </c>
      <c r="D2860" s="20" t="s">
        <v>1439</v>
      </c>
      <c r="E2860" s="26">
        <v>3.1283799999999999</v>
      </c>
      <c r="F2860" s="26">
        <v>9.3851399999999998</v>
      </c>
      <c r="G2860" s="22"/>
    </row>
    <row r="2861" spans="1:7" x14ac:dyDescent="0.25">
      <c r="A2861" s="20" t="s">
        <v>595</v>
      </c>
      <c r="B2861" s="20" t="s">
        <v>1440</v>
      </c>
      <c r="C2861" s="20" t="s">
        <v>1440</v>
      </c>
      <c r="D2861" s="20" t="s">
        <v>1441</v>
      </c>
      <c r="E2861" s="27">
        <v>1</v>
      </c>
      <c r="F2861" s="27">
        <v>11</v>
      </c>
      <c r="G2861" s="29">
        <v>5.8282299999999996</v>
      </c>
    </row>
    <row r="2862" spans="1:7" x14ac:dyDescent="0.25">
      <c r="A2862" s="20" t="s">
        <v>595</v>
      </c>
      <c r="B2862" s="20" t="s">
        <v>1442</v>
      </c>
      <c r="C2862" s="20" t="s">
        <v>1442</v>
      </c>
      <c r="D2862" s="20" t="s">
        <v>1441</v>
      </c>
      <c r="E2862" s="27">
        <v>1</v>
      </c>
      <c r="F2862" s="27">
        <v>11</v>
      </c>
      <c r="G2862" s="29">
        <v>5.8282299999999996</v>
      </c>
    </row>
    <row r="2863" spans="1:7" x14ac:dyDescent="0.25">
      <c r="A2863" s="20" t="s">
        <v>595</v>
      </c>
      <c r="B2863" s="20" t="s">
        <v>1443</v>
      </c>
      <c r="C2863" s="20" t="s">
        <v>1443</v>
      </c>
      <c r="D2863" s="20" t="s">
        <v>1441</v>
      </c>
      <c r="E2863" s="27">
        <v>10</v>
      </c>
      <c r="F2863" s="27">
        <v>110</v>
      </c>
      <c r="G2863" s="29">
        <v>0.59909000000000001</v>
      </c>
    </row>
    <row r="2864" spans="1:7" x14ac:dyDescent="0.25">
      <c r="A2864" s="20" t="s">
        <v>588</v>
      </c>
      <c r="B2864" s="20" t="s">
        <v>44</v>
      </c>
      <c r="C2864" s="20" t="s">
        <v>44</v>
      </c>
      <c r="D2864" s="20" t="s">
        <v>1441</v>
      </c>
      <c r="E2864" s="25">
        <v>0.76</v>
      </c>
      <c r="F2864" s="25">
        <v>8.36</v>
      </c>
      <c r="G2864" s="22"/>
    </row>
    <row r="2865" spans="1:7" x14ac:dyDescent="0.25">
      <c r="A2865" s="20" t="s">
        <v>588</v>
      </c>
      <c r="B2865" s="20" t="s">
        <v>67</v>
      </c>
      <c r="C2865" s="20" t="s">
        <v>67</v>
      </c>
      <c r="D2865" s="20" t="s">
        <v>1441</v>
      </c>
      <c r="E2865" s="24">
        <v>0.42499999999999999</v>
      </c>
      <c r="F2865" s="24">
        <v>4.6749999999999998</v>
      </c>
      <c r="G2865" s="22"/>
    </row>
    <row r="2866" spans="1:7" x14ac:dyDescent="0.25">
      <c r="A2866" s="20" t="s">
        <v>588</v>
      </c>
      <c r="B2866" s="20" t="s">
        <v>139</v>
      </c>
      <c r="C2866" s="20" t="s">
        <v>139</v>
      </c>
      <c r="D2866" s="20" t="s">
        <v>1441</v>
      </c>
      <c r="E2866" s="24">
        <v>5.0999999999999997E-2</v>
      </c>
      <c r="F2866" s="24">
        <v>0.56100000000000005</v>
      </c>
      <c r="G2866" s="22"/>
    </row>
    <row r="2867" spans="1:7" x14ac:dyDescent="0.25">
      <c r="A2867" s="20" t="s">
        <v>588</v>
      </c>
      <c r="B2867" s="20" t="s">
        <v>146</v>
      </c>
      <c r="C2867" s="20" t="s">
        <v>146</v>
      </c>
      <c r="D2867" s="20" t="s">
        <v>1441</v>
      </c>
      <c r="E2867" s="25">
        <v>0.25</v>
      </c>
      <c r="F2867" s="25">
        <v>2.75</v>
      </c>
      <c r="G2867" s="22"/>
    </row>
    <row r="2868" spans="1:7" x14ac:dyDescent="0.25">
      <c r="A2868" s="20" t="s">
        <v>588</v>
      </c>
      <c r="B2868" s="20" t="s">
        <v>156</v>
      </c>
      <c r="C2868" s="20" t="s">
        <v>156</v>
      </c>
      <c r="D2868" s="20" t="s">
        <v>1441</v>
      </c>
      <c r="E2868" s="25">
        <v>0.25</v>
      </c>
      <c r="F2868" s="25">
        <v>2.75</v>
      </c>
      <c r="G2868" s="22"/>
    </row>
    <row r="2869" spans="1:7" x14ac:dyDescent="0.25">
      <c r="A2869" s="20" t="s">
        <v>588</v>
      </c>
      <c r="B2869" s="20" t="s">
        <v>200</v>
      </c>
      <c r="C2869" s="20" t="s">
        <v>200</v>
      </c>
      <c r="D2869" s="20" t="s">
        <v>1441</v>
      </c>
      <c r="E2869" s="25">
        <v>0.04</v>
      </c>
      <c r="F2869" s="25">
        <v>0.44</v>
      </c>
      <c r="G2869" s="22"/>
    </row>
    <row r="2870" spans="1:7" x14ac:dyDescent="0.25">
      <c r="A2870" s="20" t="s">
        <v>588</v>
      </c>
      <c r="B2870" s="20" t="s">
        <v>202</v>
      </c>
      <c r="C2870" s="20" t="s">
        <v>202</v>
      </c>
      <c r="D2870" s="20" t="s">
        <v>1441</v>
      </c>
      <c r="E2870" s="25">
        <v>0.51</v>
      </c>
      <c r="F2870" s="25">
        <v>5.61</v>
      </c>
      <c r="G2870" s="22"/>
    </row>
    <row r="2871" spans="1:7" x14ac:dyDescent="0.25">
      <c r="A2871" s="20" t="s">
        <v>588</v>
      </c>
      <c r="B2871" s="20" t="s">
        <v>113</v>
      </c>
      <c r="C2871" s="20" t="s">
        <v>113</v>
      </c>
      <c r="D2871" s="20" t="s">
        <v>1440</v>
      </c>
      <c r="E2871" s="26">
        <v>7.0333500000000004</v>
      </c>
      <c r="F2871" s="26">
        <v>77.366849999999999</v>
      </c>
      <c r="G2871" s="22"/>
    </row>
    <row r="2872" spans="1:7" x14ac:dyDescent="0.25">
      <c r="A2872" s="20" t="s">
        <v>588</v>
      </c>
      <c r="B2872" s="20" t="s">
        <v>113</v>
      </c>
      <c r="C2872" s="20" t="s">
        <v>113</v>
      </c>
      <c r="D2872" s="20" t="s">
        <v>1442</v>
      </c>
      <c r="E2872" s="26">
        <v>7.0333500000000004</v>
      </c>
      <c r="F2872" s="26">
        <v>77.366849999999999</v>
      </c>
      <c r="G2872" s="22"/>
    </row>
    <row r="2873" spans="1:7" x14ac:dyDescent="0.25">
      <c r="A2873" s="20" t="s">
        <v>588</v>
      </c>
      <c r="B2873" s="20" t="s">
        <v>175</v>
      </c>
      <c r="C2873" s="20" t="s">
        <v>175</v>
      </c>
      <c r="D2873" s="20" t="s">
        <v>1443</v>
      </c>
      <c r="E2873" s="24">
        <v>0.621</v>
      </c>
      <c r="F2873" s="24">
        <v>96.254999999999995</v>
      </c>
      <c r="G2873" s="22"/>
    </row>
    <row r="2874" spans="1:7" x14ac:dyDescent="0.25">
      <c r="A2874" s="20" t="s">
        <v>595</v>
      </c>
      <c r="B2874" s="20" t="s">
        <v>1443</v>
      </c>
      <c r="C2874" s="20" t="s">
        <v>1443</v>
      </c>
      <c r="D2874" s="20" t="s">
        <v>1444</v>
      </c>
      <c r="E2874" s="27">
        <v>8</v>
      </c>
      <c r="F2874" s="27">
        <v>16</v>
      </c>
      <c r="G2874" s="29">
        <v>0.59909000000000001</v>
      </c>
    </row>
    <row r="2875" spans="1:7" x14ac:dyDescent="0.25">
      <c r="A2875" s="20" t="s">
        <v>595</v>
      </c>
      <c r="B2875" s="20" t="s">
        <v>1445</v>
      </c>
      <c r="C2875" s="20" t="s">
        <v>1445</v>
      </c>
      <c r="D2875" s="20" t="s">
        <v>1444</v>
      </c>
      <c r="E2875" s="27">
        <v>1</v>
      </c>
      <c r="F2875" s="27">
        <v>2</v>
      </c>
      <c r="G2875" s="29">
        <v>4.8767399999999999</v>
      </c>
    </row>
    <row r="2876" spans="1:7" x14ac:dyDescent="0.25">
      <c r="A2876" s="20" t="s">
        <v>595</v>
      </c>
      <c r="B2876" s="20" t="s">
        <v>1446</v>
      </c>
      <c r="C2876" s="20" t="s">
        <v>1446</v>
      </c>
      <c r="D2876" s="20" t="s">
        <v>1444</v>
      </c>
      <c r="E2876" s="27">
        <v>1</v>
      </c>
      <c r="F2876" s="27">
        <v>2</v>
      </c>
      <c r="G2876" s="29">
        <v>4.8767399999999999</v>
      </c>
    </row>
    <row r="2877" spans="1:7" x14ac:dyDescent="0.25">
      <c r="A2877" s="20" t="s">
        <v>588</v>
      </c>
      <c r="B2877" s="20" t="s">
        <v>44</v>
      </c>
      <c r="C2877" s="20" t="s">
        <v>44</v>
      </c>
      <c r="D2877" s="20" t="s">
        <v>1444</v>
      </c>
      <c r="E2877" s="24">
        <v>0.751</v>
      </c>
      <c r="F2877" s="24">
        <v>1.502</v>
      </c>
      <c r="G2877" s="22"/>
    </row>
    <row r="2878" spans="1:7" x14ac:dyDescent="0.25">
      <c r="A2878" s="20" t="s">
        <v>588</v>
      </c>
      <c r="B2878" s="20" t="s">
        <v>67</v>
      </c>
      <c r="C2878" s="20" t="s">
        <v>67</v>
      </c>
      <c r="D2878" s="20" t="s">
        <v>1444</v>
      </c>
      <c r="E2878" s="24">
        <v>0.25800000000000001</v>
      </c>
      <c r="F2878" s="24">
        <v>0.51600000000000001</v>
      </c>
      <c r="G2878" s="22"/>
    </row>
    <row r="2879" spans="1:7" x14ac:dyDescent="0.25">
      <c r="A2879" s="20" t="s">
        <v>588</v>
      </c>
      <c r="B2879" s="20" t="s">
        <v>139</v>
      </c>
      <c r="C2879" s="20" t="s">
        <v>139</v>
      </c>
      <c r="D2879" s="20" t="s">
        <v>1444</v>
      </c>
      <c r="E2879" s="24">
        <v>0.255</v>
      </c>
      <c r="F2879" s="25">
        <v>0.51</v>
      </c>
      <c r="G2879" s="22"/>
    </row>
    <row r="2880" spans="1:7" x14ac:dyDescent="0.25">
      <c r="A2880" s="20" t="s">
        <v>588</v>
      </c>
      <c r="B2880" s="20" t="s">
        <v>146</v>
      </c>
      <c r="C2880" s="20" t="s">
        <v>146</v>
      </c>
      <c r="D2880" s="20" t="s">
        <v>1444</v>
      </c>
      <c r="E2880" s="24">
        <v>0.152</v>
      </c>
      <c r="F2880" s="24">
        <v>0.30399999999999999</v>
      </c>
      <c r="G2880" s="22"/>
    </row>
    <row r="2881" spans="1:7" x14ac:dyDescent="0.25">
      <c r="A2881" s="20" t="s">
        <v>588</v>
      </c>
      <c r="B2881" s="20" t="s">
        <v>156</v>
      </c>
      <c r="C2881" s="20" t="s">
        <v>156</v>
      </c>
      <c r="D2881" s="20" t="s">
        <v>1444</v>
      </c>
      <c r="E2881" s="25">
        <v>0.23</v>
      </c>
      <c r="F2881" s="25">
        <v>0.46</v>
      </c>
      <c r="G2881" s="22"/>
    </row>
    <row r="2882" spans="1:7" x14ac:dyDescent="0.25">
      <c r="A2882" s="20" t="s">
        <v>588</v>
      </c>
      <c r="B2882" s="20" t="s">
        <v>200</v>
      </c>
      <c r="C2882" s="20" t="s">
        <v>200</v>
      </c>
      <c r="D2882" s="20" t="s">
        <v>1444</v>
      </c>
      <c r="E2882" s="25">
        <v>0.02</v>
      </c>
      <c r="F2882" s="25">
        <v>0.04</v>
      </c>
      <c r="G2882" s="22"/>
    </row>
    <row r="2883" spans="1:7" x14ac:dyDescent="0.25">
      <c r="A2883" s="20" t="s">
        <v>588</v>
      </c>
      <c r="B2883" s="20" t="s">
        <v>202</v>
      </c>
      <c r="C2883" s="20" t="s">
        <v>202</v>
      </c>
      <c r="D2883" s="20" t="s">
        <v>1444</v>
      </c>
      <c r="E2883" s="24">
        <v>0.52200000000000002</v>
      </c>
      <c r="F2883" s="24">
        <v>1.044</v>
      </c>
      <c r="G2883" s="22"/>
    </row>
    <row r="2884" spans="1:7" x14ac:dyDescent="0.25">
      <c r="A2884" s="20" t="s">
        <v>588</v>
      </c>
      <c r="B2884" s="20" t="s">
        <v>113</v>
      </c>
      <c r="C2884" s="20" t="s">
        <v>113</v>
      </c>
      <c r="D2884" s="20" t="s">
        <v>1445</v>
      </c>
      <c r="E2884" s="26">
        <v>5.84863</v>
      </c>
      <c r="F2884" s="26">
        <v>11.69726</v>
      </c>
      <c r="G2884" s="22"/>
    </row>
    <row r="2885" spans="1:7" x14ac:dyDescent="0.25">
      <c r="A2885" s="20" t="s">
        <v>588</v>
      </c>
      <c r="B2885" s="20" t="s">
        <v>113</v>
      </c>
      <c r="C2885" s="20" t="s">
        <v>113</v>
      </c>
      <c r="D2885" s="20" t="s">
        <v>1446</v>
      </c>
      <c r="E2885" s="26">
        <v>5.84863</v>
      </c>
      <c r="F2885" s="26">
        <v>11.69726</v>
      </c>
      <c r="G2885" s="22"/>
    </row>
    <row r="2886" spans="1:7" x14ac:dyDescent="0.25">
      <c r="A2886" s="20" t="s">
        <v>595</v>
      </c>
      <c r="B2886" s="20" t="s">
        <v>1443</v>
      </c>
      <c r="C2886" s="20" t="s">
        <v>1443</v>
      </c>
      <c r="D2886" s="20" t="s">
        <v>1447</v>
      </c>
      <c r="E2886" s="27">
        <v>4</v>
      </c>
      <c r="F2886" s="27">
        <v>4</v>
      </c>
      <c r="G2886" s="29">
        <v>0.59909000000000001</v>
      </c>
    </row>
    <row r="2887" spans="1:7" x14ac:dyDescent="0.25">
      <c r="A2887" s="20" t="s">
        <v>595</v>
      </c>
      <c r="B2887" s="20" t="s">
        <v>1448</v>
      </c>
      <c r="C2887" s="20" t="s">
        <v>1448</v>
      </c>
      <c r="D2887" s="20" t="s">
        <v>1447</v>
      </c>
      <c r="E2887" s="27">
        <v>1</v>
      </c>
      <c r="F2887" s="27">
        <v>1</v>
      </c>
      <c r="G2887" s="29">
        <v>4.6993400000000003</v>
      </c>
    </row>
    <row r="2888" spans="1:7" x14ac:dyDescent="0.25">
      <c r="A2888" s="20" t="s">
        <v>595</v>
      </c>
      <c r="B2888" s="20" t="s">
        <v>1449</v>
      </c>
      <c r="C2888" s="20" t="s">
        <v>1449</v>
      </c>
      <c r="D2888" s="20" t="s">
        <v>1447</v>
      </c>
      <c r="E2888" s="27">
        <v>1</v>
      </c>
      <c r="F2888" s="27">
        <v>1</v>
      </c>
      <c r="G2888" s="29">
        <v>4.6993400000000003</v>
      </c>
    </row>
    <row r="2889" spans="1:7" x14ac:dyDescent="0.25">
      <c r="A2889" s="20" t="s">
        <v>588</v>
      </c>
      <c r="B2889" s="20" t="s">
        <v>44</v>
      </c>
      <c r="C2889" s="20" t="s">
        <v>44</v>
      </c>
      <c r="D2889" s="20" t="s">
        <v>1447</v>
      </c>
      <c r="E2889" s="24">
        <v>0.48799999999999999</v>
      </c>
      <c r="F2889" s="24">
        <v>0.48799999999999999</v>
      </c>
      <c r="G2889" s="22"/>
    </row>
    <row r="2890" spans="1:7" x14ac:dyDescent="0.25">
      <c r="A2890" s="20" t="s">
        <v>588</v>
      </c>
      <c r="B2890" s="20" t="s">
        <v>67</v>
      </c>
      <c r="C2890" s="20" t="s">
        <v>67</v>
      </c>
      <c r="D2890" s="20" t="s">
        <v>1447</v>
      </c>
      <c r="E2890" s="25">
        <v>0.12</v>
      </c>
      <c r="F2890" s="25">
        <v>0.12</v>
      </c>
      <c r="G2890" s="22"/>
    </row>
    <row r="2891" spans="1:7" x14ac:dyDescent="0.25">
      <c r="A2891" s="20" t="s">
        <v>588</v>
      </c>
      <c r="B2891" s="20" t="s">
        <v>139</v>
      </c>
      <c r="C2891" s="20" t="s">
        <v>139</v>
      </c>
      <c r="D2891" s="20" t="s">
        <v>1447</v>
      </c>
      <c r="E2891" s="25">
        <v>0.06</v>
      </c>
      <c r="F2891" s="25">
        <v>0.06</v>
      </c>
      <c r="G2891" s="22"/>
    </row>
    <row r="2892" spans="1:7" x14ac:dyDescent="0.25">
      <c r="A2892" s="20" t="s">
        <v>588</v>
      </c>
      <c r="B2892" s="20" t="s">
        <v>146</v>
      </c>
      <c r="C2892" s="20" t="s">
        <v>146</v>
      </c>
      <c r="D2892" s="20" t="s">
        <v>1447</v>
      </c>
      <c r="E2892" s="25">
        <v>7.0000000000000007E-2</v>
      </c>
      <c r="F2892" s="25">
        <v>7.0000000000000007E-2</v>
      </c>
      <c r="G2892" s="22"/>
    </row>
    <row r="2893" spans="1:7" x14ac:dyDescent="0.25">
      <c r="A2893" s="20" t="s">
        <v>588</v>
      </c>
      <c r="B2893" s="20" t="s">
        <v>156</v>
      </c>
      <c r="C2893" s="20" t="s">
        <v>156</v>
      </c>
      <c r="D2893" s="20" t="s">
        <v>1447</v>
      </c>
      <c r="E2893" s="24">
        <v>0.17899999999999999</v>
      </c>
      <c r="F2893" s="24">
        <v>0.17899999999999999</v>
      </c>
      <c r="G2893" s="22"/>
    </row>
    <row r="2894" spans="1:7" x14ac:dyDescent="0.25">
      <c r="A2894" s="20" t="s">
        <v>588</v>
      </c>
      <c r="B2894" s="20" t="s">
        <v>200</v>
      </c>
      <c r="C2894" s="20" t="s">
        <v>200</v>
      </c>
      <c r="D2894" s="20" t="s">
        <v>1447</v>
      </c>
      <c r="E2894" s="25">
        <v>0.04</v>
      </c>
      <c r="F2894" s="25">
        <v>0.04</v>
      </c>
      <c r="G2894" s="22"/>
    </row>
    <row r="2895" spans="1:7" x14ac:dyDescent="0.25">
      <c r="A2895" s="20" t="s">
        <v>588</v>
      </c>
      <c r="B2895" s="20" t="s">
        <v>202</v>
      </c>
      <c r="C2895" s="20" t="s">
        <v>202</v>
      </c>
      <c r="D2895" s="20" t="s">
        <v>1447</v>
      </c>
      <c r="E2895" s="24">
        <v>0.40699999999999997</v>
      </c>
      <c r="F2895" s="24">
        <v>0.40699999999999997</v>
      </c>
      <c r="G2895" s="22"/>
    </row>
    <row r="2896" spans="1:7" x14ac:dyDescent="0.25">
      <c r="A2896" s="20" t="s">
        <v>588</v>
      </c>
      <c r="B2896" s="20" t="s">
        <v>113</v>
      </c>
      <c r="C2896" s="20" t="s">
        <v>113</v>
      </c>
      <c r="D2896" s="20" t="s">
        <v>1448</v>
      </c>
      <c r="E2896" s="26">
        <v>5.6209100000000003</v>
      </c>
      <c r="F2896" s="26">
        <v>5.6209100000000003</v>
      </c>
      <c r="G2896" s="22"/>
    </row>
    <row r="2897" spans="1:7" x14ac:dyDescent="0.25">
      <c r="A2897" s="20" t="s">
        <v>588</v>
      </c>
      <c r="B2897" s="20" t="s">
        <v>113</v>
      </c>
      <c r="C2897" s="20" t="s">
        <v>113</v>
      </c>
      <c r="D2897" s="20" t="s">
        <v>1449</v>
      </c>
      <c r="E2897" s="26">
        <v>5.6209100000000003</v>
      </c>
      <c r="F2897" s="26">
        <v>5.6209100000000003</v>
      </c>
      <c r="G2897" s="22"/>
    </row>
    <row r="2898" spans="1:7" x14ac:dyDescent="0.25">
      <c r="A2898" s="20" t="s">
        <v>595</v>
      </c>
      <c r="B2898" s="20" t="s">
        <v>1450</v>
      </c>
      <c r="C2898" s="20" t="s">
        <v>1450</v>
      </c>
      <c r="D2898" s="20" t="s">
        <v>1451</v>
      </c>
      <c r="E2898" s="27">
        <v>1</v>
      </c>
      <c r="F2898" s="27">
        <v>4</v>
      </c>
      <c r="G2898" s="29">
        <v>12.26502</v>
      </c>
    </row>
    <row r="2899" spans="1:7" x14ac:dyDescent="0.25">
      <c r="A2899" s="20" t="s">
        <v>595</v>
      </c>
      <c r="B2899" s="20" t="s">
        <v>1452</v>
      </c>
      <c r="C2899" s="20" t="s">
        <v>1452</v>
      </c>
      <c r="D2899" s="20" t="s">
        <v>1451</v>
      </c>
      <c r="E2899" s="27">
        <v>1</v>
      </c>
      <c r="F2899" s="27">
        <v>4</v>
      </c>
      <c r="G2899" s="29">
        <v>3.5662799999999999</v>
      </c>
    </row>
    <row r="2900" spans="1:7" x14ac:dyDescent="0.25">
      <c r="A2900" s="20" t="s">
        <v>595</v>
      </c>
      <c r="B2900" s="20" t="s">
        <v>1453</v>
      </c>
      <c r="C2900" s="20" t="s">
        <v>1453</v>
      </c>
      <c r="D2900" s="20" t="s">
        <v>1451</v>
      </c>
      <c r="E2900" s="27">
        <v>1</v>
      </c>
      <c r="F2900" s="27">
        <v>4</v>
      </c>
      <c r="G2900" s="29">
        <v>2.48245</v>
      </c>
    </row>
    <row r="2901" spans="1:7" ht="22.5" x14ac:dyDescent="0.25">
      <c r="A2901" s="20" t="s">
        <v>620</v>
      </c>
      <c r="B2901" s="20" t="s">
        <v>563</v>
      </c>
      <c r="C2901" s="20" t="s">
        <v>563</v>
      </c>
      <c r="D2901" s="20" t="s">
        <v>1451</v>
      </c>
      <c r="E2901" s="27">
        <v>1</v>
      </c>
      <c r="F2901" s="27">
        <v>4</v>
      </c>
      <c r="G2901" s="35">
        <v>0.86699999999999999</v>
      </c>
    </row>
    <row r="2902" spans="1:7" x14ac:dyDescent="0.25">
      <c r="A2902" s="20" t="s">
        <v>597</v>
      </c>
      <c r="B2902" s="20" t="s">
        <v>3</v>
      </c>
      <c r="C2902" s="20" t="s">
        <v>3</v>
      </c>
      <c r="D2902" s="20" t="s">
        <v>1451</v>
      </c>
      <c r="E2902" s="27">
        <v>1</v>
      </c>
      <c r="F2902" s="27">
        <v>4</v>
      </c>
      <c r="G2902" s="29">
        <v>0.68352999999999997</v>
      </c>
    </row>
    <row r="2903" spans="1:7" x14ac:dyDescent="0.25">
      <c r="A2903" s="20" t="s">
        <v>597</v>
      </c>
      <c r="B2903" s="20" t="s">
        <v>4</v>
      </c>
      <c r="C2903" s="20" t="s">
        <v>4</v>
      </c>
      <c r="D2903" s="20" t="s">
        <v>1451</v>
      </c>
      <c r="E2903" s="27">
        <v>1</v>
      </c>
      <c r="F2903" s="27">
        <v>4</v>
      </c>
      <c r="G2903" s="29">
        <v>1.55443</v>
      </c>
    </row>
    <row r="2904" spans="1:7" x14ac:dyDescent="0.25">
      <c r="A2904" s="20" t="s">
        <v>588</v>
      </c>
      <c r="B2904" s="20" t="s">
        <v>62</v>
      </c>
      <c r="C2904" s="20" t="s">
        <v>62</v>
      </c>
      <c r="D2904" s="20" t="s">
        <v>1451</v>
      </c>
      <c r="E2904" s="33">
        <v>0.2</v>
      </c>
      <c r="F2904" s="33">
        <v>0.8</v>
      </c>
      <c r="G2904" s="22"/>
    </row>
    <row r="2905" spans="1:7" x14ac:dyDescent="0.25">
      <c r="A2905" s="20" t="s">
        <v>588</v>
      </c>
      <c r="B2905" s="20" t="s">
        <v>65</v>
      </c>
      <c r="C2905" s="20" t="s">
        <v>65</v>
      </c>
      <c r="D2905" s="20" t="s">
        <v>1451</v>
      </c>
      <c r="E2905" s="24">
        <v>0.13200000000000001</v>
      </c>
      <c r="F2905" s="24">
        <v>0.52800000000000002</v>
      </c>
      <c r="G2905" s="22"/>
    </row>
    <row r="2906" spans="1:7" x14ac:dyDescent="0.25">
      <c r="A2906" s="20" t="s">
        <v>588</v>
      </c>
      <c r="B2906" s="20" t="s">
        <v>155</v>
      </c>
      <c r="C2906" s="20" t="s">
        <v>155</v>
      </c>
      <c r="D2906" s="20" t="s">
        <v>1451</v>
      </c>
      <c r="E2906" s="24">
        <v>3.9E-2</v>
      </c>
      <c r="F2906" s="24">
        <v>0.156</v>
      </c>
      <c r="G2906" s="22"/>
    </row>
    <row r="2907" spans="1:7" x14ac:dyDescent="0.25">
      <c r="A2907" s="20" t="s">
        <v>588</v>
      </c>
      <c r="B2907" s="20" t="s">
        <v>156</v>
      </c>
      <c r="C2907" s="20" t="s">
        <v>156</v>
      </c>
      <c r="D2907" s="20" t="s">
        <v>1451</v>
      </c>
      <c r="E2907" s="24">
        <v>0.121</v>
      </c>
      <c r="F2907" s="24">
        <v>0.48399999999999999</v>
      </c>
      <c r="G2907" s="22"/>
    </row>
    <row r="2908" spans="1:7" x14ac:dyDescent="0.25">
      <c r="A2908" s="20" t="s">
        <v>588</v>
      </c>
      <c r="B2908" s="20" t="s">
        <v>157</v>
      </c>
      <c r="C2908" s="20" t="s">
        <v>157</v>
      </c>
      <c r="D2908" s="20" t="s">
        <v>1451</v>
      </c>
      <c r="E2908" s="24">
        <v>0.121</v>
      </c>
      <c r="F2908" s="24">
        <v>0.48399999999999999</v>
      </c>
      <c r="G2908" s="22"/>
    </row>
    <row r="2909" spans="1:7" x14ac:dyDescent="0.25">
      <c r="A2909" s="20" t="s">
        <v>588</v>
      </c>
      <c r="B2909" s="20" t="s">
        <v>215</v>
      </c>
      <c r="C2909" s="20" t="s">
        <v>215</v>
      </c>
      <c r="D2909" s="20" t="s">
        <v>1451</v>
      </c>
      <c r="E2909" s="24">
        <v>0.26400000000000001</v>
      </c>
      <c r="F2909" s="24">
        <v>1.056</v>
      </c>
      <c r="G2909" s="22"/>
    </row>
    <row r="2910" spans="1:7" x14ac:dyDescent="0.25">
      <c r="A2910" s="20" t="s">
        <v>588</v>
      </c>
      <c r="B2910" s="20" t="s">
        <v>182</v>
      </c>
      <c r="C2910" s="20" t="s">
        <v>182</v>
      </c>
      <c r="D2910" s="20" t="s">
        <v>1450</v>
      </c>
      <c r="E2910" s="25">
        <v>12.87</v>
      </c>
      <c r="F2910" s="25">
        <v>51.48</v>
      </c>
      <c r="G2910" s="22"/>
    </row>
    <row r="2911" spans="1:7" x14ac:dyDescent="0.25">
      <c r="A2911" s="20" t="s">
        <v>588</v>
      </c>
      <c r="B2911" s="20" t="s">
        <v>182</v>
      </c>
      <c r="C2911" s="20" t="s">
        <v>182</v>
      </c>
      <c r="D2911" s="20" t="s">
        <v>1452</v>
      </c>
      <c r="E2911" s="25">
        <v>3.75</v>
      </c>
      <c r="F2911" s="27">
        <v>15</v>
      </c>
      <c r="G2911" s="22"/>
    </row>
    <row r="2912" spans="1:7" x14ac:dyDescent="0.25">
      <c r="A2912" s="20" t="s">
        <v>595</v>
      </c>
      <c r="B2912" s="20" t="s">
        <v>1453</v>
      </c>
      <c r="C2912" s="20" t="s">
        <v>1453</v>
      </c>
      <c r="D2912" s="20" t="s">
        <v>1454</v>
      </c>
      <c r="E2912" s="27">
        <v>2</v>
      </c>
      <c r="F2912" s="27">
        <v>2</v>
      </c>
      <c r="G2912" s="29">
        <v>2.48245</v>
      </c>
    </row>
    <row r="2913" spans="1:7" x14ac:dyDescent="0.25">
      <c r="A2913" s="20" t="s">
        <v>595</v>
      </c>
      <c r="B2913" s="20" t="s">
        <v>1455</v>
      </c>
      <c r="C2913" s="20" t="s">
        <v>1455</v>
      </c>
      <c r="D2913" s="20" t="s">
        <v>1454</v>
      </c>
      <c r="E2913" s="27">
        <v>1</v>
      </c>
      <c r="F2913" s="27">
        <v>1</v>
      </c>
      <c r="G2913" s="29">
        <v>3.64086</v>
      </c>
    </row>
    <row r="2914" spans="1:7" x14ac:dyDescent="0.25">
      <c r="A2914" s="20" t="s">
        <v>595</v>
      </c>
      <c r="B2914" s="20" t="s">
        <v>1456</v>
      </c>
      <c r="C2914" s="20" t="s">
        <v>1456</v>
      </c>
      <c r="D2914" s="20" t="s">
        <v>1454</v>
      </c>
      <c r="E2914" s="27">
        <v>1</v>
      </c>
      <c r="F2914" s="27">
        <v>1</v>
      </c>
      <c r="G2914" s="29">
        <v>8.1970200000000002</v>
      </c>
    </row>
    <row r="2915" spans="1:7" ht="22.5" x14ac:dyDescent="0.25">
      <c r="A2915" s="20" t="s">
        <v>620</v>
      </c>
      <c r="B2915" s="20" t="s">
        <v>561</v>
      </c>
      <c r="C2915" s="20" t="s">
        <v>561</v>
      </c>
      <c r="D2915" s="20" t="s">
        <v>1454</v>
      </c>
      <c r="E2915" s="27">
        <v>1</v>
      </c>
      <c r="F2915" s="27">
        <v>1</v>
      </c>
      <c r="G2915" s="35">
        <v>0.32200000000000001</v>
      </c>
    </row>
    <row r="2916" spans="1:7" ht="22.5" x14ac:dyDescent="0.25">
      <c r="A2916" s="20" t="s">
        <v>620</v>
      </c>
      <c r="B2916" s="20" t="s">
        <v>563</v>
      </c>
      <c r="C2916" s="20" t="s">
        <v>563</v>
      </c>
      <c r="D2916" s="20" t="s">
        <v>1454</v>
      </c>
      <c r="E2916" s="27">
        <v>2</v>
      </c>
      <c r="F2916" s="27">
        <v>2</v>
      </c>
      <c r="G2916" s="35">
        <v>0.86699999999999999</v>
      </c>
    </row>
    <row r="2917" spans="1:7" x14ac:dyDescent="0.25">
      <c r="A2917" s="20" t="s">
        <v>597</v>
      </c>
      <c r="B2917" s="20" t="s">
        <v>3</v>
      </c>
      <c r="C2917" s="20" t="s">
        <v>3</v>
      </c>
      <c r="D2917" s="20" t="s">
        <v>1454</v>
      </c>
      <c r="E2917" s="27">
        <v>2</v>
      </c>
      <c r="F2917" s="27">
        <v>2</v>
      </c>
      <c r="G2917" s="29">
        <v>0.68352999999999997</v>
      </c>
    </row>
    <row r="2918" spans="1:7" x14ac:dyDescent="0.25">
      <c r="A2918" s="20" t="s">
        <v>597</v>
      </c>
      <c r="B2918" s="20" t="s">
        <v>4</v>
      </c>
      <c r="C2918" s="20" t="s">
        <v>4</v>
      </c>
      <c r="D2918" s="20" t="s">
        <v>1454</v>
      </c>
      <c r="E2918" s="27">
        <v>1</v>
      </c>
      <c r="F2918" s="27">
        <v>1</v>
      </c>
      <c r="G2918" s="29">
        <v>1.55443</v>
      </c>
    </row>
    <row r="2919" spans="1:7" x14ac:dyDescent="0.25">
      <c r="A2919" s="20" t="s">
        <v>588</v>
      </c>
      <c r="B2919" s="20" t="s">
        <v>62</v>
      </c>
      <c r="C2919" s="20" t="s">
        <v>62</v>
      </c>
      <c r="D2919" s="20" t="s">
        <v>1454</v>
      </c>
      <c r="E2919" s="33">
        <v>0.2</v>
      </c>
      <c r="F2919" s="33">
        <v>0.2</v>
      </c>
      <c r="G2919" s="22"/>
    </row>
    <row r="2920" spans="1:7" x14ac:dyDescent="0.25">
      <c r="A2920" s="20" t="s">
        <v>588</v>
      </c>
      <c r="B2920" s="20" t="s">
        <v>65</v>
      </c>
      <c r="C2920" s="20" t="s">
        <v>65</v>
      </c>
      <c r="D2920" s="20" t="s">
        <v>1454</v>
      </c>
      <c r="E2920" s="25">
        <v>7.0000000000000007E-2</v>
      </c>
      <c r="F2920" s="25">
        <v>7.0000000000000007E-2</v>
      </c>
      <c r="G2920" s="22"/>
    </row>
    <row r="2921" spans="1:7" x14ac:dyDescent="0.25">
      <c r="A2921" s="20" t="s">
        <v>588</v>
      </c>
      <c r="B2921" s="20" t="s">
        <v>155</v>
      </c>
      <c r="C2921" s="20" t="s">
        <v>155</v>
      </c>
      <c r="D2921" s="20" t="s">
        <v>1454</v>
      </c>
      <c r="E2921" s="24">
        <v>2.3E-2</v>
      </c>
      <c r="F2921" s="24">
        <v>2.3E-2</v>
      </c>
      <c r="G2921" s="22"/>
    </row>
    <row r="2922" spans="1:7" x14ac:dyDescent="0.25">
      <c r="A2922" s="20" t="s">
        <v>588</v>
      </c>
      <c r="B2922" s="20" t="s">
        <v>156</v>
      </c>
      <c r="C2922" s="20" t="s">
        <v>156</v>
      </c>
      <c r="D2922" s="20" t="s">
        <v>1454</v>
      </c>
      <c r="E2922" s="25">
        <v>0.09</v>
      </c>
      <c r="F2922" s="25">
        <v>0.09</v>
      </c>
      <c r="G2922" s="22"/>
    </row>
    <row r="2923" spans="1:7" x14ac:dyDescent="0.25">
      <c r="A2923" s="20" t="s">
        <v>588</v>
      </c>
      <c r="B2923" s="20" t="s">
        <v>157</v>
      </c>
      <c r="C2923" s="20" t="s">
        <v>157</v>
      </c>
      <c r="D2923" s="20" t="s">
        <v>1454</v>
      </c>
      <c r="E2923" s="25">
        <v>0.09</v>
      </c>
      <c r="F2923" s="25">
        <v>0.09</v>
      </c>
      <c r="G2923" s="22"/>
    </row>
    <row r="2924" spans="1:7" x14ac:dyDescent="0.25">
      <c r="A2924" s="20" t="s">
        <v>588</v>
      </c>
      <c r="B2924" s="20" t="s">
        <v>215</v>
      </c>
      <c r="C2924" s="20" t="s">
        <v>215</v>
      </c>
      <c r="D2924" s="20" t="s">
        <v>1454</v>
      </c>
      <c r="E2924" s="24">
        <v>0.13900000000000001</v>
      </c>
      <c r="F2924" s="24">
        <v>0.13900000000000001</v>
      </c>
      <c r="G2924" s="22"/>
    </row>
    <row r="2925" spans="1:7" x14ac:dyDescent="0.25">
      <c r="A2925" s="20" t="s">
        <v>588</v>
      </c>
      <c r="B2925" s="20" t="s">
        <v>179</v>
      </c>
      <c r="C2925" s="20" t="s">
        <v>179</v>
      </c>
      <c r="D2925" s="20" t="s">
        <v>1453</v>
      </c>
      <c r="E2925" s="24">
        <v>2.6070000000000002</v>
      </c>
      <c r="F2925" s="24">
        <v>20.856000000000002</v>
      </c>
      <c r="G2925" s="22"/>
    </row>
    <row r="2926" spans="1:7" x14ac:dyDescent="0.25">
      <c r="A2926" s="20" t="s">
        <v>588</v>
      </c>
      <c r="B2926" s="20" t="s">
        <v>182</v>
      </c>
      <c r="C2926" s="20" t="s">
        <v>182</v>
      </c>
      <c r="D2926" s="20" t="s">
        <v>1455</v>
      </c>
      <c r="E2926" s="24">
        <v>3.823</v>
      </c>
      <c r="F2926" s="24">
        <v>3.823</v>
      </c>
      <c r="G2926" s="22"/>
    </row>
    <row r="2927" spans="1:7" x14ac:dyDescent="0.25">
      <c r="A2927" s="20" t="s">
        <v>588</v>
      </c>
      <c r="B2927" s="20" t="s">
        <v>182</v>
      </c>
      <c r="C2927" s="20" t="s">
        <v>182</v>
      </c>
      <c r="D2927" s="20" t="s">
        <v>1456</v>
      </c>
      <c r="E2927" s="24">
        <v>8.6069999999999993</v>
      </c>
      <c r="F2927" s="24">
        <v>8.6069999999999993</v>
      </c>
      <c r="G2927" s="22"/>
    </row>
    <row r="2928" spans="1:7" x14ac:dyDescent="0.25">
      <c r="A2928" s="20" t="s">
        <v>585</v>
      </c>
      <c r="B2928" s="20" t="s">
        <v>1392</v>
      </c>
      <c r="C2928" s="20" t="s">
        <v>1392</v>
      </c>
      <c r="D2928" s="20" t="s">
        <v>1457</v>
      </c>
      <c r="E2928" s="27">
        <v>1</v>
      </c>
      <c r="F2928" s="27">
        <v>1</v>
      </c>
      <c r="G2928" s="29">
        <v>4.8410000000000002E-2</v>
      </c>
    </row>
    <row r="2929" spans="1:7" x14ac:dyDescent="0.25">
      <c r="A2929" s="20" t="s">
        <v>595</v>
      </c>
      <c r="B2929" s="20" t="s">
        <v>1453</v>
      </c>
      <c r="C2929" s="20" t="s">
        <v>1453</v>
      </c>
      <c r="D2929" s="20" t="s">
        <v>1457</v>
      </c>
      <c r="E2929" s="27">
        <v>2</v>
      </c>
      <c r="F2929" s="27">
        <v>2</v>
      </c>
      <c r="G2929" s="29">
        <v>2.48245</v>
      </c>
    </row>
    <row r="2930" spans="1:7" x14ac:dyDescent="0.25">
      <c r="A2930" s="20" t="s">
        <v>595</v>
      </c>
      <c r="B2930" s="20" t="s">
        <v>1458</v>
      </c>
      <c r="C2930" s="20" t="s">
        <v>1458</v>
      </c>
      <c r="D2930" s="20" t="s">
        <v>1457</v>
      </c>
      <c r="E2930" s="27">
        <v>1</v>
      </c>
      <c r="F2930" s="27">
        <v>1</v>
      </c>
      <c r="G2930" s="29">
        <v>4.2103799999999998</v>
      </c>
    </row>
    <row r="2931" spans="1:7" x14ac:dyDescent="0.25">
      <c r="A2931" s="20" t="s">
        <v>595</v>
      </c>
      <c r="B2931" s="20" t="s">
        <v>1459</v>
      </c>
      <c r="C2931" s="20" t="s">
        <v>1459</v>
      </c>
      <c r="D2931" s="20" t="s">
        <v>1457</v>
      </c>
      <c r="E2931" s="27">
        <v>1</v>
      </c>
      <c r="F2931" s="27">
        <v>1</v>
      </c>
      <c r="G2931" s="29">
        <v>8.1970200000000002</v>
      </c>
    </row>
    <row r="2932" spans="1:7" x14ac:dyDescent="0.25">
      <c r="A2932" s="20" t="s">
        <v>595</v>
      </c>
      <c r="B2932" s="20" t="s">
        <v>1460</v>
      </c>
      <c r="C2932" s="20" t="s">
        <v>1460</v>
      </c>
      <c r="D2932" s="20" t="s">
        <v>1457</v>
      </c>
      <c r="E2932" s="27">
        <v>1</v>
      </c>
      <c r="F2932" s="27">
        <v>1</v>
      </c>
      <c r="G2932" s="29">
        <v>1.9119600000000001</v>
      </c>
    </row>
    <row r="2933" spans="1:7" x14ac:dyDescent="0.25">
      <c r="A2933" s="20" t="s">
        <v>595</v>
      </c>
      <c r="B2933" s="20" t="s">
        <v>1461</v>
      </c>
      <c r="C2933" s="20" t="s">
        <v>1461</v>
      </c>
      <c r="D2933" s="20" t="s">
        <v>1457</v>
      </c>
      <c r="E2933" s="27">
        <v>1</v>
      </c>
      <c r="F2933" s="27">
        <v>1</v>
      </c>
      <c r="G2933" s="28">
        <v>5.9200000000000003E-2</v>
      </c>
    </row>
    <row r="2934" spans="1:7" x14ac:dyDescent="0.25">
      <c r="A2934" s="20" t="s">
        <v>595</v>
      </c>
      <c r="B2934" s="20" t="s">
        <v>1462</v>
      </c>
      <c r="C2934" s="20" t="s">
        <v>1462</v>
      </c>
      <c r="D2934" s="20" t="s">
        <v>1457</v>
      </c>
      <c r="E2934" s="27">
        <v>1</v>
      </c>
      <c r="F2934" s="27">
        <v>1</v>
      </c>
      <c r="G2934" s="28">
        <v>0.1424</v>
      </c>
    </row>
    <row r="2935" spans="1:7" x14ac:dyDescent="0.25">
      <c r="A2935" s="20" t="s">
        <v>595</v>
      </c>
      <c r="B2935" s="20" t="s">
        <v>1463</v>
      </c>
      <c r="C2935" s="20" t="s">
        <v>1463</v>
      </c>
      <c r="D2935" s="20" t="s">
        <v>1457</v>
      </c>
      <c r="E2935" s="27">
        <v>3</v>
      </c>
      <c r="F2935" s="27">
        <v>3</v>
      </c>
      <c r="G2935" s="28">
        <v>0.74580000000000002</v>
      </c>
    </row>
    <row r="2936" spans="1:7" ht="22.5" x14ac:dyDescent="0.25">
      <c r="A2936" s="20" t="s">
        <v>620</v>
      </c>
      <c r="B2936" s="20" t="s">
        <v>562</v>
      </c>
      <c r="C2936" s="20" t="s">
        <v>562</v>
      </c>
      <c r="D2936" s="20" t="s">
        <v>1457</v>
      </c>
      <c r="E2936" s="27">
        <v>1</v>
      </c>
      <c r="F2936" s="27">
        <v>1</v>
      </c>
      <c r="G2936" s="35">
        <v>0.67200000000000004</v>
      </c>
    </row>
    <row r="2937" spans="1:7" ht="22.5" x14ac:dyDescent="0.25">
      <c r="A2937" s="20" t="s">
        <v>620</v>
      </c>
      <c r="B2937" s="20" t="s">
        <v>563</v>
      </c>
      <c r="C2937" s="20" t="s">
        <v>563</v>
      </c>
      <c r="D2937" s="20" t="s">
        <v>1457</v>
      </c>
      <c r="E2937" s="27">
        <v>2</v>
      </c>
      <c r="F2937" s="27">
        <v>2</v>
      </c>
      <c r="G2937" s="35">
        <v>0.86699999999999999</v>
      </c>
    </row>
    <row r="2938" spans="1:7" ht="22.5" x14ac:dyDescent="0.25">
      <c r="A2938" s="20" t="s">
        <v>620</v>
      </c>
      <c r="B2938" s="20" t="s">
        <v>193</v>
      </c>
      <c r="C2938" s="20" t="s">
        <v>193</v>
      </c>
      <c r="D2938" s="20" t="s">
        <v>1457</v>
      </c>
      <c r="E2938" s="27">
        <v>1</v>
      </c>
      <c r="F2938" s="27">
        <v>1</v>
      </c>
      <c r="G2938" s="35">
        <v>9.4E-2</v>
      </c>
    </row>
    <row r="2939" spans="1:7" ht="22.5" x14ac:dyDescent="0.25">
      <c r="A2939" s="20" t="s">
        <v>620</v>
      </c>
      <c r="B2939" s="20" t="s">
        <v>196</v>
      </c>
      <c r="C2939" s="20" t="s">
        <v>196</v>
      </c>
      <c r="D2939" s="20" t="s">
        <v>1457</v>
      </c>
      <c r="E2939" s="27">
        <v>1</v>
      </c>
      <c r="F2939" s="27">
        <v>1</v>
      </c>
      <c r="G2939" s="31">
        <v>0.79</v>
      </c>
    </row>
    <row r="2940" spans="1:7" ht="22.5" x14ac:dyDescent="0.25">
      <c r="A2940" s="20" t="s">
        <v>620</v>
      </c>
      <c r="B2940" s="20" t="s">
        <v>198</v>
      </c>
      <c r="C2940" s="20" t="s">
        <v>198</v>
      </c>
      <c r="D2940" s="20" t="s">
        <v>1457</v>
      </c>
      <c r="E2940" s="27">
        <v>1</v>
      </c>
      <c r="F2940" s="27">
        <v>1</v>
      </c>
      <c r="G2940" s="35">
        <v>3.7999999999999999E-2</v>
      </c>
    </row>
    <row r="2941" spans="1:7" x14ac:dyDescent="0.25">
      <c r="A2941" s="20" t="s">
        <v>597</v>
      </c>
      <c r="B2941" s="20" t="s">
        <v>3</v>
      </c>
      <c r="C2941" s="20" t="s">
        <v>3</v>
      </c>
      <c r="D2941" s="20" t="s">
        <v>1457</v>
      </c>
      <c r="E2941" s="27">
        <v>2</v>
      </c>
      <c r="F2941" s="27">
        <v>2</v>
      </c>
      <c r="G2941" s="29">
        <v>0.68352999999999997</v>
      </c>
    </row>
    <row r="2942" spans="1:7" x14ac:dyDescent="0.25">
      <c r="A2942" s="20" t="s">
        <v>597</v>
      </c>
      <c r="B2942" s="20" t="s">
        <v>4</v>
      </c>
      <c r="C2942" s="20" t="s">
        <v>4</v>
      </c>
      <c r="D2942" s="20" t="s">
        <v>1457</v>
      </c>
      <c r="E2942" s="27">
        <v>1</v>
      </c>
      <c r="F2942" s="27">
        <v>1</v>
      </c>
      <c r="G2942" s="29">
        <v>1.55443</v>
      </c>
    </row>
    <row r="2943" spans="1:7" x14ac:dyDescent="0.25">
      <c r="A2943" s="20" t="s">
        <v>597</v>
      </c>
      <c r="B2943" s="20" t="s">
        <v>11</v>
      </c>
      <c r="C2943" s="20" t="s">
        <v>11</v>
      </c>
      <c r="D2943" s="20" t="s">
        <v>1457</v>
      </c>
      <c r="E2943" s="27">
        <v>1</v>
      </c>
      <c r="F2943" s="27">
        <v>1</v>
      </c>
      <c r="G2943" s="29">
        <v>0.70323999999999998</v>
      </c>
    </row>
    <row r="2944" spans="1:7" x14ac:dyDescent="0.25">
      <c r="A2944" s="20" t="s">
        <v>597</v>
      </c>
      <c r="B2944" s="20" t="s">
        <v>558</v>
      </c>
      <c r="C2944" s="20" t="s">
        <v>1464</v>
      </c>
      <c r="D2944" s="20" t="s">
        <v>1457</v>
      </c>
      <c r="E2944" s="27">
        <v>1</v>
      </c>
      <c r="F2944" s="27">
        <v>1</v>
      </c>
      <c r="G2944" s="29">
        <v>3.7509199999999998</v>
      </c>
    </row>
    <row r="2945" spans="1:7" x14ac:dyDescent="0.25">
      <c r="A2945" s="20" t="s">
        <v>588</v>
      </c>
      <c r="B2945" s="20" t="s">
        <v>62</v>
      </c>
      <c r="C2945" s="20" t="s">
        <v>62</v>
      </c>
      <c r="D2945" s="20" t="s">
        <v>1457</v>
      </c>
      <c r="E2945" s="33">
        <v>0.2</v>
      </c>
      <c r="F2945" s="33">
        <v>0.2</v>
      </c>
      <c r="G2945" s="22"/>
    </row>
    <row r="2946" spans="1:7" x14ac:dyDescent="0.25">
      <c r="A2946" s="20" t="s">
        <v>588</v>
      </c>
      <c r="B2946" s="20" t="s">
        <v>65</v>
      </c>
      <c r="C2946" s="20" t="s">
        <v>65</v>
      </c>
      <c r="D2946" s="20" t="s">
        <v>1457</v>
      </c>
      <c r="E2946" s="24">
        <v>9.9000000000000005E-2</v>
      </c>
      <c r="F2946" s="24">
        <v>9.9000000000000005E-2</v>
      </c>
      <c r="G2946" s="22"/>
    </row>
    <row r="2947" spans="1:7" x14ac:dyDescent="0.25">
      <c r="A2947" s="20" t="s">
        <v>588</v>
      </c>
      <c r="B2947" s="20" t="s">
        <v>155</v>
      </c>
      <c r="C2947" s="20" t="s">
        <v>155</v>
      </c>
      <c r="D2947" s="20" t="s">
        <v>1457</v>
      </c>
      <c r="E2947" s="24">
        <v>3.3000000000000002E-2</v>
      </c>
      <c r="F2947" s="24">
        <v>3.3000000000000002E-2</v>
      </c>
      <c r="G2947" s="22"/>
    </row>
    <row r="2948" spans="1:7" x14ac:dyDescent="0.25">
      <c r="A2948" s="20" t="s">
        <v>588</v>
      </c>
      <c r="B2948" s="20" t="s">
        <v>156</v>
      </c>
      <c r="C2948" s="20" t="s">
        <v>156</v>
      </c>
      <c r="D2948" s="20" t="s">
        <v>1457</v>
      </c>
      <c r="E2948" s="24">
        <v>9.0999999999999998E-2</v>
      </c>
      <c r="F2948" s="24">
        <v>9.0999999999999998E-2</v>
      </c>
      <c r="G2948" s="22"/>
    </row>
    <row r="2949" spans="1:7" x14ac:dyDescent="0.25">
      <c r="A2949" s="20" t="s">
        <v>588</v>
      </c>
      <c r="B2949" s="20" t="s">
        <v>157</v>
      </c>
      <c r="C2949" s="20" t="s">
        <v>157</v>
      </c>
      <c r="D2949" s="20" t="s">
        <v>1457</v>
      </c>
      <c r="E2949" s="24">
        <v>9.0999999999999998E-2</v>
      </c>
      <c r="F2949" s="24">
        <v>9.0999999999999998E-2</v>
      </c>
      <c r="G2949" s="22"/>
    </row>
    <row r="2950" spans="1:7" x14ac:dyDescent="0.25">
      <c r="A2950" s="20" t="s">
        <v>588</v>
      </c>
      <c r="B2950" s="20" t="s">
        <v>215</v>
      </c>
      <c r="C2950" s="20" t="s">
        <v>215</v>
      </c>
      <c r="D2950" s="20" t="s">
        <v>1457</v>
      </c>
      <c r="E2950" s="24">
        <v>0.19800000000000001</v>
      </c>
      <c r="F2950" s="24">
        <v>0.19800000000000001</v>
      </c>
      <c r="G2950" s="22"/>
    </row>
    <row r="2951" spans="1:7" x14ac:dyDescent="0.25">
      <c r="A2951" s="20" t="s">
        <v>588</v>
      </c>
      <c r="B2951" s="20" t="s">
        <v>182</v>
      </c>
      <c r="C2951" s="20" t="s">
        <v>182</v>
      </c>
      <c r="D2951" s="20" t="s">
        <v>1458</v>
      </c>
      <c r="E2951" s="24">
        <v>4.4210000000000003</v>
      </c>
      <c r="F2951" s="24">
        <v>4.4210000000000003</v>
      </c>
      <c r="G2951" s="22"/>
    </row>
    <row r="2952" spans="1:7" x14ac:dyDescent="0.25">
      <c r="A2952" s="20" t="s">
        <v>588</v>
      </c>
      <c r="B2952" s="20" t="s">
        <v>182</v>
      </c>
      <c r="C2952" s="20" t="s">
        <v>182</v>
      </c>
      <c r="D2952" s="20" t="s">
        <v>1459</v>
      </c>
      <c r="E2952" s="24">
        <v>8.6069999999999993</v>
      </c>
      <c r="F2952" s="24">
        <v>8.6069999999999993</v>
      </c>
      <c r="G2952" s="22"/>
    </row>
    <row r="2953" spans="1:7" x14ac:dyDescent="0.25">
      <c r="A2953" s="20" t="s">
        <v>588</v>
      </c>
      <c r="B2953" s="20" t="s">
        <v>182</v>
      </c>
      <c r="C2953" s="20" t="s">
        <v>182</v>
      </c>
      <c r="D2953" s="20" t="s">
        <v>1460</v>
      </c>
      <c r="E2953" s="24">
        <v>2.008</v>
      </c>
      <c r="F2953" s="24">
        <v>2.008</v>
      </c>
      <c r="G2953" s="22"/>
    </row>
    <row r="2954" spans="1:7" x14ac:dyDescent="0.25">
      <c r="A2954" s="20" t="s">
        <v>585</v>
      </c>
      <c r="B2954" s="20" t="s">
        <v>1465</v>
      </c>
      <c r="C2954" s="20" t="s">
        <v>1465</v>
      </c>
      <c r="D2954" s="20" t="s">
        <v>1466</v>
      </c>
      <c r="E2954" s="27">
        <v>1</v>
      </c>
      <c r="F2954" s="27">
        <v>3</v>
      </c>
      <c r="G2954" s="29">
        <v>9.7497900000000008</v>
      </c>
    </row>
    <row r="2955" spans="1:7" x14ac:dyDescent="0.25">
      <c r="A2955" s="20" t="s">
        <v>595</v>
      </c>
      <c r="B2955" s="20" t="s">
        <v>1075</v>
      </c>
      <c r="C2955" s="20" t="s">
        <v>1075</v>
      </c>
      <c r="D2955" s="20" t="s">
        <v>1466</v>
      </c>
      <c r="E2955" s="27">
        <v>42</v>
      </c>
      <c r="F2955" s="27">
        <v>126</v>
      </c>
      <c r="G2955" s="29">
        <v>9.3600000000000003E-3</v>
      </c>
    </row>
    <row r="2956" spans="1:7" x14ac:dyDescent="0.25">
      <c r="A2956" s="20" t="s">
        <v>595</v>
      </c>
      <c r="B2956" s="20" t="s">
        <v>1467</v>
      </c>
      <c r="C2956" s="20" t="s">
        <v>1467</v>
      </c>
      <c r="D2956" s="20" t="s">
        <v>1466</v>
      </c>
      <c r="E2956" s="27">
        <v>1</v>
      </c>
      <c r="F2956" s="27">
        <v>3</v>
      </c>
      <c r="G2956" s="29">
        <v>9.2963699999999996</v>
      </c>
    </row>
    <row r="2957" spans="1:7" x14ac:dyDescent="0.25">
      <c r="A2957" s="20" t="s">
        <v>595</v>
      </c>
      <c r="B2957" s="20" t="s">
        <v>1468</v>
      </c>
      <c r="C2957" s="20" t="s">
        <v>1468</v>
      </c>
      <c r="D2957" s="20" t="s">
        <v>1466</v>
      </c>
      <c r="E2957" s="27">
        <v>1</v>
      </c>
      <c r="F2957" s="27">
        <v>3</v>
      </c>
      <c r="G2957" s="29">
        <v>11.67562</v>
      </c>
    </row>
    <row r="2958" spans="1:7" x14ac:dyDescent="0.25">
      <c r="A2958" s="20" t="s">
        <v>595</v>
      </c>
      <c r="B2958" s="20" t="s">
        <v>1469</v>
      </c>
      <c r="C2958" s="20" t="s">
        <v>1469</v>
      </c>
      <c r="D2958" s="20" t="s">
        <v>1466</v>
      </c>
      <c r="E2958" s="27">
        <v>1</v>
      </c>
      <c r="F2958" s="27">
        <v>3</v>
      </c>
      <c r="G2958" s="29">
        <v>10.012890000000001</v>
      </c>
    </row>
    <row r="2959" spans="1:7" x14ac:dyDescent="0.25">
      <c r="A2959" s="20" t="s">
        <v>595</v>
      </c>
      <c r="B2959" s="20" t="s">
        <v>1470</v>
      </c>
      <c r="C2959" s="20" t="s">
        <v>1470</v>
      </c>
      <c r="D2959" s="20" t="s">
        <v>1466</v>
      </c>
      <c r="E2959" s="27">
        <v>2</v>
      </c>
      <c r="F2959" s="27">
        <v>6</v>
      </c>
      <c r="G2959" s="29">
        <v>3.3669199999999999</v>
      </c>
    </row>
    <row r="2960" spans="1:7" x14ac:dyDescent="0.25">
      <c r="A2960" s="20" t="s">
        <v>595</v>
      </c>
      <c r="B2960" s="20" t="s">
        <v>1471</v>
      </c>
      <c r="C2960" s="20" t="s">
        <v>1471</v>
      </c>
      <c r="D2960" s="20" t="s">
        <v>1466</v>
      </c>
      <c r="E2960" s="27">
        <v>1</v>
      </c>
      <c r="F2960" s="27">
        <v>3</v>
      </c>
      <c r="G2960" s="29">
        <v>3.0434100000000002</v>
      </c>
    </row>
    <row r="2961" spans="1:7" x14ac:dyDescent="0.25">
      <c r="A2961" s="20" t="s">
        <v>595</v>
      </c>
      <c r="B2961" s="20" t="s">
        <v>1472</v>
      </c>
      <c r="C2961" s="20" t="s">
        <v>1472</v>
      </c>
      <c r="D2961" s="20" t="s">
        <v>1466</v>
      </c>
      <c r="E2961" s="27">
        <v>1</v>
      </c>
      <c r="F2961" s="27">
        <v>3</v>
      </c>
      <c r="G2961" s="29">
        <v>3.0434100000000002</v>
      </c>
    </row>
    <row r="2962" spans="1:7" x14ac:dyDescent="0.25">
      <c r="A2962" s="20" t="s">
        <v>595</v>
      </c>
      <c r="B2962" s="20" t="s">
        <v>1473</v>
      </c>
      <c r="C2962" s="20" t="s">
        <v>1473</v>
      </c>
      <c r="D2962" s="20" t="s">
        <v>1466</v>
      </c>
      <c r="E2962" s="27">
        <v>5</v>
      </c>
      <c r="F2962" s="27">
        <v>15</v>
      </c>
      <c r="G2962" s="29">
        <v>4.0333399999999999</v>
      </c>
    </row>
    <row r="2963" spans="1:7" x14ac:dyDescent="0.25">
      <c r="A2963" s="20" t="s">
        <v>595</v>
      </c>
      <c r="B2963" s="20" t="s">
        <v>1474</v>
      </c>
      <c r="C2963" s="20" t="s">
        <v>1474</v>
      </c>
      <c r="D2963" s="20" t="s">
        <v>1466</v>
      </c>
      <c r="E2963" s="27">
        <v>1</v>
      </c>
      <c r="F2963" s="27">
        <v>3</v>
      </c>
      <c r="G2963" s="29">
        <v>12.538029999999999</v>
      </c>
    </row>
    <row r="2964" spans="1:7" x14ac:dyDescent="0.25">
      <c r="A2964" s="20" t="s">
        <v>595</v>
      </c>
      <c r="B2964" s="20" t="s">
        <v>1475</v>
      </c>
      <c r="C2964" s="20" t="s">
        <v>1475</v>
      </c>
      <c r="D2964" s="20" t="s">
        <v>1466</v>
      </c>
      <c r="E2964" s="27">
        <v>1</v>
      </c>
      <c r="F2964" s="27">
        <v>3</v>
      </c>
      <c r="G2964" s="29">
        <v>5.9847299999999999</v>
      </c>
    </row>
    <row r="2965" spans="1:7" x14ac:dyDescent="0.25">
      <c r="A2965" s="20" t="s">
        <v>595</v>
      </c>
      <c r="B2965" s="20" t="s">
        <v>1476</v>
      </c>
      <c r="C2965" s="20" t="s">
        <v>1476</v>
      </c>
      <c r="D2965" s="20" t="s">
        <v>1466</v>
      </c>
      <c r="E2965" s="27">
        <v>2</v>
      </c>
      <c r="F2965" s="27">
        <v>6</v>
      </c>
      <c r="G2965" s="29">
        <v>1.82331</v>
      </c>
    </row>
    <row r="2966" spans="1:7" x14ac:dyDescent="0.25">
      <c r="A2966" s="20" t="s">
        <v>595</v>
      </c>
      <c r="B2966" s="20" t="s">
        <v>1477</v>
      </c>
      <c r="C2966" s="20" t="s">
        <v>1477</v>
      </c>
      <c r="D2966" s="20" t="s">
        <v>1466</v>
      </c>
      <c r="E2966" s="27">
        <v>2</v>
      </c>
      <c r="F2966" s="27">
        <v>6</v>
      </c>
      <c r="G2966" s="29">
        <v>3.6834199999999999</v>
      </c>
    </row>
    <row r="2967" spans="1:7" x14ac:dyDescent="0.25">
      <c r="A2967" s="20" t="s">
        <v>595</v>
      </c>
      <c r="B2967" s="20" t="s">
        <v>1478</v>
      </c>
      <c r="C2967" s="20" t="s">
        <v>1478</v>
      </c>
      <c r="D2967" s="20" t="s">
        <v>1466</v>
      </c>
      <c r="E2967" s="27">
        <v>2</v>
      </c>
      <c r="F2967" s="27">
        <v>6</v>
      </c>
      <c r="G2967" s="28">
        <v>3.0872999999999999</v>
      </c>
    </row>
    <row r="2968" spans="1:7" x14ac:dyDescent="0.25">
      <c r="A2968" s="20" t="s">
        <v>595</v>
      </c>
      <c r="B2968" s="20" t="s">
        <v>1479</v>
      </c>
      <c r="C2968" s="20" t="s">
        <v>1479</v>
      </c>
      <c r="D2968" s="20" t="s">
        <v>1466</v>
      </c>
      <c r="E2968" s="27">
        <v>2</v>
      </c>
      <c r="F2968" s="27">
        <v>6</v>
      </c>
      <c r="G2968" s="29">
        <v>3.6834199999999999</v>
      </c>
    </row>
    <row r="2969" spans="1:7" x14ac:dyDescent="0.25">
      <c r="A2969" s="20" t="s">
        <v>595</v>
      </c>
      <c r="B2969" s="20" t="s">
        <v>1480</v>
      </c>
      <c r="C2969" s="20" t="s">
        <v>1480</v>
      </c>
      <c r="D2969" s="20" t="s">
        <v>1466</v>
      </c>
      <c r="E2969" s="27">
        <v>1</v>
      </c>
      <c r="F2969" s="27">
        <v>3</v>
      </c>
      <c r="G2969" s="29">
        <v>4.4265600000000003</v>
      </c>
    </row>
    <row r="2970" spans="1:7" x14ac:dyDescent="0.25">
      <c r="A2970" s="20" t="s">
        <v>595</v>
      </c>
      <c r="B2970" s="20" t="s">
        <v>1481</v>
      </c>
      <c r="C2970" s="20" t="s">
        <v>1481</v>
      </c>
      <c r="D2970" s="20" t="s">
        <v>1466</v>
      </c>
      <c r="E2970" s="27">
        <v>1</v>
      </c>
      <c r="F2970" s="27">
        <v>3</v>
      </c>
      <c r="G2970" s="29">
        <v>4.4265600000000003</v>
      </c>
    </row>
    <row r="2971" spans="1:7" x14ac:dyDescent="0.25">
      <c r="A2971" s="20" t="s">
        <v>595</v>
      </c>
      <c r="B2971" s="20" t="s">
        <v>1482</v>
      </c>
      <c r="C2971" s="20" t="s">
        <v>1482</v>
      </c>
      <c r="D2971" s="20" t="s">
        <v>1466</v>
      </c>
      <c r="E2971" s="27">
        <v>1</v>
      </c>
      <c r="F2971" s="27">
        <v>3</v>
      </c>
      <c r="G2971" s="29">
        <v>2.5636199999999998</v>
      </c>
    </row>
    <row r="2972" spans="1:7" x14ac:dyDescent="0.25">
      <c r="A2972" s="20" t="s">
        <v>595</v>
      </c>
      <c r="B2972" s="20" t="s">
        <v>1483</v>
      </c>
      <c r="C2972" s="20" t="s">
        <v>1483</v>
      </c>
      <c r="D2972" s="20" t="s">
        <v>1466</v>
      </c>
      <c r="E2972" s="27">
        <v>1</v>
      </c>
      <c r="F2972" s="27">
        <v>3</v>
      </c>
      <c r="G2972" s="29">
        <v>2.5636199999999998</v>
      </c>
    </row>
    <row r="2973" spans="1:7" x14ac:dyDescent="0.25">
      <c r="A2973" s="20" t="s">
        <v>595</v>
      </c>
      <c r="B2973" s="20" t="s">
        <v>1484</v>
      </c>
      <c r="C2973" s="20" t="s">
        <v>1484</v>
      </c>
      <c r="D2973" s="20" t="s">
        <v>1466</v>
      </c>
      <c r="E2973" s="27">
        <v>1</v>
      </c>
      <c r="F2973" s="27">
        <v>3</v>
      </c>
      <c r="G2973" s="29">
        <v>2.96347</v>
      </c>
    </row>
    <row r="2974" spans="1:7" x14ac:dyDescent="0.25">
      <c r="A2974" s="20" t="s">
        <v>595</v>
      </c>
      <c r="B2974" s="20" t="s">
        <v>1485</v>
      </c>
      <c r="C2974" s="20" t="s">
        <v>1485</v>
      </c>
      <c r="D2974" s="20" t="s">
        <v>1466</v>
      </c>
      <c r="E2974" s="27">
        <v>1</v>
      </c>
      <c r="F2974" s="27">
        <v>3</v>
      </c>
      <c r="G2974" s="29">
        <v>2.96347</v>
      </c>
    </row>
    <row r="2975" spans="1:7" x14ac:dyDescent="0.25">
      <c r="A2975" s="20" t="s">
        <v>595</v>
      </c>
      <c r="B2975" s="20" t="s">
        <v>1486</v>
      </c>
      <c r="C2975" s="20" t="s">
        <v>1486</v>
      </c>
      <c r="D2975" s="20" t="s">
        <v>1466</v>
      </c>
      <c r="E2975" s="27">
        <v>2</v>
      </c>
      <c r="F2975" s="27">
        <v>6</v>
      </c>
      <c r="G2975" s="29">
        <v>2.5034100000000001</v>
      </c>
    </row>
    <row r="2976" spans="1:7" x14ac:dyDescent="0.25">
      <c r="A2976" s="20" t="s">
        <v>595</v>
      </c>
      <c r="B2976" s="20" t="s">
        <v>1487</v>
      </c>
      <c r="C2976" s="20" t="s">
        <v>1487</v>
      </c>
      <c r="D2976" s="20" t="s">
        <v>1466</v>
      </c>
      <c r="E2976" s="27">
        <v>1</v>
      </c>
      <c r="F2976" s="27">
        <v>3</v>
      </c>
      <c r="G2976" s="29">
        <v>2.9075099999999998</v>
      </c>
    </row>
    <row r="2977" spans="1:7" x14ac:dyDescent="0.25">
      <c r="A2977" s="20" t="s">
        <v>595</v>
      </c>
      <c r="B2977" s="20" t="s">
        <v>1488</v>
      </c>
      <c r="C2977" s="20" t="s">
        <v>1488</v>
      </c>
      <c r="D2977" s="20" t="s">
        <v>1466</v>
      </c>
      <c r="E2977" s="27">
        <v>2</v>
      </c>
      <c r="F2977" s="27">
        <v>6</v>
      </c>
      <c r="G2977" s="29">
        <v>10.255559999999999</v>
      </c>
    </row>
    <row r="2978" spans="1:7" x14ac:dyDescent="0.25">
      <c r="A2978" s="20" t="s">
        <v>595</v>
      </c>
      <c r="B2978" s="20" t="s">
        <v>1489</v>
      </c>
      <c r="C2978" s="20" t="s">
        <v>1489</v>
      </c>
      <c r="D2978" s="20" t="s">
        <v>1466</v>
      </c>
      <c r="E2978" s="27">
        <v>1</v>
      </c>
      <c r="F2978" s="27">
        <v>3</v>
      </c>
      <c r="G2978" s="29">
        <v>5.1758499999999996</v>
      </c>
    </row>
    <row r="2979" spans="1:7" x14ac:dyDescent="0.25">
      <c r="A2979" s="20" t="s">
        <v>595</v>
      </c>
      <c r="B2979" s="20" t="s">
        <v>1490</v>
      </c>
      <c r="C2979" s="20" t="s">
        <v>1490</v>
      </c>
      <c r="D2979" s="20" t="s">
        <v>1466</v>
      </c>
      <c r="E2979" s="27">
        <v>2</v>
      </c>
      <c r="F2979" s="27">
        <v>6</v>
      </c>
      <c r="G2979" s="29">
        <v>6.0571400000000004</v>
      </c>
    </row>
    <row r="2980" spans="1:7" x14ac:dyDescent="0.25">
      <c r="A2980" s="20" t="s">
        <v>595</v>
      </c>
      <c r="B2980" s="20" t="s">
        <v>1491</v>
      </c>
      <c r="C2980" s="20" t="s">
        <v>1491</v>
      </c>
      <c r="D2980" s="20" t="s">
        <v>1466</v>
      </c>
      <c r="E2980" s="27">
        <v>3</v>
      </c>
      <c r="F2980" s="27">
        <v>9</v>
      </c>
      <c r="G2980" s="29">
        <v>9.3829999999999997E-2</v>
      </c>
    </row>
    <row r="2981" spans="1:7" x14ac:dyDescent="0.25">
      <c r="A2981" s="20" t="s">
        <v>595</v>
      </c>
      <c r="B2981" s="20" t="s">
        <v>1492</v>
      </c>
      <c r="C2981" s="20" t="s">
        <v>1492</v>
      </c>
      <c r="D2981" s="20" t="s">
        <v>1466</v>
      </c>
      <c r="E2981" s="27">
        <v>1</v>
      </c>
      <c r="F2981" s="27">
        <v>3</v>
      </c>
      <c r="G2981" s="28">
        <v>5.9099000000000004</v>
      </c>
    </row>
    <row r="2982" spans="1:7" x14ac:dyDescent="0.25">
      <c r="A2982" s="20" t="s">
        <v>595</v>
      </c>
      <c r="B2982" s="20" t="s">
        <v>1493</v>
      </c>
      <c r="C2982" s="20" t="s">
        <v>1493</v>
      </c>
      <c r="D2982" s="20" t="s">
        <v>1466</v>
      </c>
      <c r="E2982" s="27">
        <v>1</v>
      </c>
      <c r="F2982" s="27">
        <v>3</v>
      </c>
      <c r="G2982" s="29">
        <v>2.9692799999999999</v>
      </c>
    </row>
    <row r="2983" spans="1:7" x14ac:dyDescent="0.25">
      <c r="A2983" s="20" t="s">
        <v>595</v>
      </c>
      <c r="B2983" s="20" t="s">
        <v>1494</v>
      </c>
      <c r="C2983" s="20" t="s">
        <v>1494</v>
      </c>
      <c r="D2983" s="20" t="s">
        <v>1466</v>
      </c>
      <c r="E2983" s="27">
        <v>1</v>
      </c>
      <c r="F2983" s="27">
        <v>3</v>
      </c>
      <c r="G2983" s="29">
        <v>2.11591</v>
      </c>
    </row>
    <row r="2984" spans="1:7" x14ac:dyDescent="0.25">
      <c r="A2984" s="20" t="s">
        <v>595</v>
      </c>
      <c r="B2984" s="20" t="s">
        <v>1495</v>
      </c>
      <c r="C2984" s="20" t="s">
        <v>1495</v>
      </c>
      <c r="D2984" s="20" t="s">
        <v>1466</v>
      </c>
      <c r="E2984" s="27">
        <v>2</v>
      </c>
      <c r="F2984" s="27">
        <v>6</v>
      </c>
      <c r="G2984" s="28">
        <v>3.6627000000000001</v>
      </c>
    </row>
    <row r="2985" spans="1:7" x14ac:dyDescent="0.25">
      <c r="A2985" s="20" t="s">
        <v>595</v>
      </c>
      <c r="B2985" s="20" t="s">
        <v>1496</v>
      </c>
      <c r="C2985" s="20" t="s">
        <v>1496</v>
      </c>
      <c r="D2985" s="20" t="s">
        <v>1466</v>
      </c>
      <c r="E2985" s="27">
        <v>1</v>
      </c>
      <c r="F2985" s="27">
        <v>3</v>
      </c>
      <c r="G2985" s="29">
        <v>1.30003</v>
      </c>
    </row>
    <row r="2986" spans="1:7" x14ac:dyDescent="0.25">
      <c r="A2986" s="20" t="s">
        <v>595</v>
      </c>
      <c r="B2986" s="20" t="s">
        <v>1497</v>
      </c>
      <c r="C2986" s="20" t="s">
        <v>1497</v>
      </c>
      <c r="D2986" s="20" t="s">
        <v>1466</v>
      </c>
      <c r="E2986" s="27">
        <v>1</v>
      </c>
      <c r="F2986" s="27">
        <v>3</v>
      </c>
      <c r="G2986" s="29">
        <v>1.83189</v>
      </c>
    </row>
    <row r="2987" spans="1:7" x14ac:dyDescent="0.25">
      <c r="A2987" s="20" t="s">
        <v>595</v>
      </c>
      <c r="B2987" s="20" t="s">
        <v>1498</v>
      </c>
      <c r="C2987" s="20" t="s">
        <v>1498</v>
      </c>
      <c r="D2987" s="20" t="s">
        <v>1466</v>
      </c>
      <c r="E2987" s="27">
        <v>1</v>
      </c>
      <c r="F2987" s="27">
        <v>3</v>
      </c>
      <c r="G2987" s="28">
        <v>2.2185999999999999</v>
      </c>
    </row>
    <row r="2988" spans="1:7" ht="22.5" x14ac:dyDescent="0.25">
      <c r="A2988" s="20" t="s">
        <v>620</v>
      </c>
      <c r="B2988" s="20" t="s">
        <v>1290</v>
      </c>
      <c r="C2988" s="20" t="s">
        <v>261</v>
      </c>
      <c r="D2988" s="20" t="s">
        <v>1466</v>
      </c>
      <c r="E2988" s="27">
        <v>2</v>
      </c>
      <c r="F2988" s="27">
        <v>6</v>
      </c>
      <c r="G2988" s="28">
        <v>3.1600000000000003E-2</v>
      </c>
    </row>
    <row r="2989" spans="1:7" ht="22.5" x14ac:dyDescent="0.25">
      <c r="A2989" s="20" t="s">
        <v>620</v>
      </c>
      <c r="B2989" s="20" t="s">
        <v>622</v>
      </c>
      <c r="C2989" s="20" t="s">
        <v>256</v>
      </c>
      <c r="D2989" s="20" t="s">
        <v>1466</v>
      </c>
      <c r="E2989" s="27">
        <v>88</v>
      </c>
      <c r="F2989" s="27">
        <v>264</v>
      </c>
      <c r="G2989" s="28">
        <v>1.52E-2</v>
      </c>
    </row>
    <row r="2990" spans="1:7" ht="22.5" x14ac:dyDescent="0.25">
      <c r="A2990" s="20" t="s">
        <v>620</v>
      </c>
      <c r="B2990" s="20" t="s">
        <v>1499</v>
      </c>
      <c r="C2990" s="20" t="s">
        <v>556</v>
      </c>
      <c r="D2990" s="20" t="s">
        <v>1466</v>
      </c>
      <c r="E2990" s="27">
        <v>4</v>
      </c>
      <c r="F2990" s="27">
        <v>12</v>
      </c>
      <c r="G2990" s="29">
        <v>9.5300000000000003E-3</v>
      </c>
    </row>
    <row r="2991" spans="1:7" ht="22.5" x14ac:dyDescent="0.25">
      <c r="A2991" s="20" t="s">
        <v>620</v>
      </c>
      <c r="B2991" s="20" t="s">
        <v>1066</v>
      </c>
      <c r="C2991" s="20" t="s">
        <v>284</v>
      </c>
      <c r="D2991" s="20" t="s">
        <v>1466</v>
      </c>
      <c r="E2991" s="27">
        <v>42</v>
      </c>
      <c r="F2991" s="27">
        <v>126</v>
      </c>
      <c r="G2991" s="28">
        <v>2.53E-2</v>
      </c>
    </row>
    <row r="2992" spans="1:7" ht="22.5" x14ac:dyDescent="0.25">
      <c r="A2992" s="20" t="s">
        <v>620</v>
      </c>
      <c r="B2992" s="20" t="s">
        <v>766</v>
      </c>
      <c r="C2992" s="20" t="s">
        <v>250</v>
      </c>
      <c r="D2992" s="20" t="s">
        <v>1466</v>
      </c>
      <c r="E2992" s="27">
        <v>2</v>
      </c>
      <c r="F2992" s="27">
        <v>6</v>
      </c>
      <c r="G2992" s="28">
        <v>1.1299999999999999E-2</v>
      </c>
    </row>
    <row r="2993" spans="1:7" ht="22.5" x14ac:dyDescent="0.25">
      <c r="A2993" s="20" t="s">
        <v>620</v>
      </c>
      <c r="B2993" s="20" t="s">
        <v>625</v>
      </c>
      <c r="C2993" s="20" t="s">
        <v>219</v>
      </c>
      <c r="D2993" s="20" t="s">
        <v>1466</v>
      </c>
      <c r="E2993" s="27">
        <v>134</v>
      </c>
      <c r="F2993" s="27">
        <v>402</v>
      </c>
      <c r="G2993" s="29">
        <v>7.1399999999999996E-3</v>
      </c>
    </row>
    <row r="2994" spans="1:7" x14ac:dyDescent="0.25">
      <c r="A2994" s="20" t="s">
        <v>585</v>
      </c>
      <c r="B2994" s="20" t="s">
        <v>1465</v>
      </c>
      <c r="C2994" s="20" t="s">
        <v>1465</v>
      </c>
      <c r="D2994" s="20" t="s">
        <v>1500</v>
      </c>
      <c r="E2994" s="27">
        <v>1</v>
      </c>
      <c r="F2994" s="27">
        <v>2</v>
      </c>
      <c r="G2994" s="29">
        <v>9.7497900000000008</v>
      </c>
    </row>
    <row r="2995" spans="1:7" x14ac:dyDescent="0.25">
      <c r="A2995" s="20" t="s">
        <v>595</v>
      </c>
      <c r="B2995" s="20" t="s">
        <v>1075</v>
      </c>
      <c r="C2995" s="20" t="s">
        <v>1075</v>
      </c>
      <c r="D2995" s="20" t="s">
        <v>1500</v>
      </c>
      <c r="E2995" s="27">
        <v>42</v>
      </c>
      <c r="F2995" s="27">
        <v>84</v>
      </c>
      <c r="G2995" s="29">
        <v>9.3600000000000003E-3</v>
      </c>
    </row>
    <row r="2996" spans="1:7" x14ac:dyDescent="0.25">
      <c r="A2996" s="20" t="s">
        <v>595</v>
      </c>
      <c r="B2996" s="20" t="s">
        <v>1467</v>
      </c>
      <c r="C2996" s="20" t="s">
        <v>1467</v>
      </c>
      <c r="D2996" s="20" t="s">
        <v>1500</v>
      </c>
      <c r="E2996" s="27">
        <v>1</v>
      </c>
      <c r="F2996" s="27">
        <v>2</v>
      </c>
      <c r="G2996" s="29">
        <v>9.2963699999999996</v>
      </c>
    </row>
    <row r="2997" spans="1:7" x14ac:dyDescent="0.25">
      <c r="A2997" s="20" t="s">
        <v>595</v>
      </c>
      <c r="B2997" s="20" t="s">
        <v>1468</v>
      </c>
      <c r="C2997" s="20" t="s">
        <v>1468</v>
      </c>
      <c r="D2997" s="20" t="s">
        <v>1500</v>
      </c>
      <c r="E2997" s="27">
        <v>1</v>
      </c>
      <c r="F2997" s="27">
        <v>2</v>
      </c>
      <c r="G2997" s="29">
        <v>11.67562</v>
      </c>
    </row>
    <row r="2998" spans="1:7" x14ac:dyDescent="0.25">
      <c r="A2998" s="20" t="s">
        <v>595</v>
      </c>
      <c r="B2998" s="20" t="s">
        <v>1469</v>
      </c>
      <c r="C2998" s="20" t="s">
        <v>1469</v>
      </c>
      <c r="D2998" s="20" t="s">
        <v>1500</v>
      </c>
      <c r="E2998" s="27">
        <v>1</v>
      </c>
      <c r="F2998" s="27">
        <v>2</v>
      </c>
      <c r="G2998" s="29">
        <v>10.012890000000001</v>
      </c>
    </row>
    <row r="2999" spans="1:7" x14ac:dyDescent="0.25">
      <c r="A2999" s="20" t="s">
        <v>595</v>
      </c>
      <c r="B2999" s="20" t="s">
        <v>1470</v>
      </c>
      <c r="C2999" s="20" t="s">
        <v>1470</v>
      </c>
      <c r="D2999" s="20" t="s">
        <v>1500</v>
      </c>
      <c r="E2999" s="27">
        <v>2</v>
      </c>
      <c r="F2999" s="27">
        <v>4</v>
      </c>
      <c r="G2999" s="29">
        <v>3.3669199999999999</v>
      </c>
    </row>
    <row r="3000" spans="1:7" x14ac:dyDescent="0.25">
      <c r="A3000" s="20" t="s">
        <v>595</v>
      </c>
      <c r="B3000" s="20" t="s">
        <v>1471</v>
      </c>
      <c r="C3000" s="20" t="s">
        <v>1471</v>
      </c>
      <c r="D3000" s="20" t="s">
        <v>1500</v>
      </c>
      <c r="E3000" s="27">
        <v>1</v>
      </c>
      <c r="F3000" s="27">
        <v>2</v>
      </c>
      <c r="G3000" s="29">
        <v>3.0434100000000002</v>
      </c>
    </row>
    <row r="3001" spans="1:7" x14ac:dyDescent="0.25">
      <c r="A3001" s="20" t="s">
        <v>595</v>
      </c>
      <c r="B3001" s="20" t="s">
        <v>1472</v>
      </c>
      <c r="C3001" s="20" t="s">
        <v>1472</v>
      </c>
      <c r="D3001" s="20" t="s">
        <v>1500</v>
      </c>
      <c r="E3001" s="27">
        <v>1</v>
      </c>
      <c r="F3001" s="27">
        <v>2</v>
      </c>
      <c r="G3001" s="29">
        <v>3.0434100000000002</v>
      </c>
    </row>
    <row r="3002" spans="1:7" x14ac:dyDescent="0.25">
      <c r="A3002" s="20" t="s">
        <v>595</v>
      </c>
      <c r="B3002" s="20" t="s">
        <v>1473</v>
      </c>
      <c r="C3002" s="20" t="s">
        <v>1473</v>
      </c>
      <c r="D3002" s="20" t="s">
        <v>1500</v>
      </c>
      <c r="E3002" s="27">
        <v>5</v>
      </c>
      <c r="F3002" s="27">
        <v>10</v>
      </c>
      <c r="G3002" s="29">
        <v>4.0333399999999999</v>
      </c>
    </row>
    <row r="3003" spans="1:7" x14ac:dyDescent="0.25">
      <c r="A3003" s="20" t="s">
        <v>595</v>
      </c>
      <c r="B3003" s="20" t="s">
        <v>1474</v>
      </c>
      <c r="C3003" s="20" t="s">
        <v>1474</v>
      </c>
      <c r="D3003" s="20" t="s">
        <v>1500</v>
      </c>
      <c r="E3003" s="27">
        <v>1</v>
      </c>
      <c r="F3003" s="27">
        <v>2</v>
      </c>
      <c r="G3003" s="29">
        <v>12.538029999999999</v>
      </c>
    </row>
    <row r="3004" spans="1:7" x14ac:dyDescent="0.25">
      <c r="A3004" s="20" t="s">
        <v>595</v>
      </c>
      <c r="B3004" s="20" t="s">
        <v>1475</v>
      </c>
      <c r="C3004" s="20" t="s">
        <v>1475</v>
      </c>
      <c r="D3004" s="20" t="s">
        <v>1500</v>
      </c>
      <c r="E3004" s="27">
        <v>1</v>
      </c>
      <c r="F3004" s="27">
        <v>2</v>
      </c>
      <c r="G3004" s="29">
        <v>5.9847299999999999</v>
      </c>
    </row>
    <row r="3005" spans="1:7" x14ac:dyDescent="0.25">
      <c r="A3005" s="20" t="s">
        <v>595</v>
      </c>
      <c r="B3005" s="20" t="s">
        <v>1476</v>
      </c>
      <c r="C3005" s="20" t="s">
        <v>1476</v>
      </c>
      <c r="D3005" s="20" t="s">
        <v>1500</v>
      </c>
      <c r="E3005" s="27">
        <v>2</v>
      </c>
      <c r="F3005" s="27">
        <v>4</v>
      </c>
      <c r="G3005" s="29">
        <v>1.82331</v>
      </c>
    </row>
    <row r="3006" spans="1:7" x14ac:dyDescent="0.25">
      <c r="A3006" s="20" t="s">
        <v>595</v>
      </c>
      <c r="B3006" s="20" t="s">
        <v>1477</v>
      </c>
      <c r="C3006" s="20" t="s">
        <v>1477</v>
      </c>
      <c r="D3006" s="20" t="s">
        <v>1500</v>
      </c>
      <c r="E3006" s="27">
        <v>2</v>
      </c>
      <c r="F3006" s="27">
        <v>4</v>
      </c>
      <c r="G3006" s="29">
        <v>3.6834199999999999</v>
      </c>
    </row>
    <row r="3007" spans="1:7" x14ac:dyDescent="0.25">
      <c r="A3007" s="20" t="s">
        <v>595</v>
      </c>
      <c r="B3007" s="20" t="s">
        <v>1478</v>
      </c>
      <c r="C3007" s="20" t="s">
        <v>1478</v>
      </c>
      <c r="D3007" s="20" t="s">
        <v>1500</v>
      </c>
      <c r="E3007" s="27">
        <v>2</v>
      </c>
      <c r="F3007" s="27">
        <v>4</v>
      </c>
      <c r="G3007" s="28">
        <v>3.0872999999999999</v>
      </c>
    </row>
    <row r="3008" spans="1:7" x14ac:dyDescent="0.25">
      <c r="A3008" s="20" t="s">
        <v>595</v>
      </c>
      <c r="B3008" s="20" t="s">
        <v>1479</v>
      </c>
      <c r="C3008" s="20" t="s">
        <v>1479</v>
      </c>
      <c r="D3008" s="20" t="s">
        <v>1500</v>
      </c>
      <c r="E3008" s="27">
        <v>2</v>
      </c>
      <c r="F3008" s="27">
        <v>4</v>
      </c>
      <c r="G3008" s="29">
        <v>3.6834199999999999</v>
      </c>
    </row>
    <row r="3009" spans="1:7" x14ac:dyDescent="0.25">
      <c r="A3009" s="20" t="s">
        <v>595</v>
      </c>
      <c r="B3009" s="20" t="s">
        <v>1480</v>
      </c>
      <c r="C3009" s="20" t="s">
        <v>1480</v>
      </c>
      <c r="D3009" s="20" t="s">
        <v>1500</v>
      </c>
      <c r="E3009" s="27">
        <v>1</v>
      </c>
      <c r="F3009" s="27">
        <v>2</v>
      </c>
      <c r="G3009" s="29">
        <v>4.4265600000000003</v>
      </c>
    </row>
    <row r="3010" spans="1:7" x14ac:dyDescent="0.25">
      <c r="A3010" s="20" t="s">
        <v>595</v>
      </c>
      <c r="B3010" s="20" t="s">
        <v>1481</v>
      </c>
      <c r="C3010" s="20" t="s">
        <v>1481</v>
      </c>
      <c r="D3010" s="20" t="s">
        <v>1500</v>
      </c>
      <c r="E3010" s="27">
        <v>1</v>
      </c>
      <c r="F3010" s="27">
        <v>2</v>
      </c>
      <c r="G3010" s="29">
        <v>4.4265600000000003</v>
      </c>
    </row>
    <row r="3011" spans="1:7" x14ac:dyDescent="0.25">
      <c r="A3011" s="20" t="s">
        <v>595</v>
      </c>
      <c r="B3011" s="20" t="s">
        <v>1482</v>
      </c>
      <c r="C3011" s="20" t="s">
        <v>1482</v>
      </c>
      <c r="D3011" s="20" t="s">
        <v>1500</v>
      </c>
      <c r="E3011" s="27">
        <v>1</v>
      </c>
      <c r="F3011" s="27">
        <v>2</v>
      </c>
      <c r="G3011" s="29">
        <v>2.5636199999999998</v>
      </c>
    </row>
    <row r="3012" spans="1:7" x14ac:dyDescent="0.25">
      <c r="A3012" s="20" t="s">
        <v>595</v>
      </c>
      <c r="B3012" s="20" t="s">
        <v>1483</v>
      </c>
      <c r="C3012" s="20" t="s">
        <v>1483</v>
      </c>
      <c r="D3012" s="20" t="s">
        <v>1500</v>
      </c>
      <c r="E3012" s="27">
        <v>1</v>
      </c>
      <c r="F3012" s="27">
        <v>2</v>
      </c>
      <c r="G3012" s="29">
        <v>2.5636199999999998</v>
      </c>
    </row>
    <row r="3013" spans="1:7" x14ac:dyDescent="0.25">
      <c r="A3013" s="20" t="s">
        <v>595</v>
      </c>
      <c r="B3013" s="20" t="s">
        <v>1484</v>
      </c>
      <c r="C3013" s="20" t="s">
        <v>1484</v>
      </c>
      <c r="D3013" s="20" t="s">
        <v>1500</v>
      </c>
      <c r="E3013" s="27">
        <v>1</v>
      </c>
      <c r="F3013" s="27">
        <v>2</v>
      </c>
      <c r="G3013" s="29">
        <v>2.96347</v>
      </c>
    </row>
    <row r="3014" spans="1:7" x14ac:dyDescent="0.25">
      <c r="A3014" s="20" t="s">
        <v>595</v>
      </c>
      <c r="B3014" s="20" t="s">
        <v>1485</v>
      </c>
      <c r="C3014" s="20" t="s">
        <v>1485</v>
      </c>
      <c r="D3014" s="20" t="s">
        <v>1500</v>
      </c>
      <c r="E3014" s="27">
        <v>1</v>
      </c>
      <c r="F3014" s="27">
        <v>2</v>
      </c>
      <c r="G3014" s="29">
        <v>2.96347</v>
      </c>
    </row>
    <row r="3015" spans="1:7" x14ac:dyDescent="0.25">
      <c r="A3015" s="20" t="s">
        <v>595</v>
      </c>
      <c r="B3015" s="20" t="s">
        <v>1486</v>
      </c>
      <c r="C3015" s="20" t="s">
        <v>1486</v>
      </c>
      <c r="D3015" s="20" t="s">
        <v>1500</v>
      </c>
      <c r="E3015" s="27">
        <v>2</v>
      </c>
      <c r="F3015" s="27">
        <v>4</v>
      </c>
      <c r="G3015" s="29">
        <v>2.5034100000000001</v>
      </c>
    </row>
    <row r="3016" spans="1:7" x14ac:dyDescent="0.25">
      <c r="A3016" s="20" t="s">
        <v>595</v>
      </c>
      <c r="B3016" s="20" t="s">
        <v>1487</v>
      </c>
      <c r="C3016" s="20" t="s">
        <v>1487</v>
      </c>
      <c r="D3016" s="20" t="s">
        <v>1500</v>
      </c>
      <c r="E3016" s="27">
        <v>1</v>
      </c>
      <c r="F3016" s="27">
        <v>2</v>
      </c>
      <c r="G3016" s="29">
        <v>2.9075099999999998</v>
      </c>
    </row>
    <row r="3017" spans="1:7" x14ac:dyDescent="0.25">
      <c r="A3017" s="20" t="s">
        <v>595</v>
      </c>
      <c r="B3017" s="20" t="s">
        <v>1490</v>
      </c>
      <c r="C3017" s="20" t="s">
        <v>1490</v>
      </c>
      <c r="D3017" s="20" t="s">
        <v>1500</v>
      </c>
      <c r="E3017" s="27">
        <v>4</v>
      </c>
      <c r="F3017" s="27">
        <v>8</v>
      </c>
      <c r="G3017" s="29">
        <v>6.0571400000000004</v>
      </c>
    </row>
    <row r="3018" spans="1:7" x14ac:dyDescent="0.25">
      <c r="A3018" s="20" t="s">
        <v>595</v>
      </c>
      <c r="B3018" s="20" t="s">
        <v>1491</v>
      </c>
      <c r="C3018" s="20" t="s">
        <v>1491</v>
      </c>
      <c r="D3018" s="20" t="s">
        <v>1500</v>
      </c>
      <c r="E3018" s="27">
        <v>4</v>
      </c>
      <c r="F3018" s="27">
        <v>8</v>
      </c>
      <c r="G3018" s="29">
        <v>9.3829999999999997E-2</v>
      </c>
    </row>
    <row r="3019" spans="1:7" x14ac:dyDescent="0.25">
      <c r="A3019" s="20" t="s">
        <v>595</v>
      </c>
      <c r="B3019" s="20" t="s">
        <v>1492</v>
      </c>
      <c r="C3019" s="20" t="s">
        <v>1492</v>
      </c>
      <c r="D3019" s="20" t="s">
        <v>1500</v>
      </c>
      <c r="E3019" s="27">
        <v>1</v>
      </c>
      <c r="F3019" s="27">
        <v>2</v>
      </c>
      <c r="G3019" s="28">
        <v>5.9099000000000004</v>
      </c>
    </row>
    <row r="3020" spans="1:7" x14ac:dyDescent="0.25">
      <c r="A3020" s="20" t="s">
        <v>595</v>
      </c>
      <c r="B3020" s="20" t="s">
        <v>1493</v>
      </c>
      <c r="C3020" s="20" t="s">
        <v>1493</v>
      </c>
      <c r="D3020" s="20" t="s">
        <v>1500</v>
      </c>
      <c r="E3020" s="27">
        <v>1</v>
      </c>
      <c r="F3020" s="27">
        <v>2</v>
      </c>
      <c r="G3020" s="29">
        <v>2.9692799999999999</v>
      </c>
    </row>
    <row r="3021" spans="1:7" x14ac:dyDescent="0.25">
      <c r="A3021" s="20" t="s">
        <v>595</v>
      </c>
      <c r="B3021" s="20" t="s">
        <v>1496</v>
      </c>
      <c r="C3021" s="20" t="s">
        <v>1496</v>
      </c>
      <c r="D3021" s="20" t="s">
        <v>1500</v>
      </c>
      <c r="E3021" s="27">
        <v>1</v>
      </c>
      <c r="F3021" s="27">
        <v>2</v>
      </c>
      <c r="G3021" s="29">
        <v>1.30003</v>
      </c>
    </row>
    <row r="3022" spans="1:7" x14ac:dyDescent="0.25">
      <c r="A3022" s="20" t="s">
        <v>595</v>
      </c>
      <c r="B3022" s="20" t="s">
        <v>1501</v>
      </c>
      <c r="C3022" s="20" t="s">
        <v>1501</v>
      </c>
      <c r="D3022" s="20" t="s">
        <v>1500</v>
      </c>
      <c r="E3022" s="27">
        <v>2</v>
      </c>
      <c r="F3022" s="27">
        <v>4</v>
      </c>
      <c r="G3022" s="29">
        <v>7.6093700000000002</v>
      </c>
    </row>
    <row r="3023" spans="1:7" x14ac:dyDescent="0.25">
      <c r="A3023" s="20" t="s">
        <v>595</v>
      </c>
      <c r="B3023" s="20" t="s">
        <v>1502</v>
      </c>
      <c r="C3023" s="20" t="s">
        <v>1502</v>
      </c>
      <c r="D3023" s="20" t="s">
        <v>1500</v>
      </c>
      <c r="E3023" s="27">
        <v>1</v>
      </c>
      <c r="F3023" s="27">
        <v>2</v>
      </c>
      <c r="G3023" s="29">
        <v>2.05782</v>
      </c>
    </row>
    <row r="3024" spans="1:7" x14ac:dyDescent="0.25">
      <c r="A3024" s="20" t="s">
        <v>595</v>
      </c>
      <c r="B3024" s="20" t="s">
        <v>1503</v>
      </c>
      <c r="C3024" s="20" t="s">
        <v>1503</v>
      </c>
      <c r="D3024" s="20" t="s">
        <v>1500</v>
      </c>
      <c r="E3024" s="27">
        <v>1</v>
      </c>
      <c r="F3024" s="27">
        <v>2</v>
      </c>
      <c r="G3024" s="29">
        <v>3.0305300000000002</v>
      </c>
    </row>
    <row r="3025" spans="1:7" x14ac:dyDescent="0.25">
      <c r="A3025" s="20" t="s">
        <v>595</v>
      </c>
      <c r="B3025" s="20" t="s">
        <v>1504</v>
      </c>
      <c r="C3025" s="20" t="s">
        <v>1504</v>
      </c>
      <c r="D3025" s="20" t="s">
        <v>1500</v>
      </c>
      <c r="E3025" s="27">
        <v>1</v>
      </c>
      <c r="F3025" s="27">
        <v>2</v>
      </c>
      <c r="G3025" s="28">
        <v>3.9664999999999999</v>
      </c>
    </row>
    <row r="3026" spans="1:7" x14ac:dyDescent="0.25">
      <c r="A3026" s="20" t="s">
        <v>595</v>
      </c>
      <c r="B3026" s="20" t="s">
        <v>1498</v>
      </c>
      <c r="C3026" s="20" t="s">
        <v>1498</v>
      </c>
      <c r="D3026" s="20" t="s">
        <v>1500</v>
      </c>
      <c r="E3026" s="27">
        <v>1</v>
      </c>
      <c r="F3026" s="27">
        <v>2</v>
      </c>
      <c r="G3026" s="28">
        <v>2.2185999999999999</v>
      </c>
    </row>
    <row r="3027" spans="1:7" ht="22.5" x14ac:dyDescent="0.25">
      <c r="A3027" s="20" t="s">
        <v>620</v>
      </c>
      <c r="B3027" s="20" t="s">
        <v>1290</v>
      </c>
      <c r="C3027" s="20" t="s">
        <v>261</v>
      </c>
      <c r="D3027" s="20" t="s">
        <v>1500</v>
      </c>
      <c r="E3027" s="27">
        <v>2</v>
      </c>
      <c r="F3027" s="27">
        <v>4</v>
      </c>
      <c r="G3027" s="28">
        <v>3.1600000000000003E-2</v>
      </c>
    </row>
    <row r="3028" spans="1:7" ht="22.5" x14ac:dyDescent="0.25">
      <c r="A3028" s="20" t="s">
        <v>620</v>
      </c>
      <c r="B3028" s="20" t="s">
        <v>622</v>
      </c>
      <c r="C3028" s="20" t="s">
        <v>256</v>
      </c>
      <c r="D3028" s="20" t="s">
        <v>1500</v>
      </c>
      <c r="E3028" s="27">
        <v>89</v>
      </c>
      <c r="F3028" s="27">
        <v>178</v>
      </c>
      <c r="G3028" s="28">
        <v>1.52E-2</v>
      </c>
    </row>
    <row r="3029" spans="1:7" ht="22.5" x14ac:dyDescent="0.25">
      <c r="A3029" s="20" t="s">
        <v>620</v>
      </c>
      <c r="B3029" s="20" t="s">
        <v>1499</v>
      </c>
      <c r="C3029" s="20" t="s">
        <v>556</v>
      </c>
      <c r="D3029" s="20" t="s">
        <v>1500</v>
      </c>
      <c r="E3029" s="27">
        <v>4</v>
      </c>
      <c r="F3029" s="27">
        <v>8</v>
      </c>
      <c r="G3029" s="29">
        <v>9.5300000000000003E-3</v>
      </c>
    </row>
    <row r="3030" spans="1:7" ht="22.5" x14ac:dyDescent="0.25">
      <c r="A3030" s="20" t="s">
        <v>620</v>
      </c>
      <c r="B3030" s="20" t="s">
        <v>1066</v>
      </c>
      <c r="C3030" s="20" t="s">
        <v>284</v>
      </c>
      <c r="D3030" s="20" t="s">
        <v>1500</v>
      </c>
      <c r="E3030" s="27">
        <v>42</v>
      </c>
      <c r="F3030" s="27">
        <v>84</v>
      </c>
      <c r="G3030" s="28">
        <v>2.53E-2</v>
      </c>
    </row>
    <row r="3031" spans="1:7" ht="22.5" x14ac:dyDescent="0.25">
      <c r="A3031" s="20" t="s">
        <v>620</v>
      </c>
      <c r="B3031" s="20" t="s">
        <v>766</v>
      </c>
      <c r="C3031" s="20" t="s">
        <v>250</v>
      </c>
      <c r="D3031" s="20" t="s">
        <v>1500</v>
      </c>
      <c r="E3031" s="27">
        <v>2</v>
      </c>
      <c r="F3031" s="27">
        <v>4</v>
      </c>
      <c r="G3031" s="28">
        <v>1.1299999999999999E-2</v>
      </c>
    </row>
    <row r="3032" spans="1:7" ht="22.5" x14ac:dyDescent="0.25">
      <c r="A3032" s="20" t="s">
        <v>620</v>
      </c>
      <c r="B3032" s="20" t="s">
        <v>625</v>
      </c>
      <c r="C3032" s="20" t="s">
        <v>219</v>
      </c>
      <c r="D3032" s="20" t="s">
        <v>1500</v>
      </c>
      <c r="E3032" s="27">
        <v>135</v>
      </c>
      <c r="F3032" s="27">
        <v>270</v>
      </c>
      <c r="G3032" s="29">
        <v>7.1399999999999996E-3</v>
      </c>
    </row>
    <row r="3033" spans="1:7" x14ac:dyDescent="0.25">
      <c r="A3033" s="20" t="s">
        <v>588</v>
      </c>
      <c r="B3033" s="20" t="s">
        <v>131</v>
      </c>
      <c r="C3033" s="20" t="s">
        <v>131</v>
      </c>
      <c r="D3033" s="20" t="s">
        <v>1467</v>
      </c>
      <c r="E3033" s="26">
        <v>12.193059999999999</v>
      </c>
      <c r="F3033" s="32">
        <v>60.965299999999999</v>
      </c>
      <c r="G3033" s="22"/>
    </row>
    <row r="3034" spans="1:7" x14ac:dyDescent="0.25">
      <c r="A3034" s="20" t="s">
        <v>588</v>
      </c>
      <c r="B3034" s="20" t="s">
        <v>131</v>
      </c>
      <c r="C3034" s="20" t="s">
        <v>131</v>
      </c>
      <c r="D3034" s="20" t="s">
        <v>1468</v>
      </c>
      <c r="E3034" s="26">
        <v>14.03787</v>
      </c>
      <c r="F3034" s="26">
        <v>70.189350000000005</v>
      </c>
      <c r="G3034" s="22"/>
    </row>
    <row r="3035" spans="1:7" x14ac:dyDescent="0.25">
      <c r="A3035" s="20" t="s">
        <v>588</v>
      </c>
      <c r="B3035" s="20" t="s">
        <v>131</v>
      </c>
      <c r="C3035" s="20" t="s">
        <v>131</v>
      </c>
      <c r="D3035" s="20" t="s">
        <v>1469</v>
      </c>
      <c r="E3035" s="26">
        <v>12.252829999999999</v>
      </c>
      <c r="F3035" s="26">
        <v>61.264150000000001</v>
      </c>
      <c r="G3035" s="22"/>
    </row>
    <row r="3036" spans="1:7" x14ac:dyDescent="0.25">
      <c r="A3036" s="20" t="s">
        <v>588</v>
      </c>
      <c r="B3036" s="20" t="s">
        <v>131</v>
      </c>
      <c r="C3036" s="20" t="s">
        <v>131</v>
      </c>
      <c r="D3036" s="20" t="s">
        <v>1470</v>
      </c>
      <c r="E3036" s="26">
        <v>4.0332699999999999</v>
      </c>
      <c r="F3036" s="32">
        <v>40.332700000000003</v>
      </c>
      <c r="G3036" s="22"/>
    </row>
    <row r="3037" spans="1:7" x14ac:dyDescent="0.25">
      <c r="A3037" s="20" t="s">
        <v>588</v>
      </c>
      <c r="B3037" s="20" t="s">
        <v>131</v>
      </c>
      <c r="C3037" s="20" t="s">
        <v>131</v>
      </c>
      <c r="D3037" s="20" t="s">
        <v>1471</v>
      </c>
      <c r="E3037" s="26">
        <v>3.7472799999999999</v>
      </c>
      <c r="F3037" s="32">
        <v>18.7364</v>
      </c>
      <c r="G3037" s="22"/>
    </row>
    <row r="3038" spans="1:7" x14ac:dyDescent="0.25">
      <c r="A3038" s="20" t="s">
        <v>588</v>
      </c>
      <c r="B3038" s="20" t="s">
        <v>131</v>
      </c>
      <c r="C3038" s="20" t="s">
        <v>131</v>
      </c>
      <c r="D3038" s="20" t="s">
        <v>1472</v>
      </c>
      <c r="E3038" s="26">
        <v>3.5051399999999999</v>
      </c>
      <c r="F3038" s="32">
        <v>17.525700000000001</v>
      </c>
      <c r="G3038" s="22"/>
    </row>
    <row r="3039" spans="1:7" x14ac:dyDescent="0.25">
      <c r="A3039" s="20" t="s">
        <v>588</v>
      </c>
      <c r="B3039" s="20" t="s">
        <v>131</v>
      </c>
      <c r="C3039" s="20" t="s">
        <v>131</v>
      </c>
      <c r="D3039" s="20" t="s">
        <v>1473</v>
      </c>
      <c r="E3039" s="26">
        <v>4.9201499999999996</v>
      </c>
      <c r="F3039" s="26">
        <v>123.00375</v>
      </c>
      <c r="G3039" s="22"/>
    </row>
    <row r="3040" spans="1:7" x14ac:dyDescent="0.25">
      <c r="A3040" s="20" t="s">
        <v>588</v>
      </c>
      <c r="B3040" s="20" t="s">
        <v>65</v>
      </c>
      <c r="C3040" s="20" t="s">
        <v>65</v>
      </c>
      <c r="D3040" s="20" t="s">
        <v>1474</v>
      </c>
      <c r="E3040" s="25">
        <v>0.08</v>
      </c>
      <c r="F3040" s="33">
        <v>0.4</v>
      </c>
      <c r="G3040" s="22"/>
    </row>
    <row r="3041" spans="1:7" x14ac:dyDescent="0.25">
      <c r="A3041" s="20" t="s">
        <v>588</v>
      </c>
      <c r="B3041" s="20" t="s">
        <v>118</v>
      </c>
      <c r="C3041" s="20" t="s">
        <v>118</v>
      </c>
      <c r="D3041" s="20" t="s">
        <v>1474</v>
      </c>
      <c r="E3041" s="26">
        <v>15.00135</v>
      </c>
      <c r="F3041" s="26">
        <v>75.006749999999997</v>
      </c>
      <c r="G3041" s="22"/>
    </row>
    <row r="3042" spans="1:7" x14ac:dyDescent="0.25">
      <c r="A3042" s="20" t="s">
        <v>588</v>
      </c>
      <c r="B3042" s="20" t="s">
        <v>155</v>
      </c>
      <c r="C3042" s="20" t="s">
        <v>155</v>
      </c>
      <c r="D3042" s="20" t="s">
        <v>1474</v>
      </c>
      <c r="E3042" s="24">
        <v>2.4E-2</v>
      </c>
      <c r="F3042" s="25">
        <v>0.12</v>
      </c>
      <c r="G3042" s="22"/>
    </row>
    <row r="3043" spans="1:7" x14ac:dyDescent="0.25">
      <c r="A3043" s="20" t="s">
        <v>588</v>
      </c>
      <c r="B3043" s="20" t="s">
        <v>156</v>
      </c>
      <c r="C3043" s="20" t="s">
        <v>156</v>
      </c>
      <c r="D3043" s="20" t="s">
        <v>1474</v>
      </c>
      <c r="E3043" s="24">
        <v>7.3999999999999996E-2</v>
      </c>
      <c r="F3043" s="25">
        <v>0.37</v>
      </c>
      <c r="G3043" s="22"/>
    </row>
    <row r="3044" spans="1:7" x14ac:dyDescent="0.25">
      <c r="A3044" s="20" t="s">
        <v>588</v>
      </c>
      <c r="B3044" s="20" t="s">
        <v>200</v>
      </c>
      <c r="C3044" s="20" t="s">
        <v>200</v>
      </c>
      <c r="D3044" s="20" t="s">
        <v>1474</v>
      </c>
      <c r="E3044" s="24">
        <v>9.9000000000000005E-2</v>
      </c>
      <c r="F3044" s="24">
        <v>0.495</v>
      </c>
      <c r="G3044" s="22"/>
    </row>
    <row r="3045" spans="1:7" x14ac:dyDescent="0.25">
      <c r="A3045" s="20" t="s">
        <v>588</v>
      </c>
      <c r="B3045" s="20" t="s">
        <v>215</v>
      </c>
      <c r="C3045" s="20" t="s">
        <v>215</v>
      </c>
      <c r="D3045" s="20" t="s">
        <v>1474</v>
      </c>
      <c r="E3045" s="24">
        <v>0.161</v>
      </c>
      <c r="F3045" s="24">
        <v>0.80500000000000005</v>
      </c>
      <c r="G3045" s="22"/>
    </row>
    <row r="3046" spans="1:7" x14ac:dyDescent="0.25">
      <c r="A3046" s="20" t="s">
        <v>588</v>
      </c>
      <c r="B3046" s="20" t="s">
        <v>131</v>
      </c>
      <c r="C3046" s="20" t="s">
        <v>131</v>
      </c>
      <c r="D3046" s="20" t="s">
        <v>1475</v>
      </c>
      <c r="E3046" s="26">
        <v>7.2006500000000004</v>
      </c>
      <c r="F3046" s="26">
        <v>36.003250000000001</v>
      </c>
      <c r="G3046" s="22"/>
    </row>
    <row r="3047" spans="1:7" x14ac:dyDescent="0.25">
      <c r="A3047" s="20" t="s">
        <v>588</v>
      </c>
      <c r="B3047" s="20" t="s">
        <v>65</v>
      </c>
      <c r="C3047" s="20" t="s">
        <v>65</v>
      </c>
      <c r="D3047" s="20" t="s">
        <v>1476</v>
      </c>
      <c r="E3047" s="24">
        <v>1.2E-2</v>
      </c>
      <c r="F3047" s="25">
        <v>0.12</v>
      </c>
      <c r="G3047" s="22"/>
    </row>
    <row r="3048" spans="1:7" x14ac:dyDescent="0.25">
      <c r="A3048" s="20" t="s">
        <v>588</v>
      </c>
      <c r="B3048" s="20" t="s">
        <v>118</v>
      </c>
      <c r="C3048" s="20" t="s">
        <v>118</v>
      </c>
      <c r="D3048" s="20" t="s">
        <v>1476</v>
      </c>
      <c r="E3048" s="26">
        <v>2.34558</v>
      </c>
      <c r="F3048" s="32">
        <v>23.4558</v>
      </c>
      <c r="G3048" s="22"/>
    </row>
    <row r="3049" spans="1:7" x14ac:dyDescent="0.25">
      <c r="A3049" s="20" t="s">
        <v>588</v>
      </c>
      <c r="B3049" s="20" t="s">
        <v>155</v>
      </c>
      <c r="C3049" s="20" t="s">
        <v>155</v>
      </c>
      <c r="D3049" s="20" t="s">
        <v>1476</v>
      </c>
      <c r="E3049" s="24">
        <v>7.0000000000000001E-3</v>
      </c>
      <c r="F3049" s="25">
        <v>7.0000000000000007E-2</v>
      </c>
      <c r="G3049" s="22"/>
    </row>
    <row r="3050" spans="1:7" x14ac:dyDescent="0.25">
      <c r="A3050" s="20" t="s">
        <v>588</v>
      </c>
      <c r="B3050" s="20" t="s">
        <v>156</v>
      </c>
      <c r="C3050" s="20" t="s">
        <v>156</v>
      </c>
      <c r="D3050" s="20" t="s">
        <v>1476</v>
      </c>
      <c r="E3050" s="24">
        <v>1.0999999999999999E-2</v>
      </c>
      <c r="F3050" s="25">
        <v>0.11</v>
      </c>
      <c r="G3050" s="22"/>
    </row>
    <row r="3051" spans="1:7" x14ac:dyDescent="0.25">
      <c r="A3051" s="20" t="s">
        <v>588</v>
      </c>
      <c r="B3051" s="20" t="s">
        <v>200</v>
      </c>
      <c r="C3051" s="20" t="s">
        <v>200</v>
      </c>
      <c r="D3051" s="20" t="s">
        <v>1476</v>
      </c>
      <c r="E3051" s="24">
        <v>1.4999999999999999E-2</v>
      </c>
      <c r="F3051" s="25">
        <v>0.15</v>
      </c>
      <c r="G3051" s="22"/>
    </row>
    <row r="3052" spans="1:7" x14ac:dyDescent="0.25">
      <c r="A3052" s="20" t="s">
        <v>588</v>
      </c>
      <c r="B3052" s="20" t="s">
        <v>215</v>
      </c>
      <c r="C3052" s="20" t="s">
        <v>215</v>
      </c>
      <c r="D3052" s="20" t="s">
        <v>1476</v>
      </c>
      <c r="E3052" s="24">
        <v>2.4E-2</v>
      </c>
      <c r="F3052" s="25">
        <v>0.24</v>
      </c>
      <c r="G3052" s="22"/>
    </row>
    <row r="3053" spans="1:7" x14ac:dyDescent="0.25">
      <c r="A3053" s="20" t="s">
        <v>588</v>
      </c>
      <c r="B3053" s="20" t="s">
        <v>44</v>
      </c>
      <c r="C3053" s="20" t="s">
        <v>44</v>
      </c>
      <c r="D3053" s="20" t="s">
        <v>1477</v>
      </c>
      <c r="E3053" s="24">
        <v>8.5999999999999993E-2</v>
      </c>
      <c r="F3053" s="25">
        <v>0.86</v>
      </c>
      <c r="G3053" s="22"/>
    </row>
    <row r="3054" spans="1:7" x14ac:dyDescent="0.25">
      <c r="A3054" s="20" t="s">
        <v>588</v>
      </c>
      <c r="B3054" s="20" t="s">
        <v>116</v>
      </c>
      <c r="C3054" s="20" t="s">
        <v>116</v>
      </c>
      <c r="D3054" s="20" t="s">
        <v>1477</v>
      </c>
      <c r="E3054" s="26">
        <v>5.71244</v>
      </c>
      <c r="F3054" s="32">
        <v>57.124400000000001</v>
      </c>
      <c r="G3054" s="22"/>
    </row>
    <row r="3055" spans="1:7" x14ac:dyDescent="0.25">
      <c r="A3055" s="20" t="s">
        <v>588</v>
      </c>
      <c r="B3055" s="20" t="s">
        <v>139</v>
      </c>
      <c r="C3055" s="20" t="s">
        <v>139</v>
      </c>
      <c r="D3055" s="20" t="s">
        <v>1477</v>
      </c>
      <c r="E3055" s="25">
        <v>0.01</v>
      </c>
      <c r="F3055" s="33">
        <v>0.1</v>
      </c>
      <c r="G3055" s="22"/>
    </row>
    <row r="3056" spans="1:7" x14ac:dyDescent="0.25">
      <c r="A3056" s="20" t="s">
        <v>588</v>
      </c>
      <c r="B3056" s="20" t="s">
        <v>156</v>
      </c>
      <c r="C3056" s="20" t="s">
        <v>156</v>
      </c>
      <c r="D3056" s="20" t="s">
        <v>1477</v>
      </c>
      <c r="E3056" s="24">
        <v>5.1999999999999998E-2</v>
      </c>
      <c r="F3056" s="25">
        <v>0.52</v>
      </c>
      <c r="G3056" s="22"/>
    </row>
    <row r="3057" spans="1:7" x14ac:dyDescent="0.25">
      <c r="A3057" s="20" t="s">
        <v>588</v>
      </c>
      <c r="B3057" s="20" t="s">
        <v>202</v>
      </c>
      <c r="C3057" s="20" t="s">
        <v>202</v>
      </c>
      <c r="D3057" s="20" t="s">
        <v>1477</v>
      </c>
      <c r="E3057" s="25">
        <v>0.06</v>
      </c>
      <c r="F3057" s="33">
        <v>0.6</v>
      </c>
      <c r="G3057" s="22"/>
    </row>
    <row r="3058" spans="1:7" x14ac:dyDescent="0.25">
      <c r="A3058" s="20" t="s">
        <v>588</v>
      </c>
      <c r="B3058" s="20" t="s">
        <v>131</v>
      </c>
      <c r="C3058" s="20" t="s">
        <v>131</v>
      </c>
      <c r="D3058" s="20" t="s">
        <v>1478</v>
      </c>
      <c r="E3058" s="26">
        <v>3.7197200000000001</v>
      </c>
      <c r="F3058" s="32">
        <v>37.197200000000002</v>
      </c>
      <c r="G3058" s="22"/>
    </row>
    <row r="3059" spans="1:7" x14ac:dyDescent="0.25">
      <c r="A3059" s="20" t="s">
        <v>588</v>
      </c>
      <c r="B3059" s="20" t="s">
        <v>44</v>
      </c>
      <c r="C3059" s="20" t="s">
        <v>44</v>
      </c>
      <c r="D3059" s="20" t="s">
        <v>1479</v>
      </c>
      <c r="E3059" s="24">
        <v>8.5999999999999993E-2</v>
      </c>
      <c r="F3059" s="25">
        <v>0.86</v>
      </c>
      <c r="G3059" s="22"/>
    </row>
    <row r="3060" spans="1:7" x14ac:dyDescent="0.25">
      <c r="A3060" s="20" t="s">
        <v>588</v>
      </c>
      <c r="B3060" s="20" t="s">
        <v>116</v>
      </c>
      <c r="C3060" s="20" t="s">
        <v>116</v>
      </c>
      <c r="D3060" s="20" t="s">
        <v>1479</v>
      </c>
      <c r="E3060" s="26">
        <v>5.71244</v>
      </c>
      <c r="F3060" s="32">
        <v>57.124400000000001</v>
      </c>
      <c r="G3060" s="22"/>
    </row>
    <row r="3061" spans="1:7" x14ac:dyDescent="0.25">
      <c r="A3061" s="20" t="s">
        <v>588</v>
      </c>
      <c r="B3061" s="20" t="s">
        <v>139</v>
      </c>
      <c r="C3061" s="20" t="s">
        <v>139</v>
      </c>
      <c r="D3061" s="20" t="s">
        <v>1479</v>
      </c>
      <c r="E3061" s="25">
        <v>0.01</v>
      </c>
      <c r="F3061" s="33">
        <v>0.1</v>
      </c>
      <c r="G3061" s="22"/>
    </row>
    <row r="3062" spans="1:7" x14ac:dyDescent="0.25">
      <c r="A3062" s="20" t="s">
        <v>588</v>
      </c>
      <c r="B3062" s="20" t="s">
        <v>156</v>
      </c>
      <c r="C3062" s="20" t="s">
        <v>156</v>
      </c>
      <c r="D3062" s="20" t="s">
        <v>1479</v>
      </c>
      <c r="E3062" s="24">
        <v>5.1999999999999998E-2</v>
      </c>
      <c r="F3062" s="25">
        <v>0.52</v>
      </c>
      <c r="G3062" s="22"/>
    </row>
    <row r="3063" spans="1:7" x14ac:dyDescent="0.25">
      <c r="A3063" s="20" t="s">
        <v>588</v>
      </c>
      <c r="B3063" s="20" t="s">
        <v>202</v>
      </c>
      <c r="C3063" s="20" t="s">
        <v>202</v>
      </c>
      <c r="D3063" s="20" t="s">
        <v>1479</v>
      </c>
      <c r="E3063" s="25">
        <v>0.06</v>
      </c>
      <c r="F3063" s="33">
        <v>0.6</v>
      </c>
      <c r="G3063" s="22"/>
    </row>
    <row r="3064" spans="1:7" x14ac:dyDescent="0.25">
      <c r="A3064" s="20" t="s">
        <v>588</v>
      </c>
      <c r="B3064" s="20" t="s">
        <v>131</v>
      </c>
      <c r="C3064" s="20" t="s">
        <v>131</v>
      </c>
      <c r="D3064" s="20" t="s">
        <v>1480</v>
      </c>
      <c r="E3064" s="26">
        <v>5.2704899999999997</v>
      </c>
      <c r="F3064" s="26">
        <v>26.352450000000001</v>
      </c>
      <c r="G3064" s="22"/>
    </row>
    <row r="3065" spans="1:7" x14ac:dyDescent="0.25">
      <c r="A3065" s="20" t="s">
        <v>588</v>
      </c>
      <c r="B3065" s="20" t="s">
        <v>131</v>
      </c>
      <c r="C3065" s="20" t="s">
        <v>131</v>
      </c>
      <c r="D3065" s="20" t="s">
        <v>1481</v>
      </c>
      <c r="E3065" s="26">
        <v>5.2704899999999997</v>
      </c>
      <c r="F3065" s="26">
        <v>26.352450000000001</v>
      </c>
      <c r="G3065" s="22"/>
    </row>
    <row r="3066" spans="1:7" x14ac:dyDescent="0.25">
      <c r="A3066" s="20" t="s">
        <v>588</v>
      </c>
      <c r="B3066" s="20" t="s">
        <v>131</v>
      </c>
      <c r="C3066" s="20" t="s">
        <v>131</v>
      </c>
      <c r="D3066" s="20" t="s">
        <v>1482</v>
      </c>
      <c r="E3066" s="32">
        <v>3.1198999999999999</v>
      </c>
      <c r="F3066" s="32">
        <v>15.599500000000001</v>
      </c>
      <c r="G3066" s="22"/>
    </row>
    <row r="3067" spans="1:7" x14ac:dyDescent="0.25">
      <c r="A3067" s="20" t="s">
        <v>588</v>
      </c>
      <c r="B3067" s="20" t="s">
        <v>131</v>
      </c>
      <c r="C3067" s="20" t="s">
        <v>131</v>
      </c>
      <c r="D3067" s="20" t="s">
        <v>1483</v>
      </c>
      <c r="E3067" s="32">
        <v>3.1198999999999999</v>
      </c>
      <c r="F3067" s="32">
        <v>15.599500000000001</v>
      </c>
      <c r="G3067" s="22"/>
    </row>
    <row r="3068" spans="1:7" x14ac:dyDescent="0.25">
      <c r="A3068" s="20" t="s">
        <v>588</v>
      </c>
      <c r="B3068" s="20" t="s">
        <v>131</v>
      </c>
      <c r="C3068" s="20" t="s">
        <v>131</v>
      </c>
      <c r="D3068" s="20" t="s">
        <v>1484</v>
      </c>
      <c r="E3068" s="26">
        <v>3.5890200000000001</v>
      </c>
      <c r="F3068" s="32">
        <v>17.9451</v>
      </c>
      <c r="G3068" s="22"/>
    </row>
    <row r="3069" spans="1:7" x14ac:dyDescent="0.25">
      <c r="A3069" s="20" t="s">
        <v>588</v>
      </c>
      <c r="B3069" s="20" t="s">
        <v>131</v>
      </c>
      <c r="C3069" s="20" t="s">
        <v>131</v>
      </c>
      <c r="D3069" s="20" t="s">
        <v>1485</v>
      </c>
      <c r="E3069" s="26">
        <v>3.5890200000000001</v>
      </c>
      <c r="F3069" s="32">
        <v>17.9451</v>
      </c>
      <c r="G3069" s="22"/>
    </row>
    <row r="3070" spans="1:7" x14ac:dyDescent="0.25">
      <c r="A3070" s="20" t="s">
        <v>588</v>
      </c>
      <c r="B3070" s="20" t="s">
        <v>131</v>
      </c>
      <c r="C3070" s="20" t="s">
        <v>131</v>
      </c>
      <c r="D3070" s="20" t="s">
        <v>1486</v>
      </c>
      <c r="E3070" s="26">
        <v>2.9588199999999998</v>
      </c>
      <c r="F3070" s="32">
        <v>29.588200000000001</v>
      </c>
      <c r="G3070" s="22"/>
    </row>
    <row r="3071" spans="1:7" x14ac:dyDescent="0.25">
      <c r="A3071" s="20" t="s">
        <v>588</v>
      </c>
      <c r="B3071" s="20" t="s">
        <v>131</v>
      </c>
      <c r="C3071" s="20" t="s">
        <v>131</v>
      </c>
      <c r="D3071" s="20" t="s">
        <v>1487</v>
      </c>
      <c r="E3071" s="26">
        <v>3.4335900000000001</v>
      </c>
      <c r="F3071" s="26">
        <v>17.167950000000001</v>
      </c>
      <c r="G3071" s="22"/>
    </row>
    <row r="3072" spans="1:7" x14ac:dyDescent="0.25">
      <c r="A3072" s="20" t="s">
        <v>588</v>
      </c>
      <c r="B3072" s="20" t="s">
        <v>130</v>
      </c>
      <c r="C3072" s="20" t="s">
        <v>130</v>
      </c>
      <c r="D3072" s="20" t="s">
        <v>1488</v>
      </c>
      <c r="E3072" s="26">
        <v>17.605979999999999</v>
      </c>
      <c r="F3072" s="26">
        <v>105.63588</v>
      </c>
      <c r="G3072" s="22"/>
    </row>
    <row r="3073" spans="1:7" x14ac:dyDescent="0.25">
      <c r="A3073" s="20" t="s">
        <v>588</v>
      </c>
      <c r="B3073" s="20" t="s">
        <v>131</v>
      </c>
      <c r="C3073" s="20" t="s">
        <v>131</v>
      </c>
      <c r="D3073" s="20" t="s">
        <v>1489</v>
      </c>
      <c r="E3073" s="26">
        <v>6.5547700000000004</v>
      </c>
      <c r="F3073" s="26">
        <v>19.66431</v>
      </c>
      <c r="G3073" s="22"/>
    </row>
    <row r="3074" spans="1:7" x14ac:dyDescent="0.25">
      <c r="A3074" s="20" t="s">
        <v>588</v>
      </c>
      <c r="B3074" s="20" t="s">
        <v>130</v>
      </c>
      <c r="C3074" s="20" t="s">
        <v>130</v>
      </c>
      <c r="D3074" s="20" t="s">
        <v>1490</v>
      </c>
      <c r="E3074" s="26">
        <v>10.31207</v>
      </c>
      <c r="F3074" s="26">
        <v>144.36897999999999</v>
      </c>
      <c r="G3074" s="22"/>
    </row>
    <row r="3075" spans="1:7" x14ac:dyDescent="0.25">
      <c r="A3075" s="20" t="s">
        <v>588</v>
      </c>
      <c r="B3075" s="20" t="s">
        <v>131</v>
      </c>
      <c r="C3075" s="20" t="s">
        <v>131</v>
      </c>
      <c r="D3075" s="20" t="s">
        <v>1491</v>
      </c>
      <c r="E3075" s="26">
        <v>0.13017000000000001</v>
      </c>
      <c r="F3075" s="26">
        <v>2.2128899999999998</v>
      </c>
      <c r="G3075" s="22"/>
    </row>
    <row r="3076" spans="1:7" x14ac:dyDescent="0.25">
      <c r="A3076" s="20" t="s">
        <v>588</v>
      </c>
      <c r="B3076" s="20" t="s">
        <v>130</v>
      </c>
      <c r="C3076" s="20" t="s">
        <v>130</v>
      </c>
      <c r="D3076" s="20" t="s">
        <v>1492</v>
      </c>
      <c r="E3076" s="26">
        <v>9.3851499999999994</v>
      </c>
      <c r="F3076" s="26">
        <v>46.925750000000001</v>
      </c>
      <c r="G3076" s="22"/>
    </row>
    <row r="3077" spans="1:7" x14ac:dyDescent="0.25">
      <c r="A3077" s="20" t="s">
        <v>588</v>
      </c>
      <c r="B3077" s="20" t="s">
        <v>131</v>
      </c>
      <c r="C3077" s="20" t="s">
        <v>131</v>
      </c>
      <c r="D3077" s="20" t="s">
        <v>1493</v>
      </c>
      <c r="E3077" s="26">
        <v>3.6408800000000001</v>
      </c>
      <c r="F3077" s="32">
        <v>18.2044</v>
      </c>
      <c r="G3077" s="22"/>
    </row>
    <row r="3078" spans="1:7" x14ac:dyDescent="0.25">
      <c r="A3078" s="20" t="s">
        <v>588</v>
      </c>
      <c r="B3078" s="20" t="s">
        <v>130</v>
      </c>
      <c r="C3078" s="20" t="s">
        <v>130</v>
      </c>
      <c r="D3078" s="20" t="s">
        <v>1494</v>
      </c>
      <c r="E3078" s="26">
        <v>3.3808400000000001</v>
      </c>
      <c r="F3078" s="26">
        <v>10.142519999999999</v>
      </c>
      <c r="G3078" s="22"/>
    </row>
    <row r="3079" spans="1:7" x14ac:dyDescent="0.25">
      <c r="A3079" s="20" t="s">
        <v>588</v>
      </c>
      <c r="B3079" s="20" t="s">
        <v>130</v>
      </c>
      <c r="C3079" s="20" t="s">
        <v>130</v>
      </c>
      <c r="D3079" s="20" t="s">
        <v>1495</v>
      </c>
      <c r="E3079" s="26">
        <v>6.2838900000000004</v>
      </c>
      <c r="F3079" s="26">
        <v>37.703339999999997</v>
      </c>
      <c r="G3079" s="22"/>
    </row>
    <row r="3080" spans="1:7" x14ac:dyDescent="0.25">
      <c r="A3080" s="20" t="s">
        <v>588</v>
      </c>
      <c r="B3080" s="20" t="s">
        <v>131</v>
      </c>
      <c r="C3080" s="20" t="s">
        <v>131</v>
      </c>
      <c r="D3080" s="20" t="s">
        <v>1496</v>
      </c>
      <c r="E3080" s="26">
        <v>1.7487299999999999</v>
      </c>
      <c r="F3080" s="26">
        <v>8.7436500000000006</v>
      </c>
      <c r="G3080" s="22"/>
    </row>
    <row r="3081" spans="1:7" x14ac:dyDescent="0.25">
      <c r="A3081" s="20" t="s">
        <v>588</v>
      </c>
      <c r="B3081" s="20" t="s">
        <v>131</v>
      </c>
      <c r="C3081" s="20" t="s">
        <v>131</v>
      </c>
      <c r="D3081" s="20" t="s">
        <v>1497</v>
      </c>
      <c r="E3081" s="26">
        <v>2.1954600000000002</v>
      </c>
      <c r="F3081" s="26">
        <v>6.5863800000000001</v>
      </c>
      <c r="G3081" s="22"/>
    </row>
    <row r="3082" spans="1:7" x14ac:dyDescent="0.25">
      <c r="A3082" s="20" t="s">
        <v>588</v>
      </c>
      <c r="B3082" s="20" t="s">
        <v>130</v>
      </c>
      <c r="C3082" s="20" t="s">
        <v>130</v>
      </c>
      <c r="D3082" s="20" t="s">
        <v>1501</v>
      </c>
      <c r="E3082" s="26">
        <v>13.15362</v>
      </c>
      <c r="F3082" s="26">
        <v>52.61448</v>
      </c>
      <c r="G3082" s="22"/>
    </row>
    <row r="3083" spans="1:7" x14ac:dyDescent="0.25">
      <c r="A3083" s="20" t="s">
        <v>588</v>
      </c>
      <c r="B3083" s="20" t="s">
        <v>130</v>
      </c>
      <c r="C3083" s="20" t="s">
        <v>130</v>
      </c>
      <c r="D3083" s="20" t="s">
        <v>1502</v>
      </c>
      <c r="E3083" s="26">
        <v>3.3111299999999999</v>
      </c>
      <c r="F3083" s="26">
        <v>6.6222599999999998</v>
      </c>
      <c r="G3083" s="22"/>
    </row>
    <row r="3084" spans="1:7" x14ac:dyDescent="0.25">
      <c r="A3084" s="20" t="s">
        <v>588</v>
      </c>
      <c r="B3084" s="20" t="s">
        <v>131</v>
      </c>
      <c r="C3084" s="20" t="s">
        <v>131</v>
      </c>
      <c r="D3084" s="20" t="s">
        <v>1503</v>
      </c>
      <c r="E3084" s="26">
        <v>3.6355900000000001</v>
      </c>
      <c r="F3084" s="26">
        <v>7.2711800000000002</v>
      </c>
      <c r="G3084" s="22"/>
    </row>
    <row r="3085" spans="1:7" x14ac:dyDescent="0.25">
      <c r="A3085" s="20" t="s">
        <v>588</v>
      </c>
      <c r="B3085" s="20" t="s">
        <v>131</v>
      </c>
      <c r="C3085" s="20" t="s">
        <v>131</v>
      </c>
      <c r="D3085" s="20" t="s">
        <v>1504</v>
      </c>
      <c r="E3085" s="26">
        <v>4.8876200000000001</v>
      </c>
      <c r="F3085" s="26">
        <v>9.7752400000000002</v>
      </c>
      <c r="G3085" s="22"/>
    </row>
    <row r="3086" spans="1:7" x14ac:dyDescent="0.25">
      <c r="A3086" s="20" t="s">
        <v>588</v>
      </c>
      <c r="B3086" s="20" t="s">
        <v>131</v>
      </c>
      <c r="C3086" s="20" t="s">
        <v>131</v>
      </c>
      <c r="D3086" s="20" t="s">
        <v>1498</v>
      </c>
      <c r="E3086" s="26">
        <v>2.6547399999999999</v>
      </c>
      <c r="F3086" s="32">
        <v>13.2737</v>
      </c>
      <c r="G3086" s="22"/>
    </row>
    <row r="3087" spans="1:7" x14ac:dyDescent="0.25">
      <c r="A3087" s="20" t="s">
        <v>595</v>
      </c>
      <c r="B3087" s="20" t="s">
        <v>1505</v>
      </c>
      <c r="C3087" s="20" t="s">
        <v>1505</v>
      </c>
      <c r="D3087" s="20" t="s">
        <v>1465</v>
      </c>
      <c r="E3087" s="27">
        <v>1</v>
      </c>
      <c r="F3087" s="27">
        <v>5</v>
      </c>
      <c r="G3087" s="29">
        <v>0.54905000000000004</v>
      </c>
    </row>
    <row r="3088" spans="1:7" x14ac:dyDescent="0.25">
      <c r="A3088" s="20" t="s">
        <v>595</v>
      </c>
      <c r="B3088" s="20" t="s">
        <v>1506</v>
      </c>
      <c r="C3088" s="20" t="s">
        <v>1506</v>
      </c>
      <c r="D3088" s="20" t="s">
        <v>1465</v>
      </c>
      <c r="E3088" s="27">
        <v>1</v>
      </c>
      <c r="F3088" s="27">
        <v>5</v>
      </c>
      <c r="G3088" s="29">
        <v>8.54528</v>
      </c>
    </row>
    <row r="3089" spans="1:7" x14ac:dyDescent="0.25">
      <c r="A3089" s="20" t="s">
        <v>595</v>
      </c>
      <c r="B3089" s="20" t="s">
        <v>1507</v>
      </c>
      <c r="C3089" s="20" t="s">
        <v>1507</v>
      </c>
      <c r="D3089" s="20" t="s">
        <v>1465</v>
      </c>
      <c r="E3089" s="27">
        <v>2</v>
      </c>
      <c r="F3089" s="27">
        <v>10</v>
      </c>
      <c r="G3089" s="28">
        <v>0.29620000000000002</v>
      </c>
    </row>
    <row r="3090" spans="1:7" ht="22.5" x14ac:dyDescent="0.25">
      <c r="A3090" s="20" t="s">
        <v>620</v>
      </c>
      <c r="B3090" s="20" t="s">
        <v>1499</v>
      </c>
      <c r="C3090" s="20" t="s">
        <v>556</v>
      </c>
      <c r="D3090" s="20" t="s">
        <v>1465</v>
      </c>
      <c r="E3090" s="27">
        <v>6</v>
      </c>
      <c r="F3090" s="27">
        <v>30</v>
      </c>
      <c r="G3090" s="29">
        <v>9.5300000000000003E-3</v>
      </c>
    </row>
    <row r="3091" spans="1:7" ht="22.5" x14ac:dyDescent="0.25">
      <c r="A3091" s="20" t="s">
        <v>620</v>
      </c>
      <c r="B3091" s="20" t="s">
        <v>625</v>
      </c>
      <c r="C3091" s="20" t="s">
        <v>219</v>
      </c>
      <c r="D3091" s="20" t="s">
        <v>1465</v>
      </c>
      <c r="E3091" s="27">
        <v>6</v>
      </c>
      <c r="F3091" s="27">
        <v>30</v>
      </c>
      <c r="G3091" s="29">
        <v>7.1399999999999996E-3</v>
      </c>
    </row>
    <row r="3092" spans="1:7" x14ac:dyDescent="0.25">
      <c r="A3092" s="20" t="s">
        <v>588</v>
      </c>
      <c r="B3092" s="20" t="s">
        <v>133</v>
      </c>
      <c r="C3092" s="20" t="s">
        <v>133</v>
      </c>
      <c r="D3092" s="20" t="s">
        <v>1465</v>
      </c>
      <c r="E3092" s="25">
        <v>0.01</v>
      </c>
      <c r="F3092" s="25">
        <v>0.05</v>
      </c>
      <c r="G3092" s="22"/>
    </row>
    <row r="3093" spans="1:7" x14ac:dyDescent="0.25">
      <c r="A3093" s="20" t="s">
        <v>588</v>
      </c>
      <c r="B3093" s="20" t="s">
        <v>130</v>
      </c>
      <c r="C3093" s="20" t="s">
        <v>130</v>
      </c>
      <c r="D3093" s="20" t="s">
        <v>1505</v>
      </c>
      <c r="E3093" s="26">
        <v>0.64998</v>
      </c>
      <c r="F3093" s="32">
        <v>3.2498999999999998</v>
      </c>
      <c r="G3093" s="22"/>
    </row>
    <row r="3094" spans="1:7" x14ac:dyDescent="0.25">
      <c r="A3094" s="20" t="s">
        <v>588</v>
      </c>
      <c r="B3094" s="20" t="s">
        <v>130</v>
      </c>
      <c r="C3094" s="20" t="s">
        <v>130</v>
      </c>
      <c r="D3094" s="20" t="s">
        <v>1506</v>
      </c>
      <c r="E3094" s="26">
        <v>12.857570000000001</v>
      </c>
      <c r="F3094" s="26">
        <v>64.287850000000006</v>
      </c>
      <c r="G3094" s="22"/>
    </row>
    <row r="3095" spans="1:7" x14ac:dyDescent="0.25">
      <c r="A3095" s="20" t="s">
        <v>588</v>
      </c>
      <c r="B3095" s="20" t="s">
        <v>560</v>
      </c>
      <c r="C3095" s="20" t="s">
        <v>560</v>
      </c>
      <c r="D3095" s="20" t="s">
        <v>1507</v>
      </c>
      <c r="E3095" s="27">
        <v>1</v>
      </c>
      <c r="F3095" s="27">
        <v>20</v>
      </c>
      <c r="G3095" s="22"/>
    </row>
    <row r="3096" spans="1:7" x14ac:dyDescent="0.25">
      <c r="A3096" s="20" t="s">
        <v>585</v>
      </c>
      <c r="B3096" s="20" t="s">
        <v>1441</v>
      </c>
      <c r="C3096" s="20" t="s">
        <v>1441</v>
      </c>
      <c r="D3096" s="20" t="s">
        <v>1508</v>
      </c>
      <c r="E3096" s="27">
        <v>1</v>
      </c>
      <c r="F3096" s="27">
        <v>1</v>
      </c>
      <c r="G3096" s="29">
        <v>17.647379999999998</v>
      </c>
    </row>
    <row r="3097" spans="1:7" x14ac:dyDescent="0.25">
      <c r="A3097" s="20" t="s">
        <v>585</v>
      </c>
      <c r="B3097" s="20" t="s">
        <v>1444</v>
      </c>
      <c r="C3097" s="20" t="s">
        <v>1444</v>
      </c>
      <c r="D3097" s="20" t="s">
        <v>1508</v>
      </c>
      <c r="E3097" s="27">
        <v>1</v>
      </c>
      <c r="F3097" s="27">
        <v>1</v>
      </c>
      <c r="G3097" s="29">
        <v>14.54622</v>
      </c>
    </row>
    <row r="3098" spans="1:7" x14ac:dyDescent="0.25">
      <c r="A3098" s="20" t="s">
        <v>585</v>
      </c>
      <c r="B3098" s="20" t="s">
        <v>1509</v>
      </c>
      <c r="C3098" s="20" t="s">
        <v>1509</v>
      </c>
      <c r="D3098" s="20" t="s">
        <v>1508</v>
      </c>
      <c r="E3098" s="27">
        <v>1</v>
      </c>
      <c r="F3098" s="27">
        <v>1</v>
      </c>
      <c r="G3098" s="29">
        <v>8.8182600000000004</v>
      </c>
    </row>
    <row r="3099" spans="1:7" x14ac:dyDescent="0.25">
      <c r="A3099" s="20" t="s">
        <v>595</v>
      </c>
      <c r="B3099" s="20" t="s">
        <v>1433</v>
      </c>
      <c r="C3099" s="20" t="s">
        <v>1433</v>
      </c>
      <c r="D3099" s="20" t="s">
        <v>1508</v>
      </c>
      <c r="E3099" s="27">
        <v>2</v>
      </c>
      <c r="F3099" s="27">
        <v>2</v>
      </c>
      <c r="G3099" s="28">
        <v>8.9300000000000004E-2</v>
      </c>
    </row>
    <row r="3100" spans="1:7" x14ac:dyDescent="0.25">
      <c r="A3100" s="20" t="s">
        <v>595</v>
      </c>
      <c r="B3100" s="20" t="s">
        <v>1435</v>
      </c>
      <c r="C3100" s="20" t="s">
        <v>1435</v>
      </c>
      <c r="D3100" s="20" t="s">
        <v>1508</v>
      </c>
      <c r="E3100" s="27">
        <v>2</v>
      </c>
      <c r="F3100" s="27">
        <v>2</v>
      </c>
      <c r="G3100" s="29">
        <v>0.43381999999999998</v>
      </c>
    </row>
    <row r="3101" spans="1:7" x14ac:dyDescent="0.25">
      <c r="A3101" s="20" t="s">
        <v>595</v>
      </c>
      <c r="B3101" s="20" t="s">
        <v>1436</v>
      </c>
      <c r="C3101" s="20" t="s">
        <v>1436</v>
      </c>
      <c r="D3101" s="20" t="s">
        <v>1508</v>
      </c>
      <c r="E3101" s="27">
        <v>4</v>
      </c>
      <c r="F3101" s="27">
        <v>4</v>
      </c>
      <c r="G3101" s="29">
        <v>0.15273999999999999</v>
      </c>
    </row>
    <row r="3102" spans="1:7" x14ac:dyDescent="0.25">
      <c r="A3102" s="20" t="s">
        <v>595</v>
      </c>
      <c r="B3102" s="20" t="s">
        <v>1437</v>
      </c>
      <c r="C3102" s="20" t="s">
        <v>1437</v>
      </c>
      <c r="D3102" s="20" t="s">
        <v>1508</v>
      </c>
      <c r="E3102" s="27">
        <v>2</v>
      </c>
      <c r="F3102" s="27">
        <v>2</v>
      </c>
      <c r="G3102" s="29">
        <v>2.30179</v>
      </c>
    </row>
    <row r="3103" spans="1:7" x14ac:dyDescent="0.25">
      <c r="A3103" s="20" t="s">
        <v>595</v>
      </c>
      <c r="B3103" s="20" t="s">
        <v>1438</v>
      </c>
      <c r="C3103" s="20" t="s">
        <v>1438</v>
      </c>
      <c r="D3103" s="20" t="s">
        <v>1508</v>
      </c>
      <c r="E3103" s="27">
        <v>14</v>
      </c>
      <c r="F3103" s="27">
        <v>14</v>
      </c>
      <c r="G3103" s="29">
        <v>0.88885000000000003</v>
      </c>
    </row>
    <row r="3104" spans="1:7" x14ac:dyDescent="0.25">
      <c r="A3104" s="20" t="s">
        <v>595</v>
      </c>
      <c r="B3104" s="20" t="s">
        <v>1439</v>
      </c>
      <c r="C3104" s="20" t="s">
        <v>1439</v>
      </c>
      <c r="D3104" s="20" t="s">
        <v>1508</v>
      </c>
      <c r="E3104" s="27">
        <v>1</v>
      </c>
      <c r="F3104" s="27">
        <v>1</v>
      </c>
      <c r="G3104" s="28">
        <v>2.5922000000000001</v>
      </c>
    </row>
    <row r="3105" spans="1:7" x14ac:dyDescent="0.25">
      <c r="A3105" s="20" t="s">
        <v>595</v>
      </c>
      <c r="B3105" s="20" t="s">
        <v>1510</v>
      </c>
      <c r="C3105" s="20" t="s">
        <v>1510</v>
      </c>
      <c r="D3105" s="20" t="s">
        <v>1508</v>
      </c>
      <c r="E3105" s="27">
        <v>2</v>
      </c>
      <c r="F3105" s="27">
        <v>2</v>
      </c>
      <c r="G3105" s="29">
        <v>0.30803000000000003</v>
      </c>
    </row>
    <row r="3106" spans="1:7" ht="22.5" x14ac:dyDescent="0.25">
      <c r="A3106" s="20" t="s">
        <v>620</v>
      </c>
      <c r="B3106" s="20" t="s">
        <v>622</v>
      </c>
      <c r="C3106" s="20" t="s">
        <v>256</v>
      </c>
      <c r="D3106" s="20" t="s">
        <v>1508</v>
      </c>
      <c r="E3106" s="27">
        <v>51</v>
      </c>
      <c r="F3106" s="27">
        <v>51</v>
      </c>
      <c r="G3106" s="28">
        <v>1.52E-2</v>
      </c>
    </row>
    <row r="3107" spans="1:7" ht="22.5" x14ac:dyDescent="0.25">
      <c r="A3107" s="20" t="s">
        <v>620</v>
      </c>
      <c r="B3107" s="20" t="s">
        <v>625</v>
      </c>
      <c r="C3107" s="20" t="s">
        <v>219</v>
      </c>
      <c r="D3107" s="20" t="s">
        <v>1508</v>
      </c>
      <c r="E3107" s="27">
        <v>51</v>
      </c>
      <c r="F3107" s="27">
        <v>51</v>
      </c>
      <c r="G3107" s="29">
        <v>7.1399999999999996E-3</v>
      </c>
    </row>
    <row r="3108" spans="1:7" x14ac:dyDescent="0.25">
      <c r="A3108" s="20" t="s">
        <v>585</v>
      </c>
      <c r="B3108" s="20" t="s">
        <v>1441</v>
      </c>
      <c r="C3108" s="20" t="s">
        <v>1441</v>
      </c>
      <c r="D3108" s="20" t="s">
        <v>1511</v>
      </c>
      <c r="E3108" s="27">
        <v>1</v>
      </c>
      <c r="F3108" s="27">
        <v>4</v>
      </c>
      <c r="G3108" s="29">
        <v>17.647379999999998</v>
      </c>
    </row>
    <row r="3109" spans="1:7" x14ac:dyDescent="0.25">
      <c r="A3109" s="20" t="s">
        <v>585</v>
      </c>
      <c r="B3109" s="20" t="s">
        <v>1509</v>
      </c>
      <c r="C3109" s="20" t="s">
        <v>1509</v>
      </c>
      <c r="D3109" s="20" t="s">
        <v>1511</v>
      </c>
      <c r="E3109" s="27">
        <v>1</v>
      </c>
      <c r="F3109" s="27">
        <v>4</v>
      </c>
      <c r="G3109" s="29">
        <v>8.8182600000000004</v>
      </c>
    </row>
    <row r="3110" spans="1:7" x14ac:dyDescent="0.25">
      <c r="A3110" s="20" t="s">
        <v>595</v>
      </c>
      <c r="B3110" s="20" t="s">
        <v>1435</v>
      </c>
      <c r="C3110" s="20" t="s">
        <v>1435</v>
      </c>
      <c r="D3110" s="20" t="s">
        <v>1511</v>
      </c>
      <c r="E3110" s="27">
        <v>4</v>
      </c>
      <c r="F3110" s="27">
        <v>16</v>
      </c>
      <c r="G3110" s="29">
        <v>0.43381999999999998</v>
      </c>
    </row>
    <row r="3111" spans="1:7" x14ac:dyDescent="0.25">
      <c r="A3111" s="20" t="s">
        <v>595</v>
      </c>
      <c r="B3111" s="20" t="s">
        <v>1436</v>
      </c>
      <c r="C3111" s="20" t="s">
        <v>1436</v>
      </c>
      <c r="D3111" s="20" t="s">
        <v>1511</v>
      </c>
      <c r="E3111" s="27">
        <v>2</v>
      </c>
      <c r="F3111" s="27">
        <v>8</v>
      </c>
      <c r="G3111" s="29">
        <v>0.15273999999999999</v>
      </c>
    </row>
    <row r="3112" spans="1:7" x14ac:dyDescent="0.25">
      <c r="A3112" s="20" t="s">
        <v>595</v>
      </c>
      <c r="B3112" s="20" t="s">
        <v>1510</v>
      </c>
      <c r="C3112" s="20" t="s">
        <v>1510</v>
      </c>
      <c r="D3112" s="20" t="s">
        <v>1511</v>
      </c>
      <c r="E3112" s="27">
        <v>4</v>
      </c>
      <c r="F3112" s="27">
        <v>16</v>
      </c>
      <c r="G3112" s="29">
        <v>0.30803000000000003</v>
      </c>
    </row>
    <row r="3113" spans="1:7" ht="22.5" x14ac:dyDescent="0.25">
      <c r="A3113" s="20" t="s">
        <v>620</v>
      </c>
      <c r="B3113" s="20" t="s">
        <v>622</v>
      </c>
      <c r="C3113" s="20" t="s">
        <v>256</v>
      </c>
      <c r="D3113" s="20" t="s">
        <v>1511</v>
      </c>
      <c r="E3113" s="27">
        <v>16</v>
      </c>
      <c r="F3113" s="27">
        <v>64</v>
      </c>
      <c r="G3113" s="28">
        <v>1.52E-2</v>
      </c>
    </row>
    <row r="3114" spans="1:7" ht="22.5" x14ac:dyDescent="0.25">
      <c r="A3114" s="20" t="s">
        <v>620</v>
      </c>
      <c r="B3114" s="20" t="s">
        <v>625</v>
      </c>
      <c r="C3114" s="20" t="s">
        <v>219</v>
      </c>
      <c r="D3114" s="20" t="s">
        <v>1511</v>
      </c>
      <c r="E3114" s="27">
        <v>16</v>
      </c>
      <c r="F3114" s="27">
        <v>64</v>
      </c>
      <c r="G3114" s="29">
        <v>7.1399999999999996E-3</v>
      </c>
    </row>
    <row r="3115" spans="1:7" x14ac:dyDescent="0.25">
      <c r="A3115" s="20" t="s">
        <v>588</v>
      </c>
      <c r="B3115" s="20" t="s">
        <v>131</v>
      </c>
      <c r="C3115" s="20" t="s">
        <v>131</v>
      </c>
      <c r="D3115" s="20" t="s">
        <v>1510</v>
      </c>
      <c r="E3115" s="26">
        <v>0.37302999999999997</v>
      </c>
      <c r="F3115" s="26">
        <v>6.7145400000000004</v>
      </c>
      <c r="G3115" s="22"/>
    </row>
    <row r="3116" spans="1:7" x14ac:dyDescent="0.25">
      <c r="A3116" s="20" t="s">
        <v>595</v>
      </c>
      <c r="B3116" s="20" t="s">
        <v>1443</v>
      </c>
      <c r="C3116" s="20" t="s">
        <v>1443</v>
      </c>
      <c r="D3116" s="20" t="s">
        <v>1509</v>
      </c>
      <c r="E3116" s="27">
        <v>5</v>
      </c>
      <c r="F3116" s="27">
        <v>25</v>
      </c>
      <c r="G3116" s="29">
        <v>0.59909000000000001</v>
      </c>
    </row>
    <row r="3117" spans="1:7" x14ac:dyDescent="0.25">
      <c r="A3117" s="20" t="s">
        <v>595</v>
      </c>
      <c r="B3117" s="20" t="s">
        <v>1512</v>
      </c>
      <c r="C3117" s="20" t="s">
        <v>1512</v>
      </c>
      <c r="D3117" s="20" t="s">
        <v>1509</v>
      </c>
      <c r="E3117" s="27">
        <v>1</v>
      </c>
      <c r="F3117" s="27">
        <v>5</v>
      </c>
      <c r="G3117" s="28">
        <v>2.9114</v>
      </c>
    </row>
    <row r="3118" spans="1:7" x14ac:dyDescent="0.25">
      <c r="A3118" s="20" t="s">
        <v>595</v>
      </c>
      <c r="B3118" s="20" t="s">
        <v>1513</v>
      </c>
      <c r="C3118" s="20" t="s">
        <v>1513</v>
      </c>
      <c r="D3118" s="20" t="s">
        <v>1509</v>
      </c>
      <c r="E3118" s="27">
        <v>1</v>
      </c>
      <c r="F3118" s="27">
        <v>5</v>
      </c>
      <c r="G3118" s="28">
        <v>2.9114</v>
      </c>
    </row>
    <row r="3119" spans="1:7" x14ac:dyDescent="0.25">
      <c r="A3119" s="20" t="s">
        <v>588</v>
      </c>
      <c r="B3119" s="20" t="s">
        <v>44</v>
      </c>
      <c r="C3119" s="20" t="s">
        <v>44</v>
      </c>
      <c r="D3119" s="20" t="s">
        <v>1509</v>
      </c>
      <c r="E3119" s="25">
        <v>0.39</v>
      </c>
      <c r="F3119" s="25">
        <v>1.95</v>
      </c>
      <c r="G3119" s="22"/>
    </row>
    <row r="3120" spans="1:7" x14ac:dyDescent="0.25">
      <c r="A3120" s="20" t="s">
        <v>588</v>
      </c>
      <c r="B3120" s="20" t="s">
        <v>67</v>
      </c>
      <c r="C3120" s="20" t="s">
        <v>67</v>
      </c>
      <c r="D3120" s="20" t="s">
        <v>1509</v>
      </c>
      <c r="E3120" s="24">
        <v>0.221</v>
      </c>
      <c r="F3120" s="24">
        <v>1.105</v>
      </c>
      <c r="G3120" s="22"/>
    </row>
    <row r="3121" spans="1:7" x14ac:dyDescent="0.25">
      <c r="A3121" s="20" t="s">
        <v>588</v>
      </c>
      <c r="B3121" s="20" t="s">
        <v>139</v>
      </c>
      <c r="C3121" s="20" t="s">
        <v>139</v>
      </c>
      <c r="D3121" s="20" t="s">
        <v>1509</v>
      </c>
      <c r="E3121" s="24">
        <v>2.5999999999999999E-2</v>
      </c>
      <c r="F3121" s="25">
        <v>0.13</v>
      </c>
      <c r="G3121" s="22"/>
    </row>
    <row r="3122" spans="1:7" x14ac:dyDescent="0.25">
      <c r="A3122" s="20" t="s">
        <v>588</v>
      </c>
      <c r="B3122" s="20" t="s">
        <v>146</v>
      </c>
      <c r="C3122" s="20" t="s">
        <v>146</v>
      </c>
      <c r="D3122" s="20" t="s">
        <v>1509</v>
      </c>
      <c r="E3122" s="25">
        <v>0.13</v>
      </c>
      <c r="F3122" s="25">
        <v>0.65</v>
      </c>
      <c r="G3122" s="22"/>
    </row>
    <row r="3123" spans="1:7" x14ac:dyDescent="0.25">
      <c r="A3123" s="20" t="s">
        <v>588</v>
      </c>
      <c r="B3123" s="20" t="s">
        <v>156</v>
      </c>
      <c r="C3123" s="20" t="s">
        <v>156</v>
      </c>
      <c r="D3123" s="20" t="s">
        <v>1509</v>
      </c>
      <c r="E3123" s="25">
        <v>0.13</v>
      </c>
      <c r="F3123" s="25">
        <v>0.65</v>
      </c>
      <c r="G3123" s="22"/>
    </row>
    <row r="3124" spans="1:7" x14ac:dyDescent="0.25">
      <c r="A3124" s="20" t="s">
        <v>588</v>
      </c>
      <c r="B3124" s="20" t="s">
        <v>200</v>
      </c>
      <c r="C3124" s="20" t="s">
        <v>200</v>
      </c>
      <c r="D3124" s="20" t="s">
        <v>1509</v>
      </c>
      <c r="E3124" s="25">
        <v>0.02</v>
      </c>
      <c r="F3124" s="33">
        <v>0.1</v>
      </c>
      <c r="G3124" s="22"/>
    </row>
    <row r="3125" spans="1:7" x14ac:dyDescent="0.25">
      <c r="A3125" s="20" t="s">
        <v>588</v>
      </c>
      <c r="B3125" s="20" t="s">
        <v>202</v>
      </c>
      <c r="C3125" s="20" t="s">
        <v>202</v>
      </c>
      <c r="D3125" s="20" t="s">
        <v>1509</v>
      </c>
      <c r="E3125" s="25">
        <v>0.26</v>
      </c>
      <c r="F3125" s="33">
        <v>1.3</v>
      </c>
      <c r="G3125" s="22"/>
    </row>
    <row r="3126" spans="1:7" x14ac:dyDescent="0.25">
      <c r="A3126" s="20" t="s">
        <v>588</v>
      </c>
      <c r="B3126" s="20" t="s">
        <v>113</v>
      </c>
      <c r="C3126" s="20" t="s">
        <v>113</v>
      </c>
      <c r="D3126" s="20" t="s">
        <v>1512</v>
      </c>
      <c r="E3126" s="26">
        <v>3.51667</v>
      </c>
      <c r="F3126" s="26">
        <v>17.583349999999999</v>
      </c>
      <c r="G3126" s="22"/>
    </row>
    <row r="3127" spans="1:7" x14ac:dyDescent="0.25">
      <c r="A3127" s="20" t="s">
        <v>588</v>
      </c>
      <c r="B3127" s="20" t="s">
        <v>113</v>
      </c>
      <c r="C3127" s="20" t="s">
        <v>113</v>
      </c>
      <c r="D3127" s="20" t="s">
        <v>1513</v>
      </c>
      <c r="E3127" s="26">
        <v>3.51667</v>
      </c>
      <c r="F3127" s="26">
        <v>17.583349999999999</v>
      </c>
      <c r="G3127" s="22"/>
    </row>
    <row r="3128" spans="1:7" x14ac:dyDescent="0.25">
      <c r="A3128" s="20" t="s">
        <v>585</v>
      </c>
      <c r="B3128" s="20" t="s">
        <v>1514</v>
      </c>
      <c r="C3128" s="20" t="s">
        <v>1514</v>
      </c>
      <c r="D3128" s="20" t="s">
        <v>1515</v>
      </c>
      <c r="E3128" s="27">
        <v>1</v>
      </c>
      <c r="F3128" s="27">
        <v>5</v>
      </c>
      <c r="G3128" s="29">
        <v>9.41831</v>
      </c>
    </row>
    <row r="3129" spans="1:7" x14ac:dyDescent="0.25">
      <c r="A3129" s="20" t="s">
        <v>595</v>
      </c>
      <c r="B3129" s="20" t="s">
        <v>1069</v>
      </c>
      <c r="C3129" s="20" t="s">
        <v>1069</v>
      </c>
      <c r="D3129" s="20" t="s">
        <v>1515</v>
      </c>
      <c r="E3129" s="27">
        <v>6</v>
      </c>
      <c r="F3129" s="27">
        <v>30</v>
      </c>
      <c r="G3129" s="29">
        <v>11.77399</v>
      </c>
    </row>
    <row r="3130" spans="1:7" x14ac:dyDescent="0.25">
      <c r="A3130" s="20" t="s">
        <v>595</v>
      </c>
      <c r="B3130" s="20" t="s">
        <v>1073</v>
      </c>
      <c r="C3130" s="20" t="s">
        <v>1073</v>
      </c>
      <c r="D3130" s="20" t="s">
        <v>1515</v>
      </c>
      <c r="E3130" s="27">
        <v>18</v>
      </c>
      <c r="F3130" s="27">
        <v>90</v>
      </c>
      <c r="G3130" s="29">
        <v>3.7842699999999998</v>
      </c>
    </row>
    <row r="3131" spans="1:7" x14ac:dyDescent="0.25">
      <c r="A3131" s="20" t="s">
        <v>595</v>
      </c>
      <c r="B3131" s="20" t="s">
        <v>1075</v>
      </c>
      <c r="C3131" s="20" t="s">
        <v>1075</v>
      </c>
      <c r="D3131" s="20" t="s">
        <v>1515</v>
      </c>
      <c r="E3131" s="27">
        <v>102</v>
      </c>
      <c r="F3131" s="27">
        <v>510</v>
      </c>
      <c r="G3131" s="29">
        <v>9.3600000000000003E-3</v>
      </c>
    </row>
    <row r="3132" spans="1:7" x14ac:dyDescent="0.25">
      <c r="A3132" s="20" t="s">
        <v>595</v>
      </c>
      <c r="B3132" s="20" t="s">
        <v>1516</v>
      </c>
      <c r="C3132" s="20" t="s">
        <v>1516</v>
      </c>
      <c r="D3132" s="20" t="s">
        <v>1515</v>
      </c>
      <c r="E3132" s="27">
        <v>1</v>
      </c>
      <c r="F3132" s="27">
        <v>5</v>
      </c>
      <c r="G3132" s="29">
        <v>5.16052</v>
      </c>
    </row>
    <row r="3133" spans="1:7" x14ac:dyDescent="0.25">
      <c r="A3133" s="20" t="s">
        <v>595</v>
      </c>
      <c r="B3133" s="20" t="s">
        <v>1517</v>
      </c>
      <c r="C3133" s="20" t="s">
        <v>1517</v>
      </c>
      <c r="D3133" s="20" t="s">
        <v>1515</v>
      </c>
      <c r="E3133" s="27">
        <v>1</v>
      </c>
      <c r="F3133" s="27">
        <v>5</v>
      </c>
      <c r="G3133" s="29">
        <v>5.16052</v>
      </c>
    </row>
    <row r="3134" spans="1:7" x14ac:dyDescent="0.25">
      <c r="A3134" s="20" t="s">
        <v>595</v>
      </c>
      <c r="B3134" s="20" t="s">
        <v>1518</v>
      </c>
      <c r="C3134" s="20" t="s">
        <v>1518</v>
      </c>
      <c r="D3134" s="20" t="s">
        <v>1515</v>
      </c>
      <c r="E3134" s="27">
        <v>1</v>
      </c>
      <c r="F3134" s="27">
        <v>5</v>
      </c>
      <c r="G3134" s="29">
        <v>8.6579200000000007</v>
      </c>
    </row>
    <row r="3135" spans="1:7" x14ac:dyDescent="0.25">
      <c r="A3135" s="20" t="s">
        <v>595</v>
      </c>
      <c r="B3135" s="20" t="s">
        <v>1519</v>
      </c>
      <c r="C3135" s="20" t="s">
        <v>1519</v>
      </c>
      <c r="D3135" s="20" t="s">
        <v>1515</v>
      </c>
      <c r="E3135" s="27">
        <v>2</v>
      </c>
      <c r="F3135" s="27">
        <v>10</v>
      </c>
      <c r="G3135" s="29">
        <v>8.0906500000000001</v>
      </c>
    </row>
    <row r="3136" spans="1:7" x14ac:dyDescent="0.25">
      <c r="A3136" s="20" t="s">
        <v>595</v>
      </c>
      <c r="B3136" s="20" t="s">
        <v>1520</v>
      </c>
      <c r="C3136" s="20" t="s">
        <v>1520</v>
      </c>
      <c r="D3136" s="20" t="s">
        <v>1515</v>
      </c>
      <c r="E3136" s="27">
        <v>1</v>
      </c>
      <c r="F3136" s="27">
        <v>5</v>
      </c>
      <c r="G3136" s="29">
        <v>8.6653199999999995</v>
      </c>
    </row>
    <row r="3137" spans="1:7" x14ac:dyDescent="0.25">
      <c r="A3137" s="20" t="s">
        <v>595</v>
      </c>
      <c r="B3137" s="20" t="s">
        <v>1521</v>
      </c>
      <c r="C3137" s="20" t="s">
        <v>1521</v>
      </c>
      <c r="D3137" s="20" t="s">
        <v>1515</v>
      </c>
      <c r="E3137" s="27">
        <v>2</v>
      </c>
      <c r="F3137" s="27">
        <v>10</v>
      </c>
      <c r="G3137" s="28">
        <v>0.3589</v>
      </c>
    </row>
    <row r="3138" spans="1:7" x14ac:dyDescent="0.25">
      <c r="A3138" s="20" t="s">
        <v>595</v>
      </c>
      <c r="B3138" s="20" t="s">
        <v>1522</v>
      </c>
      <c r="C3138" s="20" t="s">
        <v>1522</v>
      </c>
      <c r="D3138" s="20" t="s">
        <v>1515</v>
      </c>
      <c r="E3138" s="27">
        <v>4</v>
      </c>
      <c r="F3138" s="27">
        <v>20</v>
      </c>
      <c r="G3138" s="29">
        <v>5.1883900000000001</v>
      </c>
    </row>
    <row r="3139" spans="1:7" x14ac:dyDescent="0.25">
      <c r="A3139" s="20" t="s">
        <v>595</v>
      </c>
      <c r="B3139" s="20" t="s">
        <v>1523</v>
      </c>
      <c r="C3139" s="20" t="s">
        <v>1523</v>
      </c>
      <c r="D3139" s="20" t="s">
        <v>1515</v>
      </c>
      <c r="E3139" s="27">
        <v>12</v>
      </c>
      <c r="F3139" s="27">
        <v>60</v>
      </c>
      <c r="G3139" s="29">
        <v>11.57633</v>
      </c>
    </row>
    <row r="3140" spans="1:7" x14ac:dyDescent="0.25">
      <c r="A3140" s="20" t="s">
        <v>595</v>
      </c>
      <c r="B3140" s="20" t="s">
        <v>1524</v>
      </c>
      <c r="C3140" s="20" t="s">
        <v>1524</v>
      </c>
      <c r="D3140" s="20" t="s">
        <v>1515</v>
      </c>
      <c r="E3140" s="27">
        <v>5</v>
      </c>
      <c r="F3140" s="27">
        <v>25</v>
      </c>
      <c r="G3140" s="29">
        <v>3.7966700000000002</v>
      </c>
    </row>
    <row r="3141" spans="1:7" x14ac:dyDescent="0.25">
      <c r="A3141" s="20" t="s">
        <v>595</v>
      </c>
      <c r="B3141" s="20" t="s">
        <v>1525</v>
      </c>
      <c r="C3141" s="20" t="s">
        <v>1525</v>
      </c>
      <c r="D3141" s="20" t="s">
        <v>1515</v>
      </c>
      <c r="E3141" s="27">
        <v>1</v>
      </c>
      <c r="F3141" s="27">
        <v>5</v>
      </c>
      <c r="G3141" s="29">
        <v>7.9070200000000002</v>
      </c>
    </row>
    <row r="3142" spans="1:7" x14ac:dyDescent="0.25">
      <c r="A3142" s="20" t="s">
        <v>595</v>
      </c>
      <c r="B3142" s="20" t="s">
        <v>1526</v>
      </c>
      <c r="C3142" s="20" t="s">
        <v>1526</v>
      </c>
      <c r="D3142" s="20" t="s">
        <v>1515</v>
      </c>
      <c r="E3142" s="27">
        <v>6</v>
      </c>
      <c r="F3142" s="27">
        <v>30</v>
      </c>
      <c r="G3142" s="29">
        <v>6.2724799999999998</v>
      </c>
    </row>
    <row r="3143" spans="1:7" x14ac:dyDescent="0.25">
      <c r="A3143" s="20" t="s">
        <v>595</v>
      </c>
      <c r="B3143" s="20" t="s">
        <v>1527</v>
      </c>
      <c r="C3143" s="20" t="s">
        <v>1527</v>
      </c>
      <c r="D3143" s="20" t="s">
        <v>1515</v>
      </c>
      <c r="E3143" s="27">
        <v>9</v>
      </c>
      <c r="F3143" s="27">
        <v>45</v>
      </c>
      <c r="G3143" s="29">
        <v>1.3864399999999999</v>
      </c>
    </row>
    <row r="3144" spans="1:7" x14ac:dyDescent="0.25">
      <c r="A3144" s="20" t="s">
        <v>595</v>
      </c>
      <c r="B3144" s="20" t="s">
        <v>1528</v>
      </c>
      <c r="C3144" s="20" t="s">
        <v>1528</v>
      </c>
      <c r="D3144" s="20" t="s">
        <v>1515</v>
      </c>
      <c r="E3144" s="27">
        <v>4</v>
      </c>
      <c r="F3144" s="27">
        <v>20</v>
      </c>
      <c r="G3144" s="29">
        <v>2.01166</v>
      </c>
    </row>
    <row r="3145" spans="1:7" x14ac:dyDescent="0.25">
      <c r="A3145" s="20" t="s">
        <v>595</v>
      </c>
      <c r="B3145" s="20" t="s">
        <v>1529</v>
      </c>
      <c r="C3145" s="20" t="s">
        <v>1529</v>
      </c>
      <c r="D3145" s="20" t="s">
        <v>1515</v>
      </c>
      <c r="E3145" s="27">
        <v>16</v>
      </c>
      <c r="F3145" s="27">
        <v>80</v>
      </c>
      <c r="G3145" s="29">
        <v>2.4446300000000001</v>
      </c>
    </row>
    <row r="3146" spans="1:7" x14ac:dyDescent="0.25">
      <c r="A3146" s="20" t="s">
        <v>595</v>
      </c>
      <c r="B3146" s="20" t="s">
        <v>1530</v>
      </c>
      <c r="C3146" s="20" t="s">
        <v>1530</v>
      </c>
      <c r="D3146" s="20" t="s">
        <v>1515</v>
      </c>
      <c r="E3146" s="27">
        <v>8</v>
      </c>
      <c r="F3146" s="27">
        <v>40</v>
      </c>
      <c r="G3146" s="29">
        <v>1.3610599999999999</v>
      </c>
    </row>
    <row r="3147" spans="1:7" x14ac:dyDescent="0.25">
      <c r="A3147" s="20" t="s">
        <v>595</v>
      </c>
      <c r="B3147" s="20" t="s">
        <v>1531</v>
      </c>
      <c r="C3147" s="20" t="s">
        <v>1531</v>
      </c>
      <c r="D3147" s="20" t="s">
        <v>1515</v>
      </c>
      <c r="E3147" s="27">
        <v>6</v>
      </c>
      <c r="F3147" s="27">
        <v>30</v>
      </c>
      <c r="G3147" s="29">
        <v>1.6739200000000001</v>
      </c>
    </row>
    <row r="3148" spans="1:7" x14ac:dyDescent="0.25">
      <c r="A3148" s="20" t="s">
        <v>595</v>
      </c>
      <c r="B3148" s="20" t="s">
        <v>1532</v>
      </c>
      <c r="C3148" s="20" t="s">
        <v>1532</v>
      </c>
      <c r="D3148" s="20" t="s">
        <v>1515</v>
      </c>
      <c r="E3148" s="27">
        <v>1</v>
      </c>
      <c r="F3148" s="27">
        <v>5</v>
      </c>
      <c r="G3148" s="29">
        <v>6.6656599999999999</v>
      </c>
    </row>
    <row r="3149" spans="1:7" x14ac:dyDescent="0.25">
      <c r="A3149" s="20" t="s">
        <v>595</v>
      </c>
      <c r="B3149" s="20" t="s">
        <v>1533</v>
      </c>
      <c r="C3149" s="20" t="s">
        <v>1533</v>
      </c>
      <c r="D3149" s="20" t="s">
        <v>1515</v>
      </c>
      <c r="E3149" s="27">
        <v>1</v>
      </c>
      <c r="F3149" s="27">
        <v>5</v>
      </c>
      <c r="G3149" s="28">
        <v>2.9213</v>
      </c>
    </row>
    <row r="3150" spans="1:7" x14ac:dyDescent="0.25">
      <c r="A3150" s="20" t="s">
        <v>595</v>
      </c>
      <c r="B3150" s="20" t="s">
        <v>1534</v>
      </c>
      <c r="C3150" s="20" t="s">
        <v>1534</v>
      </c>
      <c r="D3150" s="20" t="s">
        <v>1515</v>
      </c>
      <c r="E3150" s="27">
        <v>2</v>
      </c>
      <c r="F3150" s="27">
        <v>10</v>
      </c>
      <c r="G3150" s="29">
        <v>0.17945</v>
      </c>
    </row>
    <row r="3151" spans="1:7" x14ac:dyDescent="0.25">
      <c r="A3151" s="20" t="s">
        <v>595</v>
      </c>
      <c r="B3151" s="20" t="s">
        <v>1535</v>
      </c>
      <c r="C3151" s="20" t="s">
        <v>1535</v>
      </c>
      <c r="D3151" s="20" t="s">
        <v>1515</v>
      </c>
      <c r="E3151" s="27">
        <v>2</v>
      </c>
      <c r="F3151" s="27">
        <v>10</v>
      </c>
      <c r="G3151" s="29">
        <v>1.9051800000000001</v>
      </c>
    </row>
    <row r="3152" spans="1:7" x14ac:dyDescent="0.25">
      <c r="A3152" s="20" t="s">
        <v>595</v>
      </c>
      <c r="B3152" s="20" t="s">
        <v>1536</v>
      </c>
      <c r="C3152" s="20" t="s">
        <v>1536</v>
      </c>
      <c r="D3152" s="20" t="s">
        <v>1515</v>
      </c>
      <c r="E3152" s="27">
        <v>1</v>
      </c>
      <c r="F3152" s="27">
        <v>5</v>
      </c>
      <c r="G3152" s="29">
        <v>6.8507800000000003</v>
      </c>
    </row>
    <row r="3153" spans="1:7" x14ac:dyDescent="0.25">
      <c r="A3153" s="20" t="s">
        <v>595</v>
      </c>
      <c r="B3153" s="20" t="s">
        <v>1537</v>
      </c>
      <c r="C3153" s="20" t="s">
        <v>1537</v>
      </c>
      <c r="D3153" s="20" t="s">
        <v>1515</v>
      </c>
      <c r="E3153" s="27">
        <v>3</v>
      </c>
      <c r="F3153" s="27">
        <v>15</v>
      </c>
      <c r="G3153" s="28">
        <v>8.9300000000000004E-2</v>
      </c>
    </row>
    <row r="3154" spans="1:7" x14ac:dyDescent="0.25">
      <c r="A3154" s="20" t="s">
        <v>595</v>
      </c>
      <c r="B3154" s="20" t="s">
        <v>1538</v>
      </c>
      <c r="C3154" s="20" t="s">
        <v>1538</v>
      </c>
      <c r="D3154" s="20" t="s">
        <v>1515</v>
      </c>
      <c r="E3154" s="27">
        <v>1</v>
      </c>
      <c r="F3154" s="27">
        <v>5</v>
      </c>
      <c r="G3154" s="29">
        <v>6.7675799999999997</v>
      </c>
    </row>
    <row r="3155" spans="1:7" x14ac:dyDescent="0.25">
      <c r="A3155" s="20" t="s">
        <v>595</v>
      </c>
      <c r="B3155" s="20" t="s">
        <v>1539</v>
      </c>
      <c r="C3155" s="20" t="s">
        <v>1539</v>
      </c>
      <c r="D3155" s="20" t="s">
        <v>1515</v>
      </c>
      <c r="E3155" s="27">
        <v>6</v>
      </c>
      <c r="F3155" s="27">
        <v>30</v>
      </c>
      <c r="G3155" s="29">
        <v>2.6830699999999998</v>
      </c>
    </row>
    <row r="3156" spans="1:7" x14ac:dyDescent="0.25">
      <c r="A3156" s="20" t="s">
        <v>595</v>
      </c>
      <c r="B3156" s="20" t="s">
        <v>1540</v>
      </c>
      <c r="C3156" s="20" t="s">
        <v>1540</v>
      </c>
      <c r="D3156" s="20" t="s">
        <v>1515</v>
      </c>
      <c r="E3156" s="27">
        <v>3</v>
      </c>
      <c r="F3156" s="27">
        <v>15</v>
      </c>
      <c r="G3156" s="29">
        <v>0.10934000000000001</v>
      </c>
    </row>
    <row r="3157" spans="1:7" x14ac:dyDescent="0.25">
      <c r="A3157" s="20" t="s">
        <v>595</v>
      </c>
      <c r="B3157" s="20" t="s">
        <v>1541</v>
      </c>
      <c r="C3157" s="20" t="s">
        <v>1541</v>
      </c>
      <c r="D3157" s="20" t="s">
        <v>1515</v>
      </c>
      <c r="E3157" s="27">
        <v>3</v>
      </c>
      <c r="F3157" s="27">
        <v>15</v>
      </c>
      <c r="G3157" s="29">
        <v>6.6170000000000007E-2</v>
      </c>
    </row>
    <row r="3158" spans="1:7" x14ac:dyDescent="0.25">
      <c r="A3158" s="20" t="s">
        <v>595</v>
      </c>
      <c r="B3158" s="20" t="s">
        <v>1542</v>
      </c>
      <c r="C3158" s="20" t="s">
        <v>1542</v>
      </c>
      <c r="D3158" s="20" t="s">
        <v>1515</v>
      </c>
      <c r="E3158" s="27">
        <v>1</v>
      </c>
      <c r="F3158" s="27">
        <v>5</v>
      </c>
      <c r="G3158" s="29">
        <v>1.5971900000000001</v>
      </c>
    </row>
    <row r="3159" spans="1:7" x14ac:dyDescent="0.25">
      <c r="A3159" s="20" t="s">
        <v>595</v>
      </c>
      <c r="B3159" s="20" t="s">
        <v>1543</v>
      </c>
      <c r="C3159" s="20" t="s">
        <v>1543</v>
      </c>
      <c r="D3159" s="20" t="s">
        <v>1515</v>
      </c>
      <c r="E3159" s="27">
        <v>10</v>
      </c>
      <c r="F3159" s="27">
        <v>50</v>
      </c>
      <c r="G3159" s="28">
        <v>7.0004</v>
      </c>
    </row>
    <row r="3160" spans="1:7" x14ac:dyDescent="0.25">
      <c r="A3160" s="20" t="s">
        <v>595</v>
      </c>
      <c r="B3160" s="20" t="s">
        <v>1544</v>
      </c>
      <c r="C3160" s="20" t="s">
        <v>1544</v>
      </c>
      <c r="D3160" s="20" t="s">
        <v>1515</v>
      </c>
      <c r="E3160" s="27">
        <v>20</v>
      </c>
      <c r="F3160" s="27">
        <v>100</v>
      </c>
      <c r="G3160" s="29">
        <v>1.04867</v>
      </c>
    </row>
    <row r="3161" spans="1:7" x14ac:dyDescent="0.25">
      <c r="A3161" s="20" t="s">
        <v>595</v>
      </c>
      <c r="B3161" s="20" t="s">
        <v>1545</v>
      </c>
      <c r="C3161" s="20" t="s">
        <v>1545</v>
      </c>
      <c r="D3161" s="20" t="s">
        <v>1515</v>
      </c>
      <c r="E3161" s="27">
        <v>10</v>
      </c>
      <c r="F3161" s="27">
        <v>50</v>
      </c>
      <c r="G3161" s="28">
        <v>3.0847000000000002</v>
      </c>
    </row>
    <row r="3162" spans="1:7" x14ac:dyDescent="0.25">
      <c r="A3162" s="20" t="s">
        <v>595</v>
      </c>
      <c r="B3162" s="20" t="s">
        <v>1546</v>
      </c>
      <c r="C3162" s="20" t="s">
        <v>1546</v>
      </c>
      <c r="D3162" s="20" t="s">
        <v>1515</v>
      </c>
      <c r="E3162" s="27">
        <v>1</v>
      </c>
      <c r="F3162" s="27">
        <v>5</v>
      </c>
      <c r="G3162" s="29">
        <v>1.8851599999999999</v>
      </c>
    </row>
    <row r="3163" spans="1:7" ht="22.5" x14ac:dyDescent="0.25">
      <c r="A3163" s="20" t="s">
        <v>620</v>
      </c>
      <c r="B3163" s="20" t="s">
        <v>1547</v>
      </c>
      <c r="C3163" s="20" t="s">
        <v>551</v>
      </c>
      <c r="D3163" s="20" t="s">
        <v>1515</v>
      </c>
      <c r="E3163" s="27">
        <v>100</v>
      </c>
      <c r="F3163" s="27">
        <v>500</v>
      </c>
      <c r="G3163" s="29">
        <v>2.9950000000000001E-2</v>
      </c>
    </row>
    <row r="3164" spans="1:7" ht="22.5" x14ac:dyDescent="0.25">
      <c r="A3164" s="20" t="s">
        <v>620</v>
      </c>
      <c r="B3164" s="20" t="s">
        <v>1290</v>
      </c>
      <c r="C3164" s="20" t="s">
        <v>261</v>
      </c>
      <c r="D3164" s="20" t="s">
        <v>1515</v>
      </c>
      <c r="E3164" s="27">
        <v>84</v>
      </c>
      <c r="F3164" s="27">
        <v>420</v>
      </c>
      <c r="G3164" s="28">
        <v>3.1600000000000003E-2</v>
      </c>
    </row>
    <row r="3165" spans="1:7" ht="22.5" x14ac:dyDescent="0.25">
      <c r="A3165" s="20" t="s">
        <v>620</v>
      </c>
      <c r="B3165" s="20" t="s">
        <v>623</v>
      </c>
      <c r="C3165" s="20" t="s">
        <v>285</v>
      </c>
      <c r="D3165" s="20" t="s">
        <v>1515</v>
      </c>
      <c r="E3165" s="27">
        <v>107</v>
      </c>
      <c r="F3165" s="27">
        <v>535</v>
      </c>
      <c r="G3165" s="28">
        <v>1.67E-2</v>
      </c>
    </row>
    <row r="3166" spans="1:7" ht="22.5" x14ac:dyDescent="0.25">
      <c r="A3166" s="20" t="s">
        <v>620</v>
      </c>
      <c r="B3166" s="20" t="s">
        <v>1548</v>
      </c>
      <c r="C3166" s="20" t="s">
        <v>555</v>
      </c>
      <c r="D3166" s="20" t="s">
        <v>1515</v>
      </c>
      <c r="E3166" s="27">
        <v>8</v>
      </c>
      <c r="F3166" s="27">
        <v>40</v>
      </c>
      <c r="G3166" s="29">
        <v>2.1180000000000001E-2</v>
      </c>
    </row>
    <row r="3167" spans="1:7" ht="22.5" x14ac:dyDescent="0.25">
      <c r="A3167" s="20" t="s">
        <v>620</v>
      </c>
      <c r="B3167" s="20" t="s">
        <v>1066</v>
      </c>
      <c r="C3167" s="20" t="s">
        <v>284</v>
      </c>
      <c r="D3167" s="20" t="s">
        <v>1515</v>
      </c>
      <c r="E3167" s="27">
        <v>102</v>
      </c>
      <c r="F3167" s="27">
        <v>510</v>
      </c>
      <c r="G3167" s="28">
        <v>2.53E-2</v>
      </c>
    </row>
    <row r="3168" spans="1:7" ht="22.5" x14ac:dyDescent="0.25">
      <c r="A3168" s="20" t="s">
        <v>620</v>
      </c>
      <c r="B3168" s="20" t="s">
        <v>766</v>
      </c>
      <c r="C3168" s="20" t="s">
        <v>250</v>
      </c>
      <c r="D3168" s="20" t="s">
        <v>1515</v>
      </c>
      <c r="E3168" s="27">
        <v>192</v>
      </c>
      <c r="F3168" s="27">
        <v>960</v>
      </c>
      <c r="G3168" s="28">
        <v>1.1299999999999999E-2</v>
      </c>
    </row>
    <row r="3169" spans="1:7" ht="22.5" x14ac:dyDescent="0.25">
      <c r="A3169" s="20" t="s">
        <v>620</v>
      </c>
      <c r="B3169" s="20" t="s">
        <v>625</v>
      </c>
      <c r="C3169" s="20" t="s">
        <v>219</v>
      </c>
      <c r="D3169" s="20" t="s">
        <v>1515</v>
      </c>
      <c r="E3169" s="27">
        <v>209</v>
      </c>
      <c r="F3169" s="30">
        <v>1045</v>
      </c>
      <c r="G3169" s="29">
        <v>7.1399999999999996E-3</v>
      </c>
    </row>
    <row r="3170" spans="1:7" ht="22.5" x14ac:dyDescent="0.25">
      <c r="A3170" s="20" t="s">
        <v>620</v>
      </c>
      <c r="B3170" s="20" t="s">
        <v>768</v>
      </c>
      <c r="C3170" s="20" t="s">
        <v>248</v>
      </c>
      <c r="D3170" s="20" t="s">
        <v>1515</v>
      </c>
      <c r="E3170" s="27">
        <v>24</v>
      </c>
      <c r="F3170" s="27">
        <v>120</v>
      </c>
      <c r="G3170" s="29">
        <v>3.4399999999999999E-3</v>
      </c>
    </row>
    <row r="3171" spans="1:7" x14ac:dyDescent="0.25">
      <c r="A3171" s="20" t="s">
        <v>588</v>
      </c>
      <c r="B3171" s="20" t="s">
        <v>131</v>
      </c>
      <c r="C3171" s="20" t="s">
        <v>131</v>
      </c>
      <c r="D3171" s="20" t="s">
        <v>1516</v>
      </c>
      <c r="E3171" s="26">
        <v>6.2550699999999999</v>
      </c>
      <c r="F3171" s="26">
        <v>31.27535</v>
      </c>
      <c r="G3171" s="22"/>
    </row>
    <row r="3172" spans="1:7" x14ac:dyDescent="0.25">
      <c r="A3172" s="20" t="s">
        <v>588</v>
      </c>
      <c r="B3172" s="20" t="s">
        <v>131</v>
      </c>
      <c r="C3172" s="20" t="s">
        <v>131</v>
      </c>
      <c r="D3172" s="20" t="s">
        <v>1517</v>
      </c>
      <c r="E3172" s="26">
        <v>6.2550699999999999</v>
      </c>
      <c r="F3172" s="26">
        <v>31.27535</v>
      </c>
      <c r="G3172" s="22"/>
    </row>
    <row r="3173" spans="1:7" x14ac:dyDescent="0.25">
      <c r="A3173" s="20" t="s">
        <v>588</v>
      </c>
      <c r="B3173" s="20" t="s">
        <v>131</v>
      </c>
      <c r="C3173" s="20" t="s">
        <v>131</v>
      </c>
      <c r="D3173" s="20" t="s">
        <v>1518</v>
      </c>
      <c r="E3173" s="26">
        <v>10.37707</v>
      </c>
      <c r="F3173" s="26">
        <v>51.885350000000003</v>
      </c>
      <c r="G3173" s="22"/>
    </row>
    <row r="3174" spans="1:7" x14ac:dyDescent="0.25">
      <c r="A3174" s="20" t="s">
        <v>588</v>
      </c>
      <c r="B3174" s="20" t="s">
        <v>131</v>
      </c>
      <c r="C3174" s="20" t="s">
        <v>131</v>
      </c>
      <c r="D3174" s="20" t="s">
        <v>1519</v>
      </c>
      <c r="E3174" s="32">
        <v>9.6734000000000009</v>
      </c>
      <c r="F3174" s="24">
        <v>96.733999999999995</v>
      </c>
      <c r="G3174" s="22"/>
    </row>
    <row r="3175" spans="1:7" x14ac:dyDescent="0.25">
      <c r="A3175" s="20" t="s">
        <v>588</v>
      </c>
      <c r="B3175" s="20" t="s">
        <v>131</v>
      </c>
      <c r="C3175" s="20" t="s">
        <v>131</v>
      </c>
      <c r="D3175" s="20" t="s">
        <v>1520</v>
      </c>
      <c r="E3175" s="26">
        <v>10.37707</v>
      </c>
      <c r="F3175" s="26">
        <v>51.885350000000003</v>
      </c>
      <c r="G3175" s="22"/>
    </row>
    <row r="3176" spans="1:7" x14ac:dyDescent="0.25">
      <c r="A3176" s="20" t="s">
        <v>588</v>
      </c>
      <c r="B3176" s="20" t="s">
        <v>131</v>
      </c>
      <c r="C3176" s="20" t="s">
        <v>131</v>
      </c>
      <c r="D3176" s="20" t="s">
        <v>1521</v>
      </c>
      <c r="E3176" s="26">
        <v>0.45216000000000001</v>
      </c>
      <c r="F3176" s="32">
        <v>4.5216000000000003</v>
      </c>
      <c r="G3176" s="22"/>
    </row>
    <row r="3177" spans="1:7" x14ac:dyDescent="0.25">
      <c r="A3177" s="20" t="s">
        <v>588</v>
      </c>
      <c r="B3177" s="20" t="s">
        <v>130</v>
      </c>
      <c r="C3177" s="20" t="s">
        <v>130</v>
      </c>
      <c r="D3177" s="20" t="s">
        <v>1522</v>
      </c>
      <c r="E3177" s="26">
        <v>9.1383399999999995</v>
      </c>
      <c r="F3177" s="32">
        <v>182.76679999999999</v>
      </c>
      <c r="G3177" s="22"/>
    </row>
    <row r="3178" spans="1:7" x14ac:dyDescent="0.25">
      <c r="A3178" s="20" t="s">
        <v>588</v>
      </c>
      <c r="B3178" s="20" t="s">
        <v>130</v>
      </c>
      <c r="C3178" s="20" t="s">
        <v>130</v>
      </c>
      <c r="D3178" s="20" t="s">
        <v>1523</v>
      </c>
      <c r="E3178" s="32">
        <v>20.439699999999998</v>
      </c>
      <c r="F3178" s="40">
        <v>1226.3820000000001</v>
      </c>
      <c r="G3178" s="22"/>
    </row>
    <row r="3179" spans="1:7" x14ac:dyDescent="0.25">
      <c r="A3179" s="20" t="s">
        <v>588</v>
      </c>
      <c r="B3179" s="20" t="s">
        <v>130</v>
      </c>
      <c r="C3179" s="20" t="s">
        <v>130</v>
      </c>
      <c r="D3179" s="20" t="s">
        <v>1524</v>
      </c>
      <c r="E3179" s="26">
        <v>6.35379</v>
      </c>
      <c r="F3179" s="26">
        <v>158.84475</v>
      </c>
      <c r="G3179" s="22"/>
    </row>
    <row r="3180" spans="1:7" x14ac:dyDescent="0.25">
      <c r="A3180" s="20" t="s">
        <v>588</v>
      </c>
      <c r="B3180" s="20" t="s">
        <v>130</v>
      </c>
      <c r="C3180" s="20" t="s">
        <v>130</v>
      </c>
      <c r="D3180" s="20" t="s">
        <v>1525</v>
      </c>
      <c r="E3180" s="26">
        <v>13.95903</v>
      </c>
      <c r="F3180" s="26">
        <v>69.795150000000007</v>
      </c>
      <c r="G3180" s="22"/>
    </row>
    <row r="3181" spans="1:7" x14ac:dyDescent="0.25">
      <c r="A3181" s="20" t="s">
        <v>588</v>
      </c>
      <c r="B3181" s="20" t="s">
        <v>131</v>
      </c>
      <c r="C3181" s="20" t="s">
        <v>131</v>
      </c>
      <c r="D3181" s="20" t="s">
        <v>1526</v>
      </c>
      <c r="E3181" s="26">
        <v>13.24264</v>
      </c>
      <c r="F3181" s="32">
        <v>397.2792</v>
      </c>
      <c r="G3181" s="22"/>
    </row>
    <row r="3182" spans="1:7" x14ac:dyDescent="0.25">
      <c r="A3182" s="20" t="s">
        <v>588</v>
      </c>
      <c r="B3182" s="20" t="s">
        <v>131</v>
      </c>
      <c r="C3182" s="20" t="s">
        <v>131</v>
      </c>
      <c r="D3182" s="20" t="s">
        <v>1527</v>
      </c>
      <c r="E3182" s="26">
        <v>1.6735599999999999</v>
      </c>
      <c r="F3182" s="32">
        <v>75.310199999999995</v>
      </c>
      <c r="G3182" s="22"/>
    </row>
    <row r="3183" spans="1:7" x14ac:dyDescent="0.25">
      <c r="A3183" s="20" t="s">
        <v>588</v>
      </c>
      <c r="B3183" s="20" t="s">
        <v>131</v>
      </c>
      <c r="C3183" s="20" t="s">
        <v>131</v>
      </c>
      <c r="D3183" s="20" t="s">
        <v>1528</v>
      </c>
      <c r="E3183" s="26">
        <v>2.5019399999999998</v>
      </c>
      <c r="F3183" s="32">
        <v>50.038800000000002</v>
      </c>
      <c r="G3183" s="22"/>
    </row>
    <row r="3184" spans="1:7" x14ac:dyDescent="0.25">
      <c r="A3184" s="20" t="s">
        <v>588</v>
      </c>
      <c r="B3184" s="20" t="s">
        <v>131</v>
      </c>
      <c r="C3184" s="20" t="s">
        <v>131</v>
      </c>
      <c r="D3184" s="20" t="s">
        <v>1529</v>
      </c>
      <c r="E3184" s="32">
        <v>2.9885000000000002</v>
      </c>
      <c r="F3184" s="25">
        <v>239.08</v>
      </c>
      <c r="G3184" s="22"/>
    </row>
    <row r="3185" spans="1:7" x14ac:dyDescent="0.25">
      <c r="A3185" s="20" t="s">
        <v>588</v>
      </c>
      <c r="B3185" s="20" t="s">
        <v>131</v>
      </c>
      <c r="C3185" s="20" t="s">
        <v>131</v>
      </c>
      <c r="D3185" s="20" t="s">
        <v>1530</v>
      </c>
      <c r="E3185" s="26">
        <v>1.6426099999999999</v>
      </c>
      <c r="F3185" s="32">
        <v>65.704400000000007</v>
      </c>
      <c r="G3185" s="22"/>
    </row>
    <row r="3186" spans="1:7" x14ac:dyDescent="0.25">
      <c r="A3186" s="20" t="s">
        <v>588</v>
      </c>
      <c r="B3186" s="20" t="s">
        <v>131</v>
      </c>
      <c r="C3186" s="20" t="s">
        <v>131</v>
      </c>
      <c r="D3186" s="20" t="s">
        <v>1531</v>
      </c>
      <c r="E3186" s="26">
        <v>1.9858899999999999</v>
      </c>
      <c r="F3186" s="32">
        <v>59.576700000000002</v>
      </c>
      <c r="G3186" s="22"/>
    </row>
    <row r="3187" spans="1:7" x14ac:dyDescent="0.25">
      <c r="A3187" s="20" t="s">
        <v>588</v>
      </c>
      <c r="B3187" s="20" t="s">
        <v>131</v>
      </c>
      <c r="C3187" s="20" t="s">
        <v>131</v>
      </c>
      <c r="D3187" s="20" t="s">
        <v>1532</v>
      </c>
      <c r="E3187" s="26">
        <v>7.99899</v>
      </c>
      <c r="F3187" s="26">
        <v>39.994950000000003</v>
      </c>
      <c r="G3187" s="22"/>
    </row>
    <row r="3188" spans="1:7" x14ac:dyDescent="0.25">
      <c r="A3188" s="20" t="s">
        <v>588</v>
      </c>
      <c r="B3188" s="20" t="s">
        <v>131</v>
      </c>
      <c r="C3188" s="20" t="s">
        <v>131</v>
      </c>
      <c r="D3188" s="20" t="s">
        <v>1533</v>
      </c>
      <c r="E3188" s="26">
        <v>3.4819100000000001</v>
      </c>
      <c r="F3188" s="26">
        <v>17.409549999999999</v>
      </c>
      <c r="G3188" s="22"/>
    </row>
    <row r="3189" spans="1:7" x14ac:dyDescent="0.25">
      <c r="A3189" s="20" t="s">
        <v>588</v>
      </c>
      <c r="B3189" s="20" t="s">
        <v>131</v>
      </c>
      <c r="C3189" s="20" t="s">
        <v>131</v>
      </c>
      <c r="D3189" s="20" t="s">
        <v>1534</v>
      </c>
      <c r="E3189" s="26">
        <v>0.22608</v>
      </c>
      <c r="F3189" s="32">
        <v>2.2608000000000001</v>
      </c>
      <c r="G3189" s="22"/>
    </row>
    <row r="3190" spans="1:7" x14ac:dyDescent="0.25">
      <c r="A3190" s="20" t="s">
        <v>588</v>
      </c>
      <c r="B3190" s="20" t="s">
        <v>131</v>
      </c>
      <c r="C3190" s="20" t="s">
        <v>131</v>
      </c>
      <c r="D3190" s="20" t="s">
        <v>1535</v>
      </c>
      <c r="E3190" s="32">
        <v>2.2755000000000001</v>
      </c>
      <c r="F3190" s="24">
        <v>22.754999999999999</v>
      </c>
      <c r="G3190" s="22"/>
    </row>
    <row r="3191" spans="1:7" x14ac:dyDescent="0.25">
      <c r="A3191" s="20" t="s">
        <v>588</v>
      </c>
      <c r="B3191" s="20" t="s">
        <v>131</v>
      </c>
      <c r="C3191" s="20" t="s">
        <v>131</v>
      </c>
      <c r="D3191" s="20" t="s">
        <v>1536</v>
      </c>
      <c r="E3191" s="26">
        <v>12.017569999999999</v>
      </c>
      <c r="F3191" s="26">
        <v>60.087850000000003</v>
      </c>
      <c r="G3191" s="22"/>
    </row>
    <row r="3192" spans="1:7" x14ac:dyDescent="0.25">
      <c r="A3192" s="20" t="s">
        <v>588</v>
      </c>
      <c r="B3192" s="20" t="s">
        <v>131</v>
      </c>
      <c r="C3192" s="20" t="s">
        <v>131</v>
      </c>
      <c r="D3192" s="20" t="s">
        <v>1537</v>
      </c>
      <c r="E3192" s="26">
        <v>0.11276</v>
      </c>
      <c r="F3192" s="32">
        <v>1.6914</v>
      </c>
      <c r="G3192" s="22"/>
    </row>
    <row r="3193" spans="1:7" x14ac:dyDescent="0.25">
      <c r="A3193" s="20" t="s">
        <v>588</v>
      </c>
      <c r="B3193" s="20" t="s">
        <v>131</v>
      </c>
      <c r="C3193" s="20" t="s">
        <v>131</v>
      </c>
      <c r="D3193" s="20" t="s">
        <v>1538</v>
      </c>
      <c r="E3193" s="26">
        <v>12.017569999999999</v>
      </c>
      <c r="F3193" s="26">
        <v>60.087850000000003</v>
      </c>
      <c r="G3193" s="22"/>
    </row>
    <row r="3194" spans="1:7" x14ac:dyDescent="0.25">
      <c r="A3194" s="20" t="s">
        <v>588</v>
      </c>
      <c r="B3194" s="20" t="s">
        <v>131</v>
      </c>
      <c r="C3194" s="20" t="s">
        <v>131</v>
      </c>
      <c r="D3194" s="20" t="s">
        <v>1539</v>
      </c>
      <c r="E3194" s="26">
        <v>3.2121400000000002</v>
      </c>
      <c r="F3194" s="32">
        <v>96.364199999999997</v>
      </c>
      <c r="G3194" s="22"/>
    </row>
    <row r="3195" spans="1:7" x14ac:dyDescent="0.25">
      <c r="A3195" s="20" t="s">
        <v>588</v>
      </c>
      <c r="B3195" s="20" t="s">
        <v>131</v>
      </c>
      <c r="C3195" s="20" t="s">
        <v>131</v>
      </c>
      <c r="D3195" s="20" t="s">
        <v>1540</v>
      </c>
      <c r="E3195" s="26">
        <v>0.13564999999999999</v>
      </c>
      <c r="F3195" s="26">
        <v>2.0347499999999998</v>
      </c>
      <c r="G3195" s="22"/>
    </row>
    <row r="3196" spans="1:7" x14ac:dyDescent="0.25">
      <c r="A3196" s="20" t="s">
        <v>588</v>
      </c>
      <c r="B3196" s="20" t="s">
        <v>131</v>
      </c>
      <c r="C3196" s="20" t="s">
        <v>131</v>
      </c>
      <c r="D3196" s="20" t="s">
        <v>1541</v>
      </c>
      <c r="E3196" s="26">
        <v>8.4779999999999994E-2</v>
      </c>
      <c r="F3196" s="32">
        <v>1.2717000000000001</v>
      </c>
      <c r="G3196" s="22"/>
    </row>
    <row r="3197" spans="1:7" x14ac:dyDescent="0.25">
      <c r="A3197" s="20" t="s">
        <v>588</v>
      </c>
      <c r="B3197" s="20" t="s">
        <v>131</v>
      </c>
      <c r="C3197" s="20" t="s">
        <v>131</v>
      </c>
      <c r="D3197" s="20" t="s">
        <v>1542</v>
      </c>
      <c r="E3197" s="26">
        <v>1.9126399999999999</v>
      </c>
      <c r="F3197" s="32">
        <v>9.5632000000000001</v>
      </c>
      <c r="G3197" s="22"/>
    </row>
    <row r="3198" spans="1:7" x14ac:dyDescent="0.25">
      <c r="A3198" s="20" t="s">
        <v>588</v>
      </c>
      <c r="B3198" s="20" t="s">
        <v>131</v>
      </c>
      <c r="C3198" s="20" t="s">
        <v>131</v>
      </c>
      <c r="D3198" s="20" t="s">
        <v>1543</v>
      </c>
      <c r="E3198" s="26">
        <v>8.5193700000000003</v>
      </c>
      <c r="F3198" s="32">
        <v>425.96850000000001</v>
      </c>
      <c r="G3198" s="22"/>
    </row>
    <row r="3199" spans="1:7" x14ac:dyDescent="0.25">
      <c r="A3199" s="20" t="s">
        <v>588</v>
      </c>
      <c r="B3199" s="20" t="s">
        <v>131</v>
      </c>
      <c r="C3199" s="20" t="s">
        <v>131</v>
      </c>
      <c r="D3199" s="20" t="s">
        <v>1544</v>
      </c>
      <c r="E3199" s="26">
        <v>1.2971299999999999</v>
      </c>
      <c r="F3199" s="24">
        <v>129.71299999999999</v>
      </c>
      <c r="G3199" s="22"/>
    </row>
    <row r="3200" spans="1:7" x14ac:dyDescent="0.25">
      <c r="A3200" s="20" t="s">
        <v>588</v>
      </c>
      <c r="B3200" s="20" t="s">
        <v>131</v>
      </c>
      <c r="C3200" s="20" t="s">
        <v>131</v>
      </c>
      <c r="D3200" s="20" t="s">
        <v>1545</v>
      </c>
      <c r="E3200" s="24">
        <v>7.2960000000000003</v>
      </c>
      <c r="F3200" s="33">
        <v>364.8</v>
      </c>
      <c r="G3200" s="22"/>
    </row>
    <row r="3201" spans="1:7" x14ac:dyDescent="0.25">
      <c r="A3201" s="20" t="s">
        <v>588</v>
      </c>
      <c r="B3201" s="20" t="s">
        <v>131</v>
      </c>
      <c r="C3201" s="20" t="s">
        <v>131</v>
      </c>
      <c r="D3201" s="20" t="s">
        <v>1546</v>
      </c>
      <c r="E3201" s="26">
        <v>2.2890600000000001</v>
      </c>
      <c r="F3201" s="32">
        <v>11.4453</v>
      </c>
      <c r="G3201" s="22"/>
    </row>
    <row r="3202" spans="1:7" x14ac:dyDescent="0.25">
      <c r="A3202" s="20" t="s">
        <v>595</v>
      </c>
      <c r="B3202" s="20" t="s">
        <v>1507</v>
      </c>
      <c r="C3202" s="20" t="s">
        <v>1507</v>
      </c>
      <c r="D3202" s="20" t="s">
        <v>1514</v>
      </c>
      <c r="E3202" s="27">
        <v>2</v>
      </c>
      <c r="F3202" s="27">
        <v>10</v>
      </c>
      <c r="G3202" s="28">
        <v>0.29620000000000002</v>
      </c>
    </row>
    <row r="3203" spans="1:7" x14ac:dyDescent="0.25">
      <c r="A3203" s="20" t="s">
        <v>595</v>
      </c>
      <c r="B3203" s="20" t="s">
        <v>1549</v>
      </c>
      <c r="C3203" s="20" t="s">
        <v>1549</v>
      </c>
      <c r="D3203" s="20" t="s">
        <v>1514</v>
      </c>
      <c r="E3203" s="27">
        <v>1</v>
      </c>
      <c r="F3203" s="27">
        <v>5</v>
      </c>
      <c r="G3203" s="28">
        <v>8.2085000000000008</v>
      </c>
    </row>
    <row r="3204" spans="1:7" x14ac:dyDescent="0.25">
      <c r="A3204" s="20" t="s">
        <v>595</v>
      </c>
      <c r="B3204" s="20" t="s">
        <v>1550</v>
      </c>
      <c r="C3204" s="20" t="s">
        <v>1550</v>
      </c>
      <c r="D3204" s="20" t="s">
        <v>1514</v>
      </c>
      <c r="E3204" s="27">
        <v>1</v>
      </c>
      <c r="F3204" s="27">
        <v>5</v>
      </c>
      <c r="G3204" s="29">
        <v>0.47558</v>
      </c>
    </row>
    <row r="3205" spans="1:7" ht="22.5" x14ac:dyDescent="0.25">
      <c r="A3205" s="20" t="s">
        <v>620</v>
      </c>
      <c r="B3205" s="20" t="s">
        <v>1001</v>
      </c>
      <c r="C3205" s="20" t="s">
        <v>274</v>
      </c>
      <c r="D3205" s="20" t="s">
        <v>1514</v>
      </c>
      <c r="E3205" s="27">
        <v>10</v>
      </c>
      <c r="F3205" s="27">
        <v>50</v>
      </c>
      <c r="G3205" s="29">
        <v>9.5300000000000003E-3</v>
      </c>
    </row>
    <row r="3206" spans="1:7" ht="22.5" x14ac:dyDescent="0.25">
      <c r="A3206" s="20" t="s">
        <v>620</v>
      </c>
      <c r="B3206" s="20" t="s">
        <v>625</v>
      </c>
      <c r="C3206" s="20" t="s">
        <v>219</v>
      </c>
      <c r="D3206" s="20" t="s">
        <v>1514</v>
      </c>
      <c r="E3206" s="27">
        <v>10</v>
      </c>
      <c r="F3206" s="27">
        <v>50</v>
      </c>
      <c r="G3206" s="29">
        <v>7.1399999999999996E-3</v>
      </c>
    </row>
    <row r="3207" spans="1:7" x14ac:dyDescent="0.25">
      <c r="A3207" s="20" t="s">
        <v>588</v>
      </c>
      <c r="B3207" s="20" t="s">
        <v>130</v>
      </c>
      <c r="C3207" s="20" t="s">
        <v>130</v>
      </c>
      <c r="D3207" s="20" t="s">
        <v>1549</v>
      </c>
      <c r="E3207" s="26">
        <v>12.312239999999999</v>
      </c>
      <c r="F3207" s="32">
        <v>61.561199999999999</v>
      </c>
      <c r="G3207" s="22"/>
    </row>
    <row r="3208" spans="1:7" x14ac:dyDescent="0.25">
      <c r="A3208" s="20" t="s">
        <v>588</v>
      </c>
      <c r="B3208" s="20" t="s">
        <v>130</v>
      </c>
      <c r="C3208" s="20" t="s">
        <v>130</v>
      </c>
      <c r="D3208" s="20" t="s">
        <v>1550</v>
      </c>
      <c r="E3208" s="26">
        <v>0.56332000000000004</v>
      </c>
      <c r="F3208" s="32">
        <v>2.8166000000000002</v>
      </c>
      <c r="G3208" s="22"/>
    </row>
    <row r="3209" spans="1:7" x14ac:dyDescent="0.25">
      <c r="A3209" s="20" t="s">
        <v>595</v>
      </c>
      <c r="B3209" s="20" t="s">
        <v>1551</v>
      </c>
      <c r="C3209" s="20" t="s">
        <v>1551</v>
      </c>
      <c r="D3209" s="20" t="s">
        <v>602</v>
      </c>
      <c r="E3209" s="27">
        <v>1</v>
      </c>
      <c r="F3209" s="27">
        <v>10</v>
      </c>
      <c r="G3209" s="29">
        <v>24.058730000000001</v>
      </c>
    </row>
    <row r="3210" spans="1:7" x14ac:dyDescent="0.25">
      <c r="A3210" s="20" t="s">
        <v>595</v>
      </c>
      <c r="B3210" s="20" t="s">
        <v>1552</v>
      </c>
      <c r="C3210" s="20" t="s">
        <v>1552</v>
      </c>
      <c r="D3210" s="20" t="s">
        <v>602</v>
      </c>
      <c r="E3210" s="27">
        <v>1</v>
      </c>
      <c r="F3210" s="27">
        <v>10</v>
      </c>
      <c r="G3210" s="28">
        <v>2.2751000000000001</v>
      </c>
    </row>
    <row r="3211" spans="1:7" x14ac:dyDescent="0.25">
      <c r="A3211" s="20" t="s">
        <v>588</v>
      </c>
      <c r="B3211" s="20" t="s">
        <v>44</v>
      </c>
      <c r="C3211" s="20" t="s">
        <v>44</v>
      </c>
      <c r="D3211" s="20" t="s">
        <v>602</v>
      </c>
      <c r="E3211" s="24">
        <v>0.57599999999999996</v>
      </c>
      <c r="F3211" s="25">
        <v>5.76</v>
      </c>
      <c r="G3211" s="22"/>
    </row>
    <row r="3212" spans="1:7" x14ac:dyDescent="0.25">
      <c r="A3212" s="20" t="s">
        <v>588</v>
      </c>
      <c r="B3212" s="20" t="s">
        <v>67</v>
      </c>
      <c r="C3212" s="20" t="s">
        <v>67</v>
      </c>
      <c r="D3212" s="20" t="s">
        <v>602</v>
      </c>
      <c r="E3212" s="24">
        <v>0.16500000000000001</v>
      </c>
      <c r="F3212" s="25">
        <v>1.65</v>
      </c>
      <c r="G3212" s="22"/>
    </row>
    <row r="3213" spans="1:7" x14ac:dyDescent="0.25">
      <c r="A3213" s="20" t="s">
        <v>588</v>
      </c>
      <c r="B3213" s="20" t="s">
        <v>139</v>
      </c>
      <c r="C3213" s="20" t="s">
        <v>139</v>
      </c>
      <c r="D3213" s="20" t="s">
        <v>602</v>
      </c>
      <c r="E3213" s="24">
        <v>5.8000000000000003E-2</v>
      </c>
      <c r="F3213" s="25">
        <v>0.57999999999999996</v>
      </c>
      <c r="G3213" s="22"/>
    </row>
    <row r="3214" spans="1:7" x14ac:dyDescent="0.25">
      <c r="A3214" s="20" t="s">
        <v>588</v>
      </c>
      <c r="B3214" s="20" t="s">
        <v>146</v>
      </c>
      <c r="C3214" s="20" t="s">
        <v>146</v>
      </c>
      <c r="D3214" s="20" t="s">
        <v>602</v>
      </c>
      <c r="E3214" s="24">
        <v>9.7000000000000003E-2</v>
      </c>
      <c r="F3214" s="25">
        <v>0.97</v>
      </c>
      <c r="G3214" s="22"/>
    </row>
    <row r="3215" spans="1:7" x14ac:dyDescent="0.25">
      <c r="A3215" s="20" t="s">
        <v>588</v>
      </c>
      <c r="B3215" s="20" t="s">
        <v>156</v>
      </c>
      <c r="C3215" s="20" t="s">
        <v>156</v>
      </c>
      <c r="D3215" s="20" t="s">
        <v>602</v>
      </c>
      <c r="E3215" s="24">
        <v>0.35299999999999998</v>
      </c>
      <c r="F3215" s="25">
        <v>3.53</v>
      </c>
      <c r="G3215" s="22"/>
    </row>
    <row r="3216" spans="1:7" x14ac:dyDescent="0.25">
      <c r="A3216" s="20" t="s">
        <v>588</v>
      </c>
      <c r="B3216" s="20" t="s">
        <v>202</v>
      </c>
      <c r="C3216" s="20" t="s">
        <v>202</v>
      </c>
      <c r="D3216" s="20" t="s">
        <v>602</v>
      </c>
      <c r="E3216" s="33">
        <v>0.4</v>
      </c>
      <c r="F3216" s="27">
        <v>4</v>
      </c>
      <c r="G3216" s="22"/>
    </row>
    <row r="3217" spans="1:7" x14ac:dyDescent="0.25">
      <c r="A3217" s="20" t="s">
        <v>588</v>
      </c>
      <c r="B3217" s="20" t="s">
        <v>559</v>
      </c>
      <c r="C3217" s="20" t="s">
        <v>559</v>
      </c>
      <c r="D3217" s="20" t="s">
        <v>1551</v>
      </c>
      <c r="E3217" s="33">
        <v>23.9</v>
      </c>
      <c r="F3217" s="27">
        <v>239</v>
      </c>
      <c r="G3217" s="22"/>
    </row>
    <row r="3218" spans="1:7" x14ac:dyDescent="0.25">
      <c r="A3218" s="20" t="s">
        <v>588</v>
      </c>
      <c r="B3218" s="20" t="s">
        <v>110</v>
      </c>
      <c r="C3218" s="20" t="s">
        <v>110</v>
      </c>
      <c r="D3218" s="20" t="s">
        <v>1552</v>
      </c>
      <c r="E3218" s="25">
        <v>2.35</v>
      </c>
      <c r="F3218" s="33">
        <v>23.5</v>
      </c>
      <c r="G3218" s="22"/>
    </row>
    <row r="3219" spans="1:7" x14ac:dyDescent="0.25">
      <c r="A3219" s="20" t="s">
        <v>595</v>
      </c>
      <c r="B3219" s="20" t="s">
        <v>1553</v>
      </c>
      <c r="C3219" s="20" t="s">
        <v>1553</v>
      </c>
      <c r="D3219" s="20" t="s">
        <v>603</v>
      </c>
      <c r="E3219" s="27">
        <v>1</v>
      </c>
      <c r="F3219" s="27">
        <v>50</v>
      </c>
      <c r="G3219" s="29">
        <v>24.87866</v>
      </c>
    </row>
    <row r="3220" spans="1:7" x14ac:dyDescent="0.25">
      <c r="A3220" s="20" t="s">
        <v>595</v>
      </c>
      <c r="B3220" s="20" t="s">
        <v>1554</v>
      </c>
      <c r="C3220" s="20" t="s">
        <v>1554</v>
      </c>
      <c r="D3220" s="20" t="s">
        <v>603</v>
      </c>
      <c r="E3220" s="27">
        <v>1</v>
      </c>
      <c r="F3220" s="27">
        <v>50</v>
      </c>
      <c r="G3220" s="29">
        <v>3.1639599999999999</v>
      </c>
    </row>
    <row r="3221" spans="1:7" ht="22.5" x14ac:dyDescent="0.25">
      <c r="A3221" s="20" t="s">
        <v>620</v>
      </c>
      <c r="B3221" s="20" t="s">
        <v>621</v>
      </c>
      <c r="C3221" s="20" t="s">
        <v>552</v>
      </c>
      <c r="D3221" s="20" t="s">
        <v>603</v>
      </c>
      <c r="E3221" s="27">
        <v>27</v>
      </c>
      <c r="F3221" s="30">
        <v>1350</v>
      </c>
      <c r="G3221" s="28">
        <v>4.6600000000000003E-2</v>
      </c>
    </row>
    <row r="3222" spans="1:7" ht="22.5" x14ac:dyDescent="0.25">
      <c r="A3222" s="20" t="s">
        <v>620</v>
      </c>
      <c r="B3222" s="20" t="s">
        <v>623</v>
      </c>
      <c r="C3222" s="20" t="s">
        <v>285</v>
      </c>
      <c r="D3222" s="20" t="s">
        <v>603</v>
      </c>
      <c r="E3222" s="27">
        <v>24</v>
      </c>
      <c r="F3222" s="30">
        <v>1200</v>
      </c>
      <c r="G3222" s="28">
        <v>1.67E-2</v>
      </c>
    </row>
    <row r="3223" spans="1:7" ht="22.5" x14ac:dyDescent="0.25">
      <c r="A3223" s="20" t="s">
        <v>620</v>
      </c>
      <c r="B3223" s="20" t="s">
        <v>624</v>
      </c>
      <c r="C3223" s="20" t="s">
        <v>557</v>
      </c>
      <c r="D3223" s="20" t="s">
        <v>603</v>
      </c>
      <c r="E3223" s="27">
        <v>27</v>
      </c>
      <c r="F3223" s="30">
        <v>1350</v>
      </c>
      <c r="G3223" s="28">
        <v>1.9900000000000001E-2</v>
      </c>
    </row>
    <row r="3224" spans="1:7" ht="22.5" x14ac:dyDescent="0.25">
      <c r="A3224" s="20" t="s">
        <v>620</v>
      </c>
      <c r="B3224" s="20" t="s">
        <v>625</v>
      </c>
      <c r="C3224" s="20" t="s">
        <v>219</v>
      </c>
      <c r="D3224" s="20" t="s">
        <v>603</v>
      </c>
      <c r="E3224" s="27">
        <v>24</v>
      </c>
      <c r="F3224" s="30">
        <v>1200</v>
      </c>
      <c r="G3224" s="29">
        <v>7.1399999999999996E-3</v>
      </c>
    </row>
    <row r="3225" spans="1:7" x14ac:dyDescent="0.25">
      <c r="A3225" s="20" t="s">
        <v>588</v>
      </c>
      <c r="B3225" s="20" t="s">
        <v>559</v>
      </c>
      <c r="C3225" s="20" t="s">
        <v>559</v>
      </c>
      <c r="D3225" s="20" t="s">
        <v>1553</v>
      </c>
      <c r="E3225" s="33">
        <v>30.1</v>
      </c>
      <c r="F3225" s="30">
        <v>1505</v>
      </c>
      <c r="G3225" s="22"/>
    </row>
    <row r="3226" spans="1:7" x14ac:dyDescent="0.25">
      <c r="A3226" s="20" t="s">
        <v>588</v>
      </c>
      <c r="B3226" s="20" t="s">
        <v>559</v>
      </c>
      <c r="C3226" s="20" t="s">
        <v>559</v>
      </c>
      <c r="D3226" s="20" t="s">
        <v>1554</v>
      </c>
      <c r="E3226" s="25">
        <v>3.85</v>
      </c>
      <c r="F3226" s="33">
        <v>192.5</v>
      </c>
      <c r="G3226" s="22"/>
    </row>
    <row r="3227" spans="1:7" x14ac:dyDescent="0.25">
      <c r="A3227" s="20" t="s">
        <v>595</v>
      </c>
      <c r="B3227" s="20" t="s">
        <v>1555</v>
      </c>
      <c r="C3227" s="20" t="s">
        <v>1555</v>
      </c>
      <c r="D3227" s="20" t="s">
        <v>604</v>
      </c>
      <c r="E3227" s="27">
        <v>1</v>
      </c>
      <c r="F3227" s="27">
        <v>4</v>
      </c>
      <c r="G3227" s="29">
        <v>2.5577899999999998</v>
      </c>
    </row>
    <row r="3228" spans="1:7" x14ac:dyDescent="0.25">
      <c r="A3228" s="20" t="s">
        <v>595</v>
      </c>
      <c r="B3228" s="20" t="s">
        <v>1556</v>
      </c>
      <c r="C3228" s="20" t="s">
        <v>1556</v>
      </c>
      <c r="D3228" s="20" t="s">
        <v>604</v>
      </c>
      <c r="E3228" s="27">
        <v>1</v>
      </c>
      <c r="F3228" s="27">
        <v>4</v>
      </c>
      <c r="G3228" s="29">
        <v>2.4001399999999999</v>
      </c>
    </row>
    <row r="3229" spans="1:7" x14ac:dyDescent="0.25">
      <c r="A3229" s="20" t="s">
        <v>588</v>
      </c>
      <c r="B3229" s="20" t="s">
        <v>65</v>
      </c>
      <c r="C3229" s="20" t="s">
        <v>65</v>
      </c>
      <c r="D3229" s="20" t="s">
        <v>604</v>
      </c>
      <c r="E3229" s="24">
        <v>6.0000000000000001E-3</v>
      </c>
      <c r="F3229" s="24">
        <v>2.4E-2</v>
      </c>
      <c r="G3229" s="22"/>
    </row>
    <row r="3230" spans="1:7" x14ac:dyDescent="0.25">
      <c r="A3230" s="20" t="s">
        <v>588</v>
      </c>
      <c r="B3230" s="20" t="s">
        <v>67</v>
      </c>
      <c r="C3230" s="20" t="s">
        <v>67</v>
      </c>
      <c r="D3230" s="20" t="s">
        <v>604</v>
      </c>
      <c r="E3230" s="24">
        <v>8.7999999999999995E-2</v>
      </c>
      <c r="F3230" s="24">
        <v>0.35199999999999998</v>
      </c>
      <c r="G3230" s="22"/>
    </row>
    <row r="3231" spans="1:7" x14ac:dyDescent="0.25">
      <c r="A3231" s="20" t="s">
        <v>588</v>
      </c>
      <c r="B3231" s="20" t="s">
        <v>146</v>
      </c>
      <c r="C3231" s="20" t="s">
        <v>146</v>
      </c>
      <c r="D3231" s="20" t="s">
        <v>604</v>
      </c>
      <c r="E3231" s="24">
        <v>5.5E-2</v>
      </c>
      <c r="F3231" s="25">
        <v>0.22</v>
      </c>
      <c r="G3231" s="22"/>
    </row>
    <row r="3232" spans="1:7" x14ac:dyDescent="0.25">
      <c r="A3232" s="20" t="s">
        <v>588</v>
      </c>
      <c r="B3232" s="20" t="s">
        <v>155</v>
      </c>
      <c r="C3232" s="20" t="s">
        <v>155</v>
      </c>
      <c r="D3232" s="20" t="s">
        <v>604</v>
      </c>
      <c r="E3232" s="24">
        <v>5.0000000000000001E-3</v>
      </c>
      <c r="F3232" s="25">
        <v>0.02</v>
      </c>
      <c r="G3232" s="22"/>
    </row>
    <row r="3233" spans="1:7" x14ac:dyDescent="0.25">
      <c r="A3233" s="20" t="s">
        <v>588</v>
      </c>
      <c r="B3233" s="20" t="s">
        <v>156</v>
      </c>
      <c r="C3233" s="20" t="s">
        <v>156</v>
      </c>
      <c r="D3233" s="20" t="s">
        <v>604</v>
      </c>
      <c r="E3233" s="24">
        <v>1E-3</v>
      </c>
      <c r="F3233" s="24">
        <v>4.0000000000000001E-3</v>
      </c>
      <c r="G3233" s="22"/>
    </row>
    <row r="3234" spans="1:7" x14ac:dyDescent="0.25">
      <c r="A3234" s="20" t="s">
        <v>588</v>
      </c>
      <c r="B3234" s="20" t="s">
        <v>200</v>
      </c>
      <c r="C3234" s="20" t="s">
        <v>200</v>
      </c>
      <c r="D3234" s="20" t="s">
        <v>604</v>
      </c>
      <c r="E3234" s="24">
        <v>5.0000000000000001E-3</v>
      </c>
      <c r="F3234" s="25">
        <v>0.02</v>
      </c>
      <c r="G3234" s="22"/>
    </row>
    <row r="3235" spans="1:7" x14ac:dyDescent="0.25">
      <c r="A3235" s="20" t="s">
        <v>588</v>
      </c>
      <c r="B3235" s="20" t="s">
        <v>215</v>
      </c>
      <c r="C3235" s="20" t="s">
        <v>215</v>
      </c>
      <c r="D3235" s="20" t="s">
        <v>604</v>
      </c>
      <c r="E3235" s="25">
        <v>0.01</v>
      </c>
      <c r="F3235" s="25">
        <v>0.04</v>
      </c>
      <c r="G3235" s="22"/>
    </row>
    <row r="3236" spans="1:7" x14ac:dyDescent="0.25">
      <c r="A3236" s="20" t="s">
        <v>588</v>
      </c>
      <c r="B3236" s="20" t="s">
        <v>120</v>
      </c>
      <c r="C3236" s="20" t="s">
        <v>120</v>
      </c>
      <c r="D3236" s="20" t="s">
        <v>1555</v>
      </c>
      <c r="E3236" s="33">
        <v>2.5</v>
      </c>
      <c r="F3236" s="27">
        <v>10</v>
      </c>
      <c r="G3236" s="22"/>
    </row>
    <row r="3237" spans="1:7" x14ac:dyDescent="0.25">
      <c r="A3237" s="20" t="s">
        <v>588</v>
      </c>
      <c r="B3237" s="20" t="s">
        <v>120</v>
      </c>
      <c r="C3237" s="20" t="s">
        <v>120</v>
      </c>
      <c r="D3237" s="20" t="s">
        <v>1556</v>
      </c>
      <c r="E3237" s="33">
        <v>2.9</v>
      </c>
      <c r="F3237" s="33">
        <v>11.6</v>
      </c>
      <c r="G3237" s="22"/>
    </row>
    <row r="3238" spans="1:7" x14ac:dyDescent="0.25">
      <c r="A3238" s="20" t="s">
        <v>588</v>
      </c>
      <c r="B3238" s="20" t="s">
        <v>83</v>
      </c>
      <c r="C3238" s="20" t="s">
        <v>83</v>
      </c>
      <c r="D3238" s="20" t="s">
        <v>1461</v>
      </c>
      <c r="E3238" s="24">
        <v>0.14199999999999999</v>
      </c>
      <c r="F3238" s="24">
        <v>0.14199999999999999</v>
      </c>
      <c r="G3238" s="22"/>
    </row>
    <row r="3239" spans="1:7" x14ac:dyDescent="0.25">
      <c r="A3239" s="20" t="s">
        <v>588</v>
      </c>
      <c r="B3239" s="20" t="s">
        <v>176</v>
      </c>
      <c r="C3239" s="20" t="s">
        <v>176</v>
      </c>
      <c r="D3239" s="20" t="s">
        <v>1462</v>
      </c>
      <c r="E3239" s="25">
        <v>0.15</v>
      </c>
      <c r="F3239" s="25">
        <v>0.15</v>
      </c>
      <c r="G3239" s="22"/>
    </row>
    <row r="3240" spans="1:7" x14ac:dyDescent="0.25">
      <c r="A3240" s="20" t="s">
        <v>588</v>
      </c>
      <c r="B3240" s="20" t="s">
        <v>182</v>
      </c>
      <c r="C3240" s="20" t="s">
        <v>182</v>
      </c>
      <c r="D3240" s="20" t="s">
        <v>1463</v>
      </c>
      <c r="E3240" s="24">
        <v>0.78400000000000003</v>
      </c>
      <c r="F3240" s="24">
        <v>2.3519999999999999</v>
      </c>
      <c r="G3240" s="22"/>
    </row>
    <row r="3241" spans="1:7" x14ac:dyDescent="0.25">
      <c r="A3241" s="20" t="s">
        <v>585</v>
      </c>
      <c r="B3241" s="20" t="s">
        <v>755</v>
      </c>
      <c r="C3241" s="20" t="s">
        <v>755</v>
      </c>
      <c r="D3241" s="20" t="s">
        <v>1937</v>
      </c>
      <c r="E3241" s="27">
        <v>1</v>
      </c>
      <c r="F3241" s="27">
        <v>1</v>
      </c>
      <c r="G3241" s="28">
        <v>821.68140000000005</v>
      </c>
    </row>
    <row r="3242" spans="1:7" x14ac:dyDescent="0.25">
      <c r="A3242" s="20" t="s">
        <v>585</v>
      </c>
      <c r="B3242" s="20" t="s">
        <v>815</v>
      </c>
      <c r="C3242" s="20" t="s">
        <v>815</v>
      </c>
      <c r="D3242" s="20" t="s">
        <v>1937</v>
      </c>
      <c r="E3242" s="27">
        <v>9</v>
      </c>
      <c r="F3242" s="27">
        <v>9</v>
      </c>
      <c r="G3242" s="29">
        <v>119.38369</v>
      </c>
    </row>
    <row r="3243" spans="1:7" x14ac:dyDescent="0.25">
      <c r="A3243" s="20" t="s">
        <v>585</v>
      </c>
      <c r="B3243" s="20" t="s">
        <v>825</v>
      </c>
      <c r="C3243" s="20" t="s">
        <v>825</v>
      </c>
      <c r="D3243" s="20" t="s">
        <v>1937</v>
      </c>
      <c r="E3243" s="27">
        <v>2</v>
      </c>
      <c r="F3243" s="27">
        <v>2</v>
      </c>
      <c r="G3243" s="29">
        <v>37.626739999999998</v>
      </c>
    </row>
    <row r="3244" spans="1:7" x14ac:dyDescent="0.25">
      <c r="A3244" s="20" t="s">
        <v>585</v>
      </c>
      <c r="B3244" s="20" t="s">
        <v>835</v>
      </c>
      <c r="C3244" s="20" t="s">
        <v>835</v>
      </c>
      <c r="D3244" s="20" t="s">
        <v>1937</v>
      </c>
      <c r="E3244" s="27">
        <v>1</v>
      </c>
      <c r="F3244" s="27">
        <v>1</v>
      </c>
      <c r="G3244" s="29">
        <v>11.251849999999999</v>
      </c>
    </row>
    <row r="3245" spans="1:7" x14ac:dyDescent="0.25">
      <c r="A3245" s="20" t="s">
        <v>585</v>
      </c>
      <c r="B3245" s="20" t="s">
        <v>838</v>
      </c>
      <c r="C3245" s="20" t="s">
        <v>838</v>
      </c>
      <c r="D3245" s="20" t="s">
        <v>1937</v>
      </c>
      <c r="E3245" s="27">
        <v>1</v>
      </c>
      <c r="F3245" s="27">
        <v>1</v>
      </c>
      <c r="G3245" s="29">
        <v>21.31429</v>
      </c>
    </row>
    <row r="3246" spans="1:7" x14ac:dyDescent="0.25">
      <c r="A3246" s="20" t="s">
        <v>585</v>
      </c>
      <c r="B3246" s="20" t="s">
        <v>843</v>
      </c>
      <c r="C3246" s="20" t="s">
        <v>843</v>
      </c>
      <c r="D3246" s="20" t="s">
        <v>1937</v>
      </c>
      <c r="E3246" s="27">
        <v>2</v>
      </c>
      <c r="F3246" s="27">
        <v>2</v>
      </c>
      <c r="G3246" s="29">
        <v>8.9472199999999997</v>
      </c>
    </row>
    <row r="3247" spans="1:7" x14ac:dyDescent="0.25">
      <c r="A3247" s="20" t="s">
        <v>585</v>
      </c>
      <c r="B3247" s="20" t="s">
        <v>968</v>
      </c>
      <c r="C3247" s="20" t="s">
        <v>968</v>
      </c>
      <c r="D3247" s="20" t="s">
        <v>1937</v>
      </c>
      <c r="E3247" s="27">
        <v>1</v>
      </c>
      <c r="F3247" s="27">
        <v>1</v>
      </c>
      <c r="G3247" s="23">
        <v>1770.0199600000001</v>
      </c>
    </row>
    <row r="3248" spans="1:7" x14ac:dyDescent="0.25">
      <c r="A3248" s="20" t="s">
        <v>585</v>
      </c>
      <c r="B3248" s="20" t="s">
        <v>1023</v>
      </c>
      <c r="C3248" s="20" t="s">
        <v>1023</v>
      </c>
      <c r="D3248" s="20" t="s">
        <v>1937</v>
      </c>
      <c r="E3248" s="27">
        <v>4</v>
      </c>
      <c r="F3248" s="27">
        <v>4</v>
      </c>
      <c r="G3248" s="36">
        <v>1749.5352</v>
      </c>
    </row>
    <row r="3249" spans="1:7" x14ac:dyDescent="0.25">
      <c r="A3249" s="20" t="s">
        <v>585</v>
      </c>
      <c r="B3249" s="20" t="s">
        <v>1042</v>
      </c>
      <c r="C3249" s="20" t="s">
        <v>1042</v>
      </c>
      <c r="D3249" s="20" t="s">
        <v>1937</v>
      </c>
      <c r="E3249" s="27">
        <v>1</v>
      </c>
      <c r="F3249" s="27">
        <v>1</v>
      </c>
      <c r="G3249" s="23">
        <v>1766.3793700000001</v>
      </c>
    </row>
    <row r="3250" spans="1:7" x14ac:dyDescent="0.25">
      <c r="A3250" s="20" t="s">
        <v>585</v>
      </c>
      <c r="B3250" s="20" t="s">
        <v>1056</v>
      </c>
      <c r="C3250" s="20" t="s">
        <v>1056</v>
      </c>
      <c r="D3250" s="20" t="s">
        <v>1937</v>
      </c>
      <c r="E3250" s="27">
        <v>1</v>
      </c>
      <c r="F3250" s="27">
        <v>1</v>
      </c>
      <c r="G3250" s="29">
        <v>707.89751000000001</v>
      </c>
    </row>
    <row r="3251" spans="1:7" x14ac:dyDescent="0.25">
      <c r="A3251" s="20" t="s">
        <v>585</v>
      </c>
      <c r="B3251" s="20" t="s">
        <v>1078</v>
      </c>
      <c r="C3251" s="20" t="s">
        <v>1078</v>
      </c>
      <c r="D3251" s="20" t="s">
        <v>1937</v>
      </c>
      <c r="E3251" s="27">
        <v>1</v>
      </c>
      <c r="F3251" s="27">
        <v>1</v>
      </c>
      <c r="G3251" s="29">
        <v>753.74256000000003</v>
      </c>
    </row>
    <row r="3252" spans="1:7" x14ac:dyDescent="0.25">
      <c r="A3252" s="20" t="s">
        <v>585</v>
      </c>
      <c r="B3252" s="20" t="s">
        <v>1156</v>
      </c>
      <c r="C3252" s="20" t="s">
        <v>1156</v>
      </c>
      <c r="D3252" s="20" t="s">
        <v>1937</v>
      </c>
      <c r="E3252" s="27">
        <v>7</v>
      </c>
      <c r="F3252" s="27">
        <v>7</v>
      </c>
      <c r="G3252" s="29">
        <v>180.69044</v>
      </c>
    </row>
    <row r="3253" spans="1:7" x14ac:dyDescent="0.25">
      <c r="A3253" s="20" t="s">
        <v>585</v>
      </c>
      <c r="B3253" s="20" t="s">
        <v>1203</v>
      </c>
      <c r="C3253" s="20" t="s">
        <v>1203</v>
      </c>
      <c r="D3253" s="20" t="s">
        <v>1937</v>
      </c>
      <c r="E3253" s="27">
        <v>2</v>
      </c>
      <c r="F3253" s="27">
        <v>2</v>
      </c>
      <c r="G3253" s="28">
        <v>455.83390000000003</v>
      </c>
    </row>
    <row r="3254" spans="1:7" x14ac:dyDescent="0.25">
      <c r="A3254" s="20" t="s">
        <v>585</v>
      </c>
      <c r="B3254" s="20" t="s">
        <v>1293</v>
      </c>
      <c r="C3254" s="20" t="s">
        <v>1293</v>
      </c>
      <c r="D3254" s="20" t="s">
        <v>1937</v>
      </c>
      <c r="E3254" s="27">
        <v>1</v>
      </c>
      <c r="F3254" s="27">
        <v>1</v>
      </c>
      <c r="G3254" s="29">
        <v>525.84067000000005</v>
      </c>
    </row>
    <row r="3255" spans="1:7" x14ac:dyDescent="0.25">
      <c r="A3255" s="20" t="s">
        <v>585</v>
      </c>
      <c r="B3255" s="20" t="s">
        <v>1319</v>
      </c>
      <c r="C3255" s="20" t="s">
        <v>1319</v>
      </c>
      <c r="D3255" s="20" t="s">
        <v>1937</v>
      </c>
      <c r="E3255" s="27">
        <v>5</v>
      </c>
      <c r="F3255" s="27">
        <v>5</v>
      </c>
      <c r="G3255" s="28">
        <v>542.70910000000003</v>
      </c>
    </row>
    <row r="3256" spans="1:7" x14ac:dyDescent="0.25">
      <c r="A3256" s="20" t="s">
        <v>585</v>
      </c>
      <c r="B3256" s="20" t="s">
        <v>1418</v>
      </c>
      <c r="C3256" s="20" t="s">
        <v>1418</v>
      </c>
      <c r="D3256" s="20" t="s">
        <v>1937</v>
      </c>
      <c r="E3256" s="27">
        <v>1</v>
      </c>
      <c r="F3256" s="27">
        <v>1</v>
      </c>
      <c r="G3256" s="29">
        <v>39.696849999999998</v>
      </c>
    </row>
    <row r="3257" spans="1:7" x14ac:dyDescent="0.25">
      <c r="A3257" s="20" t="s">
        <v>585</v>
      </c>
      <c r="B3257" s="20" t="s">
        <v>1466</v>
      </c>
      <c r="C3257" s="20" t="s">
        <v>1466</v>
      </c>
      <c r="D3257" s="20" t="s">
        <v>1937</v>
      </c>
      <c r="E3257" s="27">
        <v>3</v>
      </c>
      <c r="F3257" s="27">
        <v>3</v>
      </c>
      <c r="G3257" s="29">
        <v>208.22336999999999</v>
      </c>
    </row>
    <row r="3258" spans="1:7" x14ac:dyDescent="0.25">
      <c r="A3258" s="20" t="s">
        <v>585</v>
      </c>
      <c r="B3258" s="20" t="s">
        <v>1500</v>
      </c>
      <c r="C3258" s="20" t="s">
        <v>1500</v>
      </c>
      <c r="D3258" s="20" t="s">
        <v>1937</v>
      </c>
      <c r="E3258" s="27">
        <v>2</v>
      </c>
      <c r="F3258" s="27">
        <v>2</v>
      </c>
      <c r="G3258" s="29">
        <v>207.74825999999999</v>
      </c>
    </row>
    <row r="3259" spans="1:7" x14ac:dyDescent="0.25">
      <c r="A3259" s="20" t="s">
        <v>585</v>
      </c>
      <c r="B3259" s="20" t="s">
        <v>1508</v>
      </c>
      <c r="C3259" s="20" t="s">
        <v>1508</v>
      </c>
      <c r="D3259" s="20" t="s">
        <v>1937</v>
      </c>
      <c r="E3259" s="27">
        <v>1</v>
      </c>
      <c r="F3259" s="27">
        <v>1</v>
      </c>
      <c r="G3259" s="29">
        <v>63.096229999999998</v>
      </c>
    </row>
    <row r="3260" spans="1:7" x14ac:dyDescent="0.25">
      <c r="A3260" s="20" t="s">
        <v>585</v>
      </c>
      <c r="B3260" s="20" t="s">
        <v>1511</v>
      </c>
      <c r="C3260" s="20" t="s">
        <v>1511</v>
      </c>
      <c r="D3260" s="20" t="s">
        <v>1937</v>
      </c>
      <c r="E3260" s="27">
        <v>4</v>
      </c>
      <c r="F3260" s="27">
        <v>4</v>
      </c>
      <c r="G3260" s="29">
        <v>29.45993</v>
      </c>
    </row>
    <row r="3261" spans="1:7" x14ac:dyDescent="0.25">
      <c r="A3261" s="20" t="s">
        <v>585</v>
      </c>
      <c r="B3261" s="20" t="s">
        <v>1515</v>
      </c>
      <c r="C3261" s="20" t="s">
        <v>1515</v>
      </c>
      <c r="D3261" s="20" t="s">
        <v>1937</v>
      </c>
      <c r="E3261" s="27">
        <v>5</v>
      </c>
      <c r="F3261" s="27">
        <v>5</v>
      </c>
      <c r="G3261" s="29">
        <v>672.53993000000003</v>
      </c>
    </row>
    <row r="3262" spans="1:7" x14ac:dyDescent="0.25">
      <c r="A3262" s="20" t="s">
        <v>585</v>
      </c>
      <c r="B3262" s="20" t="s">
        <v>1557</v>
      </c>
      <c r="C3262" s="20" t="s">
        <v>1557</v>
      </c>
      <c r="D3262" s="20" t="s">
        <v>1937</v>
      </c>
      <c r="E3262" s="27">
        <v>1</v>
      </c>
      <c r="F3262" s="27">
        <v>1</v>
      </c>
      <c r="G3262" s="23">
        <v>1829.30396</v>
      </c>
    </row>
    <row r="3263" spans="1:7" x14ac:dyDescent="0.25">
      <c r="A3263" s="20" t="s">
        <v>585</v>
      </c>
      <c r="B3263" s="20" t="s">
        <v>1558</v>
      </c>
      <c r="C3263" s="20" t="s">
        <v>1558</v>
      </c>
      <c r="D3263" s="20" t="s">
        <v>1937</v>
      </c>
      <c r="E3263" s="27">
        <v>1</v>
      </c>
      <c r="F3263" s="27">
        <v>1</v>
      </c>
      <c r="G3263" s="29">
        <v>209.33909</v>
      </c>
    </row>
    <row r="3264" spans="1:7" x14ac:dyDescent="0.25">
      <c r="A3264" s="20" t="s">
        <v>585</v>
      </c>
      <c r="B3264" s="20" t="s">
        <v>1559</v>
      </c>
      <c r="C3264" s="20" t="s">
        <v>1559</v>
      </c>
      <c r="D3264" s="20" t="s">
        <v>1937</v>
      </c>
      <c r="E3264" s="27">
        <v>1</v>
      </c>
      <c r="F3264" s="27">
        <v>1</v>
      </c>
      <c r="G3264" s="29">
        <v>137.94605999999999</v>
      </c>
    </row>
    <row r="3265" spans="1:7" ht="22.5" x14ac:dyDescent="0.25">
      <c r="A3265" s="20" t="s">
        <v>620</v>
      </c>
      <c r="B3265" s="20" t="s">
        <v>1560</v>
      </c>
      <c r="C3265" s="20" t="s">
        <v>324</v>
      </c>
      <c r="D3265" s="20" t="s">
        <v>1937</v>
      </c>
      <c r="E3265" s="27">
        <v>16</v>
      </c>
      <c r="F3265" s="27">
        <v>16</v>
      </c>
      <c r="G3265" s="29">
        <v>1.2700000000000001E-3</v>
      </c>
    </row>
    <row r="3266" spans="1:7" ht="22.5" x14ac:dyDescent="0.25">
      <c r="A3266" s="20" t="s">
        <v>620</v>
      </c>
      <c r="B3266" s="20" t="s">
        <v>623</v>
      </c>
      <c r="C3266" s="20" t="s">
        <v>285</v>
      </c>
      <c r="D3266" s="20" t="s">
        <v>1937</v>
      </c>
      <c r="E3266" s="30">
        <v>2300</v>
      </c>
      <c r="F3266" s="30">
        <v>2300</v>
      </c>
      <c r="G3266" s="28">
        <v>1.67E-2</v>
      </c>
    </row>
    <row r="3267" spans="1:7" ht="22.5" x14ac:dyDescent="0.25">
      <c r="A3267" s="20" t="s">
        <v>620</v>
      </c>
      <c r="B3267" s="20" t="s">
        <v>730</v>
      </c>
      <c r="C3267" s="20" t="s">
        <v>237</v>
      </c>
      <c r="D3267" s="20" t="s">
        <v>1937</v>
      </c>
      <c r="E3267" s="27">
        <v>116</v>
      </c>
      <c r="F3267" s="27">
        <v>116</v>
      </c>
      <c r="G3267" s="29">
        <v>9.7989999999999994E-2</v>
      </c>
    </row>
    <row r="3268" spans="1:7" ht="22.5" x14ac:dyDescent="0.25">
      <c r="A3268" s="20" t="s">
        <v>620</v>
      </c>
      <c r="B3268" s="20" t="s">
        <v>1561</v>
      </c>
      <c r="C3268" s="20" t="s">
        <v>325</v>
      </c>
      <c r="D3268" s="20" t="s">
        <v>1937</v>
      </c>
      <c r="E3268" s="27">
        <v>4</v>
      </c>
      <c r="F3268" s="27">
        <v>4</v>
      </c>
      <c r="G3268" s="29">
        <v>5.9300000000000004E-3</v>
      </c>
    </row>
    <row r="3269" spans="1:7" ht="22.5" x14ac:dyDescent="0.25">
      <c r="A3269" s="20" t="s">
        <v>620</v>
      </c>
      <c r="B3269" s="20" t="s">
        <v>818</v>
      </c>
      <c r="C3269" s="20" t="s">
        <v>259</v>
      </c>
      <c r="D3269" s="20" t="s">
        <v>1937</v>
      </c>
      <c r="E3269" s="27">
        <v>8</v>
      </c>
      <c r="F3269" s="27">
        <v>8</v>
      </c>
      <c r="G3269" s="29">
        <v>3.7609999999999998E-2</v>
      </c>
    </row>
    <row r="3270" spans="1:7" ht="22.5" x14ac:dyDescent="0.25">
      <c r="A3270" s="20" t="s">
        <v>620</v>
      </c>
      <c r="B3270" s="20" t="s">
        <v>625</v>
      </c>
      <c r="C3270" s="20" t="s">
        <v>219</v>
      </c>
      <c r="D3270" s="20" t="s">
        <v>1937</v>
      </c>
      <c r="E3270" s="30">
        <v>2300</v>
      </c>
      <c r="F3270" s="30">
        <v>2300</v>
      </c>
      <c r="G3270" s="29">
        <v>7.1399999999999996E-3</v>
      </c>
    </row>
    <row r="3271" spans="1:7" ht="22.5" x14ac:dyDescent="0.25">
      <c r="A3271" s="20" t="s">
        <v>620</v>
      </c>
      <c r="B3271" s="20" t="s">
        <v>819</v>
      </c>
      <c r="C3271" s="20" t="s">
        <v>260</v>
      </c>
      <c r="D3271" s="20" t="s">
        <v>1937</v>
      </c>
      <c r="E3271" s="27">
        <v>116</v>
      </c>
      <c r="F3271" s="27">
        <v>116</v>
      </c>
      <c r="G3271" s="29">
        <v>6.0800000000000003E-3</v>
      </c>
    </row>
    <row r="3272" spans="1:7" ht="22.5" x14ac:dyDescent="0.25">
      <c r="A3272" s="20" t="s">
        <v>620</v>
      </c>
      <c r="B3272" s="20" t="s">
        <v>662</v>
      </c>
      <c r="C3272" s="20" t="s">
        <v>221</v>
      </c>
      <c r="D3272" s="20" t="s">
        <v>1937</v>
      </c>
      <c r="E3272" s="27">
        <v>116</v>
      </c>
      <c r="F3272" s="27">
        <v>116</v>
      </c>
      <c r="G3272" s="29">
        <v>1.098E-2</v>
      </c>
    </row>
    <row r="3273" spans="1:7" ht="22.5" x14ac:dyDescent="0.25">
      <c r="A3273" s="20" t="s">
        <v>620</v>
      </c>
      <c r="B3273" s="20" t="s">
        <v>737</v>
      </c>
      <c r="C3273" s="20" t="s">
        <v>240</v>
      </c>
      <c r="D3273" s="20" t="s">
        <v>1937</v>
      </c>
      <c r="E3273" s="27">
        <v>4</v>
      </c>
      <c r="F3273" s="27">
        <v>4</v>
      </c>
      <c r="G3273" s="29">
        <v>1.73E-3</v>
      </c>
    </row>
    <row r="3274" spans="1:7" x14ac:dyDescent="0.25">
      <c r="A3274" s="20" t="s">
        <v>597</v>
      </c>
      <c r="B3274" s="20" t="s">
        <v>63</v>
      </c>
      <c r="C3274" s="20" t="s">
        <v>63</v>
      </c>
      <c r="D3274" s="20" t="s">
        <v>1937</v>
      </c>
      <c r="E3274" s="27">
        <v>6</v>
      </c>
      <c r="F3274" s="27">
        <v>6</v>
      </c>
      <c r="G3274" s="22"/>
    </row>
    <row r="3275" spans="1:7" x14ac:dyDescent="0.25">
      <c r="A3275" s="20" t="s">
        <v>588</v>
      </c>
      <c r="B3275" s="20" t="s">
        <v>185</v>
      </c>
      <c r="C3275" s="20" t="s">
        <v>185</v>
      </c>
      <c r="D3275" s="20" t="s">
        <v>1937</v>
      </c>
      <c r="E3275" s="33">
        <v>1.2</v>
      </c>
      <c r="F3275" s="33">
        <v>1.2</v>
      </c>
      <c r="G3275" s="22"/>
    </row>
    <row r="3276" spans="1:7" x14ac:dyDescent="0.25">
      <c r="A3276" s="20" t="s">
        <v>586</v>
      </c>
      <c r="B3276" s="20" t="s">
        <v>600</v>
      </c>
      <c r="C3276" s="20" t="s">
        <v>600</v>
      </c>
      <c r="D3276" s="20" t="s">
        <v>1937</v>
      </c>
      <c r="E3276" s="27">
        <v>1</v>
      </c>
      <c r="F3276" s="27">
        <v>1</v>
      </c>
      <c r="G3276" s="22"/>
    </row>
    <row r="3277" spans="1:7" x14ac:dyDescent="0.25">
      <c r="A3277" s="20" t="s">
        <v>586</v>
      </c>
      <c r="B3277" s="20" t="s">
        <v>1562</v>
      </c>
      <c r="C3277" s="20" t="s">
        <v>1562</v>
      </c>
      <c r="D3277" s="20" t="s">
        <v>1937</v>
      </c>
      <c r="E3277" s="27">
        <v>1</v>
      </c>
      <c r="F3277" s="27">
        <v>1</v>
      </c>
      <c r="G3277" s="22"/>
    </row>
    <row r="3278" spans="1:7" x14ac:dyDescent="0.25">
      <c r="A3278" s="20" t="s">
        <v>586</v>
      </c>
      <c r="B3278" s="20" t="s">
        <v>1563</v>
      </c>
      <c r="C3278" s="20" t="s">
        <v>1563</v>
      </c>
      <c r="D3278" s="20" t="s">
        <v>1937</v>
      </c>
      <c r="E3278" s="27">
        <v>1</v>
      </c>
      <c r="F3278" s="27">
        <v>1</v>
      </c>
      <c r="G3278" s="22"/>
    </row>
    <row r="3279" spans="1:7" x14ac:dyDescent="0.25">
      <c r="A3279" s="20" t="s">
        <v>586</v>
      </c>
      <c r="B3279" s="20" t="s">
        <v>587</v>
      </c>
      <c r="C3279" s="20" t="s">
        <v>587</v>
      </c>
      <c r="D3279" s="20" t="s">
        <v>1937</v>
      </c>
      <c r="E3279" s="21">
        <v>1</v>
      </c>
      <c r="F3279" s="21">
        <v>1</v>
      </c>
      <c r="G3279" s="23">
        <v>1188.74073</v>
      </c>
    </row>
    <row r="3280" spans="1:7" x14ac:dyDescent="0.25">
      <c r="A3280" s="20" t="s">
        <v>585</v>
      </c>
      <c r="B3280" s="20" t="s">
        <v>598</v>
      </c>
      <c r="C3280" s="20" t="s">
        <v>598</v>
      </c>
      <c r="D3280" s="20" t="s">
        <v>587</v>
      </c>
      <c r="E3280" s="27">
        <v>1</v>
      </c>
      <c r="F3280" s="27">
        <v>1</v>
      </c>
      <c r="G3280" s="29">
        <v>12.067259999999999</v>
      </c>
    </row>
    <row r="3281" spans="1:7" x14ac:dyDescent="0.25">
      <c r="A3281" s="20" t="s">
        <v>585</v>
      </c>
      <c r="B3281" s="20" t="s">
        <v>641</v>
      </c>
      <c r="C3281" s="20" t="s">
        <v>641</v>
      </c>
      <c r="D3281" s="20" t="s">
        <v>587</v>
      </c>
      <c r="E3281" s="27">
        <v>1</v>
      </c>
      <c r="F3281" s="27">
        <v>1</v>
      </c>
      <c r="G3281" s="29">
        <v>62.750579999999999</v>
      </c>
    </row>
    <row r="3282" spans="1:7" x14ac:dyDescent="0.25">
      <c r="A3282" s="20" t="s">
        <v>585</v>
      </c>
      <c r="B3282" s="20" t="s">
        <v>772</v>
      </c>
      <c r="C3282" s="20" t="s">
        <v>772</v>
      </c>
      <c r="D3282" s="20" t="s">
        <v>587</v>
      </c>
      <c r="E3282" s="27">
        <v>1</v>
      </c>
      <c r="F3282" s="27">
        <v>1</v>
      </c>
      <c r="G3282" s="28">
        <v>33.621499999999997</v>
      </c>
    </row>
    <row r="3283" spans="1:7" ht="22.5" x14ac:dyDescent="0.25">
      <c r="A3283" s="20" t="s">
        <v>585</v>
      </c>
      <c r="B3283" s="20" t="s">
        <v>773</v>
      </c>
      <c r="C3283" s="20" t="s">
        <v>773</v>
      </c>
      <c r="D3283" s="20" t="s">
        <v>587</v>
      </c>
      <c r="E3283" s="27">
        <v>8</v>
      </c>
      <c r="F3283" s="27">
        <v>8</v>
      </c>
      <c r="G3283" s="29">
        <v>1.3586499999999999</v>
      </c>
    </row>
    <row r="3284" spans="1:7" ht="22.5" x14ac:dyDescent="0.25">
      <c r="A3284" s="20" t="s">
        <v>585</v>
      </c>
      <c r="B3284" s="20" t="s">
        <v>774</v>
      </c>
      <c r="C3284" s="20" t="s">
        <v>774</v>
      </c>
      <c r="D3284" s="20" t="s">
        <v>587</v>
      </c>
      <c r="E3284" s="27">
        <v>8</v>
      </c>
      <c r="F3284" s="27">
        <v>8</v>
      </c>
      <c r="G3284" s="29">
        <v>8.0375399999999999</v>
      </c>
    </row>
    <row r="3285" spans="1:7" x14ac:dyDescent="0.25">
      <c r="A3285" s="20" t="s">
        <v>585</v>
      </c>
      <c r="B3285" s="20" t="s">
        <v>777</v>
      </c>
      <c r="C3285" s="20" t="s">
        <v>777</v>
      </c>
      <c r="D3285" s="20" t="s">
        <v>587</v>
      </c>
      <c r="E3285" s="27">
        <v>1</v>
      </c>
      <c r="F3285" s="27">
        <v>1</v>
      </c>
      <c r="G3285" s="29">
        <v>29.336739999999999</v>
      </c>
    </row>
    <row r="3286" spans="1:7" x14ac:dyDescent="0.25">
      <c r="A3286" s="20" t="s">
        <v>585</v>
      </c>
      <c r="B3286" s="20" t="s">
        <v>780</v>
      </c>
      <c r="C3286" s="20" t="s">
        <v>780</v>
      </c>
      <c r="D3286" s="20" t="s">
        <v>587</v>
      </c>
      <c r="E3286" s="27">
        <v>1</v>
      </c>
      <c r="F3286" s="27">
        <v>1</v>
      </c>
      <c r="G3286" s="29">
        <v>13.22936</v>
      </c>
    </row>
    <row r="3287" spans="1:7" x14ac:dyDescent="0.25">
      <c r="A3287" s="20" t="s">
        <v>585</v>
      </c>
      <c r="B3287" s="20" t="s">
        <v>783</v>
      </c>
      <c r="C3287" s="20" t="s">
        <v>783</v>
      </c>
      <c r="D3287" s="20" t="s">
        <v>587</v>
      </c>
      <c r="E3287" s="27">
        <v>1</v>
      </c>
      <c r="F3287" s="27">
        <v>1</v>
      </c>
      <c r="G3287" s="29">
        <v>43.540370000000003</v>
      </c>
    </row>
    <row r="3288" spans="1:7" x14ac:dyDescent="0.25">
      <c r="A3288" s="20" t="s">
        <v>585</v>
      </c>
      <c r="B3288" s="20" t="s">
        <v>786</v>
      </c>
      <c r="C3288" s="20" t="s">
        <v>786</v>
      </c>
      <c r="D3288" s="20" t="s">
        <v>587</v>
      </c>
      <c r="E3288" s="27">
        <v>1</v>
      </c>
      <c r="F3288" s="27">
        <v>1</v>
      </c>
      <c r="G3288" s="28">
        <v>17.5366</v>
      </c>
    </row>
    <row r="3289" spans="1:7" x14ac:dyDescent="0.25">
      <c r="A3289" s="20" t="s">
        <v>585</v>
      </c>
      <c r="B3289" s="20" t="s">
        <v>787</v>
      </c>
      <c r="C3289" s="20" t="s">
        <v>787</v>
      </c>
      <c r="D3289" s="20" t="s">
        <v>587</v>
      </c>
      <c r="E3289" s="27">
        <v>1</v>
      </c>
      <c r="F3289" s="27">
        <v>1</v>
      </c>
      <c r="G3289" s="29">
        <v>21.865310000000001</v>
      </c>
    </row>
    <row r="3290" spans="1:7" x14ac:dyDescent="0.25">
      <c r="A3290" s="20" t="s">
        <v>585</v>
      </c>
      <c r="B3290" s="20" t="s">
        <v>788</v>
      </c>
      <c r="C3290" s="20" t="s">
        <v>788</v>
      </c>
      <c r="D3290" s="20" t="s">
        <v>587</v>
      </c>
      <c r="E3290" s="27">
        <v>1</v>
      </c>
      <c r="F3290" s="27">
        <v>1</v>
      </c>
      <c r="G3290" s="29">
        <v>14.23513</v>
      </c>
    </row>
    <row r="3291" spans="1:7" x14ac:dyDescent="0.25">
      <c r="A3291" s="20" t="s">
        <v>585</v>
      </c>
      <c r="B3291" s="20" t="s">
        <v>789</v>
      </c>
      <c r="C3291" s="20" t="s">
        <v>789</v>
      </c>
      <c r="D3291" s="20" t="s">
        <v>587</v>
      </c>
      <c r="E3291" s="27">
        <v>1</v>
      </c>
      <c r="F3291" s="27">
        <v>1</v>
      </c>
      <c r="G3291" s="29">
        <v>21.249479999999998</v>
      </c>
    </row>
    <row r="3292" spans="1:7" x14ac:dyDescent="0.25">
      <c r="A3292" s="20" t="s">
        <v>585</v>
      </c>
      <c r="B3292" s="20" t="s">
        <v>790</v>
      </c>
      <c r="C3292" s="20" t="s">
        <v>790</v>
      </c>
      <c r="D3292" s="20" t="s">
        <v>587</v>
      </c>
      <c r="E3292" s="27">
        <v>1</v>
      </c>
      <c r="F3292" s="27">
        <v>1</v>
      </c>
      <c r="G3292" s="29">
        <v>12.07973</v>
      </c>
    </row>
    <row r="3293" spans="1:7" x14ac:dyDescent="0.25">
      <c r="A3293" s="20" t="s">
        <v>585</v>
      </c>
      <c r="B3293" s="20" t="s">
        <v>791</v>
      </c>
      <c r="C3293" s="20" t="s">
        <v>791</v>
      </c>
      <c r="D3293" s="20" t="s">
        <v>587</v>
      </c>
      <c r="E3293" s="27">
        <v>1</v>
      </c>
      <c r="F3293" s="27">
        <v>1</v>
      </c>
      <c r="G3293" s="28">
        <v>5.1294000000000004</v>
      </c>
    </row>
    <row r="3294" spans="1:7" x14ac:dyDescent="0.25">
      <c r="A3294" s="20" t="s">
        <v>585</v>
      </c>
      <c r="B3294" s="20" t="s">
        <v>792</v>
      </c>
      <c r="C3294" s="20" t="s">
        <v>792</v>
      </c>
      <c r="D3294" s="20" t="s">
        <v>587</v>
      </c>
      <c r="E3294" s="27">
        <v>1</v>
      </c>
      <c r="F3294" s="27">
        <v>1</v>
      </c>
      <c r="G3294" s="29">
        <v>1.87822</v>
      </c>
    </row>
    <row r="3295" spans="1:7" ht="22.5" x14ac:dyDescent="0.25">
      <c r="A3295" s="20" t="s">
        <v>585</v>
      </c>
      <c r="B3295" s="20" t="s">
        <v>794</v>
      </c>
      <c r="C3295" s="20" t="s">
        <v>794</v>
      </c>
      <c r="D3295" s="20" t="s">
        <v>587</v>
      </c>
      <c r="E3295" s="27">
        <v>1</v>
      </c>
      <c r="F3295" s="27">
        <v>1</v>
      </c>
      <c r="G3295" s="29">
        <v>43.324640000000002</v>
      </c>
    </row>
    <row r="3296" spans="1:7" x14ac:dyDescent="0.25">
      <c r="A3296" s="20" t="s">
        <v>585</v>
      </c>
      <c r="B3296" s="20" t="s">
        <v>795</v>
      </c>
      <c r="C3296" s="20" t="s">
        <v>795</v>
      </c>
      <c r="D3296" s="20" t="s">
        <v>587</v>
      </c>
      <c r="E3296" s="27">
        <v>1</v>
      </c>
      <c r="F3296" s="27">
        <v>1</v>
      </c>
      <c r="G3296" s="29">
        <v>10.49344</v>
      </c>
    </row>
    <row r="3297" spans="1:7" ht="22.5" x14ac:dyDescent="0.25">
      <c r="A3297" s="20" t="s">
        <v>585</v>
      </c>
      <c r="B3297" s="20" t="s">
        <v>796</v>
      </c>
      <c r="C3297" s="20" t="s">
        <v>796</v>
      </c>
      <c r="D3297" s="20" t="s">
        <v>587</v>
      </c>
      <c r="E3297" s="27">
        <v>1</v>
      </c>
      <c r="F3297" s="27">
        <v>1</v>
      </c>
      <c r="G3297" s="29">
        <v>22.974329999999998</v>
      </c>
    </row>
    <row r="3298" spans="1:7" ht="22.5" x14ac:dyDescent="0.25">
      <c r="A3298" s="20" t="s">
        <v>585</v>
      </c>
      <c r="B3298" s="20" t="s">
        <v>797</v>
      </c>
      <c r="C3298" s="20" t="s">
        <v>797</v>
      </c>
      <c r="D3298" s="20" t="s">
        <v>587</v>
      </c>
      <c r="E3298" s="27">
        <v>1</v>
      </c>
      <c r="F3298" s="27">
        <v>1</v>
      </c>
      <c r="G3298" s="29">
        <v>23.063289999999999</v>
      </c>
    </row>
    <row r="3299" spans="1:7" ht="22.5" x14ac:dyDescent="0.25">
      <c r="A3299" s="20" t="s">
        <v>585</v>
      </c>
      <c r="B3299" s="20" t="s">
        <v>798</v>
      </c>
      <c r="C3299" s="20" t="s">
        <v>798</v>
      </c>
      <c r="D3299" s="20" t="s">
        <v>587</v>
      </c>
      <c r="E3299" s="27">
        <v>1</v>
      </c>
      <c r="F3299" s="27">
        <v>1</v>
      </c>
      <c r="G3299" s="29">
        <v>2.2696499999999999</v>
      </c>
    </row>
    <row r="3300" spans="1:7" x14ac:dyDescent="0.25">
      <c r="A3300" s="20" t="s">
        <v>585</v>
      </c>
      <c r="B3300" s="20" t="s">
        <v>799</v>
      </c>
      <c r="C3300" s="20" t="s">
        <v>799</v>
      </c>
      <c r="D3300" s="20" t="s">
        <v>587</v>
      </c>
      <c r="E3300" s="27">
        <v>1</v>
      </c>
      <c r="F3300" s="27">
        <v>1</v>
      </c>
      <c r="G3300" s="29">
        <v>117.80087</v>
      </c>
    </row>
    <row r="3301" spans="1:7" x14ac:dyDescent="0.25">
      <c r="A3301" s="20" t="s">
        <v>585</v>
      </c>
      <c r="B3301" s="20" t="s">
        <v>1564</v>
      </c>
      <c r="C3301" s="20" t="s">
        <v>1564</v>
      </c>
      <c r="D3301" s="20" t="s">
        <v>587</v>
      </c>
      <c r="E3301" s="27">
        <v>1</v>
      </c>
      <c r="F3301" s="27">
        <v>1</v>
      </c>
      <c r="G3301" s="35">
        <v>89.198999999999998</v>
      </c>
    </row>
    <row r="3302" spans="1:7" x14ac:dyDescent="0.25">
      <c r="A3302" s="20" t="s">
        <v>585</v>
      </c>
      <c r="B3302" s="20" t="s">
        <v>1565</v>
      </c>
      <c r="C3302" s="20" t="s">
        <v>1565</v>
      </c>
      <c r="D3302" s="20" t="s">
        <v>587</v>
      </c>
      <c r="E3302" s="27">
        <v>1</v>
      </c>
      <c r="F3302" s="27">
        <v>1</v>
      </c>
      <c r="G3302" s="29">
        <v>195.57399000000001</v>
      </c>
    </row>
    <row r="3303" spans="1:7" x14ac:dyDescent="0.25">
      <c r="A3303" s="20" t="s">
        <v>585</v>
      </c>
      <c r="B3303" s="20" t="s">
        <v>1566</v>
      </c>
      <c r="C3303" s="20" t="s">
        <v>1566</v>
      </c>
      <c r="D3303" s="20" t="s">
        <v>587</v>
      </c>
      <c r="E3303" s="27">
        <v>1</v>
      </c>
      <c r="F3303" s="27">
        <v>1</v>
      </c>
      <c r="G3303" s="29">
        <v>87.253469999999993</v>
      </c>
    </row>
    <row r="3304" spans="1:7" x14ac:dyDescent="0.25">
      <c r="A3304" s="20" t="s">
        <v>585</v>
      </c>
      <c r="B3304" s="20" t="s">
        <v>1567</v>
      </c>
      <c r="C3304" s="20" t="s">
        <v>1568</v>
      </c>
      <c r="D3304" s="20" t="s">
        <v>587</v>
      </c>
      <c r="E3304" s="27">
        <v>4</v>
      </c>
      <c r="F3304" s="27">
        <v>4</v>
      </c>
      <c r="G3304" s="29">
        <v>34.654879999999999</v>
      </c>
    </row>
    <row r="3305" spans="1:7" x14ac:dyDescent="0.25">
      <c r="A3305" s="20" t="s">
        <v>585</v>
      </c>
      <c r="B3305" s="20" t="s">
        <v>1569</v>
      </c>
      <c r="C3305" s="20" t="s">
        <v>1569</v>
      </c>
      <c r="D3305" s="20" t="s">
        <v>587</v>
      </c>
      <c r="E3305" s="27">
        <v>2</v>
      </c>
      <c r="F3305" s="27">
        <v>2</v>
      </c>
      <c r="G3305" s="29">
        <v>45.395609999999998</v>
      </c>
    </row>
    <row r="3306" spans="1:7" x14ac:dyDescent="0.25">
      <c r="A3306" s="20" t="s">
        <v>585</v>
      </c>
      <c r="B3306" s="20" t="s">
        <v>849</v>
      </c>
      <c r="C3306" s="20" t="s">
        <v>849</v>
      </c>
      <c r="D3306" s="20" t="s">
        <v>1557</v>
      </c>
      <c r="E3306" s="27">
        <v>1</v>
      </c>
      <c r="F3306" s="27">
        <v>1</v>
      </c>
      <c r="G3306" s="23">
        <v>1124.9140600000001</v>
      </c>
    </row>
    <row r="3307" spans="1:7" x14ac:dyDescent="0.25">
      <c r="A3307" s="20" t="s">
        <v>585</v>
      </c>
      <c r="B3307" s="20" t="s">
        <v>933</v>
      </c>
      <c r="C3307" s="20" t="s">
        <v>933</v>
      </c>
      <c r="D3307" s="20" t="s">
        <v>1557</v>
      </c>
      <c r="E3307" s="27">
        <v>1</v>
      </c>
      <c r="F3307" s="27">
        <v>1</v>
      </c>
      <c r="G3307" s="29">
        <v>1.54813</v>
      </c>
    </row>
    <row r="3308" spans="1:7" x14ac:dyDescent="0.25">
      <c r="A3308" s="20" t="s">
        <v>585</v>
      </c>
      <c r="B3308" s="20" t="s">
        <v>936</v>
      </c>
      <c r="C3308" s="20" t="s">
        <v>936</v>
      </c>
      <c r="D3308" s="20" t="s">
        <v>1557</v>
      </c>
      <c r="E3308" s="27">
        <v>1</v>
      </c>
      <c r="F3308" s="27">
        <v>1</v>
      </c>
      <c r="G3308" s="29">
        <v>2.24187</v>
      </c>
    </row>
    <row r="3309" spans="1:7" x14ac:dyDescent="0.25">
      <c r="A3309" s="20" t="s">
        <v>585</v>
      </c>
      <c r="B3309" s="20" t="s">
        <v>938</v>
      </c>
      <c r="C3309" s="20" t="s">
        <v>938</v>
      </c>
      <c r="D3309" s="20" t="s">
        <v>1557</v>
      </c>
      <c r="E3309" s="27">
        <v>1</v>
      </c>
      <c r="F3309" s="27">
        <v>1</v>
      </c>
      <c r="G3309" s="28">
        <v>15.5748</v>
      </c>
    </row>
    <row r="3310" spans="1:7" x14ac:dyDescent="0.25">
      <c r="A3310" s="20" t="s">
        <v>585</v>
      </c>
      <c r="B3310" s="20" t="s">
        <v>963</v>
      </c>
      <c r="C3310" s="20" t="s">
        <v>963</v>
      </c>
      <c r="D3310" s="20" t="s">
        <v>1557</v>
      </c>
      <c r="E3310" s="27">
        <v>6</v>
      </c>
      <c r="F3310" s="27">
        <v>6</v>
      </c>
      <c r="G3310" s="29">
        <v>19.74428</v>
      </c>
    </row>
    <row r="3311" spans="1:7" x14ac:dyDescent="0.25">
      <c r="A3311" s="20" t="s">
        <v>595</v>
      </c>
      <c r="B3311" s="20" t="s">
        <v>930</v>
      </c>
      <c r="C3311" s="20" t="s">
        <v>930</v>
      </c>
      <c r="D3311" s="20" t="s">
        <v>1557</v>
      </c>
      <c r="E3311" s="27">
        <v>1</v>
      </c>
      <c r="F3311" s="27">
        <v>1</v>
      </c>
      <c r="G3311" s="29">
        <v>1.3894899999999999</v>
      </c>
    </row>
    <row r="3312" spans="1:7" x14ac:dyDescent="0.25">
      <c r="A3312" s="20" t="s">
        <v>595</v>
      </c>
      <c r="B3312" s="20" t="s">
        <v>931</v>
      </c>
      <c r="C3312" s="20" t="s">
        <v>931</v>
      </c>
      <c r="D3312" s="20" t="s">
        <v>1557</v>
      </c>
      <c r="E3312" s="27">
        <v>1</v>
      </c>
      <c r="F3312" s="27">
        <v>1</v>
      </c>
      <c r="G3312" s="29">
        <v>2.0832199999999998</v>
      </c>
    </row>
    <row r="3313" spans="1:7" x14ac:dyDescent="0.25">
      <c r="A3313" s="20" t="s">
        <v>595</v>
      </c>
      <c r="B3313" s="20" t="s">
        <v>949</v>
      </c>
      <c r="C3313" s="20" t="s">
        <v>949</v>
      </c>
      <c r="D3313" s="20" t="s">
        <v>1557</v>
      </c>
      <c r="E3313" s="27">
        <v>22</v>
      </c>
      <c r="F3313" s="27">
        <v>22</v>
      </c>
      <c r="G3313" s="29">
        <v>2.0586799999999998</v>
      </c>
    </row>
    <row r="3314" spans="1:7" x14ac:dyDescent="0.25">
      <c r="A3314" s="20" t="s">
        <v>595</v>
      </c>
      <c r="B3314" s="20" t="s">
        <v>950</v>
      </c>
      <c r="C3314" s="20" t="s">
        <v>950</v>
      </c>
      <c r="D3314" s="20" t="s">
        <v>1557</v>
      </c>
      <c r="E3314" s="27">
        <v>6</v>
      </c>
      <c r="F3314" s="27">
        <v>6</v>
      </c>
      <c r="G3314" s="29">
        <v>9.0312699999999992</v>
      </c>
    </row>
    <row r="3315" spans="1:7" x14ac:dyDescent="0.25">
      <c r="A3315" s="20" t="s">
        <v>595</v>
      </c>
      <c r="B3315" s="20" t="s">
        <v>951</v>
      </c>
      <c r="C3315" s="20" t="s">
        <v>951</v>
      </c>
      <c r="D3315" s="20" t="s">
        <v>1557</v>
      </c>
      <c r="E3315" s="27">
        <v>6</v>
      </c>
      <c r="F3315" s="27">
        <v>6</v>
      </c>
      <c r="G3315" s="29">
        <v>8.5722100000000001</v>
      </c>
    </row>
    <row r="3316" spans="1:7" x14ac:dyDescent="0.25">
      <c r="A3316" s="20" t="s">
        <v>595</v>
      </c>
      <c r="B3316" s="20" t="s">
        <v>952</v>
      </c>
      <c r="C3316" s="20" t="s">
        <v>952</v>
      </c>
      <c r="D3316" s="20" t="s">
        <v>1557</v>
      </c>
      <c r="E3316" s="27">
        <v>12</v>
      </c>
      <c r="F3316" s="27">
        <v>12</v>
      </c>
      <c r="G3316" s="29">
        <v>4.7079999999999997E-2</v>
      </c>
    </row>
    <row r="3317" spans="1:7" x14ac:dyDescent="0.25">
      <c r="A3317" s="20" t="s">
        <v>595</v>
      </c>
      <c r="B3317" s="20" t="s">
        <v>953</v>
      </c>
      <c r="C3317" s="20" t="s">
        <v>953</v>
      </c>
      <c r="D3317" s="20" t="s">
        <v>1557</v>
      </c>
      <c r="E3317" s="27">
        <v>25</v>
      </c>
      <c r="F3317" s="27">
        <v>25</v>
      </c>
      <c r="G3317" s="29">
        <v>4.5089999999999998E-2</v>
      </c>
    </row>
    <row r="3318" spans="1:7" x14ac:dyDescent="0.25">
      <c r="A3318" s="20" t="s">
        <v>595</v>
      </c>
      <c r="B3318" s="20" t="s">
        <v>954</v>
      </c>
      <c r="C3318" s="20" t="s">
        <v>954</v>
      </c>
      <c r="D3318" s="20" t="s">
        <v>1557</v>
      </c>
      <c r="E3318" s="27">
        <v>1</v>
      </c>
      <c r="F3318" s="27">
        <v>1</v>
      </c>
      <c r="G3318" s="29">
        <v>4.1004100000000001</v>
      </c>
    </row>
    <row r="3319" spans="1:7" x14ac:dyDescent="0.25">
      <c r="A3319" s="20" t="s">
        <v>595</v>
      </c>
      <c r="B3319" s="20" t="s">
        <v>955</v>
      </c>
      <c r="C3319" s="20" t="s">
        <v>955</v>
      </c>
      <c r="D3319" s="20" t="s">
        <v>1557</v>
      </c>
      <c r="E3319" s="27">
        <v>1</v>
      </c>
      <c r="F3319" s="27">
        <v>1</v>
      </c>
      <c r="G3319" s="29">
        <v>4.2435900000000002</v>
      </c>
    </row>
    <row r="3320" spans="1:7" x14ac:dyDescent="0.25">
      <c r="A3320" s="20" t="s">
        <v>595</v>
      </c>
      <c r="B3320" s="20" t="s">
        <v>956</v>
      </c>
      <c r="C3320" s="20" t="s">
        <v>956</v>
      </c>
      <c r="D3320" s="20" t="s">
        <v>1557</v>
      </c>
      <c r="E3320" s="27">
        <v>48</v>
      </c>
      <c r="F3320" s="27">
        <v>48</v>
      </c>
      <c r="G3320" s="29">
        <v>0.43806</v>
      </c>
    </row>
    <row r="3321" spans="1:7" x14ac:dyDescent="0.25">
      <c r="A3321" s="20" t="s">
        <v>595</v>
      </c>
      <c r="B3321" s="20" t="s">
        <v>957</v>
      </c>
      <c r="C3321" s="20" t="s">
        <v>957</v>
      </c>
      <c r="D3321" s="20" t="s">
        <v>1557</v>
      </c>
      <c r="E3321" s="27">
        <v>24</v>
      </c>
      <c r="F3321" s="27">
        <v>24</v>
      </c>
      <c r="G3321" s="29">
        <v>0.42845</v>
      </c>
    </row>
    <row r="3322" spans="1:7" x14ac:dyDescent="0.25">
      <c r="A3322" s="20" t="s">
        <v>595</v>
      </c>
      <c r="B3322" s="20" t="s">
        <v>958</v>
      </c>
      <c r="C3322" s="20" t="s">
        <v>958</v>
      </c>
      <c r="D3322" s="20" t="s">
        <v>1557</v>
      </c>
      <c r="E3322" s="27">
        <v>4</v>
      </c>
      <c r="F3322" s="27">
        <v>4</v>
      </c>
      <c r="G3322" s="29">
        <v>0.49115999999999999</v>
      </c>
    </row>
    <row r="3323" spans="1:7" x14ac:dyDescent="0.25">
      <c r="A3323" s="20" t="s">
        <v>595</v>
      </c>
      <c r="B3323" s="20" t="s">
        <v>959</v>
      </c>
      <c r="C3323" s="20" t="s">
        <v>959</v>
      </c>
      <c r="D3323" s="20" t="s">
        <v>1557</v>
      </c>
      <c r="E3323" s="27">
        <v>50</v>
      </c>
      <c r="F3323" s="27">
        <v>50</v>
      </c>
      <c r="G3323" s="29">
        <v>0.82616999999999996</v>
      </c>
    </row>
    <row r="3324" spans="1:7" x14ac:dyDescent="0.25">
      <c r="A3324" s="20" t="s">
        <v>595</v>
      </c>
      <c r="B3324" s="20" t="s">
        <v>960</v>
      </c>
      <c r="C3324" s="20" t="s">
        <v>960</v>
      </c>
      <c r="D3324" s="20" t="s">
        <v>1557</v>
      </c>
      <c r="E3324" s="27">
        <v>6</v>
      </c>
      <c r="F3324" s="27">
        <v>6</v>
      </c>
      <c r="G3324" s="28">
        <v>7.3822000000000001</v>
      </c>
    </row>
    <row r="3325" spans="1:7" x14ac:dyDescent="0.25">
      <c r="A3325" s="20" t="s">
        <v>595</v>
      </c>
      <c r="B3325" s="20" t="s">
        <v>961</v>
      </c>
      <c r="C3325" s="20" t="s">
        <v>961</v>
      </c>
      <c r="D3325" s="20" t="s">
        <v>1557</v>
      </c>
      <c r="E3325" s="27">
        <v>16</v>
      </c>
      <c r="F3325" s="27">
        <v>16</v>
      </c>
      <c r="G3325" s="29">
        <v>1.6832199999999999</v>
      </c>
    </row>
    <row r="3326" spans="1:7" ht="22.5" x14ac:dyDescent="0.25">
      <c r="A3326" s="20" t="s">
        <v>620</v>
      </c>
      <c r="B3326" s="20" t="s">
        <v>1199</v>
      </c>
      <c r="C3326" s="20" t="s">
        <v>300</v>
      </c>
      <c r="D3326" s="20" t="s">
        <v>1557</v>
      </c>
      <c r="E3326" s="27">
        <v>4</v>
      </c>
      <c r="F3326" s="27">
        <v>4</v>
      </c>
      <c r="G3326" s="35">
        <v>3.5999999999999997E-2</v>
      </c>
    </row>
    <row r="3327" spans="1:7" ht="22.5" x14ac:dyDescent="0.25">
      <c r="A3327" s="20" t="s">
        <v>620</v>
      </c>
      <c r="B3327" s="20" t="s">
        <v>622</v>
      </c>
      <c r="C3327" s="20" t="s">
        <v>256</v>
      </c>
      <c r="D3327" s="20" t="s">
        <v>1557</v>
      </c>
      <c r="E3327" s="27">
        <v>554</v>
      </c>
      <c r="F3327" s="27">
        <v>554</v>
      </c>
      <c r="G3327" s="28">
        <v>1.52E-2</v>
      </c>
    </row>
    <row r="3328" spans="1:7" ht="22.5" x14ac:dyDescent="0.25">
      <c r="A3328" s="20" t="s">
        <v>620</v>
      </c>
      <c r="B3328" s="20" t="s">
        <v>1570</v>
      </c>
      <c r="C3328" s="20" t="s">
        <v>323</v>
      </c>
      <c r="D3328" s="20" t="s">
        <v>1557</v>
      </c>
      <c r="E3328" s="27">
        <v>12</v>
      </c>
      <c r="F3328" s="27">
        <v>12</v>
      </c>
      <c r="G3328" s="28">
        <v>1.7500000000000002E-2</v>
      </c>
    </row>
    <row r="3329" spans="1:7" ht="22.5" x14ac:dyDescent="0.25">
      <c r="A3329" s="20" t="s">
        <v>620</v>
      </c>
      <c r="B3329" s="20" t="s">
        <v>1571</v>
      </c>
      <c r="C3329" s="20" t="s">
        <v>322</v>
      </c>
      <c r="D3329" s="20" t="s">
        <v>1557</v>
      </c>
      <c r="E3329" s="27">
        <v>16</v>
      </c>
      <c r="F3329" s="27">
        <v>16</v>
      </c>
      <c r="G3329" s="29">
        <v>8.0149999999999999E-2</v>
      </c>
    </row>
    <row r="3330" spans="1:7" ht="22.5" x14ac:dyDescent="0.25">
      <c r="A3330" s="20" t="s">
        <v>620</v>
      </c>
      <c r="B3330" s="20" t="s">
        <v>1572</v>
      </c>
      <c r="C3330" s="20" t="s">
        <v>321</v>
      </c>
      <c r="D3330" s="20" t="s">
        <v>1557</v>
      </c>
      <c r="E3330" s="27">
        <v>144</v>
      </c>
      <c r="F3330" s="27">
        <v>144</v>
      </c>
      <c r="G3330" s="29">
        <v>5.5000000000000003E-4</v>
      </c>
    </row>
    <row r="3331" spans="1:7" ht="22.5" x14ac:dyDescent="0.25">
      <c r="A3331" s="20" t="s">
        <v>620</v>
      </c>
      <c r="B3331" s="20" t="s">
        <v>1001</v>
      </c>
      <c r="C3331" s="20" t="s">
        <v>274</v>
      </c>
      <c r="D3331" s="20" t="s">
        <v>1557</v>
      </c>
      <c r="E3331" s="27">
        <v>286</v>
      </c>
      <c r="F3331" s="27">
        <v>286</v>
      </c>
      <c r="G3331" s="29">
        <v>9.5300000000000003E-3</v>
      </c>
    </row>
    <row r="3332" spans="1:7" ht="22.5" x14ac:dyDescent="0.25">
      <c r="A3332" s="20" t="s">
        <v>620</v>
      </c>
      <c r="B3332" s="20" t="s">
        <v>1573</v>
      </c>
      <c r="C3332" s="20" t="s">
        <v>320</v>
      </c>
      <c r="D3332" s="20" t="s">
        <v>1557</v>
      </c>
      <c r="E3332" s="27">
        <v>4</v>
      </c>
      <c r="F3332" s="27">
        <v>4</v>
      </c>
      <c r="G3332" s="28">
        <v>5.4999999999999997E-3</v>
      </c>
    </row>
    <row r="3333" spans="1:7" ht="22.5" x14ac:dyDescent="0.25">
      <c r="A3333" s="20" t="s">
        <v>620</v>
      </c>
      <c r="B3333" s="20" t="s">
        <v>766</v>
      </c>
      <c r="C3333" s="20" t="s">
        <v>250</v>
      </c>
      <c r="D3333" s="20" t="s">
        <v>1557</v>
      </c>
      <c r="E3333" s="27">
        <v>20</v>
      </c>
      <c r="F3333" s="27">
        <v>20</v>
      </c>
      <c r="G3333" s="28">
        <v>1.1299999999999999E-2</v>
      </c>
    </row>
    <row r="3334" spans="1:7" ht="22.5" x14ac:dyDescent="0.25">
      <c r="A3334" s="20" t="s">
        <v>620</v>
      </c>
      <c r="B3334" s="20" t="s">
        <v>871</v>
      </c>
      <c r="C3334" s="20" t="s">
        <v>266</v>
      </c>
      <c r="D3334" s="20" t="s">
        <v>1557</v>
      </c>
      <c r="E3334" s="27">
        <v>144</v>
      </c>
      <c r="F3334" s="27">
        <v>144</v>
      </c>
      <c r="G3334" s="28">
        <v>3.3E-3</v>
      </c>
    </row>
    <row r="3335" spans="1:7" ht="22.5" x14ac:dyDescent="0.25">
      <c r="A3335" s="20" t="s">
        <v>620</v>
      </c>
      <c r="B3335" s="20" t="s">
        <v>625</v>
      </c>
      <c r="C3335" s="20" t="s">
        <v>219</v>
      </c>
      <c r="D3335" s="20" t="s">
        <v>1557</v>
      </c>
      <c r="E3335" s="27">
        <v>854</v>
      </c>
      <c r="F3335" s="27">
        <v>854</v>
      </c>
      <c r="G3335" s="29">
        <v>7.1399999999999996E-3</v>
      </c>
    </row>
    <row r="3336" spans="1:7" ht="22.5" x14ac:dyDescent="0.25">
      <c r="A3336" s="20" t="s">
        <v>620</v>
      </c>
      <c r="B3336" s="20" t="s">
        <v>70</v>
      </c>
      <c r="C3336" s="20" t="s">
        <v>70</v>
      </c>
      <c r="D3336" s="20" t="s">
        <v>1557</v>
      </c>
      <c r="E3336" s="27">
        <v>6</v>
      </c>
      <c r="F3336" s="27">
        <v>6</v>
      </c>
      <c r="G3336" s="22"/>
    </row>
    <row r="3337" spans="1:7" ht="22.5" x14ac:dyDescent="0.25">
      <c r="A3337" s="20" t="s">
        <v>620</v>
      </c>
      <c r="B3337" s="20" t="s">
        <v>201</v>
      </c>
      <c r="C3337" s="20" t="s">
        <v>201</v>
      </c>
      <c r="D3337" s="20" t="s">
        <v>1557</v>
      </c>
      <c r="E3337" s="33">
        <v>4.2</v>
      </c>
      <c r="F3337" s="33">
        <v>4.2</v>
      </c>
      <c r="G3337" s="22"/>
    </row>
    <row r="3338" spans="1:7" x14ac:dyDescent="0.25">
      <c r="A3338" s="20" t="s">
        <v>586</v>
      </c>
      <c r="B3338" s="20" t="s">
        <v>639</v>
      </c>
      <c r="C3338" s="20" t="s">
        <v>639</v>
      </c>
      <c r="D3338" s="20" t="s">
        <v>1557</v>
      </c>
      <c r="E3338" s="27">
        <v>1</v>
      </c>
      <c r="F3338" s="27">
        <v>1</v>
      </c>
      <c r="G3338" s="22"/>
    </row>
    <row r="3339" spans="1:7" x14ac:dyDescent="0.25">
      <c r="A3339" s="20" t="s">
        <v>585</v>
      </c>
      <c r="B3339" s="20" t="s">
        <v>1441</v>
      </c>
      <c r="C3339" s="20" t="s">
        <v>1441</v>
      </c>
      <c r="D3339" s="20" t="s">
        <v>1558</v>
      </c>
      <c r="E3339" s="27">
        <v>6</v>
      </c>
      <c r="F3339" s="27">
        <v>6</v>
      </c>
      <c r="G3339" s="29">
        <v>17.647379999999998</v>
      </c>
    </row>
    <row r="3340" spans="1:7" x14ac:dyDescent="0.25">
      <c r="A3340" s="20" t="s">
        <v>585</v>
      </c>
      <c r="B3340" s="20" t="s">
        <v>1444</v>
      </c>
      <c r="C3340" s="20" t="s">
        <v>1444</v>
      </c>
      <c r="D3340" s="20" t="s">
        <v>1558</v>
      </c>
      <c r="E3340" s="27">
        <v>1</v>
      </c>
      <c r="F3340" s="27">
        <v>1</v>
      </c>
      <c r="G3340" s="29">
        <v>14.54622</v>
      </c>
    </row>
    <row r="3341" spans="1:7" x14ac:dyDescent="0.25">
      <c r="A3341" s="20" t="s">
        <v>585</v>
      </c>
      <c r="B3341" s="20" t="s">
        <v>1447</v>
      </c>
      <c r="C3341" s="20" t="s">
        <v>1447</v>
      </c>
      <c r="D3341" s="20" t="s">
        <v>1558</v>
      </c>
      <c r="E3341" s="27">
        <v>1</v>
      </c>
      <c r="F3341" s="27">
        <v>1</v>
      </c>
      <c r="G3341" s="29">
        <v>11.79505</v>
      </c>
    </row>
    <row r="3342" spans="1:7" x14ac:dyDescent="0.25">
      <c r="A3342" s="20" t="s">
        <v>595</v>
      </c>
      <c r="B3342" s="20" t="s">
        <v>1431</v>
      </c>
      <c r="C3342" s="20" t="s">
        <v>1431</v>
      </c>
      <c r="D3342" s="20" t="s">
        <v>1558</v>
      </c>
      <c r="E3342" s="27">
        <v>2</v>
      </c>
      <c r="F3342" s="27">
        <v>2</v>
      </c>
      <c r="G3342" s="29">
        <v>0.49901000000000001</v>
      </c>
    </row>
    <row r="3343" spans="1:7" x14ac:dyDescent="0.25">
      <c r="A3343" s="20" t="s">
        <v>595</v>
      </c>
      <c r="B3343" s="20" t="s">
        <v>1432</v>
      </c>
      <c r="C3343" s="20" t="s">
        <v>1432</v>
      </c>
      <c r="D3343" s="20" t="s">
        <v>1558</v>
      </c>
      <c r="E3343" s="27">
        <v>2</v>
      </c>
      <c r="F3343" s="27">
        <v>2</v>
      </c>
      <c r="G3343" s="29">
        <v>0.63180999999999998</v>
      </c>
    </row>
    <row r="3344" spans="1:7" x14ac:dyDescent="0.25">
      <c r="A3344" s="20" t="s">
        <v>595</v>
      </c>
      <c r="B3344" s="20" t="s">
        <v>1433</v>
      </c>
      <c r="C3344" s="20" t="s">
        <v>1433</v>
      </c>
      <c r="D3344" s="20" t="s">
        <v>1558</v>
      </c>
      <c r="E3344" s="27">
        <v>2</v>
      </c>
      <c r="F3344" s="27">
        <v>2</v>
      </c>
      <c r="G3344" s="28">
        <v>8.9300000000000004E-2</v>
      </c>
    </row>
    <row r="3345" spans="1:7" x14ac:dyDescent="0.25">
      <c r="A3345" s="20" t="s">
        <v>595</v>
      </c>
      <c r="B3345" s="20" t="s">
        <v>1434</v>
      </c>
      <c r="C3345" s="20" t="s">
        <v>1434</v>
      </c>
      <c r="D3345" s="20" t="s">
        <v>1558</v>
      </c>
      <c r="E3345" s="27">
        <v>14</v>
      </c>
      <c r="F3345" s="27">
        <v>14</v>
      </c>
      <c r="G3345" s="29">
        <v>0.72635000000000005</v>
      </c>
    </row>
    <row r="3346" spans="1:7" x14ac:dyDescent="0.25">
      <c r="A3346" s="20" t="s">
        <v>595</v>
      </c>
      <c r="B3346" s="20" t="s">
        <v>1435</v>
      </c>
      <c r="C3346" s="20" t="s">
        <v>1435</v>
      </c>
      <c r="D3346" s="20" t="s">
        <v>1558</v>
      </c>
      <c r="E3346" s="27">
        <v>41</v>
      </c>
      <c r="F3346" s="27">
        <v>41</v>
      </c>
      <c r="G3346" s="29">
        <v>0.43381999999999998</v>
      </c>
    </row>
    <row r="3347" spans="1:7" x14ac:dyDescent="0.25">
      <c r="A3347" s="20" t="s">
        <v>595</v>
      </c>
      <c r="B3347" s="20" t="s">
        <v>1436</v>
      </c>
      <c r="C3347" s="20" t="s">
        <v>1436</v>
      </c>
      <c r="D3347" s="20" t="s">
        <v>1558</v>
      </c>
      <c r="E3347" s="27">
        <v>14</v>
      </c>
      <c r="F3347" s="27">
        <v>14</v>
      </c>
      <c r="G3347" s="29">
        <v>0.15273999999999999</v>
      </c>
    </row>
    <row r="3348" spans="1:7" x14ac:dyDescent="0.25">
      <c r="A3348" s="20" t="s">
        <v>595</v>
      </c>
      <c r="B3348" s="20" t="s">
        <v>1437</v>
      </c>
      <c r="C3348" s="20" t="s">
        <v>1437</v>
      </c>
      <c r="D3348" s="20" t="s">
        <v>1558</v>
      </c>
      <c r="E3348" s="27">
        <v>6</v>
      </c>
      <c r="F3348" s="27">
        <v>6</v>
      </c>
      <c r="G3348" s="29">
        <v>2.30179</v>
      </c>
    </row>
    <row r="3349" spans="1:7" x14ac:dyDescent="0.25">
      <c r="A3349" s="20" t="s">
        <v>595</v>
      </c>
      <c r="B3349" s="20" t="s">
        <v>1438</v>
      </c>
      <c r="C3349" s="20" t="s">
        <v>1438</v>
      </c>
      <c r="D3349" s="20" t="s">
        <v>1558</v>
      </c>
      <c r="E3349" s="27">
        <v>28</v>
      </c>
      <c r="F3349" s="27">
        <v>28</v>
      </c>
      <c r="G3349" s="29">
        <v>0.88885000000000003</v>
      </c>
    </row>
    <row r="3350" spans="1:7" x14ac:dyDescent="0.25">
      <c r="A3350" s="20" t="s">
        <v>595</v>
      </c>
      <c r="B3350" s="20" t="s">
        <v>1439</v>
      </c>
      <c r="C3350" s="20" t="s">
        <v>1439</v>
      </c>
      <c r="D3350" s="20" t="s">
        <v>1558</v>
      </c>
      <c r="E3350" s="27">
        <v>2</v>
      </c>
      <c r="F3350" s="27">
        <v>2</v>
      </c>
      <c r="G3350" s="28">
        <v>2.5922000000000001</v>
      </c>
    </row>
    <row r="3351" spans="1:7" ht="22.5" x14ac:dyDescent="0.25">
      <c r="A3351" s="20" t="s">
        <v>620</v>
      </c>
      <c r="B3351" s="20" t="s">
        <v>622</v>
      </c>
      <c r="C3351" s="20" t="s">
        <v>256</v>
      </c>
      <c r="D3351" s="20" t="s">
        <v>1558</v>
      </c>
      <c r="E3351" s="27">
        <v>207</v>
      </c>
      <c r="F3351" s="27">
        <v>207</v>
      </c>
      <c r="G3351" s="28">
        <v>1.52E-2</v>
      </c>
    </row>
    <row r="3352" spans="1:7" ht="22.5" x14ac:dyDescent="0.25">
      <c r="A3352" s="20" t="s">
        <v>620</v>
      </c>
      <c r="B3352" s="20" t="s">
        <v>625</v>
      </c>
      <c r="C3352" s="20" t="s">
        <v>219</v>
      </c>
      <c r="D3352" s="20" t="s">
        <v>1558</v>
      </c>
      <c r="E3352" s="27">
        <v>207</v>
      </c>
      <c r="F3352" s="27">
        <v>207</v>
      </c>
      <c r="G3352" s="29">
        <v>7.1399999999999996E-3</v>
      </c>
    </row>
    <row r="3353" spans="1:7" x14ac:dyDescent="0.25">
      <c r="A3353" s="20" t="s">
        <v>585</v>
      </c>
      <c r="B3353" s="20" t="s">
        <v>1451</v>
      </c>
      <c r="C3353" s="20" t="s">
        <v>1451</v>
      </c>
      <c r="D3353" s="20" t="s">
        <v>1559</v>
      </c>
      <c r="E3353" s="27">
        <v>4</v>
      </c>
      <c r="F3353" s="27">
        <v>4</v>
      </c>
      <c r="G3353" s="29">
        <v>21.418710000000001</v>
      </c>
    </row>
    <row r="3354" spans="1:7" x14ac:dyDescent="0.25">
      <c r="A3354" s="20" t="s">
        <v>585</v>
      </c>
      <c r="B3354" s="20" t="s">
        <v>1454</v>
      </c>
      <c r="C3354" s="20" t="s">
        <v>1454</v>
      </c>
      <c r="D3354" s="20" t="s">
        <v>1559</v>
      </c>
      <c r="E3354" s="27">
        <v>1</v>
      </c>
      <c r="F3354" s="27">
        <v>1</v>
      </c>
      <c r="G3354" s="29">
        <v>21.780270000000002</v>
      </c>
    </row>
    <row r="3355" spans="1:7" x14ac:dyDescent="0.25">
      <c r="A3355" s="20" t="s">
        <v>585</v>
      </c>
      <c r="B3355" s="20" t="s">
        <v>1457</v>
      </c>
      <c r="C3355" s="20" t="s">
        <v>1457</v>
      </c>
      <c r="D3355" s="20" t="s">
        <v>1559</v>
      </c>
      <c r="E3355" s="27">
        <v>1</v>
      </c>
      <c r="F3355" s="27">
        <v>1</v>
      </c>
      <c r="G3355" s="29">
        <v>30.490950000000002</v>
      </c>
    </row>
    <row r="3356" spans="1:7" x14ac:dyDescent="0.25">
      <c r="A3356" s="20" t="s">
        <v>588</v>
      </c>
      <c r="B3356" s="20" t="s">
        <v>92</v>
      </c>
      <c r="C3356" s="20" t="s">
        <v>92</v>
      </c>
      <c r="D3356" s="20" t="s">
        <v>1574</v>
      </c>
      <c r="E3356" s="25">
        <v>0.17</v>
      </c>
      <c r="F3356" s="25">
        <v>2.38</v>
      </c>
      <c r="G3356" s="22"/>
    </row>
    <row r="3357" spans="1:7" x14ac:dyDescent="0.25">
      <c r="A3357" s="20" t="s">
        <v>588</v>
      </c>
      <c r="B3357" s="20" t="s">
        <v>92</v>
      </c>
      <c r="C3357" s="20" t="s">
        <v>92</v>
      </c>
      <c r="D3357" s="20" t="s">
        <v>1575</v>
      </c>
      <c r="E3357" s="25">
        <v>0.25</v>
      </c>
      <c r="F3357" s="33">
        <v>1.5</v>
      </c>
      <c r="G3357" s="22"/>
    </row>
    <row r="3358" spans="1:7" x14ac:dyDescent="0.25">
      <c r="A3358" s="20" t="s">
        <v>588</v>
      </c>
      <c r="B3358" s="20" t="s">
        <v>92</v>
      </c>
      <c r="C3358" s="20" t="s">
        <v>92</v>
      </c>
      <c r="D3358" s="20" t="s">
        <v>1576</v>
      </c>
      <c r="E3358" s="24">
        <v>0.16400000000000001</v>
      </c>
      <c r="F3358" s="24">
        <v>3.9359999999999999</v>
      </c>
      <c r="G3358" s="22"/>
    </row>
    <row r="3359" spans="1:7" x14ac:dyDescent="0.25">
      <c r="A3359" s="20" t="s">
        <v>595</v>
      </c>
      <c r="B3359" s="20" t="s">
        <v>1577</v>
      </c>
      <c r="C3359" s="20" t="s">
        <v>1577</v>
      </c>
      <c r="D3359" s="20" t="s">
        <v>1564</v>
      </c>
      <c r="E3359" s="27">
        <v>1</v>
      </c>
      <c r="F3359" s="27">
        <v>1</v>
      </c>
      <c r="G3359" s="29">
        <v>7.4022199999999998</v>
      </c>
    </row>
    <row r="3360" spans="1:7" x14ac:dyDescent="0.25">
      <c r="A3360" s="20" t="s">
        <v>595</v>
      </c>
      <c r="B3360" s="20" t="s">
        <v>1578</v>
      </c>
      <c r="C3360" s="20" t="s">
        <v>1578</v>
      </c>
      <c r="D3360" s="20" t="s">
        <v>1564</v>
      </c>
      <c r="E3360" s="27">
        <v>1</v>
      </c>
      <c r="F3360" s="27">
        <v>1</v>
      </c>
      <c r="G3360" s="29">
        <v>18.012270000000001</v>
      </c>
    </row>
    <row r="3361" spans="1:7" ht="22.5" x14ac:dyDescent="0.25">
      <c r="A3361" s="20" t="s">
        <v>620</v>
      </c>
      <c r="B3361" s="20" t="s">
        <v>501</v>
      </c>
      <c r="C3361" s="20" t="s">
        <v>501</v>
      </c>
      <c r="D3361" s="20" t="s">
        <v>1564</v>
      </c>
      <c r="E3361" s="27">
        <v>20</v>
      </c>
      <c r="F3361" s="27">
        <v>20</v>
      </c>
      <c r="G3361" s="28">
        <v>1.5E-3</v>
      </c>
    </row>
    <row r="3362" spans="1:7" x14ac:dyDescent="0.25">
      <c r="A3362" s="20" t="s">
        <v>597</v>
      </c>
      <c r="B3362" s="20" t="s">
        <v>358</v>
      </c>
      <c r="C3362" s="20" t="s">
        <v>358</v>
      </c>
      <c r="D3362" s="20" t="s">
        <v>1564</v>
      </c>
      <c r="E3362" s="33">
        <v>1.5</v>
      </c>
      <c r="F3362" s="33">
        <v>1.5</v>
      </c>
      <c r="G3362" s="31">
        <v>0.32</v>
      </c>
    </row>
    <row r="3363" spans="1:7" ht="22.5" x14ac:dyDescent="0.25">
      <c r="A3363" s="20" t="s">
        <v>597</v>
      </c>
      <c r="B3363" s="20" t="s">
        <v>376</v>
      </c>
      <c r="C3363" s="20" t="s">
        <v>376</v>
      </c>
      <c r="D3363" s="20" t="s">
        <v>1564</v>
      </c>
      <c r="E3363" s="27">
        <v>2</v>
      </c>
      <c r="F3363" s="27">
        <v>2</v>
      </c>
      <c r="G3363" s="29">
        <v>7.1730000000000002E-2</v>
      </c>
    </row>
    <row r="3364" spans="1:7" ht="22.5" x14ac:dyDescent="0.25">
      <c r="A3364" s="20" t="s">
        <v>597</v>
      </c>
      <c r="B3364" s="20" t="s">
        <v>377</v>
      </c>
      <c r="C3364" s="20" t="s">
        <v>377</v>
      </c>
      <c r="D3364" s="20" t="s">
        <v>1564</v>
      </c>
      <c r="E3364" s="27">
        <v>110</v>
      </c>
      <c r="F3364" s="27">
        <v>110</v>
      </c>
      <c r="G3364" s="29">
        <v>6.2950000000000006E-2</v>
      </c>
    </row>
    <row r="3365" spans="1:7" x14ac:dyDescent="0.25">
      <c r="A3365" s="20" t="s">
        <v>597</v>
      </c>
      <c r="B3365" s="20" t="s">
        <v>383</v>
      </c>
      <c r="C3365" s="20" t="s">
        <v>383</v>
      </c>
      <c r="D3365" s="20" t="s">
        <v>1564</v>
      </c>
      <c r="E3365" s="27">
        <v>1</v>
      </c>
      <c r="F3365" s="27">
        <v>1</v>
      </c>
      <c r="G3365" s="35">
        <v>5.1999999999999998E-2</v>
      </c>
    </row>
    <row r="3366" spans="1:7" x14ac:dyDescent="0.25">
      <c r="A3366" s="20" t="s">
        <v>597</v>
      </c>
      <c r="B3366" s="20" t="s">
        <v>389</v>
      </c>
      <c r="C3366" s="20" t="s">
        <v>389</v>
      </c>
      <c r="D3366" s="20" t="s">
        <v>1564</v>
      </c>
      <c r="E3366" s="27">
        <v>2</v>
      </c>
      <c r="F3366" s="27">
        <v>2</v>
      </c>
      <c r="G3366" s="35">
        <v>1E-3</v>
      </c>
    </row>
    <row r="3367" spans="1:7" x14ac:dyDescent="0.25">
      <c r="A3367" s="20" t="s">
        <v>597</v>
      </c>
      <c r="B3367" s="20" t="s">
        <v>393</v>
      </c>
      <c r="C3367" s="20" t="s">
        <v>393</v>
      </c>
      <c r="D3367" s="20" t="s">
        <v>1564</v>
      </c>
      <c r="E3367" s="27">
        <v>2</v>
      </c>
      <c r="F3367" s="27">
        <v>2</v>
      </c>
      <c r="G3367" s="29">
        <v>4.6059999999999997E-2</v>
      </c>
    </row>
    <row r="3368" spans="1:7" x14ac:dyDescent="0.25">
      <c r="A3368" s="20" t="s">
        <v>597</v>
      </c>
      <c r="B3368" s="20" t="s">
        <v>399</v>
      </c>
      <c r="C3368" s="20" t="s">
        <v>399</v>
      </c>
      <c r="D3368" s="20" t="s">
        <v>1564</v>
      </c>
      <c r="E3368" s="27">
        <v>1</v>
      </c>
      <c r="F3368" s="27">
        <v>1</v>
      </c>
      <c r="G3368" s="35">
        <v>1E-3</v>
      </c>
    </row>
    <row r="3369" spans="1:7" ht="22.5" x14ac:dyDescent="0.25">
      <c r="A3369" s="20" t="s">
        <v>597</v>
      </c>
      <c r="B3369" s="20" t="s">
        <v>400</v>
      </c>
      <c r="C3369" s="20" t="s">
        <v>400</v>
      </c>
      <c r="D3369" s="20" t="s">
        <v>1564</v>
      </c>
      <c r="E3369" s="27">
        <v>9</v>
      </c>
      <c r="F3369" s="27">
        <v>9</v>
      </c>
      <c r="G3369" s="35">
        <v>1.4E-2</v>
      </c>
    </row>
    <row r="3370" spans="1:7" x14ac:dyDescent="0.25">
      <c r="A3370" s="20" t="s">
        <v>597</v>
      </c>
      <c r="B3370" s="20" t="s">
        <v>401</v>
      </c>
      <c r="C3370" s="20" t="s">
        <v>401</v>
      </c>
      <c r="D3370" s="20" t="s">
        <v>1564</v>
      </c>
      <c r="E3370" s="27">
        <v>1</v>
      </c>
      <c r="F3370" s="27">
        <v>1</v>
      </c>
      <c r="G3370" s="29">
        <v>0.26053999999999999</v>
      </c>
    </row>
    <row r="3371" spans="1:7" ht="22.5" x14ac:dyDescent="0.25">
      <c r="A3371" s="20" t="s">
        <v>597</v>
      </c>
      <c r="B3371" s="20" t="s">
        <v>402</v>
      </c>
      <c r="C3371" s="20" t="s">
        <v>1579</v>
      </c>
      <c r="D3371" s="20" t="s">
        <v>1564</v>
      </c>
      <c r="E3371" s="27">
        <v>16</v>
      </c>
      <c r="F3371" s="27">
        <v>16</v>
      </c>
      <c r="G3371" s="35">
        <v>1.2E-2</v>
      </c>
    </row>
    <row r="3372" spans="1:7" x14ac:dyDescent="0.25">
      <c r="A3372" s="20" t="s">
        <v>597</v>
      </c>
      <c r="B3372" s="20" t="s">
        <v>406</v>
      </c>
      <c r="C3372" s="20" t="s">
        <v>406</v>
      </c>
      <c r="D3372" s="20" t="s">
        <v>1564</v>
      </c>
      <c r="E3372" s="27">
        <v>1</v>
      </c>
      <c r="F3372" s="27">
        <v>1</v>
      </c>
      <c r="G3372" s="29">
        <v>0.24562999999999999</v>
      </c>
    </row>
    <row r="3373" spans="1:7" x14ac:dyDescent="0.25">
      <c r="A3373" s="20" t="s">
        <v>597</v>
      </c>
      <c r="B3373" s="20" t="s">
        <v>407</v>
      </c>
      <c r="C3373" s="20" t="s">
        <v>407</v>
      </c>
      <c r="D3373" s="20" t="s">
        <v>1564</v>
      </c>
      <c r="E3373" s="27">
        <v>42</v>
      </c>
      <c r="F3373" s="27">
        <v>42</v>
      </c>
      <c r="G3373" s="31">
        <v>0.04</v>
      </c>
    </row>
    <row r="3374" spans="1:7" x14ac:dyDescent="0.25">
      <c r="A3374" s="20" t="s">
        <v>597</v>
      </c>
      <c r="B3374" s="20" t="s">
        <v>408</v>
      </c>
      <c r="C3374" s="20" t="s">
        <v>408</v>
      </c>
      <c r="D3374" s="20" t="s">
        <v>1564</v>
      </c>
      <c r="E3374" s="27">
        <v>30</v>
      </c>
      <c r="F3374" s="27">
        <v>30</v>
      </c>
      <c r="G3374" s="29">
        <v>4.7980000000000002E-2</v>
      </c>
    </row>
    <row r="3375" spans="1:7" ht="22.5" x14ac:dyDescent="0.25">
      <c r="A3375" s="20" t="s">
        <v>597</v>
      </c>
      <c r="B3375" s="20" t="s">
        <v>410</v>
      </c>
      <c r="C3375" s="20" t="s">
        <v>410</v>
      </c>
      <c r="D3375" s="20" t="s">
        <v>1564</v>
      </c>
      <c r="E3375" s="27">
        <v>1</v>
      </c>
      <c r="F3375" s="27">
        <v>1</v>
      </c>
      <c r="G3375" s="35">
        <v>4.8000000000000001E-2</v>
      </c>
    </row>
    <row r="3376" spans="1:7" x14ac:dyDescent="0.25">
      <c r="A3376" s="20" t="s">
        <v>597</v>
      </c>
      <c r="B3376" s="20" t="s">
        <v>425</v>
      </c>
      <c r="C3376" s="20" t="s">
        <v>1580</v>
      </c>
      <c r="D3376" s="20" t="s">
        <v>1564</v>
      </c>
      <c r="E3376" s="27">
        <v>8</v>
      </c>
      <c r="F3376" s="27">
        <v>8</v>
      </c>
      <c r="G3376" s="35">
        <v>1.4E-2</v>
      </c>
    </row>
    <row r="3377" spans="1:7" x14ac:dyDescent="0.25">
      <c r="A3377" s="20" t="s">
        <v>597</v>
      </c>
      <c r="B3377" s="20" t="s">
        <v>426</v>
      </c>
      <c r="C3377" s="20" t="s">
        <v>1581</v>
      </c>
      <c r="D3377" s="20" t="s">
        <v>1564</v>
      </c>
      <c r="E3377" s="27">
        <v>1</v>
      </c>
      <c r="F3377" s="27">
        <v>1</v>
      </c>
      <c r="G3377" s="35">
        <v>1.4E-2</v>
      </c>
    </row>
    <row r="3378" spans="1:7" ht="22.5" x14ac:dyDescent="0.25">
      <c r="A3378" s="20" t="s">
        <v>597</v>
      </c>
      <c r="B3378" s="20" t="s">
        <v>431</v>
      </c>
      <c r="C3378" s="20" t="s">
        <v>431</v>
      </c>
      <c r="D3378" s="20" t="s">
        <v>1564</v>
      </c>
      <c r="E3378" s="27">
        <v>1</v>
      </c>
      <c r="F3378" s="27">
        <v>1</v>
      </c>
      <c r="G3378" s="22"/>
    </row>
    <row r="3379" spans="1:7" ht="22.5" x14ac:dyDescent="0.25">
      <c r="A3379" s="20" t="s">
        <v>597</v>
      </c>
      <c r="B3379" s="20" t="s">
        <v>432</v>
      </c>
      <c r="C3379" s="20" t="s">
        <v>432</v>
      </c>
      <c r="D3379" s="20" t="s">
        <v>1564</v>
      </c>
      <c r="E3379" s="27">
        <v>1</v>
      </c>
      <c r="F3379" s="27">
        <v>1</v>
      </c>
      <c r="G3379" s="29">
        <v>0.56821999999999995</v>
      </c>
    </row>
    <row r="3380" spans="1:7" x14ac:dyDescent="0.25">
      <c r="A3380" s="20" t="s">
        <v>597</v>
      </c>
      <c r="B3380" s="20" t="s">
        <v>435</v>
      </c>
      <c r="C3380" s="20" t="s">
        <v>435</v>
      </c>
      <c r="D3380" s="20" t="s">
        <v>1564</v>
      </c>
      <c r="E3380" s="27">
        <v>36</v>
      </c>
      <c r="F3380" s="27">
        <v>36</v>
      </c>
      <c r="G3380" s="29">
        <v>4.6339999999999999E-2</v>
      </c>
    </row>
    <row r="3381" spans="1:7" x14ac:dyDescent="0.25">
      <c r="A3381" s="20" t="s">
        <v>597</v>
      </c>
      <c r="B3381" s="20" t="s">
        <v>436</v>
      </c>
      <c r="C3381" s="20" t="s">
        <v>436</v>
      </c>
      <c r="D3381" s="20" t="s">
        <v>1564</v>
      </c>
      <c r="E3381" s="27">
        <v>1</v>
      </c>
      <c r="F3381" s="27">
        <v>1</v>
      </c>
      <c r="G3381" s="29">
        <v>0.72323000000000004</v>
      </c>
    </row>
    <row r="3382" spans="1:7" ht="22.5" x14ac:dyDescent="0.25">
      <c r="A3382" s="20" t="s">
        <v>597</v>
      </c>
      <c r="B3382" s="20" t="s">
        <v>443</v>
      </c>
      <c r="C3382" s="20" t="s">
        <v>443</v>
      </c>
      <c r="D3382" s="20" t="s">
        <v>1564</v>
      </c>
      <c r="E3382" s="27">
        <v>1</v>
      </c>
      <c r="F3382" s="27">
        <v>1</v>
      </c>
      <c r="G3382" s="31">
        <v>0.57999999999999996</v>
      </c>
    </row>
    <row r="3383" spans="1:7" x14ac:dyDescent="0.25">
      <c r="A3383" s="20" t="s">
        <v>597</v>
      </c>
      <c r="B3383" s="20" t="s">
        <v>448</v>
      </c>
      <c r="C3383" s="20" t="s">
        <v>448</v>
      </c>
      <c r="D3383" s="20" t="s">
        <v>1564</v>
      </c>
      <c r="E3383" s="27">
        <v>1</v>
      </c>
      <c r="F3383" s="27">
        <v>1</v>
      </c>
      <c r="G3383" s="29">
        <v>18.50883</v>
      </c>
    </row>
    <row r="3384" spans="1:7" x14ac:dyDescent="0.25">
      <c r="A3384" s="20" t="s">
        <v>597</v>
      </c>
      <c r="B3384" s="20" t="s">
        <v>450</v>
      </c>
      <c r="C3384" s="20" t="s">
        <v>450</v>
      </c>
      <c r="D3384" s="20" t="s">
        <v>1564</v>
      </c>
      <c r="E3384" s="27">
        <v>400</v>
      </c>
      <c r="F3384" s="27">
        <v>400</v>
      </c>
      <c r="G3384" s="29">
        <v>1.4999999999999999E-4</v>
      </c>
    </row>
    <row r="3385" spans="1:7" x14ac:dyDescent="0.25">
      <c r="A3385" s="20" t="s">
        <v>597</v>
      </c>
      <c r="B3385" s="20" t="s">
        <v>454</v>
      </c>
      <c r="C3385" s="20" t="s">
        <v>454</v>
      </c>
      <c r="D3385" s="20" t="s">
        <v>1564</v>
      </c>
      <c r="E3385" s="27">
        <v>6</v>
      </c>
      <c r="F3385" s="27">
        <v>6</v>
      </c>
      <c r="G3385" s="22"/>
    </row>
    <row r="3386" spans="1:7" ht="22.5" x14ac:dyDescent="0.25">
      <c r="A3386" s="20" t="s">
        <v>597</v>
      </c>
      <c r="B3386" s="20" t="s">
        <v>455</v>
      </c>
      <c r="C3386" s="20" t="s">
        <v>455</v>
      </c>
      <c r="D3386" s="20" t="s">
        <v>1564</v>
      </c>
      <c r="E3386" s="27">
        <v>3</v>
      </c>
      <c r="F3386" s="27">
        <v>3</v>
      </c>
      <c r="G3386" s="22"/>
    </row>
    <row r="3387" spans="1:7" ht="22.5" x14ac:dyDescent="0.25">
      <c r="A3387" s="20" t="s">
        <v>597</v>
      </c>
      <c r="B3387" s="20" t="s">
        <v>456</v>
      </c>
      <c r="C3387" s="20" t="s">
        <v>456</v>
      </c>
      <c r="D3387" s="20" t="s">
        <v>1564</v>
      </c>
      <c r="E3387" s="27">
        <v>1</v>
      </c>
      <c r="F3387" s="27">
        <v>1</v>
      </c>
      <c r="G3387" s="35">
        <v>0.81499999999999995</v>
      </c>
    </row>
    <row r="3388" spans="1:7" ht="22.5" x14ac:dyDescent="0.25">
      <c r="A3388" s="20" t="s">
        <v>597</v>
      </c>
      <c r="B3388" s="20" t="s">
        <v>1582</v>
      </c>
      <c r="C3388" s="20" t="s">
        <v>1582</v>
      </c>
      <c r="D3388" s="20" t="s">
        <v>1564</v>
      </c>
      <c r="E3388" s="27">
        <v>1</v>
      </c>
      <c r="F3388" s="27">
        <v>1</v>
      </c>
      <c r="G3388" s="35">
        <v>1.9E-2</v>
      </c>
    </row>
    <row r="3389" spans="1:7" ht="22.5" x14ac:dyDescent="0.25">
      <c r="A3389" s="20" t="s">
        <v>597</v>
      </c>
      <c r="B3389" s="20" t="s">
        <v>461</v>
      </c>
      <c r="C3389" s="20" t="s">
        <v>461</v>
      </c>
      <c r="D3389" s="20" t="s">
        <v>1564</v>
      </c>
      <c r="E3389" s="27">
        <v>10</v>
      </c>
      <c r="F3389" s="27">
        <v>10</v>
      </c>
      <c r="G3389" s="35">
        <v>1.9E-2</v>
      </c>
    </row>
    <row r="3390" spans="1:7" ht="22.5" x14ac:dyDescent="0.25">
      <c r="A3390" s="20" t="s">
        <v>597</v>
      </c>
      <c r="B3390" s="20" t="s">
        <v>462</v>
      </c>
      <c r="C3390" s="20" t="s">
        <v>462</v>
      </c>
      <c r="D3390" s="20" t="s">
        <v>1564</v>
      </c>
      <c r="E3390" s="27">
        <v>9</v>
      </c>
      <c r="F3390" s="27">
        <v>9</v>
      </c>
      <c r="G3390" s="35">
        <v>1.9E-2</v>
      </c>
    </row>
    <row r="3391" spans="1:7" x14ac:dyDescent="0.25">
      <c r="A3391" s="20" t="s">
        <v>597</v>
      </c>
      <c r="B3391" s="20" t="s">
        <v>463</v>
      </c>
      <c r="C3391" s="20" t="s">
        <v>463</v>
      </c>
      <c r="D3391" s="20" t="s">
        <v>1564</v>
      </c>
      <c r="E3391" s="27">
        <v>6</v>
      </c>
      <c r="F3391" s="27">
        <v>6</v>
      </c>
      <c r="G3391" s="29">
        <v>2.0899999999999998E-3</v>
      </c>
    </row>
    <row r="3392" spans="1:7" x14ac:dyDescent="0.25">
      <c r="A3392" s="20" t="s">
        <v>597</v>
      </c>
      <c r="B3392" s="20" t="s">
        <v>466</v>
      </c>
      <c r="C3392" s="20" t="s">
        <v>466</v>
      </c>
      <c r="D3392" s="20" t="s">
        <v>1564</v>
      </c>
      <c r="E3392" s="27">
        <v>2</v>
      </c>
      <c r="F3392" s="27">
        <v>2</v>
      </c>
      <c r="G3392" s="35">
        <v>0.28299999999999997</v>
      </c>
    </row>
    <row r="3393" spans="1:7" x14ac:dyDescent="0.25">
      <c r="A3393" s="20" t="s">
        <v>597</v>
      </c>
      <c r="B3393" s="20" t="s">
        <v>467</v>
      </c>
      <c r="C3393" s="20" t="s">
        <v>467</v>
      </c>
      <c r="D3393" s="20" t="s">
        <v>1564</v>
      </c>
      <c r="E3393" s="27">
        <v>2</v>
      </c>
      <c r="F3393" s="27">
        <v>2</v>
      </c>
      <c r="G3393" s="31">
        <v>0.25</v>
      </c>
    </row>
    <row r="3394" spans="1:7" x14ac:dyDescent="0.25">
      <c r="A3394" s="20" t="s">
        <v>597</v>
      </c>
      <c r="B3394" s="20" t="s">
        <v>469</v>
      </c>
      <c r="C3394" s="20" t="s">
        <v>469</v>
      </c>
      <c r="D3394" s="20" t="s">
        <v>1564</v>
      </c>
      <c r="E3394" s="27">
        <v>1</v>
      </c>
      <c r="F3394" s="27">
        <v>1</v>
      </c>
      <c r="G3394" s="35">
        <v>6.9359999999999999</v>
      </c>
    </row>
    <row r="3395" spans="1:7" x14ac:dyDescent="0.25">
      <c r="A3395" s="20" t="s">
        <v>597</v>
      </c>
      <c r="B3395" s="20" t="s">
        <v>470</v>
      </c>
      <c r="C3395" s="20" t="s">
        <v>470</v>
      </c>
      <c r="D3395" s="20" t="s">
        <v>1564</v>
      </c>
      <c r="E3395" s="27">
        <v>10</v>
      </c>
      <c r="F3395" s="27">
        <v>10</v>
      </c>
      <c r="G3395" s="22"/>
    </row>
    <row r="3396" spans="1:7" x14ac:dyDescent="0.25">
      <c r="A3396" s="20" t="s">
        <v>597</v>
      </c>
      <c r="B3396" s="20" t="s">
        <v>476</v>
      </c>
      <c r="C3396" s="20" t="s">
        <v>476</v>
      </c>
      <c r="D3396" s="20" t="s">
        <v>1564</v>
      </c>
      <c r="E3396" s="27">
        <v>45</v>
      </c>
      <c r="F3396" s="27">
        <v>45</v>
      </c>
      <c r="G3396" s="22"/>
    </row>
    <row r="3397" spans="1:7" x14ac:dyDescent="0.25">
      <c r="A3397" s="20" t="s">
        <v>597</v>
      </c>
      <c r="B3397" s="20" t="s">
        <v>477</v>
      </c>
      <c r="C3397" s="20" t="s">
        <v>477</v>
      </c>
      <c r="D3397" s="20" t="s">
        <v>1564</v>
      </c>
      <c r="E3397" s="27">
        <v>45</v>
      </c>
      <c r="F3397" s="27">
        <v>45</v>
      </c>
      <c r="G3397" s="22"/>
    </row>
    <row r="3398" spans="1:7" x14ac:dyDescent="0.25">
      <c r="A3398" s="20" t="s">
        <v>597</v>
      </c>
      <c r="B3398" s="20" t="s">
        <v>478</v>
      </c>
      <c r="C3398" s="20" t="s">
        <v>478</v>
      </c>
      <c r="D3398" s="20" t="s">
        <v>1564</v>
      </c>
      <c r="E3398" s="27">
        <v>45</v>
      </c>
      <c r="F3398" s="27">
        <v>45</v>
      </c>
      <c r="G3398" s="22"/>
    </row>
    <row r="3399" spans="1:7" x14ac:dyDescent="0.25">
      <c r="A3399" s="20" t="s">
        <v>597</v>
      </c>
      <c r="B3399" s="20" t="s">
        <v>479</v>
      </c>
      <c r="C3399" s="20" t="s">
        <v>479</v>
      </c>
      <c r="D3399" s="20" t="s">
        <v>1564</v>
      </c>
      <c r="E3399" s="27">
        <v>45</v>
      </c>
      <c r="F3399" s="27">
        <v>45</v>
      </c>
      <c r="G3399" s="22"/>
    </row>
    <row r="3400" spans="1:7" x14ac:dyDescent="0.25">
      <c r="A3400" s="20" t="s">
        <v>597</v>
      </c>
      <c r="B3400" s="20" t="s">
        <v>481</v>
      </c>
      <c r="C3400" s="20" t="s">
        <v>481</v>
      </c>
      <c r="D3400" s="20" t="s">
        <v>1564</v>
      </c>
      <c r="E3400" s="27">
        <v>110</v>
      </c>
      <c r="F3400" s="27">
        <v>110</v>
      </c>
      <c r="G3400" s="22"/>
    </row>
    <row r="3401" spans="1:7" x14ac:dyDescent="0.25">
      <c r="A3401" s="20" t="s">
        <v>597</v>
      </c>
      <c r="B3401" s="20" t="s">
        <v>493</v>
      </c>
      <c r="C3401" s="20" t="s">
        <v>493</v>
      </c>
      <c r="D3401" s="20" t="s">
        <v>1564</v>
      </c>
      <c r="E3401" s="27">
        <v>1</v>
      </c>
      <c r="F3401" s="27">
        <v>1</v>
      </c>
      <c r="G3401" s="35">
        <v>1E-3</v>
      </c>
    </row>
    <row r="3402" spans="1:7" x14ac:dyDescent="0.25">
      <c r="A3402" s="20" t="s">
        <v>597</v>
      </c>
      <c r="B3402" s="20" t="s">
        <v>496</v>
      </c>
      <c r="C3402" s="20" t="s">
        <v>496</v>
      </c>
      <c r="D3402" s="20" t="s">
        <v>1564</v>
      </c>
      <c r="E3402" s="27">
        <v>2</v>
      </c>
      <c r="F3402" s="27">
        <v>2</v>
      </c>
      <c r="G3402" s="35">
        <v>2E-3</v>
      </c>
    </row>
    <row r="3403" spans="1:7" x14ac:dyDescent="0.25">
      <c r="A3403" s="20" t="s">
        <v>597</v>
      </c>
      <c r="B3403" s="20" t="s">
        <v>497</v>
      </c>
      <c r="C3403" s="20" t="s">
        <v>497</v>
      </c>
      <c r="D3403" s="20" t="s">
        <v>1564</v>
      </c>
      <c r="E3403" s="27">
        <v>2</v>
      </c>
      <c r="F3403" s="27">
        <v>2</v>
      </c>
      <c r="G3403" s="35">
        <v>0.106</v>
      </c>
    </row>
    <row r="3404" spans="1:7" x14ac:dyDescent="0.25">
      <c r="A3404" s="20" t="s">
        <v>597</v>
      </c>
      <c r="B3404" s="20" t="s">
        <v>499</v>
      </c>
      <c r="C3404" s="20" t="s">
        <v>499</v>
      </c>
      <c r="D3404" s="20" t="s">
        <v>1564</v>
      </c>
      <c r="E3404" s="27">
        <v>1</v>
      </c>
      <c r="F3404" s="27">
        <v>1</v>
      </c>
      <c r="G3404" s="29">
        <v>6.9849999999999995E-2</v>
      </c>
    </row>
    <row r="3405" spans="1:7" x14ac:dyDescent="0.25">
      <c r="A3405" s="20" t="s">
        <v>597</v>
      </c>
      <c r="B3405" s="20" t="s">
        <v>506</v>
      </c>
      <c r="C3405" s="20" t="s">
        <v>506</v>
      </c>
      <c r="D3405" s="20" t="s">
        <v>1564</v>
      </c>
      <c r="E3405" s="27">
        <v>20</v>
      </c>
      <c r="F3405" s="27">
        <v>20</v>
      </c>
      <c r="G3405" s="29">
        <v>6.812E-2</v>
      </c>
    </row>
    <row r="3406" spans="1:7" x14ac:dyDescent="0.25">
      <c r="A3406" s="20" t="s">
        <v>597</v>
      </c>
      <c r="B3406" s="20" t="s">
        <v>507</v>
      </c>
      <c r="C3406" s="20" t="s">
        <v>507</v>
      </c>
      <c r="D3406" s="20" t="s">
        <v>1564</v>
      </c>
      <c r="E3406" s="27">
        <v>16</v>
      </c>
      <c r="F3406" s="27">
        <v>16</v>
      </c>
      <c r="G3406" s="31">
        <v>0.01</v>
      </c>
    </row>
    <row r="3407" spans="1:7" x14ac:dyDescent="0.25">
      <c r="A3407" s="20" t="s">
        <v>597</v>
      </c>
      <c r="B3407" s="20" t="s">
        <v>508</v>
      </c>
      <c r="C3407" s="20" t="s">
        <v>508</v>
      </c>
      <c r="D3407" s="20" t="s">
        <v>1564</v>
      </c>
      <c r="E3407" s="27">
        <v>1</v>
      </c>
      <c r="F3407" s="27">
        <v>1</v>
      </c>
      <c r="G3407" s="29">
        <v>8.1553599999999999</v>
      </c>
    </row>
    <row r="3408" spans="1:7" ht="22.5" x14ac:dyDescent="0.25">
      <c r="A3408" s="20" t="s">
        <v>597</v>
      </c>
      <c r="B3408" s="20" t="s">
        <v>509</v>
      </c>
      <c r="C3408" s="20" t="s">
        <v>509</v>
      </c>
      <c r="D3408" s="20" t="s">
        <v>1564</v>
      </c>
      <c r="E3408" s="27">
        <v>2</v>
      </c>
      <c r="F3408" s="27">
        <v>2</v>
      </c>
      <c r="G3408" s="35">
        <v>8.6999999999999994E-2</v>
      </c>
    </row>
    <row r="3409" spans="1:7" x14ac:dyDescent="0.25">
      <c r="A3409" s="20" t="s">
        <v>597</v>
      </c>
      <c r="B3409" s="20" t="s">
        <v>511</v>
      </c>
      <c r="C3409" s="20" t="s">
        <v>511</v>
      </c>
      <c r="D3409" s="20" t="s">
        <v>1564</v>
      </c>
      <c r="E3409" s="27">
        <v>300</v>
      </c>
      <c r="F3409" s="27">
        <v>300</v>
      </c>
      <c r="G3409" s="22"/>
    </row>
    <row r="3410" spans="1:7" x14ac:dyDescent="0.25">
      <c r="A3410" s="20" t="s">
        <v>597</v>
      </c>
      <c r="B3410" s="20" t="s">
        <v>1583</v>
      </c>
      <c r="C3410" s="20" t="s">
        <v>1583</v>
      </c>
      <c r="D3410" s="20" t="s">
        <v>1564</v>
      </c>
      <c r="E3410" s="27">
        <v>1</v>
      </c>
      <c r="F3410" s="27">
        <v>1</v>
      </c>
      <c r="G3410" s="29">
        <v>1.018E-2</v>
      </c>
    </row>
    <row r="3411" spans="1:7" x14ac:dyDescent="0.25">
      <c r="A3411" s="20" t="s">
        <v>597</v>
      </c>
      <c r="B3411" s="20" t="s">
        <v>512</v>
      </c>
      <c r="C3411" s="20" t="s">
        <v>512</v>
      </c>
      <c r="D3411" s="20" t="s">
        <v>1564</v>
      </c>
      <c r="E3411" s="27">
        <v>1</v>
      </c>
      <c r="F3411" s="27">
        <v>1</v>
      </c>
      <c r="G3411" s="29">
        <v>5.9409999999999998E-2</v>
      </c>
    </row>
    <row r="3412" spans="1:7" x14ac:dyDescent="0.25">
      <c r="A3412" s="20" t="s">
        <v>597</v>
      </c>
      <c r="B3412" s="20" t="s">
        <v>513</v>
      </c>
      <c r="C3412" s="20" t="s">
        <v>513</v>
      </c>
      <c r="D3412" s="20" t="s">
        <v>1564</v>
      </c>
      <c r="E3412" s="27">
        <v>8</v>
      </c>
      <c r="F3412" s="27">
        <v>8</v>
      </c>
      <c r="G3412" s="29">
        <v>1.9539999999999998E-2</v>
      </c>
    </row>
    <row r="3413" spans="1:7" x14ac:dyDescent="0.25">
      <c r="A3413" s="20" t="s">
        <v>597</v>
      </c>
      <c r="B3413" s="20" t="s">
        <v>515</v>
      </c>
      <c r="C3413" s="20" t="s">
        <v>515</v>
      </c>
      <c r="D3413" s="20" t="s">
        <v>1564</v>
      </c>
      <c r="E3413" s="27">
        <v>1</v>
      </c>
      <c r="F3413" s="27">
        <v>1</v>
      </c>
      <c r="G3413" s="35">
        <v>6.8000000000000005E-2</v>
      </c>
    </row>
    <row r="3414" spans="1:7" x14ac:dyDescent="0.25">
      <c r="A3414" s="20" t="s">
        <v>597</v>
      </c>
      <c r="B3414" s="20" t="s">
        <v>518</v>
      </c>
      <c r="C3414" s="20" t="s">
        <v>518</v>
      </c>
      <c r="D3414" s="20" t="s">
        <v>1564</v>
      </c>
      <c r="E3414" s="33">
        <v>1.2</v>
      </c>
      <c r="F3414" s="33">
        <v>1.2</v>
      </c>
      <c r="G3414" s="22"/>
    </row>
    <row r="3415" spans="1:7" x14ac:dyDescent="0.25">
      <c r="A3415" s="20" t="s">
        <v>597</v>
      </c>
      <c r="B3415" s="20" t="s">
        <v>523</v>
      </c>
      <c r="C3415" s="20" t="s">
        <v>523</v>
      </c>
      <c r="D3415" s="20" t="s">
        <v>1564</v>
      </c>
      <c r="E3415" s="27">
        <v>13</v>
      </c>
      <c r="F3415" s="27">
        <v>13</v>
      </c>
      <c r="G3415" s="29">
        <v>1.5689999999999999E-2</v>
      </c>
    </row>
    <row r="3416" spans="1:7" x14ac:dyDescent="0.25">
      <c r="A3416" s="20" t="s">
        <v>597</v>
      </c>
      <c r="B3416" s="20" t="s">
        <v>524</v>
      </c>
      <c r="C3416" s="20" t="s">
        <v>524</v>
      </c>
      <c r="D3416" s="20" t="s">
        <v>1564</v>
      </c>
      <c r="E3416" s="27">
        <v>2</v>
      </c>
      <c r="F3416" s="27">
        <v>2</v>
      </c>
      <c r="G3416" s="28">
        <v>2.5999999999999999E-3</v>
      </c>
    </row>
    <row r="3417" spans="1:7" x14ac:dyDescent="0.25">
      <c r="A3417" s="20" t="s">
        <v>597</v>
      </c>
      <c r="B3417" s="20" t="s">
        <v>525</v>
      </c>
      <c r="C3417" s="20" t="s">
        <v>525</v>
      </c>
      <c r="D3417" s="20" t="s">
        <v>1564</v>
      </c>
      <c r="E3417" s="27">
        <v>24</v>
      </c>
      <c r="F3417" s="27">
        <v>24</v>
      </c>
      <c r="G3417" s="29">
        <v>2.743E-2</v>
      </c>
    </row>
    <row r="3418" spans="1:7" x14ac:dyDescent="0.25">
      <c r="A3418" s="20" t="s">
        <v>597</v>
      </c>
      <c r="B3418" s="20" t="s">
        <v>533</v>
      </c>
      <c r="C3418" s="20" t="s">
        <v>533</v>
      </c>
      <c r="D3418" s="20" t="s">
        <v>1564</v>
      </c>
      <c r="E3418" s="27">
        <v>2</v>
      </c>
      <c r="F3418" s="27">
        <v>2</v>
      </c>
      <c r="G3418" s="22"/>
    </row>
    <row r="3419" spans="1:7" ht="22.5" x14ac:dyDescent="0.25">
      <c r="A3419" s="20" t="s">
        <v>597</v>
      </c>
      <c r="B3419" s="20" t="s">
        <v>539</v>
      </c>
      <c r="C3419" s="20" t="s">
        <v>539</v>
      </c>
      <c r="D3419" s="20" t="s">
        <v>1564</v>
      </c>
      <c r="E3419" s="27">
        <v>1</v>
      </c>
      <c r="F3419" s="27">
        <v>1</v>
      </c>
      <c r="G3419" s="29">
        <v>1.8880000000000001E-2</v>
      </c>
    </row>
    <row r="3420" spans="1:7" x14ac:dyDescent="0.25">
      <c r="A3420" s="20" t="s">
        <v>588</v>
      </c>
      <c r="B3420" s="20" t="s">
        <v>387</v>
      </c>
      <c r="C3420" s="20" t="s">
        <v>387</v>
      </c>
      <c r="D3420" s="20" t="s">
        <v>1577</v>
      </c>
      <c r="E3420" s="27">
        <v>1</v>
      </c>
      <c r="F3420" s="27">
        <v>1</v>
      </c>
      <c r="G3420" s="22"/>
    </row>
    <row r="3421" spans="1:7" x14ac:dyDescent="0.25">
      <c r="A3421" s="20" t="s">
        <v>588</v>
      </c>
      <c r="B3421" s="20" t="s">
        <v>541</v>
      </c>
      <c r="C3421" s="20" t="s">
        <v>541</v>
      </c>
      <c r="D3421" s="20" t="s">
        <v>1578</v>
      </c>
      <c r="E3421" s="27">
        <v>1</v>
      </c>
      <c r="F3421" s="27">
        <v>1</v>
      </c>
      <c r="G3421" s="22"/>
    </row>
    <row r="3422" spans="1:7" x14ac:dyDescent="0.25">
      <c r="A3422" s="20" t="s">
        <v>595</v>
      </c>
      <c r="B3422" s="20" t="s">
        <v>1584</v>
      </c>
      <c r="C3422" s="20" t="s">
        <v>1584</v>
      </c>
      <c r="D3422" s="20" t="s">
        <v>748</v>
      </c>
      <c r="E3422" s="27">
        <v>4</v>
      </c>
      <c r="F3422" s="27">
        <v>4</v>
      </c>
      <c r="G3422" s="29">
        <v>0.54339000000000004</v>
      </c>
    </row>
    <row r="3423" spans="1:7" x14ac:dyDescent="0.25">
      <c r="A3423" s="20" t="s">
        <v>588</v>
      </c>
      <c r="B3423" s="20" t="s">
        <v>67</v>
      </c>
      <c r="C3423" s="20" t="s">
        <v>67</v>
      </c>
      <c r="D3423" s="20" t="s">
        <v>748</v>
      </c>
      <c r="E3423" s="25">
        <v>0.03</v>
      </c>
      <c r="F3423" s="25">
        <v>0.03</v>
      </c>
      <c r="G3423" s="22"/>
    </row>
    <row r="3424" spans="1:7" x14ac:dyDescent="0.25">
      <c r="A3424" s="20" t="s">
        <v>588</v>
      </c>
      <c r="B3424" s="20" t="s">
        <v>146</v>
      </c>
      <c r="C3424" s="20" t="s">
        <v>146</v>
      </c>
      <c r="D3424" s="20" t="s">
        <v>748</v>
      </c>
      <c r="E3424" s="24">
        <v>1.4999999999999999E-2</v>
      </c>
      <c r="F3424" s="24">
        <v>1.4999999999999999E-2</v>
      </c>
      <c r="G3424" s="22"/>
    </row>
    <row r="3425" spans="1:7" x14ac:dyDescent="0.25">
      <c r="A3425" s="20" t="s">
        <v>588</v>
      </c>
      <c r="B3425" s="20" t="s">
        <v>187</v>
      </c>
      <c r="C3425" s="20" t="s">
        <v>187</v>
      </c>
      <c r="D3425" s="20" t="s">
        <v>1584</v>
      </c>
      <c r="E3425" s="33">
        <v>0.6</v>
      </c>
      <c r="F3425" s="33">
        <v>2.4</v>
      </c>
      <c r="G3425" s="22"/>
    </row>
    <row r="3426" spans="1:7" x14ac:dyDescent="0.25">
      <c r="A3426" s="20" t="s">
        <v>588</v>
      </c>
      <c r="B3426" s="20" t="s">
        <v>86</v>
      </c>
      <c r="C3426" s="20" t="s">
        <v>86</v>
      </c>
      <c r="D3426" s="20" t="s">
        <v>1585</v>
      </c>
      <c r="E3426" s="24">
        <v>0.19600000000000001</v>
      </c>
      <c r="F3426" s="24">
        <v>0.39200000000000002</v>
      </c>
      <c r="G3426" s="22"/>
    </row>
    <row r="3427" spans="1:7" x14ac:dyDescent="0.25">
      <c r="A3427" s="20" t="s">
        <v>595</v>
      </c>
      <c r="B3427" s="20" t="s">
        <v>1586</v>
      </c>
      <c r="C3427" s="20" t="s">
        <v>1586</v>
      </c>
      <c r="D3427" s="20" t="s">
        <v>1587</v>
      </c>
      <c r="E3427" s="27">
        <v>2</v>
      </c>
      <c r="F3427" s="27">
        <v>2</v>
      </c>
      <c r="G3427" s="28">
        <v>0.37680000000000002</v>
      </c>
    </row>
    <row r="3428" spans="1:7" x14ac:dyDescent="0.25">
      <c r="A3428" s="20" t="s">
        <v>595</v>
      </c>
      <c r="B3428" s="20" t="s">
        <v>1588</v>
      </c>
      <c r="C3428" s="20" t="s">
        <v>1588</v>
      </c>
      <c r="D3428" s="20" t="s">
        <v>1587</v>
      </c>
      <c r="E3428" s="27">
        <v>1</v>
      </c>
      <c r="F3428" s="27">
        <v>1</v>
      </c>
      <c r="G3428" s="35">
        <v>0.17599999999999999</v>
      </c>
    </row>
    <row r="3429" spans="1:7" x14ac:dyDescent="0.25">
      <c r="A3429" s="20" t="s">
        <v>595</v>
      </c>
      <c r="B3429" s="20" t="s">
        <v>1589</v>
      </c>
      <c r="C3429" s="20" t="s">
        <v>1589</v>
      </c>
      <c r="D3429" s="20" t="s">
        <v>1587</v>
      </c>
      <c r="E3429" s="27">
        <v>1</v>
      </c>
      <c r="F3429" s="27">
        <v>1</v>
      </c>
      <c r="G3429" s="35">
        <v>0.17599999999999999</v>
      </c>
    </row>
    <row r="3430" spans="1:7" x14ac:dyDescent="0.25">
      <c r="A3430" s="20" t="s">
        <v>588</v>
      </c>
      <c r="B3430" s="20" t="s">
        <v>67</v>
      </c>
      <c r="C3430" s="20" t="s">
        <v>67</v>
      </c>
      <c r="D3430" s="20" t="s">
        <v>1587</v>
      </c>
      <c r="E3430" s="24">
        <v>8.3000000000000004E-2</v>
      </c>
      <c r="F3430" s="24">
        <v>8.3000000000000004E-2</v>
      </c>
      <c r="G3430" s="22"/>
    </row>
    <row r="3431" spans="1:7" x14ac:dyDescent="0.25">
      <c r="A3431" s="20" t="s">
        <v>588</v>
      </c>
      <c r="B3431" s="20" t="s">
        <v>146</v>
      </c>
      <c r="C3431" s="20" t="s">
        <v>146</v>
      </c>
      <c r="D3431" s="20" t="s">
        <v>1587</v>
      </c>
      <c r="E3431" s="24">
        <v>4.9000000000000002E-2</v>
      </c>
      <c r="F3431" s="24">
        <v>4.9000000000000002E-2</v>
      </c>
      <c r="G3431" s="22"/>
    </row>
    <row r="3432" spans="1:7" x14ac:dyDescent="0.25">
      <c r="A3432" s="20" t="s">
        <v>588</v>
      </c>
      <c r="B3432" s="20" t="s">
        <v>110</v>
      </c>
      <c r="C3432" s="20" t="s">
        <v>110</v>
      </c>
      <c r="D3432" s="20" t="s">
        <v>1586</v>
      </c>
      <c r="E3432" s="24">
        <v>0.45200000000000001</v>
      </c>
      <c r="F3432" s="24">
        <v>0.90400000000000003</v>
      </c>
      <c r="G3432" s="22"/>
    </row>
    <row r="3433" spans="1:7" x14ac:dyDescent="0.25">
      <c r="A3433" s="20" t="s">
        <v>588</v>
      </c>
      <c r="B3433" s="20" t="s">
        <v>72</v>
      </c>
      <c r="C3433" s="20" t="s">
        <v>72</v>
      </c>
      <c r="D3433" s="20" t="s">
        <v>1588</v>
      </c>
      <c r="E3433" s="24">
        <v>0.23300000000000001</v>
      </c>
      <c r="F3433" s="24">
        <v>0.23300000000000001</v>
      </c>
      <c r="G3433" s="22"/>
    </row>
    <row r="3434" spans="1:7" x14ac:dyDescent="0.25">
      <c r="A3434" s="20" t="s">
        <v>588</v>
      </c>
      <c r="B3434" s="20" t="s">
        <v>72</v>
      </c>
      <c r="C3434" s="20" t="s">
        <v>72</v>
      </c>
      <c r="D3434" s="20" t="s">
        <v>1589</v>
      </c>
      <c r="E3434" s="24">
        <v>0.23300000000000001</v>
      </c>
      <c r="F3434" s="24">
        <v>0.23300000000000001</v>
      </c>
      <c r="G3434" s="22"/>
    </row>
    <row r="3435" spans="1:7" x14ac:dyDescent="0.25">
      <c r="A3435" s="20" t="s">
        <v>595</v>
      </c>
      <c r="B3435" s="20" t="s">
        <v>1590</v>
      </c>
      <c r="C3435" s="20" t="s">
        <v>1590</v>
      </c>
      <c r="D3435" s="20" t="s">
        <v>1591</v>
      </c>
      <c r="E3435" s="27">
        <v>1</v>
      </c>
      <c r="F3435" s="27">
        <v>1</v>
      </c>
      <c r="G3435" s="29">
        <v>0.24296000000000001</v>
      </c>
    </row>
    <row r="3436" spans="1:7" x14ac:dyDescent="0.25">
      <c r="A3436" s="20" t="s">
        <v>595</v>
      </c>
      <c r="B3436" s="20" t="s">
        <v>1592</v>
      </c>
      <c r="C3436" s="20" t="s">
        <v>1592</v>
      </c>
      <c r="D3436" s="20" t="s">
        <v>1591</v>
      </c>
      <c r="E3436" s="27">
        <v>1</v>
      </c>
      <c r="F3436" s="27">
        <v>1</v>
      </c>
      <c r="G3436" s="29">
        <v>0.43381999999999998</v>
      </c>
    </row>
    <row r="3437" spans="1:7" x14ac:dyDescent="0.25">
      <c r="A3437" s="20" t="s">
        <v>588</v>
      </c>
      <c r="B3437" s="20" t="s">
        <v>67</v>
      </c>
      <c r="C3437" s="20" t="s">
        <v>67</v>
      </c>
      <c r="D3437" s="20" t="s">
        <v>1591</v>
      </c>
      <c r="E3437" s="24">
        <v>2.5999999999999999E-2</v>
      </c>
      <c r="F3437" s="24">
        <v>2.5999999999999999E-2</v>
      </c>
      <c r="G3437" s="22"/>
    </row>
    <row r="3438" spans="1:7" x14ac:dyDescent="0.25">
      <c r="A3438" s="20" t="s">
        <v>588</v>
      </c>
      <c r="B3438" s="20" t="s">
        <v>146</v>
      </c>
      <c r="C3438" s="20" t="s">
        <v>146</v>
      </c>
      <c r="D3438" s="20" t="s">
        <v>1591</v>
      </c>
      <c r="E3438" s="24">
        <v>1.4999999999999999E-2</v>
      </c>
      <c r="F3438" s="24">
        <v>1.4999999999999999E-2</v>
      </c>
      <c r="G3438" s="22"/>
    </row>
    <row r="3439" spans="1:7" x14ac:dyDescent="0.25">
      <c r="A3439" s="20" t="s">
        <v>595</v>
      </c>
      <c r="B3439" s="20" t="s">
        <v>1590</v>
      </c>
      <c r="C3439" s="20" t="s">
        <v>1590</v>
      </c>
      <c r="D3439" s="20" t="s">
        <v>1593</v>
      </c>
      <c r="E3439" s="27">
        <v>1</v>
      </c>
      <c r="F3439" s="27">
        <v>1</v>
      </c>
      <c r="G3439" s="29">
        <v>0.24296000000000001</v>
      </c>
    </row>
    <row r="3440" spans="1:7" x14ac:dyDescent="0.25">
      <c r="A3440" s="20" t="s">
        <v>595</v>
      </c>
      <c r="B3440" s="20" t="s">
        <v>1594</v>
      </c>
      <c r="C3440" s="20" t="s">
        <v>1594</v>
      </c>
      <c r="D3440" s="20" t="s">
        <v>1593</v>
      </c>
      <c r="E3440" s="27">
        <v>1</v>
      </c>
      <c r="F3440" s="27">
        <v>1</v>
      </c>
      <c r="G3440" s="29">
        <v>0.43381999999999998</v>
      </c>
    </row>
    <row r="3441" spans="1:7" x14ac:dyDescent="0.25">
      <c r="A3441" s="20" t="s">
        <v>588</v>
      </c>
      <c r="B3441" s="20" t="s">
        <v>67</v>
      </c>
      <c r="C3441" s="20" t="s">
        <v>67</v>
      </c>
      <c r="D3441" s="20" t="s">
        <v>1593</v>
      </c>
      <c r="E3441" s="24">
        <v>2.5999999999999999E-2</v>
      </c>
      <c r="F3441" s="24">
        <v>2.5999999999999999E-2</v>
      </c>
      <c r="G3441" s="22"/>
    </row>
    <row r="3442" spans="1:7" x14ac:dyDescent="0.25">
      <c r="A3442" s="20" t="s">
        <v>588</v>
      </c>
      <c r="B3442" s="20" t="s">
        <v>146</v>
      </c>
      <c r="C3442" s="20" t="s">
        <v>146</v>
      </c>
      <c r="D3442" s="20" t="s">
        <v>1593</v>
      </c>
      <c r="E3442" s="24">
        <v>1.4999999999999999E-2</v>
      </c>
      <c r="F3442" s="24">
        <v>1.4999999999999999E-2</v>
      </c>
      <c r="G3442" s="22"/>
    </row>
    <row r="3443" spans="1:7" x14ac:dyDescent="0.25">
      <c r="A3443" s="20" t="s">
        <v>588</v>
      </c>
      <c r="B3443" s="20" t="s">
        <v>811</v>
      </c>
      <c r="C3443" s="20" t="s">
        <v>257</v>
      </c>
      <c r="D3443" s="20" t="s">
        <v>1590</v>
      </c>
      <c r="E3443" s="24">
        <v>0.39200000000000002</v>
      </c>
      <c r="F3443" s="24">
        <v>0.78400000000000003</v>
      </c>
      <c r="G3443" s="22"/>
    </row>
    <row r="3444" spans="1:7" x14ac:dyDescent="0.25">
      <c r="A3444" s="20" t="s">
        <v>588</v>
      </c>
      <c r="B3444" s="20" t="s">
        <v>82</v>
      </c>
      <c r="C3444" s="20" t="s">
        <v>82</v>
      </c>
      <c r="D3444" s="20" t="s">
        <v>1592</v>
      </c>
      <c r="E3444" s="24">
        <v>0.439</v>
      </c>
      <c r="F3444" s="24">
        <v>0.439</v>
      </c>
      <c r="G3444" s="22"/>
    </row>
    <row r="3445" spans="1:7" x14ac:dyDescent="0.25">
      <c r="A3445" s="20" t="s">
        <v>588</v>
      </c>
      <c r="B3445" s="20" t="s">
        <v>82</v>
      </c>
      <c r="C3445" s="20" t="s">
        <v>82</v>
      </c>
      <c r="D3445" s="20" t="s">
        <v>1594</v>
      </c>
      <c r="E3445" s="24">
        <v>0.439</v>
      </c>
      <c r="F3445" s="24">
        <v>0.439</v>
      </c>
      <c r="G3445" s="22"/>
    </row>
    <row r="3446" spans="1:7" x14ac:dyDescent="0.25">
      <c r="A3446" s="20" t="s">
        <v>595</v>
      </c>
      <c r="B3446" s="20" t="s">
        <v>1595</v>
      </c>
      <c r="C3446" s="20" t="s">
        <v>1595</v>
      </c>
      <c r="D3446" s="20" t="s">
        <v>1596</v>
      </c>
      <c r="E3446" s="27">
        <v>1</v>
      </c>
      <c r="F3446" s="27">
        <v>1</v>
      </c>
      <c r="G3446" s="29">
        <v>0.13643</v>
      </c>
    </row>
    <row r="3447" spans="1:7" x14ac:dyDescent="0.25">
      <c r="A3447" s="20" t="s">
        <v>595</v>
      </c>
      <c r="B3447" s="20" t="s">
        <v>1597</v>
      </c>
      <c r="C3447" s="20" t="s">
        <v>1597</v>
      </c>
      <c r="D3447" s="20" t="s">
        <v>1596</v>
      </c>
      <c r="E3447" s="27">
        <v>2</v>
      </c>
      <c r="F3447" s="27">
        <v>2</v>
      </c>
      <c r="G3447" s="29">
        <v>5.849E-2</v>
      </c>
    </row>
    <row r="3448" spans="1:7" x14ac:dyDescent="0.25">
      <c r="A3448" s="20" t="s">
        <v>588</v>
      </c>
      <c r="B3448" s="20" t="s">
        <v>67</v>
      </c>
      <c r="C3448" s="20" t="s">
        <v>67</v>
      </c>
      <c r="D3448" s="20" t="s">
        <v>1596</v>
      </c>
      <c r="E3448" s="24">
        <v>3.9E-2</v>
      </c>
      <c r="F3448" s="24">
        <v>3.9E-2</v>
      </c>
      <c r="G3448" s="22"/>
    </row>
    <row r="3449" spans="1:7" x14ac:dyDescent="0.25">
      <c r="A3449" s="20" t="s">
        <v>588</v>
      </c>
      <c r="B3449" s="20" t="s">
        <v>146</v>
      </c>
      <c r="C3449" s="20" t="s">
        <v>146</v>
      </c>
      <c r="D3449" s="20" t="s">
        <v>1596</v>
      </c>
      <c r="E3449" s="24">
        <v>2.3E-2</v>
      </c>
      <c r="F3449" s="24">
        <v>2.3E-2</v>
      </c>
      <c r="G3449" s="22"/>
    </row>
    <row r="3450" spans="1:7" x14ac:dyDescent="0.25">
      <c r="A3450" s="20" t="s">
        <v>588</v>
      </c>
      <c r="B3450" s="20" t="s">
        <v>118</v>
      </c>
      <c r="C3450" s="20" t="s">
        <v>118</v>
      </c>
      <c r="D3450" s="20" t="s">
        <v>1595</v>
      </c>
      <c r="E3450" s="24">
        <v>0.23200000000000001</v>
      </c>
      <c r="F3450" s="24">
        <v>0.23200000000000001</v>
      </c>
      <c r="G3450" s="22"/>
    </row>
    <row r="3451" spans="1:7" x14ac:dyDescent="0.25">
      <c r="A3451" s="20" t="s">
        <v>588</v>
      </c>
      <c r="B3451" s="20" t="s">
        <v>118</v>
      </c>
      <c r="C3451" s="20" t="s">
        <v>118</v>
      </c>
      <c r="D3451" s="20" t="s">
        <v>1597</v>
      </c>
      <c r="E3451" s="24">
        <v>0.13200000000000001</v>
      </c>
      <c r="F3451" s="24">
        <v>0.26400000000000001</v>
      </c>
      <c r="G3451" s="22"/>
    </row>
    <row r="3452" spans="1:7" x14ac:dyDescent="0.25">
      <c r="A3452" s="20" t="s">
        <v>585</v>
      </c>
      <c r="B3452" s="20" t="s">
        <v>1587</v>
      </c>
      <c r="C3452" s="20" t="s">
        <v>1587</v>
      </c>
      <c r="D3452" s="20" t="s">
        <v>758</v>
      </c>
      <c r="E3452" s="27">
        <v>1</v>
      </c>
      <c r="F3452" s="27">
        <v>1</v>
      </c>
      <c r="G3452" s="28">
        <v>1.1055999999999999</v>
      </c>
    </row>
    <row r="3453" spans="1:7" x14ac:dyDescent="0.25">
      <c r="A3453" s="20" t="s">
        <v>585</v>
      </c>
      <c r="B3453" s="20" t="s">
        <v>1591</v>
      </c>
      <c r="C3453" s="20" t="s">
        <v>1591</v>
      </c>
      <c r="D3453" s="20" t="s">
        <v>758</v>
      </c>
      <c r="E3453" s="27">
        <v>1</v>
      </c>
      <c r="F3453" s="27">
        <v>1</v>
      </c>
      <c r="G3453" s="29">
        <v>0.67678000000000005</v>
      </c>
    </row>
    <row r="3454" spans="1:7" x14ac:dyDescent="0.25">
      <c r="A3454" s="20" t="s">
        <v>585</v>
      </c>
      <c r="B3454" s="20" t="s">
        <v>1593</v>
      </c>
      <c r="C3454" s="20" t="s">
        <v>1593</v>
      </c>
      <c r="D3454" s="20" t="s">
        <v>758</v>
      </c>
      <c r="E3454" s="27">
        <v>1</v>
      </c>
      <c r="F3454" s="27">
        <v>1</v>
      </c>
      <c r="G3454" s="29">
        <v>0.67678000000000005</v>
      </c>
    </row>
    <row r="3455" spans="1:7" x14ac:dyDescent="0.25">
      <c r="A3455" s="20" t="s">
        <v>585</v>
      </c>
      <c r="B3455" s="20" t="s">
        <v>1596</v>
      </c>
      <c r="C3455" s="20" t="s">
        <v>1596</v>
      </c>
      <c r="D3455" s="20" t="s">
        <v>758</v>
      </c>
      <c r="E3455" s="27">
        <v>1</v>
      </c>
      <c r="F3455" s="27">
        <v>1</v>
      </c>
      <c r="G3455" s="29">
        <v>0.25341000000000002</v>
      </c>
    </row>
    <row r="3456" spans="1:7" x14ac:dyDescent="0.25">
      <c r="A3456" s="20" t="s">
        <v>595</v>
      </c>
      <c r="B3456" s="20" t="s">
        <v>1585</v>
      </c>
      <c r="C3456" s="20" t="s">
        <v>1585</v>
      </c>
      <c r="D3456" s="20" t="s">
        <v>758</v>
      </c>
      <c r="E3456" s="27">
        <v>2</v>
      </c>
      <c r="F3456" s="27">
        <v>2</v>
      </c>
      <c r="G3456" s="29">
        <v>6.3969999999999999E-2</v>
      </c>
    </row>
    <row r="3457" spans="1:7" x14ac:dyDescent="0.25">
      <c r="A3457" s="20" t="s">
        <v>595</v>
      </c>
      <c r="B3457" s="20" t="s">
        <v>1598</v>
      </c>
      <c r="C3457" s="20" t="s">
        <v>1598</v>
      </c>
      <c r="D3457" s="20" t="s">
        <v>758</v>
      </c>
      <c r="E3457" s="27">
        <v>2</v>
      </c>
      <c r="F3457" s="27">
        <v>2</v>
      </c>
      <c r="G3457" s="29">
        <v>0.23215</v>
      </c>
    </row>
    <row r="3458" spans="1:7" ht="22.5" x14ac:dyDescent="0.25">
      <c r="A3458" s="20" t="s">
        <v>620</v>
      </c>
      <c r="B3458" s="20" t="s">
        <v>864</v>
      </c>
      <c r="C3458" s="20" t="s">
        <v>263</v>
      </c>
      <c r="D3458" s="20" t="s">
        <v>758</v>
      </c>
      <c r="E3458" s="27">
        <v>2</v>
      </c>
      <c r="F3458" s="27">
        <v>2</v>
      </c>
      <c r="G3458" s="29">
        <v>1.567E-2</v>
      </c>
    </row>
    <row r="3459" spans="1:7" ht="22.5" x14ac:dyDescent="0.25">
      <c r="A3459" s="20" t="s">
        <v>620</v>
      </c>
      <c r="B3459" s="20" t="s">
        <v>818</v>
      </c>
      <c r="C3459" s="20" t="s">
        <v>259</v>
      </c>
      <c r="D3459" s="20" t="s">
        <v>758</v>
      </c>
      <c r="E3459" s="27">
        <v>1</v>
      </c>
      <c r="F3459" s="27">
        <v>1</v>
      </c>
      <c r="G3459" s="29">
        <v>3.7609999999999998E-2</v>
      </c>
    </row>
    <row r="3460" spans="1:7" ht="22.5" x14ac:dyDescent="0.25">
      <c r="A3460" s="20" t="s">
        <v>620</v>
      </c>
      <c r="B3460" s="20" t="s">
        <v>1599</v>
      </c>
      <c r="C3460" s="20" t="s">
        <v>326</v>
      </c>
      <c r="D3460" s="20" t="s">
        <v>758</v>
      </c>
      <c r="E3460" s="27">
        <v>1</v>
      </c>
      <c r="F3460" s="27">
        <v>1</v>
      </c>
      <c r="G3460" s="29">
        <v>3.7609999999999998E-2</v>
      </c>
    </row>
    <row r="3461" spans="1:7" ht="22.5" x14ac:dyDescent="0.25">
      <c r="A3461" s="20" t="s">
        <v>620</v>
      </c>
      <c r="B3461" s="20" t="s">
        <v>865</v>
      </c>
      <c r="C3461" s="20" t="s">
        <v>264</v>
      </c>
      <c r="D3461" s="20" t="s">
        <v>758</v>
      </c>
      <c r="E3461" s="27">
        <v>2</v>
      </c>
      <c r="F3461" s="27">
        <v>2</v>
      </c>
      <c r="G3461" s="29">
        <v>3.4499999999999999E-3</v>
      </c>
    </row>
    <row r="3462" spans="1:7" ht="22.5" x14ac:dyDescent="0.25">
      <c r="A3462" s="20" t="s">
        <v>620</v>
      </c>
      <c r="B3462" s="20" t="s">
        <v>866</v>
      </c>
      <c r="C3462" s="20" t="s">
        <v>265</v>
      </c>
      <c r="D3462" s="20" t="s">
        <v>758</v>
      </c>
      <c r="E3462" s="27">
        <v>2</v>
      </c>
      <c r="F3462" s="27">
        <v>2</v>
      </c>
      <c r="G3462" s="29">
        <v>6.0699999999999999E-3</v>
      </c>
    </row>
    <row r="3463" spans="1:7" x14ac:dyDescent="0.25">
      <c r="A3463" s="20" t="s">
        <v>588</v>
      </c>
      <c r="B3463" s="20" t="s">
        <v>122</v>
      </c>
      <c r="C3463" s="20" t="s">
        <v>122</v>
      </c>
      <c r="D3463" s="20" t="s">
        <v>1598</v>
      </c>
      <c r="E3463" s="24">
        <v>0.56399999999999995</v>
      </c>
      <c r="F3463" s="24">
        <v>1.1279999999999999</v>
      </c>
      <c r="G3463" s="22"/>
    </row>
    <row r="3464" spans="1:7" x14ac:dyDescent="0.25">
      <c r="A3464" s="20" t="s">
        <v>588</v>
      </c>
      <c r="B3464" s="20" t="s">
        <v>76</v>
      </c>
      <c r="C3464" s="20" t="s">
        <v>76</v>
      </c>
      <c r="D3464" s="20" t="s">
        <v>1600</v>
      </c>
      <c r="E3464" s="25">
        <v>1.55</v>
      </c>
      <c r="F3464" s="33">
        <v>3.1</v>
      </c>
      <c r="G3464" s="22"/>
    </row>
    <row r="3465" spans="1:7" x14ac:dyDescent="0.25">
      <c r="A3465" s="20" t="s">
        <v>595</v>
      </c>
      <c r="B3465" s="20" t="s">
        <v>589</v>
      </c>
      <c r="C3465" s="20" t="s">
        <v>589</v>
      </c>
      <c r="D3465" s="20" t="s">
        <v>759</v>
      </c>
      <c r="E3465" s="27">
        <v>1</v>
      </c>
      <c r="F3465" s="27">
        <v>1</v>
      </c>
      <c r="G3465" s="29">
        <v>0.13364999999999999</v>
      </c>
    </row>
    <row r="3466" spans="1:7" x14ac:dyDescent="0.25">
      <c r="A3466" s="20" t="s">
        <v>595</v>
      </c>
      <c r="B3466" s="20" t="s">
        <v>1600</v>
      </c>
      <c r="C3466" s="20" t="s">
        <v>1600</v>
      </c>
      <c r="D3466" s="20" t="s">
        <v>759</v>
      </c>
      <c r="E3466" s="27">
        <v>2</v>
      </c>
      <c r="F3466" s="27">
        <v>2</v>
      </c>
      <c r="G3466" s="29">
        <v>0.23632</v>
      </c>
    </row>
    <row r="3467" spans="1:7" x14ac:dyDescent="0.25">
      <c r="A3467" s="20" t="s">
        <v>595</v>
      </c>
      <c r="B3467" s="20" t="s">
        <v>1601</v>
      </c>
      <c r="C3467" s="20" t="s">
        <v>1601</v>
      </c>
      <c r="D3467" s="20" t="s">
        <v>759</v>
      </c>
      <c r="E3467" s="27">
        <v>2</v>
      </c>
      <c r="F3467" s="27">
        <v>2</v>
      </c>
      <c r="G3467" s="29">
        <v>0.41228999999999999</v>
      </c>
    </row>
    <row r="3468" spans="1:7" ht="22.5" x14ac:dyDescent="0.25">
      <c r="A3468" s="20" t="s">
        <v>620</v>
      </c>
      <c r="B3468" s="20" t="s">
        <v>671</v>
      </c>
      <c r="C3468" s="20" t="s">
        <v>223</v>
      </c>
      <c r="D3468" s="20" t="s">
        <v>759</v>
      </c>
      <c r="E3468" s="27">
        <v>6</v>
      </c>
      <c r="F3468" s="27">
        <v>6</v>
      </c>
      <c r="G3468" s="28">
        <v>1.5699999999999999E-2</v>
      </c>
    </row>
    <row r="3469" spans="1:7" ht="22.5" x14ac:dyDescent="0.25">
      <c r="A3469" s="20" t="s">
        <v>620</v>
      </c>
      <c r="B3469" s="20" t="s">
        <v>710</v>
      </c>
      <c r="C3469" s="20" t="s">
        <v>228</v>
      </c>
      <c r="D3469" s="20" t="s">
        <v>759</v>
      </c>
      <c r="E3469" s="27">
        <v>6</v>
      </c>
      <c r="F3469" s="27">
        <v>6</v>
      </c>
      <c r="G3469" s="29">
        <v>1.0300000000000001E-3</v>
      </c>
    </row>
    <row r="3470" spans="1:7" x14ac:dyDescent="0.25">
      <c r="A3470" s="20" t="s">
        <v>597</v>
      </c>
      <c r="B3470" s="20" t="s">
        <v>8</v>
      </c>
      <c r="C3470" s="20" t="s">
        <v>8</v>
      </c>
      <c r="D3470" s="20" t="s">
        <v>759</v>
      </c>
      <c r="E3470" s="27">
        <v>2</v>
      </c>
      <c r="F3470" s="27">
        <v>2</v>
      </c>
      <c r="G3470" s="28">
        <v>9.7999999999999997E-3</v>
      </c>
    </row>
    <row r="3471" spans="1:7" x14ac:dyDescent="0.25">
      <c r="A3471" s="20" t="s">
        <v>588</v>
      </c>
      <c r="B3471" s="20" t="s">
        <v>76</v>
      </c>
      <c r="C3471" s="20" t="s">
        <v>76</v>
      </c>
      <c r="D3471" s="20" t="s">
        <v>1601</v>
      </c>
      <c r="E3471" s="25">
        <v>2.5299999999999998</v>
      </c>
      <c r="F3471" s="25">
        <v>5.0599999999999996</v>
      </c>
      <c r="G3471" s="22"/>
    </row>
    <row r="3472" spans="1:7" x14ac:dyDescent="0.25">
      <c r="A3472" s="20" t="s">
        <v>585</v>
      </c>
      <c r="B3472" s="20" t="s">
        <v>828</v>
      </c>
      <c r="C3472" s="20" t="s">
        <v>828</v>
      </c>
      <c r="D3472" s="20" t="s">
        <v>1562</v>
      </c>
      <c r="E3472" s="27">
        <v>1</v>
      </c>
      <c r="F3472" s="27">
        <v>1</v>
      </c>
      <c r="G3472" s="29">
        <v>12.59076</v>
      </c>
    </row>
    <row r="3473" spans="1:7" x14ac:dyDescent="0.25">
      <c r="A3473" s="20" t="s">
        <v>595</v>
      </c>
      <c r="B3473" s="20" t="s">
        <v>806</v>
      </c>
      <c r="C3473" s="20" t="s">
        <v>806</v>
      </c>
      <c r="D3473" s="20" t="s">
        <v>1562</v>
      </c>
      <c r="E3473" s="27">
        <v>1</v>
      </c>
      <c r="F3473" s="27">
        <v>1</v>
      </c>
      <c r="G3473" s="29">
        <v>5.2122599999999997</v>
      </c>
    </row>
    <row r="3474" spans="1:7" x14ac:dyDescent="0.25">
      <c r="A3474" s="20" t="s">
        <v>595</v>
      </c>
      <c r="B3474" s="20" t="s">
        <v>807</v>
      </c>
      <c r="C3474" s="20" t="s">
        <v>807</v>
      </c>
      <c r="D3474" s="20" t="s">
        <v>1562</v>
      </c>
      <c r="E3474" s="27">
        <v>1</v>
      </c>
      <c r="F3474" s="27">
        <v>1</v>
      </c>
      <c r="G3474" s="29">
        <v>6.0886500000000003</v>
      </c>
    </row>
    <row r="3475" spans="1:7" x14ac:dyDescent="0.25">
      <c r="A3475" s="20" t="s">
        <v>595</v>
      </c>
      <c r="B3475" s="20" t="s">
        <v>809</v>
      </c>
      <c r="C3475" s="20" t="s">
        <v>809</v>
      </c>
      <c r="D3475" s="20" t="s">
        <v>1562</v>
      </c>
      <c r="E3475" s="27">
        <v>4</v>
      </c>
      <c r="F3475" s="27">
        <v>4</v>
      </c>
      <c r="G3475" s="29">
        <v>0.16059000000000001</v>
      </c>
    </row>
    <row r="3476" spans="1:7" x14ac:dyDescent="0.25">
      <c r="A3476" s="20" t="s">
        <v>595</v>
      </c>
      <c r="B3476" s="20" t="s">
        <v>810</v>
      </c>
      <c r="C3476" s="20" t="s">
        <v>810</v>
      </c>
      <c r="D3476" s="20" t="s">
        <v>1562</v>
      </c>
      <c r="E3476" s="27">
        <v>4</v>
      </c>
      <c r="F3476" s="27">
        <v>4</v>
      </c>
      <c r="G3476" s="29">
        <v>9.9220000000000003E-2</v>
      </c>
    </row>
    <row r="3477" spans="1:7" ht="22.5" x14ac:dyDescent="0.25">
      <c r="A3477" s="20" t="s">
        <v>620</v>
      </c>
      <c r="B3477" s="20" t="s">
        <v>623</v>
      </c>
      <c r="C3477" s="20" t="s">
        <v>285</v>
      </c>
      <c r="D3477" s="20" t="s">
        <v>1562</v>
      </c>
      <c r="E3477" s="27">
        <v>22</v>
      </c>
      <c r="F3477" s="27">
        <v>22</v>
      </c>
      <c r="G3477" s="28">
        <v>1.67E-2</v>
      </c>
    </row>
    <row r="3478" spans="1:7" ht="22.5" x14ac:dyDescent="0.25">
      <c r="A3478" s="20" t="s">
        <v>620</v>
      </c>
      <c r="B3478" s="20" t="s">
        <v>625</v>
      </c>
      <c r="C3478" s="20" t="s">
        <v>219</v>
      </c>
      <c r="D3478" s="20" t="s">
        <v>1562</v>
      </c>
      <c r="E3478" s="27">
        <v>22</v>
      </c>
      <c r="F3478" s="27">
        <v>22</v>
      </c>
      <c r="G3478" s="29">
        <v>7.1399999999999996E-3</v>
      </c>
    </row>
    <row r="3479" spans="1:7" x14ac:dyDescent="0.25">
      <c r="A3479" s="20" t="s">
        <v>595</v>
      </c>
      <c r="B3479" s="20" t="s">
        <v>800</v>
      </c>
      <c r="C3479" s="20" t="s">
        <v>800</v>
      </c>
      <c r="D3479" s="20" t="s">
        <v>1563</v>
      </c>
      <c r="E3479" s="27">
        <v>12</v>
      </c>
      <c r="F3479" s="27">
        <v>12</v>
      </c>
      <c r="G3479" s="29">
        <v>0.12250999999999999</v>
      </c>
    </row>
    <row r="3480" spans="1:7" x14ac:dyDescent="0.25">
      <c r="A3480" s="20" t="s">
        <v>595</v>
      </c>
      <c r="B3480" s="20" t="s">
        <v>801</v>
      </c>
      <c r="C3480" s="20" t="s">
        <v>801</v>
      </c>
      <c r="D3480" s="20" t="s">
        <v>1563</v>
      </c>
      <c r="E3480" s="27">
        <v>12</v>
      </c>
      <c r="F3480" s="27">
        <v>12</v>
      </c>
      <c r="G3480" s="29">
        <v>0.20648</v>
      </c>
    </row>
    <row r="3481" spans="1:7" x14ac:dyDescent="0.25">
      <c r="A3481" s="20" t="s">
        <v>595</v>
      </c>
      <c r="B3481" s="20" t="s">
        <v>802</v>
      </c>
      <c r="C3481" s="20" t="s">
        <v>802</v>
      </c>
      <c r="D3481" s="20" t="s">
        <v>1563</v>
      </c>
      <c r="E3481" s="27">
        <v>1</v>
      </c>
      <c r="F3481" s="27">
        <v>1</v>
      </c>
      <c r="G3481" s="29">
        <v>1.389E-2</v>
      </c>
    </row>
    <row r="3482" spans="1:7" x14ac:dyDescent="0.25">
      <c r="A3482" s="20" t="s">
        <v>595</v>
      </c>
      <c r="B3482" s="20" t="s">
        <v>803</v>
      </c>
      <c r="C3482" s="20" t="s">
        <v>803</v>
      </c>
      <c r="D3482" s="20" t="s">
        <v>1563</v>
      </c>
      <c r="E3482" s="27">
        <v>14</v>
      </c>
      <c r="F3482" s="27">
        <v>14</v>
      </c>
      <c r="G3482" s="29">
        <v>5.6759999999999998E-2</v>
      </c>
    </row>
    <row r="3483" spans="1:7" x14ac:dyDescent="0.25">
      <c r="A3483" s="20" t="s">
        <v>595</v>
      </c>
      <c r="B3483" s="20" t="s">
        <v>793</v>
      </c>
      <c r="C3483" s="20" t="s">
        <v>793</v>
      </c>
      <c r="D3483" s="20" t="s">
        <v>1563</v>
      </c>
      <c r="E3483" s="27">
        <v>1</v>
      </c>
      <c r="F3483" s="27">
        <v>1</v>
      </c>
      <c r="G3483" s="29">
        <v>6.9870000000000002E-2</v>
      </c>
    </row>
    <row r="3484" spans="1:7" x14ac:dyDescent="0.25">
      <c r="A3484" s="20" t="s">
        <v>595</v>
      </c>
      <c r="B3484" s="20" t="s">
        <v>804</v>
      </c>
      <c r="C3484" s="20" t="s">
        <v>804</v>
      </c>
      <c r="D3484" s="20" t="s">
        <v>1563</v>
      </c>
      <c r="E3484" s="27">
        <v>5</v>
      </c>
      <c r="F3484" s="27">
        <v>5</v>
      </c>
      <c r="G3484" s="29">
        <v>5.6759999999999998E-2</v>
      </c>
    </row>
    <row r="3485" spans="1:7" x14ac:dyDescent="0.25">
      <c r="A3485" s="20" t="s">
        <v>595</v>
      </c>
      <c r="B3485" s="20" t="s">
        <v>776</v>
      </c>
      <c r="C3485" s="20" t="s">
        <v>776</v>
      </c>
      <c r="D3485" s="20" t="s">
        <v>1563</v>
      </c>
      <c r="E3485" s="27">
        <v>4</v>
      </c>
      <c r="F3485" s="27">
        <v>4</v>
      </c>
      <c r="G3485" s="29">
        <v>4.9739999999999999E-2</v>
      </c>
    </row>
    <row r="3486" spans="1:7" x14ac:dyDescent="0.25">
      <c r="A3486" s="20" t="s">
        <v>595</v>
      </c>
      <c r="B3486" s="20" t="s">
        <v>805</v>
      </c>
      <c r="C3486" s="20" t="s">
        <v>805</v>
      </c>
      <c r="D3486" s="20" t="s">
        <v>1563</v>
      </c>
      <c r="E3486" s="27">
        <v>4</v>
      </c>
      <c r="F3486" s="27">
        <v>4</v>
      </c>
      <c r="G3486" s="29">
        <v>9.0939999999999993E-2</v>
      </c>
    </row>
    <row r="3487" spans="1:7" x14ac:dyDescent="0.25">
      <c r="A3487" s="20" t="s">
        <v>595</v>
      </c>
      <c r="B3487" s="20" t="s">
        <v>808</v>
      </c>
      <c r="C3487" s="20" t="s">
        <v>808</v>
      </c>
      <c r="D3487" s="20" t="s">
        <v>1563</v>
      </c>
      <c r="E3487" s="27">
        <v>48</v>
      </c>
      <c r="F3487" s="27">
        <v>48</v>
      </c>
      <c r="G3487" s="29">
        <v>4.6330000000000003E-2</v>
      </c>
    </row>
    <row r="3488" spans="1:7" x14ac:dyDescent="0.25">
      <c r="A3488" s="20" t="s">
        <v>595</v>
      </c>
      <c r="B3488" s="20" t="s">
        <v>812</v>
      </c>
      <c r="C3488" s="20" t="s">
        <v>812</v>
      </c>
      <c r="D3488" s="20" t="s">
        <v>1563</v>
      </c>
      <c r="E3488" s="27">
        <v>4</v>
      </c>
      <c r="F3488" s="27">
        <v>4</v>
      </c>
      <c r="G3488" s="28">
        <v>0.1003</v>
      </c>
    </row>
    <row r="3489" spans="1:7" x14ac:dyDescent="0.25">
      <c r="A3489" s="20" t="s">
        <v>595</v>
      </c>
      <c r="B3489" s="20" t="s">
        <v>813</v>
      </c>
      <c r="C3489" s="20" t="s">
        <v>813</v>
      </c>
      <c r="D3489" s="20" t="s">
        <v>1563</v>
      </c>
      <c r="E3489" s="27">
        <v>4</v>
      </c>
      <c r="F3489" s="27">
        <v>4</v>
      </c>
      <c r="G3489" s="29">
        <v>2.2460000000000001E-2</v>
      </c>
    </row>
    <row r="3490" spans="1:7" x14ac:dyDescent="0.25">
      <c r="A3490" s="20" t="s">
        <v>595</v>
      </c>
      <c r="B3490" s="20" t="s">
        <v>1574</v>
      </c>
      <c r="C3490" s="20" t="s">
        <v>1574</v>
      </c>
      <c r="D3490" s="20" t="s">
        <v>1563</v>
      </c>
      <c r="E3490" s="27">
        <v>14</v>
      </c>
      <c r="F3490" s="27">
        <v>14</v>
      </c>
      <c r="G3490" s="29">
        <v>3.8129999999999997E-2</v>
      </c>
    </row>
    <row r="3491" spans="1:7" x14ac:dyDescent="0.25">
      <c r="A3491" s="20" t="s">
        <v>595</v>
      </c>
      <c r="B3491" s="20" t="s">
        <v>1575</v>
      </c>
      <c r="C3491" s="20" t="s">
        <v>1575</v>
      </c>
      <c r="D3491" s="20" t="s">
        <v>1563</v>
      </c>
      <c r="E3491" s="27">
        <v>6</v>
      </c>
      <c r="F3491" s="27">
        <v>6</v>
      </c>
      <c r="G3491" s="29">
        <v>6.6119999999999998E-2</v>
      </c>
    </row>
    <row r="3492" spans="1:7" x14ac:dyDescent="0.25">
      <c r="A3492" s="20" t="s">
        <v>595</v>
      </c>
      <c r="B3492" s="20" t="s">
        <v>1576</v>
      </c>
      <c r="C3492" s="20" t="s">
        <v>1576</v>
      </c>
      <c r="D3492" s="20" t="s">
        <v>1563</v>
      </c>
      <c r="E3492" s="27">
        <v>24</v>
      </c>
      <c r="F3492" s="27">
        <v>24</v>
      </c>
      <c r="G3492" s="29">
        <v>3.7670000000000002E-2</v>
      </c>
    </row>
    <row r="3493" spans="1:7" ht="22.5" x14ac:dyDescent="0.25">
      <c r="A3493" s="20" t="s">
        <v>620</v>
      </c>
      <c r="B3493" s="20" t="s">
        <v>1560</v>
      </c>
      <c r="C3493" s="20" t="s">
        <v>324</v>
      </c>
      <c r="D3493" s="20" t="s">
        <v>1563</v>
      </c>
      <c r="E3493" s="27">
        <v>16</v>
      </c>
      <c r="F3493" s="27">
        <v>16</v>
      </c>
      <c r="G3493" s="29">
        <v>1.2700000000000001E-3</v>
      </c>
    </row>
    <row r="3494" spans="1:7" ht="22.5" x14ac:dyDescent="0.25">
      <c r="A3494" s="20" t="s">
        <v>620</v>
      </c>
      <c r="B3494" s="20" t="s">
        <v>623</v>
      </c>
      <c r="C3494" s="20" t="s">
        <v>285</v>
      </c>
      <c r="D3494" s="20" t="s">
        <v>1563</v>
      </c>
      <c r="E3494" s="27">
        <v>40</v>
      </c>
      <c r="F3494" s="27">
        <v>40</v>
      </c>
      <c r="G3494" s="28">
        <v>1.67E-2</v>
      </c>
    </row>
    <row r="3495" spans="1:7" ht="22.5" x14ac:dyDescent="0.25">
      <c r="A3495" s="20" t="s">
        <v>620</v>
      </c>
      <c r="B3495" s="20" t="s">
        <v>1561</v>
      </c>
      <c r="C3495" s="20" t="s">
        <v>325</v>
      </c>
      <c r="D3495" s="20" t="s">
        <v>1563</v>
      </c>
      <c r="E3495" s="27">
        <v>56</v>
      </c>
      <c r="F3495" s="27">
        <v>56</v>
      </c>
      <c r="G3495" s="29">
        <v>5.9300000000000004E-3</v>
      </c>
    </row>
    <row r="3496" spans="1:7" ht="22.5" x14ac:dyDescent="0.25">
      <c r="A3496" s="20" t="s">
        <v>620</v>
      </c>
      <c r="B3496" s="20" t="s">
        <v>1602</v>
      </c>
      <c r="C3496" s="20" t="s">
        <v>346</v>
      </c>
      <c r="D3496" s="20" t="s">
        <v>1563</v>
      </c>
      <c r="E3496" s="27">
        <v>7</v>
      </c>
      <c r="F3496" s="27">
        <v>7</v>
      </c>
      <c r="G3496" s="28">
        <v>1.12E-2</v>
      </c>
    </row>
    <row r="3497" spans="1:7" ht="22.5" x14ac:dyDescent="0.25">
      <c r="A3497" s="20" t="s">
        <v>620</v>
      </c>
      <c r="B3497" s="20" t="s">
        <v>1603</v>
      </c>
      <c r="C3497" s="20" t="s">
        <v>345</v>
      </c>
      <c r="D3497" s="20" t="s">
        <v>1563</v>
      </c>
      <c r="E3497" s="27">
        <v>2</v>
      </c>
      <c r="F3497" s="27">
        <v>2</v>
      </c>
      <c r="G3497" s="28">
        <v>2.92E-2</v>
      </c>
    </row>
    <row r="3498" spans="1:7" ht="22.5" x14ac:dyDescent="0.25">
      <c r="A3498" s="20" t="s">
        <v>620</v>
      </c>
      <c r="B3498" s="20" t="s">
        <v>1604</v>
      </c>
      <c r="C3498" s="20" t="s">
        <v>327</v>
      </c>
      <c r="D3498" s="20" t="s">
        <v>1563</v>
      </c>
      <c r="E3498" s="27">
        <v>4</v>
      </c>
      <c r="F3498" s="27">
        <v>4</v>
      </c>
      <c r="G3498" s="29">
        <v>2.1860000000000001E-2</v>
      </c>
    </row>
    <row r="3499" spans="1:7" ht="22.5" x14ac:dyDescent="0.25">
      <c r="A3499" s="20" t="s">
        <v>620</v>
      </c>
      <c r="B3499" s="20" t="s">
        <v>1605</v>
      </c>
      <c r="C3499" s="20" t="s">
        <v>343</v>
      </c>
      <c r="D3499" s="20" t="s">
        <v>1563</v>
      </c>
      <c r="E3499" s="27">
        <v>32</v>
      </c>
      <c r="F3499" s="27">
        <v>32</v>
      </c>
      <c r="G3499" s="28">
        <v>6.4000000000000003E-3</v>
      </c>
    </row>
    <row r="3500" spans="1:7" ht="22.5" x14ac:dyDescent="0.25">
      <c r="A3500" s="20" t="s">
        <v>620</v>
      </c>
      <c r="B3500" s="20" t="s">
        <v>765</v>
      </c>
      <c r="C3500" s="20" t="s">
        <v>252</v>
      </c>
      <c r="D3500" s="20" t="s">
        <v>1563</v>
      </c>
      <c r="E3500" s="27">
        <v>32</v>
      </c>
      <c r="F3500" s="27">
        <v>32</v>
      </c>
      <c r="G3500" s="29">
        <v>1.4400000000000001E-3</v>
      </c>
    </row>
    <row r="3501" spans="1:7" ht="22.5" x14ac:dyDescent="0.25">
      <c r="A3501" s="20" t="s">
        <v>620</v>
      </c>
      <c r="B3501" s="20" t="s">
        <v>871</v>
      </c>
      <c r="C3501" s="20" t="s">
        <v>266</v>
      </c>
      <c r="D3501" s="20" t="s">
        <v>1563</v>
      </c>
      <c r="E3501" s="27">
        <v>66</v>
      </c>
      <c r="F3501" s="27">
        <v>66</v>
      </c>
      <c r="G3501" s="28">
        <v>3.3E-3</v>
      </c>
    </row>
    <row r="3502" spans="1:7" ht="22.5" x14ac:dyDescent="0.25">
      <c r="A3502" s="20" t="s">
        <v>620</v>
      </c>
      <c r="B3502" s="20" t="s">
        <v>625</v>
      </c>
      <c r="C3502" s="20" t="s">
        <v>219</v>
      </c>
      <c r="D3502" s="20" t="s">
        <v>1563</v>
      </c>
      <c r="E3502" s="27">
        <v>58</v>
      </c>
      <c r="F3502" s="27">
        <v>58</v>
      </c>
      <c r="G3502" s="29">
        <v>7.1399999999999996E-3</v>
      </c>
    </row>
    <row r="3503" spans="1:7" ht="22.5" x14ac:dyDescent="0.25">
      <c r="A3503" s="20" t="s">
        <v>620</v>
      </c>
      <c r="B3503" s="20" t="s">
        <v>1606</v>
      </c>
      <c r="C3503" s="20" t="s">
        <v>344</v>
      </c>
      <c r="D3503" s="20" t="s">
        <v>1563</v>
      </c>
      <c r="E3503" s="27">
        <v>12</v>
      </c>
      <c r="F3503" s="27">
        <v>12</v>
      </c>
      <c r="G3503" s="28">
        <v>2.8E-3</v>
      </c>
    </row>
    <row r="3504" spans="1:7" ht="22.5" x14ac:dyDescent="0.25">
      <c r="A3504" s="20" t="s">
        <v>620</v>
      </c>
      <c r="B3504" s="20" t="s">
        <v>747</v>
      </c>
      <c r="C3504" s="20" t="s">
        <v>244</v>
      </c>
      <c r="D3504" s="20" t="s">
        <v>1563</v>
      </c>
      <c r="E3504" s="27">
        <v>28</v>
      </c>
      <c r="F3504" s="27">
        <v>28</v>
      </c>
      <c r="G3504" s="29">
        <v>6.13E-3</v>
      </c>
    </row>
    <row r="3505" spans="1:7" ht="22.5" x14ac:dyDescent="0.25">
      <c r="A3505" s="20" t="s">
        <v>620</v>
      </c>
      <c r="B3505" s="20" t="s">
        <v>1411</v>
      </c>
      <c r="C3505" s="20" t="s">
        <v>312</v>
      </c>
      <c r="D3505" s="20" t="s">
        <v>1563</v>
      </c>
      <c r="E3505" s="27">
        <v>48</v>
      </c>
      <c r="F3505" s="27">
        <v>48</v>
      </c>
      <c r="G3505" s="29">
        <v>9.8999999999999999E-4</v>
      </c>
    </row>
    <row r="3506" spans="1:7" ht="22.5" x14ac:dyDescent="0.25">
      <c r="A3506" s="20" t="s">
        <v>620</v>
      </c>
      <c r="B3506" s="20" t="s">
        <v>737</v>
      </c>
      <c r="C3506" s="20" t="s">
        <v>240</v>
      </c>
      <c r="D3506" s="20" t="s">
        <v>1563</v>
      </c>
      <c r="E3506" s="27">
        <v>20</v>
      </c>
      <c r="F3506" s="27">
        <v>20</v>
      </c>
      <c r="G3506" s="29">
        <v>1.73E-3</v>
      </c>
    </row>
    <row r="3507" spans="1:7" x14ac:dyDescent="0.25">
      <c r="A3507" s="20" t="s">
        <v>597</v>
      </c>
      <c r="B3507" s="20" t="s">
        <v>159</v>
      </c>
      <c r="C3507" s="20" t="s">
        <v>159</v>
      </c>
      <c r="D3507" s="20" t="s">
        <v>1563</v>
      </c>
      <c r="E3507" s="27">
        <v>6</v>
      </c>
      <c r="F3507" s="27">
        <v>6</v>
      </c>
      <c r="G3507" s="29">
        <v>0.10068000000000001</v>
      </c>
    </row>
    <row r="3508" spans="1:7" x14ac:dyDescent="0.25">
      <c r="A3508" s="20" t="s">
        <v>588</v>
      </c>
      <c r="B3508" s="20" t="s">
        <v>357</v>
      </c>
      <c r="C3508" s="20" t="s">
        <v>357</v>
      </c>
      <c r="D3508" s="20" t="s">
        <v>1607</v>
      </c>
      <c r="E3508" s="27">
        <v>1</v>
      </c>
      <c r="F3508" s="27">
        <v>1</v>
      </c>
      <c r="G3508" s="22"/>
    </row>
    <row r="3509" spans="1:7" x14ac:dyDescent="0.25">
      <c r="A3509" s="20" t="s">
        <v>595</v>
      </c>
      <c r="B3509" s="20" t="s">
        <v>1607</v>
      </c>
      <c r="C3509" s="20" t="s">
        <v>1607</v>
      </c>
      <c r="D3509" s="20" t="s">
        <v>1565</v>
      </c>
      <c r="E3509" s="27">
        <v>1</v>
      </c>
      <c r="F3509" s="27">
        <v>1</v>
      </c>
      <c r="G3509" s="29">
        <v>88.980320000000006</v>
      </c>
    </row>
    <row r="3510" spans="1:7" ht="22.5" x14ac:dyDescent="0.25">
      <c r="A3510" s="20" t="s">
        <v>620</v>
      </c>
      <c r="B3510" s="20" t="s">
        <v>501</v>
      </c>
      <c r="C3510" s="20" t="s">
        <v>501</v>
      </c>
      <c r="D3510" s="20" t="s">
        <v>1565</v>
      </c>
      <c r="E3510" s="27">
        <v>100</v>
      </c>
      <c r="F3510" s="27">
        <v>100</v>
      </c>
      <c r="G3510" s="28">
        <v>1.5E-3</v>
      </c>
    </row>
    <row r="3511" spans="1:7" x14ac:dyDescent="0.25">
      <c r="A3511" s="20" t="s">
        <v>597</v>
      </c>
      <c r="B3511" s="20" t="s">
        <v>358</v>
      </c>
      <c r="C3511" s="20" t="s">
        <v>358</v>
      </c>
      <c r="D3511" s="20" t="s">
        <v>1565</v>
      </c>
      <c r="E3511" s="27">
        <v>4</v>
      </c>
      <c r="F3511" s="27">
        <v>4</v>
      </c>
      <c r="G3511" s="31">
        <v>0.32</v>
      </c>
    </row>
    <row r="3512" spans="1:7" x14ac:dyDescent="0.25">
      <c r="A3512" s="20" t="s">
        <v>597</v>
      </c>
      <c r="B3512" s="20" t="s">
        <v>360</v>
      </c>
      <c r="C3512" s="20" t="s">
        <v>360</v>
      </c>
      <c r="D3512" s="20" t="s">
        <v>1565</v>
      </c>
      <c r="E3512" s="27">
        <v>1</v>
      </c>
      <c r="F3512" s="27">
        <v>1</v>
      </c>
      <c r="G3512" s="35">
        <v>0.22500000000000001</v>
      </c>
    </row>
    <row r="3513" spans="1:7" x14ac:dyDescent="0.25">
      <c r="A3513" s="20" t="s">
        <v>597</v>
      </c>
      <c r="B3513" s="20" t="s">
        <v>361</v>
      </c>
      <c r="C3513" s="20" t="s">
        <v>361</v>
      </c>
      <c r="D3513" s="20" t="s">
        <v>1565</v>
      </c>
      <c r="E3513" s="27">
        <v>1</v>
      </c>
      <c r="F3513" s="27">
        <v>1</v>
      </c>
      <c r="G3513" s="31">
        <v>0.24</v>
      </c>
    </row>
    <row r="3514" spans="1:7" x14ac:dyDescent="0.25">
      <c r="A3514" s="20" t="s">
        <v>597</v>
      </c>
      <c r="B3514" s="20" t="s">
        <v>362</v>
      </c>
      <c r="C3514" s="20" t="s">
        <v>362</v>
      </c>
      <c r="D3514" s="20" t="s">
        <v>1565</v>
      </c>
      <c r="E3514" s="27">
        <v>1</v>
      </c>
      <c r="F3514" s="27">
        <v>1</v>
      </c>
      <c r="G3514" s="31">
        <v>0.31</v>
      </c>
    </row>
    <row r="3515" spans="1:7" x14ac:dyDescent="0.25">
      <c r="A3515" s="20" t="s">
        <v>597</v>
      </c>
      <c r="B3515" s="20" t="s">
        <v>363</v>
      </c>
      <c r="C3515" s="20" t="s">
        <v>363</v>
      </c>
      <c r="D3515" s="20" t="s">
        <v>1565</v>
      </c>
      <c r="E3515" s="27">
        <v>1</v>
      </c>
      <c r="F3515" s="27">
        <v>1</v>
      </c>
      <c r="G3515" s="35">
        <v>0.26500000000000001</v>
      </c>
    </row>
    <row r="3516" spans="1:7" x14ac:dyDescent="0.25">
      <c r="A3516" s="20" t="s">
        <v>597</v>
      </c>
      <c r="B3516" s="20" t="s">
        <v>364</v>
      </c>
      <c r="C3516" s="20" t="s">
        <v>364</v>
      </c>
      <c r="D3516" s="20" t="s">
        <v>1565</v>
      </c>
      <c r="E3516" s="27">
        <v>1</v>
      </c>
      <c r="F3516" s="27">
        <v>1</v>
      </c>
      <c r="G3516" s="31">
        <v>0.97</v>
      </c>
    </row>
    <row r="3517" spans="1:7" x14ac:dyDescent="0.25">
      <c r="A3517" s="20" t="s">
        <v>597</v>
      </c>
      <c r="B3517" s="20" t="s">
        <v>576</v>
      </c>
      <c r="C3517" s="20" t="s">
        <v>576</v>
      </c>
      <c r="D3517" s="20" t="s">
        <v>1565</v>
      </c>
      <c r="E3517" s="27">
        <v>2</v>
      </c>
      <c r="F3517" s="27">
        <v>2</v>
      </c>
      <c r="G3517" s="29">
        <v>2.5368499999999998</v>
      </c>
    </row>
    <row r="3518" spans="1:7" x14ac:dyDescent="0.25">
      <c r="A3518" s="20" t="s">
        <v>597</v>
      </c>
      <c r="B3518" s="20" t="s">
        <v>365</v>
      </c>
      <c r="C3518" s="20" t="s">
        <v>365</v>
      </c>
      <c r="D3518" s="20" t="s">
        <v>1565</v>
      </c>
      <c r="E3518" s="27">
        <v>1</v>
      </c>
      <c r="F3518" s="27">
        <v>1</v>
      </c>
      <c r="G3518" s="31">
        <v>1.64</v>
      </c>
    </row>
    <row r="3519" spans="1:7" x14ac:dyDescent="0.25">
      <c r="A3519" s="20" t="s">
        <v>597</v>
      </c>
      <c r="B3519" s="20" t="s">
        <v>368</v>
      </c>
      <c r="C3519" s="20" t="s">
        <v>368</v>
      </c>
      <c r="D3519" s="20" t="s">
        <v>1565</v>
      </c>
      <c r="E3519" s="27">
        <v>1</v>
      </c>
      <c r="F3519" s="27">
        <v>1</v>
      </c>
      <c r="G3519" s="31">
        <v>0.34</v>
      </c>
    </row>
    <row r="3520" spans="1:7" x14ac:dyDescent="0.25">
      <c r="A3520" s="20" t="s">
        <v>597</v>
      </c>
      <c r="B3520" s="20" t="s">
        <v>371</v>
      </c>
      <c r="C3520" s="20" t="s">
        <v>371</v>
      </c>
      <c r="D3520" s="20" t="s">
        <v>1565</v>
      </c>
      <c r="E3520" s="27">
        <v>6</v>
      </c>
      <c r="F3520" s="27">
        <v>6</v>
      </c>
      <c r="G3520" s="28">
        <v>1.72E-2</v>
      </c>
    </row>
    <row r="3521" spans="1:7" x14ac:dyDescent="0.25">
      <c r="A3521" s="20" t="s">
        <v>597</v>
      </c>
      <c r="B3521" s="20" t="s">
        <v>373</v>
      </c>
      <c r="C3521" s="20" t="s">
        <v>373</v>
      </c>
      <c r="D3521" s="20" t="s">
        <v>1565</v>
      </c>
      <c r="E3521" s="27">
        <v>1</v>
      </c>
      <c r="F3521" s="27">
        <v>1</v>
      </c>
      <c r="G3521" s="35">
        <v>4.8000000000000001E-2</v>
      </c>
    </row>
    <row r="3522" spans="1:7" x14ac:dyDescent="0.25">
      <c r="A3522" s="20" t="s">
        <v>597</v>
      </c>
      <c r="B3522" s="20" t="s">
        <v>374</v>
      </c>
      <c r="C3522" s="20" t="s">
        <v>374</v>
      </c>
      <c r="D3522" s="20" t="s">
        <v>1565</v>
      </c>
      <c r="E3522" s="27">
        <v>7</v>
      </c>
      <c r="F3522" s="27">
        <v>7</v>
      </c>
      <c r="G3522" s="35">
        <v>3.5000000000000003E-2</v>
      </c>
    </row>
    <row r="3523" spans="1:7" x14ac:dyDescent="0.25">
      <c r="A3523" s="20" t="s">
        <v>597</v>
      </c>
      <c r="B3523" s="20" t="s">
        <v>375</v>
      </c>
      <c r="C3523" s="20" t="s">
        <v>375</v>
      </c>
      <c r="D3523" s="20" t="s">
        <v>1565</v>
      </c>
      <c r="E3523" s="27">
        <v>9</v>
      </c>
      <c r="F3523" s="27">
        <v>9</v>
      </c>
      <c r="G3523" s="35">
        <v>1.4E-2</v>
      </c>
    </row>
    <row r="3524" spans="1:7" ht="22.5" x14ac:dyDescent="0.25">
      <c r="A3524" s="20" t="s">
        <v>597</v>
      </c>
      <c r="B3524" s="20" t="s">
        <v>376</v>
      </c>
      <c r="C3524" s="20" t="s">
        <v>376</v>
      </c>
      <c r="D3524" s="20" t="s">
        <v>1565</v>
      </c>
      <c r="E3524" s="27">
        <v>15</v>
      </c>
      <c r="F3524" s="27">
        <v>15</v>
      </c>
      <c r="G3524" s="29">
        <v>7.1730000000000002E-2</v>
      </c>
    </row>
    <row r="3525" spans="1:7" ht="22.5" x14ac:dyDescent="0.25">
      <c r="A3525" s="20" t="s">
        <v>597</v>
      </c>
      <c r="B3525" s="20" t="s">
        <v>377</v>
      </c>
      <c r="C3525" s="20" t="s">
        <v>377</v>
      </c>
      <c r="D3525" s="20" t="s">
        <v>1565</v>
      </c>
      <c r="E3525" s="27">
        <v>150</v>
      </c>
      <c r="F3525" s="27">
        <v>150</v>
      </c>
      <c r="G3525" s="29">
        <v>6.2950000000000006E-2</v>
      </c>
    </row>
    <row r="3526" spans="1:7" x14ac:dyDescent="0.25">
      <c r="A3526" s="20" t="s">
        <v>597</v>
      </c>
      <c r="B3526" s="20" t="s">
        <v>378</v>
      </c>
      <c r="C3526" s="20" t="s">
        <v>378</v>
      </c>
      <c r="D3526" s="20" t="s">
        <v>1565</v>
      </c>
      <c r="E3526" s="27">
        <v>1</v>
      </c>
      <c r="F3526" s="27">
        <v>1</v>
      </c>
      <c r="G3526" s="31">
        <v>0.64</v>
      </c>
    </row>
    <row r="3527" spans="1:7" x14ac:dyDescent="0.25">
      <c r="A3527" s="20" t="s">
        <v>597</v>
      </c>
      <c r="B3527" s="20" t="s">
        <v>380</v>
      </c>
      <c r="C3527" s="20" t="s">
        <v>380</v>
      </c>
      <c r="D3527" s="20" t="s">
        <v>1565</v>
      </c>
      <c r="E3527" s="27">
        <v>5</v>
      </c>
      <c r="F3527" s="27">
        <v>5</v>
      </c>
      <c r="G3527" s="29">
        <v>5.96E-3</v>
      </c>
    </row>
    <row r="3528" spans="1:7" x14ac:dyDescent="0.25">
      <c r="A3528" s="20" t="s">
        <v>597</v>
      </c>
      <c r="B3528" s="20" t="s">
        <v>381</v>
      </c>
      <c r="C3528" s="20" t="s">
        <v>381</v>
      </c>
      <c r="D3528" s="20" t="s">
        <v>1565</v>
      </c>
      <c r="E3528" s="27">
        <v>7</v>
      </c>
      <c r="F3528" s="27">
        <v>7</v>
      </c>
      <c r="G3528" s="35">
        <v>8.9999999999999993E-3</v>
      </c>
    </row>
    <row r="3529" spans="1:7" x14ac:dyDescent="0.25">
      <c r="A3529" s="20" t="s">
        <v>597</v>
      </c>
      <c r="B3529" s="20" t="s">
        <v>388</v>
      </c>
      <c r="C3529" s="20" t="s">
        <v>577</v>
      </c>
      <c r="D3529" s="20" t="s">
        <v>1565</v>
      </c>
      <c r="E3529" s="27">
        <v>1</v>
      </c>
      <c r="F3529" s="27">
        <v>1</v>
      </c>
      <c r="G3529" s="29">
        <v>0.57352000000000003</v>
      </c>
    </row>
    <row r="3530" spans="1:7" x14ac:dyDescent="0.25">
      <c r="A3530" s="20" t="s">
        <v>597</v>
      </c>
      <c r="B3530" s="20" t="s">
        <v>390</v>
      </c>
      <c r="C3530" s="20" t="s">
        <v>390</v>
      </c>
      <c r="D3530" s="20" t="s">
        <v>1565</v>
      </c>
      <c r="E3530" s="27">
        <v>2</v>
      </c>
      <c r="F3530" s="27">
        <v>2</v>
      </c>
      <c r="G3530" s="29">
        <v>0.19148000000000001</v>
      </c>
    </row>
    <row r="3531" spans="1:7" x14ac:dyDescent="0.25">
      <c r="A3531" s="20" t="s">
        <v>597</v>
      </c>
      <c r="B3531" s="20" t="s">
        <v>391</v>
      </c>
      <c r="C3531" s="20" t="s">
        <v>391</v>
      </c>
      <c r="D3531" s="20" t="s">
        <v>1565</v>
      </c>
      <c r="E3531" s="27">
        <v>7</v>
      </c>
      <c r="F3531" s="27">
        <v>7</v>
      </c>
      <c r="G3531" s="29">
        <v>6.4999999999999997E-4</v>
      </c>
    </row>
    <row r="3532" spans="1:7" x14ac:dyDescent="0.25">
      <c r="A3532" s="20" t="s">
        <v>597</v>
      </c>
      <c r="B3532" s="20" t="s">
        <v>392</v>
      </c>
      <c r="C3532" s="20" t="s">
        <v>392</v>
      </c>
      <c r="D3532" s="20" t="s">
        <v>1565</v>
      </c>
      <c r="E3532" s="27">
        <v>3</v>
      </c>
      <c r="F3532" s="27">
        <v>3</v>
      </c>
      <c r="G3532" s="29">
        <v>6.4999999999999997E-4</v>
      </c>
    </row>
    <row r="3533" spans="1:7" x14ac:dyDescent="0.25">
      <c r="A3533" s="20" t="s">
        <v>597</v>
      </c>
      <c r="B3533" s="20" t="s">
        <v>775</v>
      </c>
      <c r="C3533" s="20" t="s">
        <v>775</v>
      </c>
      <c r="D3533" s="20" t="s">
        <v>1565</v>
      </c>
      <c r="E3533" s="27">
        <v>2</v>
      </c>
      <c r="F3533" s="27">
        <v>2</v>
      </c>
      <c r="G3533" s="22"/>
    </row>
    <row r="3534" spans="1:7" x14ac:dyDescent="0.25">
      <c r="A3534" s="20" t="s">
        <v>597</v>
      </c>
      <c r="B3534" s="20" t="s">
        <v>401</v>
      </c>
      <c r="C3534" s="20" t="s">
        <v>401</v>
      </c>
      <c r="D3534" s="20" t="s">
        <v>1565</v>
      </c>
      <c r="E3534" s="27">
        <v>1</v>
      </c>
      <c r="F3534" s="27">
        <v>1</v>
      </c>
      <c r="G3534" s="29">
        <v>0.26053999999999999</v>
      </c>
    </row>
    <row r="3535" spans="1:7" x14ac:dyDescent="0.25">
      <c r="A3535" s="20" t="s">
        <v>597</v>
      </c>
      <c r="B3535" s="20" t="s">
        <v>415</v>
      </c>
      <c r="C3535" s="20" t="s">
        <v>415</v>
      </c>
      <c r="D3535" s="20" t="s">
        <v>1565</v>
      </c>
      <c r="E3535" s="27">
        <v>1</v>
      </c>
      <c r="F3535" s="27">
        <v>1</v>
      </c>
      <c r="G3535" s="29">
        <v>0.42882999999999999</v>
      </c>
    </row>
    <row r="3536" spans="1:7" ht="22.5" x14ac:dyDescent="0.25">
      <c r="A3536" s="20" t="s">
        <v>597</v>
      </c>
      <c r="B3536" s="20" t="s">
        <v>417</v>
      </c>
      <c r="C3536" s="20" t="s">
        <v>417</v>
      </c>
      <c r="D3536" s="20" t="s">
        <v>1565</v>
      </c>
      <c r="E3536" s="27">
        <v>2</v>
      </c>
      <c r="F3536" s="27">
        <v>2</v>
      </c>
      <c r="G3536" s="35">
        <v>8.9999999999999993E-3</v>
      </c>
    </row>
    <row r="3537" spans="1:7" x14ac:dyDescent="0.25">
      <c r="A3537" s="20" t="s">
        <v>597</v>
      </c>
      <c r="B3537" s="20" t="s">
        <v>418</v>
      </c>
      <c r="C3537" s="20" t="s">
        <v>1608</v>
      </c>
      <c r="D3537" s="20" t="s">
        <v>1565</v>
      </c>
      <c r="E3537" s="27">
        <v>19</v>
      </c>
      <c r="F3537" s="27">
        <v>19</v>
      </c>
      <c r="G3537" s="28">
        <v>8.9999999999999998E-4</v>
      </c>
    </row>
    <row r="3538" spans="1:7" x14ac:dyDescent="0.25">
      <c r="A3538" s="20" t="s">
        <v>597</v>
      </c>
      <c r="B3538" s="20" t="s">
        <v>419</v>
      </c>
      <c r="C3538" s="20" t="s">
        <v>1609</v>
      </c>
      <c r="D3538" s="20" t="s">
        <v>1565</v>
      </c>
      <c r="E3538" s="27">
        <v>1</v>
      </c>
      <c r="F3538" s="27">
        <v>1</v>
      </c>
      <c r="G3538" s="22"/>
    </row>
    <row r="3539" spans="1:7" ht="22.5" x14ac:dyDescent="0.25">
      <c r="A3539" s="20" t="s">
        <v>597</v>
      </c>
      <c r="B3539" s="20" t="s">
        <v>424</v>
      </c>
      <c r="C3539" s="20" t="s">
        <v>424</v>
      </c>
      <c r="D3539" s="20" t="s">
        <v>1565</v>
      </c>
      <c r="E3539" s="27">
        <v>3</v>
      </c>
      <c r="F3539" s="27">
        <v>3</v>
      </c>
      <c r="G3539" s="22"/>
    </row>
    <row r="3540" spans="1:7" ht="22.5" x14ac:dyDescent="0.25">
      <c r="A3540" s="20" t="s">
        <v>597</v>
      </c>
      <c r="B3540" s="20" t="s">
        <v>427</v>
      </c>
      <c r="C3540" s="20" t="s">
        <v>427</v>
      </c>
      <c r="D3540" s="20" t="s">
        <v>1565</v>
      </c>
      <c r="E3540" s="27">
        <v>1</v>
      </c>
      <c r="F3540" s="27">
        <v>1</v>
      </c>
      <c r="G3540" s="29">
        <v>1.3360399999999999</v>
      </c>
    </row>
    <row r="3541" spans="1:7" ht="22.5" x14ac:dyDescent="0.25">
      <c r="A3541" s="20" t="s">
        <v>597</v>
      </c>
      <c r="B3541" s="20" t="s">
        <v>428</v>
      </c>
      <c r="C3541" s="20" t="s">
        <v>428</v>
      </c>
      <c r="D3541" s="20" t="s">
        <v>1565</v>
      </c>
      <c r="E3541" s="27">
        <v>1</v>
      </c>
      <c r="F3541" s="27">
        <v>1</v>
      </c>
      <c r="G3541" s="29">
        <v>1.3360399999999999</v>
      </c>
    </row>
    <row r="3542" spans="1:7" x14ac:dyDescent="0.25">
      <c r="A3542" s="20" t="s">
        <v>597</v>
      </c>
      <c r="B3542" s="20" t="s">
        <v>429</v>
      </c>
      <c r="C3542" s="20" t="s">
        <v>429</v>
      </c>
      <c r="D3542" s="20" t="s">
        <v>1565</v>
      </c>
      <c r="E3542" s="27">
        <v>3</v>
      </c>
      <c r="F3542" s="27">
        <v>3</v>
      </c>
      <c r="G3542" s="29">
        <v>3.8109999999999998E-2</v>
      </c>
    </row>
    <row r="3543" spans="1:7" ht="22.5" x14ac:dyDescent="0.25">
      <c r="A3543" s="20" t="s">
        <v>597</v>
      </c>
      <c r="B3543" s="20" t="s">
        <v>430</v>
      </c>
      <c r="C3543" s="20" t="s">
        <v>430</v>
      </c>
      <c r="D3543" s="20" t="s">
        <v>1565</v>
      </c>
      <c r="E3543" s="27">
        <v>3</v>
      </c>
      <c r="F3543" s="27">
        <v>3</v>
      </c>
      <c r="G3543" s="29">
        <v>0.56821999999999995</v>
      </c>
    </row>
    <row r="3544" spans="1:7" ht="22.5" x14ac:dyDescent="0.25">
      <c r="A3544" s="20" t="s">
        <v>597</v>
      </c>
      <c r="B3544" s="20" t="s">
        <v>432</v>
      </c>
      <c r="C3544" s="20" t="s">
        <v>432</v>
      </c>
      <c r="D3544" s="20" t="s">
        <v>1565</v>
      </c>
      <c r="E3544" s="27">
        <v>3</v>
      </c>
      <c r="F3544" s="27">
        <v>3</v>
      </c>
      <c r="G3544" s="29">
        <v>0.56821999999999995</v>
      </c>
    </row>
    <row r="3545" spans="1:7" ht="22.5" x14ac:dyDescent="0.25">
      <c r="A3545" s="20" t="s">
        <v>597</v>
      </c>
      <c r="B3545" s="20" t="s">
        <v>433</v>
      </c>
      <c r="C3545" s="20" t="s">
        <v>433</v>
      </c>
      <c r="D3545" s="20" t="s">
        <v>1565</v>
      </c>
      <c r="E3545" s="27">
        <v>1</v>
      </c>
      <c r="F3545" s="27">
        <v>1</v>
      </c>
      <c r="G3545" s="22"/>
    </row>
    <row r="3546" spans="1:7" ht="22.5" x14ac:dyDescent="0.25">
      <c r="A3546" s="20" t="s">
        <v>597</v>
      </c>
      <c r="B3546" s="20" t="s">
        <v>434</v>
      </c>
      <c r="C3546" s="20" t="s">
        <v>434</v>
      </c>
      <c r="D3546" s="20" t="s">
        <v>1565</v>
      </c>
      <c r="E3546" s="27">
        <v>1</v>
      </c>
      <c r="F3546" s="27">
        <v>1</v>
      </c>
      <c r="G3546" s="22"/>
    </row>
    <row r="3547" spans="1:7" x14ac:dyDescent="0.25">
      <c r="A3547" s="20" t="s">
        <v>597</v>
      </c>
      <c r="B3547" s="20" t="s">
        <v>437</v>
      </c>
      <c r="C3547" s="20" t="s">
        <v>437</v>
      </c>
      <c r="D3547" s="20" t="s">
        <v>1565</v>
      </c>
      <c r="E3547" s="27">
        <v>4</v>
      </c>
      <c r="F3547" s="27">
        <v>4</v>
      </c>
      <c r="G3547" s="29">
        <v>5.5140000000000002E-2</v>
      </c>
    </row>
    <row r="3548" spans="1:7" x14ac:dyDescent="0.25">
      <c r="A3548" s="20" t="s">
        <v>597</v>
      </c>
      <c r="B3548" s="20" t="s">
        <v>438</v>
      </c>
      <c r="C3548" s="20" t="s">
        <v>438</v>
      </c>
      <c r="D3548" s="20" t="s">
        <v>1565</v>
      </c>
      <c r="E3548" s="27">
        <v>2</v>
      </c>
      <c r="F3548" s="27">
        <v>2</v>
      </c>
      <c r="G3548" s="29">
        <v>0.36936999999999998</v>
      </c>
    </row>
    <row r="3549" spans="1:7" x14ac:dyDescent="0.25">
      <c r="A3549" s="20" t="s">
        <v>597</v>
      </c>
      <c r="B3549" s="20" t="s">
        <v>545</v>
      </c>
      <c r="C3549" s="20" t="s">
        <v>545</v>
      </c>
      <c r="D3549" s="20" t="s">
        <v>1565</v>
      </c>
      <c r="E3549" s="27">
        <v>1</v>
      </c>
      <c r="F3549" s="27">
        <v>1</v>
      </c>
      <c r="G3549" s="35">
        <v>0.70199999999999996</v>
      </c>
    </row>
    <row r="3550" spans="1:7" ht="22.5" x14ac:dyDescent="0.25">
      <c r="A3550" s="20" t="s">
        <v>597</v>
      </c>
      <c r="B3550" s="20" t="s">
        <v>439</v>
      </c>
      <c r="C3550" s="20" t="s">
        <v>439</v>
      </c>
      <c r="D3550" s="20" t="s">
        <v>1565</v>
      </c>
      <c r="E3550" s="27">
        <v>5</v>
      </c>
      <c r="F3550" s="27">
        <v>5</v>
      </c>
      <c r="G3550" s="29">
        <v>0.12127</v>
      </c>
    </row>
    <row r="3551" spans="1:7" x14ac:dyDescent="0.25">
      <c r="A3551" s="20" t="s">
        <v>597</v>
      </c>
      <c r="B3551" s="20" t="s">
        <v>442</v>
      </c>
      <c r="C3551" s="20" t="s">
        <v>442</v>
      </c>
      <c r="D3551" s="20" t="s">
        <v>1565</v>
      </c>
      <c r="E3551" s="27">
        <v>4</v>
      </c>
      <c r="F3551" s="27">
        <v>4</v>
      </c>
      <c r="G3551" s="28">
        <v>0.1109</v>
      </c>
    </row>
    <row r="3552" spans="1:7" x14ac:dyDescent="0.25">
      <c r="A3552" s="20" t="s">
        <v>597</v>
      </c>
      <c r="B3552" s="20" t="s">
        <v>578</v>
      </c>
      <c r="C3552" s="20" t="s">
        <v>578</v>
      </c>
      <c r="D3552" s="20" t="s">
        <v>1565</v>
      </c>
      <c r="E3552" s="27">
        <v>3</v>
      </c>
      <c r="F3552" s="27">
        <v>3</v>
      </c>
      <c r="G3552" s="22"/>
    </row>
    <row r="3553" spans="1:7" x14ac:dyDescent="0.25">
      <c r="A3553" s="20" t="s">
        <v>597</v>
      </c>
      <c r="B3553" s="20" t="s">
        <v>449</v>
      </c>
      <c r="C3553" s="20" t="s">
        <v>449</v>
      </c>
      <c r="D3553" s="20" t="s">
        <v>1565</v>
      </c>
      <c r="E3553" s="27">
        <v>24</v>
      </c>
      <c r="F3553" s="27">
        <v>24</v>
      </c>
      <c r="G3553" s="29">
        <v>4.4999999999999999E-4</v>
      </c>
    </row>
    <row r="3554" spans="1:7" x14ac:dyDescent="0.25">
      <c r="A3554" s="20" t="s">
        <v>597</v>
      </c>
      <c r="B3554" s="20" t="s">
        <v>450</v>
      </c>
      <c r="C3554" s="20" t="s">
        <v>450</v>
      </c>
      <c r="D3554" s="20" t="s">
        <v>1565</v>
      </c>
      <c r="E3554" s="27">
        <v>650</v>
      </c>
      <c r="F3554" s="27">
        <v>650</v>
      </c>
      <c r="G3554" s="29">
        <v>1.4999999999999999E-4</v>
      </c>
    </row>
    <row r="3555" spans="1:7" x14ac:dyDescent="0.25">
      <c r="A3555" s="20" t="s">
        <v>597</v>
      </c>
      <c r="B3555" s="20" t="s">
        <v>451</v>
      </c>
      <c r="C3555" s="20" t="s">
        <v>451</v>
      </c>
      <c r="D3555" s="20" t="s">
        <v>1565</v>
      </c>
      <c r="E3555" s="27">
        <v>10</v>
      </c>
      <c r="F3555" s="27">
        <v>10</v>
      </c>
      <c r="G3555" s="29">
        <v>2.2000000000000001E-4</v>
      </c>
    </row>
    <row r="3556" spans="1:7" x14ac:dyDescent="0.25">
      <c r="A3556" s="20" t="s">
        <v>597</v>
      </c>
      <c r="B3556" s="20" t="s">
        <v>452</v>
      </c>
      <c r="C3556" s="20" t="s">
        <v>452</v>
      </c>
      <c r="D3556" s="20" t="s">
        <v>1565</v>
      </c>
      <c r="E3556" s="27">
        <v>48</v>
      </c>
      <c r="F3556" s="27">
        <v>48</v>
      </c>
      <c r="G3556" s="29">
        <v>2.7999999999999998E-4</v>
      </c>
    </row>
    <row r="3557" spans="1:7" x14ac:dyDescent="0.25">
      <c r="A3557" s="20" t="s">
        <v>597</v>
      </c>
      <c r="B3557" s="20" t="s">
        <v>453</v>
      </c>
      <c r="C3557" s="20" t="s">
        <v>453</v>
      </c>
      <c r="D3557" s="20" t="s">
        <v>1565</v>
      </c>
      <c r="E3557" s="27">
        <v>12</v>
      </c>
      <c r="F3557" s="27">
        <v>12</v>
      </c>
      <c r="G3557" s="29">
        <v>4.0999999999999999E-4</v>
      </c>
    </row>
    <row r="3558" spans="1:7" x14ac:dyDescent="0.25">
      <c r="A3558" s="20" t="s">
        <v>597</v>
      </c>
      <c r="B3558" s="20" t="s">
        <v>454</v>
      </c>
      <c r="C3558" s="20" t="s">
        <v>454</v>
      </c>
      <c r="D3558" s="20" t="s">
        <v>1565</v>
      </c>
      <c r="E3558" s="27">
        <v>8</v>
      </c>
      <c r="F3558" s="27">
        <v>8</v>
      </c>
      <c r="G3558" s="22"/>
    </row>
    <row r="3559" spans="1:7" ht="22.5" x14ac:dyDescent="0.25">
      <c r="A3559" s="20" t="s">
        <v>597</v>
      </c>
      <c r="B3559" s="20" t="s">
        <v>455</v>
      </c>
      <c r="C3559" s="20" t="s">
        <v>455</v>
      </c>
      <c r="D3559" s="20" t="s">
        <v>1565</v>
      </c>
      <c r="E3559" s="27">
        <v>10</v>
      </c>
      <c r="F3559" s="27">
        <v>10</v>
      </c>
      <c r="G3559" s="22"/>
    </row>
    <row r="3560" spans="1:7" x14ac:dyDescent="0.25">
      <c r="A3560" s="20" t="s">
        <v>597</v>
      </c>
      <c r="B3560" s="20" t="s">
        <v>457</v>
      </c>
      <c r="C3560" s="20" t="s">
        <v>457</v>
      </c>
      <c r="D3560" s="20" t="s">
        <v>1565</v>
      </c>
      <c r="E3560" s="27">
        <v>1</v>
      </c>
      <c r="F3560" s="27">
        <v>1</v>
      </c>
      <c r="G3560" s="31">
        <v>0.15</v>
      </c>
    </row>
    <row r="3561" spans="1:7" x14ac:dyDescent="0.25">
      <c r="A3561" s="20" t="s">
        <v>597</v>
      </c>
      <c r="B3561" s="20" t="s">
        <v>458</v>
      </c>
      <c r="C3561" s="20" t="s">
        <v>458</v>
      </c>
      <c r="D3561" s="20" t="s">
        <v>1565</v>
      </c>
      <c r="E3561" s="27">
        <v>1</v>
      </c>
      <c r="F3561" s="27">
        <v>1</v>
      </c>
      <c r="G3561" s="31">
        <v>1.92</v>
      </c>
    </row>
    <row r="3562" spans="1:7" x14ac:dyDescent="0.25">
      <c r="A3562" s="20" t="s">
        <v>597</v>
      </c>
      <c r="B3562" s="20" t="s">
        <v>459</v>
      </c>
      <c r="C3562" s="20" t="s">
        <v>459</v>
      </c>
      <c r="D3562" s="20" t="s">
        <v>1565</v>
      </c>
      <c r="E3562" s="27">
        <v>1</v>
      </c>
      <c r="F3562" s="27">
        <v>1</v>
      </c>
      <c r="G3562" s="35">
        <v>0.40899999999999997</v>
      </c>
    </row>
    <row r="3563" spans="1:7" x14ac:dyDescent="0.25">
      <c r="A3563" s="20" t="s">
        <v>597</v>
      </c>
      <c r="B3563" s="20" t="s">
        <v>463</v>
      </c>
      <c r="C3563" s="20" t="s">
        <v>463</v>
      </c>
      <c r="D3563" s="20" t="s">
        <v>1565</v>
      </c>
      <c r="E3563" s="27">
        <v>11</v>
      </c>
      <c r="F3563" s="27">
        <v>11</v>
      </c>
      <c r="G3563" s="29">
        <v>2.0899999999999998E-3</v>
      </c>
    </row>
    <row r="3564" spans="1:7" x14ac:dyDescent="0.25">
      <c r="A3564" s="20" t="s">
        <v>597</v>
      </c>
      <c r="B3564" s="20" t="s">
        <v>466</v>
      </c>
      <c r="C3564" s="20" t="s">
        <v>466</v>
      </c>
      <c r="D3564" s="20" t="s">
        <v>1565</v>
      </c>
      <c r="E3564" s="27">
        <v>7</v>
      </c>
      <c r="F3564" s="27">
        <v>7</v>
      </c>
      <c r="G3564" s="35">
        <v>0.28299999999999997</v>
      </c>
    </row>
    <row r="3565" spans="1:7" x14ac:dyDescent="0.25">
      <c r="A3565" s="20" t="s">
        <v>597</v>
      </c>
      <c r="B3565" s="20" t="s">
        <v>467</v>
      </c>
      <c r="C3565" s="20" t="s">
        <v>467</v>
      </c>
      <c r="D3565" s="20" t="s">
        <v>1565</v>
      </c>
      <c r="E3565" s="27">
        <v>2</v>
      </c>
      <c r="F3565" s="27">
        <v>2</v>
      </c>
      <c r="G3565" s="31">
        <v>0.25</v>
      </c>
    </row>
    <row r="3566" spans="1:7" x14ac:dyDescent="0.25">
      <c r="A3566" s="20" t="s">
        <v>597</v>
      </c>
      <c r="B3566" s="20" t="s">
        <v>470</v>
      </c>
      <c r="C3566" s="20" t="s">
        <v>470</v>
      </c>
      <c r="D3566" s="20" t="s">
        <v>1565</v>
      </c>
      <c r="E3566" s="27">
        <v>10</v>
      </c>
      <c r="F3566" s="27">
        <v>10</v>
      </c>
      <c r="G3566" s="22"/>
    </row>
    <row r="3567" spans="1:7" x14ac:dyDescent="0.25">
      <c r="A3567" s="20" t="s">
        <v>597</v>
      </c>
      <c r="B3567" s="20" t="s">
        <v>472</v>
      </c>
      <c r="C3567" s="20" t="s">
        <v>472</v>
      </c>
      <c r="D3567" s="20" t="s">
        <v>1565</v>
      </c>
      <c r="E3567" s="27">
        <v>7</v>
      </c>
      <c r="F3567" s="27">
        <v>7</v>
      </c>
      <c r="G3567" s="29">
        <v>0.16206000000000001</v>
      </c>
    </row>
    <row r="3568" spans="1:7" x14ac:dyDescent="0.25">
      <c r="A3568" s="20" t="s">
        <v>597</v>
      </c>
      <c r="B3568" s="20" t="s">
        <v>1610</v>
      </c>
      <c r="C3568" s="20" t="s">
        <v>1610</v>
      </c>
      <c r="D3568" s="20" t="s">
        <v>1565</v>
      </c>
      <c r="E3568" s="27">
        <v>1</v>
      </c>
      <c r="F3568" s="27">
        <v>1</v>
      </c>
      <c r="G3568" s="29">
        <v>0.29450999999999999</v>
      </c>
    </row>
    <row r="3569" spans="1:7" x14ac:dyDescent="0.25">
      <c r="A3569" s="20" t="s">
        <v>597</v>
      </c>
      <c r="B3569" s="20" t="s">
        <v>474</v>
      </c>
      <c r="C3569" s="20" t="s">
        <v>474</v>
      </c>
      <c r="D3569" s="20" t="s">
        <v>1565</v>
      </c>
      <c r="E3569" s="27">
        <v>1</v>
      </c>
      <c r="F3569" s="27">
        <v>1</v>
      </c>
      <c r="G3569" s="34">
        <v>1.5</v>
      </c>
    </row>
    <row r="3570" spans="1:7" x14ac:dyDescent="0.25">
      <c r="A3570" s="20" t="s">
        <v>597</v>
      </c>
      <c r="B3570" s="20" t="s">
        <v>476</v>
      </c>
      <c r="C3570" s="20" t="s">
        <v>476</v>
      </c>
      <c r="D3570" s="20" t="s">
        <v>1565</v>
      </c>
      <c r="E3570" s="27">
        <v>20</v>
      </c>
      <c r="F3570" s="27">
        <v>20</v>
      </c>
      <c r="G3570" s="22"/>
    </row>
    <row r="3571" spans="1:7" x14ac:dyDescent="0.25">
      <c r="A3571" s="20" t="s">
        <v>597</v>
      </c>
      <c r="B3571" s="20" t="s">
        <v>477</v>
      </c>
      <c r="C3571" s="20" t="s">
        <v>477</v>
      </c>
      <c r="D3571" s="20" t="s">
        <v>1565</v>
      </c>
      <c r="E3571" s="27">
        <v>20</v>
      </c>
      <c r="F3571" s="27">
        <v>20</v>
      </c>
      <c r="G3571" s="22"/>
    </row>
    <row r="3572" spans="1:7" x14ac:dyDescent="0.25">
      <c r="A3572" s="20" t="s">
        <v>597</v>
      </c>
      <c r="B3572" s="20" t="s">
        <v>479</v>
      </c>
      <c r="C3572" s="20" t="s">
        <v>479</v>
      </c>
      <c r="D3572" s="20" t="s">
        <v>1565</v>
      </c>
      <c r="E3572" s="27">
        <v>40</v>
      </c>
      <c r="F3572" s="27">
        <v>40</v>
      </c>
      <c r="G3572" s="22"/>
    </row>
    <row r="3573" spans="1:7" x14ac:dyDescent="0.25">
      <c r="A3573" s="20" t="s">
        <v>597</v>
      </c>
      <c r="B3573" s="20" t="s">
        <v>480</v>
      </c>
      <c r="C3573" s="20" t="s">
        <v>480</v>
      </c>
      <c r="D3573" s="20" t="s">
        <v>1565</v>
      </c>
      <c r="E3573" s="27">
        <v>40</v>
      </c>
      <c r="F3573" s="27">
        <v>40</v>
      </c>
      <c r="G3573" s="22"/>
    </row>
    <row r="3574" spans="1:7" x14ac:dyDescent="0.25">
      <c r="A3574" s="20" t="s">
        <v>597</v>
      </c>
      <c r="B3574" s="20" t="s">
        <v>481</v>
      </c>
      <c r="C3574" s="20" t="s">
        <v>481</v>
      </c>
      <c r="D3574" s="20" t="s">
        <v>1565</v>
      </c>
      <c r="E3574" s="27">
        <v>100</v>
      </c>
      <c r="F3574" s="27">
        <v>100</v>
      </c>
      <c r="G3574" s="22"/>
    </row>
    <row r="3575" spans="1:7" x14ac:dyDescent="0.25">
      <c r="A3575" s="20" t="s">
        <v>597</v>
      </c>
      <c r="B3575" s="20" t="s">
        <v>482</v>
      </c>
      <c r="C3575" s="20" t="s">
        <v>482</v>
      </c>
      <c r="D3575" s="20" t="s">
        <v>1565</v>
      </c>
      <c r="E3575" s="27">
        <v>25</v>
      </c>
      <c r="F3575" s="27">
        <v>25</v>
      </c>
      <c r="G3575" s="22"/>
    </row>
    <row r="3576" spans="1:7" x14ac:dyDescent="0.25">
      <c r="A3576" s="20" t="s">
        <v>597</v>
      </c>
      <c r="B3576" s="20" t="s">
        <v>569</v>
      </c>
      <c r="C3576" s="20" t="s">
        <v>569</v>
      </c>
      <c r="D3576" s="20" t="s">
        <v>1565</v>
      </c>
      <c r="E3576" s="27">
        <v>3</v>
      </c>
      <c r="F3576" s="27">
        <v>3</v>
      </c>
      <c r="G3576" s="22"/>
    </row>
    <row r="3577" spans="1:7" x14ac:dyDescent="0.25">
      <c r="A3577" s="20" t="s">
        <v>597</v>
      </c>
      <c r="B3577" s="20" t="s">
        <v>484</v>
      </c>
      <c r="C3577" s="20" t="s">
        <v>484</v>
      </c>
      <c r="D3577" s="20" t="s">
        <v>1565</v>
      </c>
      <c r="E3577" s="27">
        <v>6</v>
      </c>
      <c r="F3577" s="27">
        <v>6</v>
      </c>
      <c r="G3577" s="22"/>
    </row>
    <row r="3578" spans="1:7" x14ac:dyDescent="0.25">
      <c r="A3578" s="20" t="s">
        <v>597</v>
      </c>
      <c r="B3578" s="20" t="s">
        <v>486</v>
      </c>
      <c r="C3578" s="20" t="s">
        <v>486</v>
      </c>
      <c r="D3578" s="20" t="s">
        <v>1565</v>
      </c>
      <c r="E3578" s="27">
        <v>6</v>
      </c>
      <c r="F3578" s="27">
        <v>6</v>
      </c>
      <c r="G3578" s="22"/>
    </row>
    <row r="3579" spans="1:7" x14ac:dyDescent="0.25">
      <c r="A3579" s="20" t="s">
        <v>597</v>
      </c>
      <c r="B3579" s="20" t="s">
        <v>488</v>
      </c>
      <c r="C3579" s="20" t="s">
        <v>488</v>
      </c>
      <c r="D3579" s="20" t="s">
        <v>1565</v>
      </c>
      <c r="E3579" s="27">
        <v>3</v>
      </c>
      <c r="F3579" s="27">
        <v>3</v>
      </c>
      <c r="G3579" s="22"/>
    </row>
    <row r="3580" spans="1:7" ht="22.5" x14ac:dyDescent="0.25">
      <c r="A3580" s="20" t="s">
        <v>597</v>
      </c>
      <c r="B3580" s="20" t="s">
        <v>489</v>
      </c>
      <c r="C3580" s="20" t="s">
        <v>489</v>
      </c>
      <c r="D3580" s="20" t="s">
        <v>1565</v>
      </c>
      <c r="E3580" s="27">
        <v>1</v>
      </c>
      <c r="F3580" s="27">
        <v>1</v>
      </c>
      <c r="G3580" s="29">
        <v>3.3826200000000002</v>
      </c>
    </row>
    <row r="3581" spans="1:7" x14ac:dyDescent="0.25">
      <c r="A3581" s="20" t="s">
        <v>597</v>
      </c>
      <c r="B3581" s="20" t="s">
        <v>490</v>
      </c>
      <c r="C3581" s="20" t="s">
        <v>490</v>
      </c>
      <c r="D3581" s="20" t="s">
        <v>1565</v>
      </c>
      <c r="E3581" s="27">
        <v>5</v>
      </c>
      <c r="F3581" s="27">
        <v>5</v>
      </c>
      <c r="G3581" s="29">
        <v>2.5400000000000002E-3</v>
      </c>
    </row>
    <row r="3582" spans="1:7" x14ac:dyDescent="0.25">
      <c r="A3582" s="20" t="s">
        <v>597</v>
      </c>
      <c r="B3582" s="20" t="s">
        <v>491</v>
      </c>
      <c r="C3582" s="20" t="s">
        <v>491</v>
      </c>
      <c r="D3582" s="20" t="s">
        <v>1565</v>
      </c>
      <c r="E3582" s="27">
        <v>14</v>
      </c>
      <c r="F3582" s="27">
        <v>14</v>
      </c>
      <c r="G3582" s="29">
        <v>3.6800000000000001E-3</v>
      </c>
    </row>
    <row r="3583" spans="1:7" x14ac:dyDescent="0.25">
      <c r="A3583" s="20" t="s">
        <v>597</v>
      </c>
      <c r="B3583" s="20" t="s">
        <v>498</v>
      </c>
      <c r="C3583" s="20" t="s">
        <v>498</v>
      </c>
      <c r="D3583" s="20" t="s">
        <v>1565</v>
      </c>
      <c r="E3583" s="27">
        <v>3</v>
      </c>
      <c r="F3583" s="27">
        <v>3</v>
      </c>
      <c r="G3583" s="22"/>
    </row>
    <row r="3584" spans="1:7" x14ac:dyDescent="0.25">
      <c r="A3584" s="20" t="s">
        <v>597</v>
      </c>
      <c r="B3584" s="20" t="s">
        <v>499</v>
      </c>
      <c r="C3584" s="20" t="s">
        <v>499</v>
      </c>
      <c r="D3584" s="20" t="s">
        <v>1565</v>
      </c>
      <c r="E3584" s="27">
        <v>1</v>
      </c>
      <c r="F3584" s="27">
        <v>1</v>
      </c>
      <c r="G3584" s="29">
        <v>6.9849999999999995E-2</v>
      </c>
    </row>
    <row r="3585" spans="1:7" x14ac:dyDescent="0.25">
      <c r="A3585" s="20" t="s">
        <v>597</v>
      </c>
      <c r="B3585" s="20" t="s">
        <v>500</v>
      </c>
      <c r="C3585" s="20" t="s">
        <v>500</v>
      </c>
      <c r="D3585" s="20" t="s">
        <v>1565</v>
      </c>
      <c r="E3585" s="27">
        <v>2</v>
      </c>
      <c r="F3585" s="27">
        <v>2</v>
      </c>
      <c r="G3585" s="35">
        <v>0.113</v>
      </c>
    </row>
    <row r="3586" spans="1:7" ht="22.5" x14ac:dyDescent="0.25">
      <c r="A3586" s="20" t="s">
        <v>597</v>
      </c>
      <c r="B3586" s="20" t="s">
        <v>503</v>
      </c>
      <c r="C3586" s="20" t="s">
        <v>503</v>
      </c>
      <c r="D3586" s="20" t="s">
        <v>1565</v>
      </c>
      <c r="E3586" s="27">
        <v>1</v>
      </c>
      <c r="F3586" s="27">
        <v>1</v>
      </c>
      <c r="G3586" s="29">
        <v>0.49363000000000001</v>
      </c>
    </row>
    <row r="3587" spans="1:7" ht="22.5" x14ac:dyDescent="0.25">
      <c r="A3587" s="20" t="s">
        <v>597</v>
      </c>
      <c r="B3587" s="20" t="s">
        <v>504</v>
      </c>
      <c r="C3587" s="20" t="s">
        <v>504</v>
      </c>
      <c r="D3587" s="20" t="s">
        <v>1565</v>
      </c>
      <c r="E3587" s="27">
        <v>1</v>
      </c>
      <c r="F3587" s="27">
        <v>1</v>
      </c>
      <c r="G3587" s="29">
        <v>0.49363000000000001</v>
      </c>
    </row>
    <row r="3588" spans="1:7" x14ac:dyDescent="0.25">
      <c r="A3588" s="20" t="s">
        <v>597</v>
      </c>
      <c r="B3588" s="20" t="s">
        <v>510</v>
      </c>
      <c r="C3588" s="20" t="s">
        <v>510</v>
      </c>
      <c r="D3588" s="20" t="s">
        <v>1565</v>
      </c>
      <c r="E3588" s="27">
        <v>1</v>
      </c>
      <c r="F3588" s="27">
        <v>1</v>
      </c>
      <c r="G3588" s="29">
        <v>0.87595999999999996</v>
      </c>
    </row>
    <row r="3589" spans="1:7" x14ac:dyDescent="0.25">
      <c r="A3589" s="20" t="s">
        <v>597</v>
      </c>
      <c r="B3589" s="20" t="s">
        <v>511</v>
      </c>
      <c r="C3589" s="20" t="s">
        <v>511</v>
      </c>
      <c r="D3589" s="20" t="s">
        <v>1565</v>
      </c>
      <c r="E3589" s="27">
        <v>200</v>
      </c>
      <c r="F3589" s="27">
        <v>200</v>
      </c>
      <c r="G3589" s="22"/>
    </row>
    <row r="3590" spans="1:7" x14ac:dyDescent="0.25">
      <c r="A3590" s="20" t="s">
        <v>597</v>
      </c>
      <c r="B3590" s="20" t="s">
        <v>514</v>
      </c>
      <c r="C3590" s="20" t="s">
        <v>514</v>
      </c>
      <c r="D3590" s="20" t="s">
        <v>1565</v>
      </c>
      <c r="E3590" s="27">
        <v>1</v>
      </c>
      <c r="F3590" s="27">
        <v>1</v>
      </c>
      <c r="G3590" s="29">
        <v>4.5399999999999998E-3</v>
      </c>
    </row>
    <row r="3591" spans="1:7" x14ac:dyDescent="0.25">
      <c r="A3591" s="20" t="s">
        <v>597</v>
      </c>
      <c r="B3591" s="20" t="s">
        <v>518</v>
      </c>
      <c r="C3591" s="20" t="s">
        <v>518</v>
      </c>
      <c r="D3591" s="20" t="s">
        <v>1565</v>
      </c>
      <c r="E3591" s="33">
        <v>1.2</v>
      </c>
      <c r="F3591" s="33">
        <v>1.2</v>
      </c>
      <c r="G3591" s="22"/>
    </row>
    <row r="3592" spans="1:7" x14ac:dyDescent="0.25">
      <c r="A3592" s="20" t="s">
        <v>597</v>
      </c>
      <c r="B3592" s="20" t="s">
        <v>519</v>
      </c>
      <c r="C3592" s="20" t="s">
        <v>519</v>
      </c>
      <c r="D3592" s="20" t="s">
        <v>1565</v>
      </c>
      <c r="E3592" s="27">
        <v>1</v>
      </c>
      <c r="F3592" s="27">
        <v>1</v>
      </c>
      <c r="G3592" s="22"/>
    </row>
    <row r="3593" spans="1:7" x14ac:dyDescent="0.25">
      <c r="A3593" s="20" t="s">
        <v>597</v>
      </c>
      <c r="B3593" s="20" t="s">
        <v>520</v>
      </c>
      <c r="C3593" s="20" t="s">
        <v>520</v>
      </c>
      <c r="D3593" s="20" t="s">
        <v>1565</v>
      </c>
      <c r="E3593" s="27">
        <v>1</v>
      </c>
      <c r="F3593" s="27">
        <v>1</v>
      </c>
      <c r="G3593" s="22"/>
    </row>
    <row r="3594" spans="1:7" x14ac:dyDescent="0.25">
      <c r="A3594" s="20" t="s">
        <v>597</v>
      </c>
      <c r="B3594" s="20" t="s">
        <v>521</v>
      </c>
      <c r="C3594" s="20" t="s">
        <v>521</v>
      </c>
      <c r="D3594" s="20" t="s">
        <v>1565</v>
      </c>
      <c r="E3594" s="27">
        <v>1</v>
      </c>
      <c r="F3594" s="27">
        <v>1</v>
      </c>
      <c r="G3594" s="22"/>
    </row>
    <row r="3595" spans="1:7" x14ac:dyDescent="0.25">
      <c r="A3595" s="20" t="s">
        <v>597</v>
      </c>
      <c r="B3595" s="20" t="s">
        <v>522</v>
      </c>
      <c r="C3595" s="20" t="s">
        <v>522</v>
      </c>
      <c r="D3595" s="20" t="s">
        <v>1565</v>
      </c>
      <c r="E3595" s="27">
        <v>1</v>
      </c>
      <c r="F3595" s="27">
        <v>1</v>
      </c>
      <c r="G3595" s="28">
        <v>2.3999999999999998E-3</v>
      </c>
    </row>
    <row r="3596" spans="1:7" x14ac:dyDescent="0.25">
      <c r="A3596" s="20" t="s">
        <v>597</v>
      </c>
      <c r="B3596" s="20" t="s">
        <v>523</v>
      </c>
      <c r="C3596" s="20" t="s">
        <v>523</v>
      </c>
      <c r="D3596" s="20" t="s">
        <v>1565</v>
      </c>
      <c r="E3596" s="27">
        <v>21</v>
      </c>
      <c r="F3596" s="27">
        <v>21</v>
      </c>
      <c r="G3596" s="29">
        <v>1.5689999999999999E-2</v>
      </c>
    </row>
    <row r="3597" spans="1:7" x14ac:dyDescent="0.25">
      <c r="A3597" s="20" t="s">
        <v>597</v>
      </c>
      <c r="B3597" s="20" t="s">
        <v>525</v>
      </c>
      <c r="C3597" s="20" t="s">
        <v>525</v>
      </c>
      <c r="D3597" s="20" t="s">
        <v>1565</v>
      </c>
      <c r="E3597" s="27">
        <v>41</v>
      </c>
      <c r="F3597" s="27">
        <v>41</v>
      </c>
      <c r="G3597" s="29">
        <v>2.743E-2</v>
      </c>
    </row>
    <row r="3598" spans="1:7" x14ac:dyDescent="0.25">
      <c r="A3598" s="20" t="s">
        <v>597</v>
      </c>
      <c r="B3598" s="20" t="s">
        <v>527</v>
      </c>
      <c r="C3598" s="20" t="s">
        <v>527</v>
      </c>
      <c r="D3598" s="20" t="s">
        <v>1565</v>
      </c>
      <c r="E3598" s="27">
        <v>1</v>
      </c>
      <c r="F3598" s="27">
        <v>1</v>
      </c>
      <c r="G3598" s="31">
        <v>0.27</v>
      </c>
    </row>
    <row r="3599" spans="1:7" x14ac:dyDescent="0.25">
      <c r="A3599" s="20" t="s">
        <v>597</v>
      </c>
      <c r="B3599" s="20" t="s">
        <v>528</v>
      </c>
      <c r="C3599" s="20" t="s">
        <v>528</v>
      </c>
      <c r="D3599" s="20" t="s">
        <v>1565</v>
      </c>
      <c r="E3599" s="27">
        <v>1</v>
      </c>
      <c r="F3599" s="27">
        <v>1</v>
      </c>
      <c r="G3599" s="31">
        <v>0.31</v>
      </c>
    </row>
    <row r="3600" spans="1:7" x14ac:dyDescent="0.25">
      <c r="A3600" s="20" t="s">
        <v>597</v>
      </c>
      <c r="B3600" s="20" t="s">
        <v>529</v>
      </c>
      <c r="C3600" s="20" t="s">
        <v>529</v>
      </c>
      <c r="D3600" s="20" t="s">
        <v>1565</v>
      </c>
      <c r="E3600" s="27">
        <v>1</v>
      </c>
      <c r="F3600" s="27">
        <v>1</v>
      </c>
      <c r="G3600" s="34">
        <v>1.5</v>
      </c>
    </row>
    <row r="3601" spans="1:7" x14ac:dyDescent="0.25">
      <c r="A3601" s="20" t="s">
        <v>597</v>
      </c>
      <c r="B3601" s="20" t="s">
        <v>579</v>
      </c>
      <c r="C3601" s="20" t="s">
        <v>579</v>
      </c>
      <c r="D3601" s="20" t="s">
        <v>1565</v>
      </c>
      <c r="E3601" s="27">
        <v>2</v>
      </c>
      <c r="F3601" s="27">
        <v>2</v>
      </c>
      <c r="G3601" s="29">
        <v>4.3047700000000004</v>
      </c>
    </row>
    <row r="3602" spans="1:7" x14ac:dyDescent="0.25">
      <c r="A3602" s="20" t="s">
        <v>597</v>
      </c>
      <c r="B3602" s="20" t="s">
        <v>530</v>
      </c>
      <c r="C3602" s="20" t="s">
        <v>530</v>
      </c>
      <c r="D3602" s="20" t="s">
        <v>1565</v>
      </c>
      <c r="E3602" s="27">
        <v>4</v>
      </c>
      <c r="F3602" s="27">
        <v>4</v>
      </c>
      <c r="G3602" s="31">
        <v>0.27</v>
      </c>
    </row>
    <row r="3603" spans="1:7" x14ac:dyDescent="0.25">
      <c r="A3603" s="20" t="s">
        <v>597</v>
      </c>
      <c r="B3603" s="20" t="s">
        <v>533</v>
      </c>
      <c r="C3603" s="20" t="s">
        <v>533</v>
      </c>
      <c r="D3603" s="20" t="s">
        <v>1565</v>
      </c>
      <c r="E3603" s="27">
        <v>2</v>
      </c>
      <c r="F3603" s="27">
        <v>2</v>
      </c>
      <c r="G3603" s="22"/>
    </row>
    <row r="3604" spans="1:7" ht="22.5" x14ac:dyDescent="0.25">
      <c r="A3604" s="20" t="s">
        <v>597</v>
      </c>
      <c r="B3604" s="20" t="s">
        <v>539</v>
      </c>
      <c r="C3604" s="20" t="s">
        <v>539</v>
      </c>
      <c r="D3604" s="20" t="s">
        <v>1565</v>
      </c>
      <c r="E3604" s="27">
        <v>1</v>
      </c>
      <c r="F3604" s="27">
        <v>1</v>
      </c>
      <c r="G3604" s="29">
        <v>1.8880000000000001E-2</v>
      </c>
    </row>
    <row r="3605" spans="1:7" x14ac:dyDescent="0.25">
      <c r="A3605" s="20" t="s">
        <v>597</v>
      </c>
      <c r="B3605" s="20" t="s">
        <v>540</v>
      </c>
      <c r="C3605" s="20" t="s">
        <v>540</v>
      </c>
      <c r="D3605" s="20" t="s">
        <v>1565</v>
      </c>
      <c r="E3605" s="33">
        <v>0.3</v>
      </c>
      <c r="F3605" s="33">
        <v>0.3</v>
      </c>
      <c r="G3605" s="29">
        <v>0.11327</v>
      </c>
    </row>
    <row r="3606" spans="1:7" x14ac:dyDescent="0.25">
      <c r="A3606" s="20" t="s">
        <v>595</v>
      </c>
      <c r="B3606" s="20" t="s">
        <v>1611</v>
      </c>
      <c r="C3606" s="20" t="s">
        <v>1611</v>
      </c>
      <c r="D3606" s="20" t="s">
        <v>1566</v>
      </c>
      <c r="E3606" s="27">
        <v>1</v>
      </c>
      <c r="F3606" s="27">
        <v>1</v>
      </c>
      <c r="G3606" s="29">
        <v>29.168869999999998</v>
      </c>
    </row>
    <row r="3607" spans="1:7" ht="22.5" x14ac:dyDescent="0.25">
      <c r="A3607" s="20" t="s">
        <v>620</v>
      </c>
      <c r="B3607" s="20" t="s">
        <v>501</v>
      </c>
      <c r="C3607" s="20" t="s">
        <v>501</v>
      </c>
      <c r="D3607" s="20" t="s">
        <v>1566</v>
      </c>
      <c r="E3607" s="27">
        <v>25</v>
      </c>
      <c r="F3607" s="27">
        <v>25</v>
      </c>
      <c r="G3607" s="28">
        <v>1.5E-3</v>
      </c>
    </row>
    <row r="3608" spans="1:7" x14ac:dyDescent="0.25">
      <c r="A3608" s="20" t="s">
        <v>597</v>
      </c>
      <c r="B3608" s="20" t="s">
        <v>358</v>
      </c>
      <c r="C3608" s="20" t="s">
        <v>358</v>
      </c>
      <c r="D3608" s="20" t="s">
        <v>1566</v>
      </c>
      <c r="E3608" s="24">
        <v>1.085</v>
      </c>
      <c r="F3608" s="24">
        <v>1.085</v>
      </c>
      <c r="G3608" s="31">
        <v>0.32</v>
      </c>
    </row>
    <row r="3609" spans="1:7" x14ac:dyDescent="0.25">
      <c r="A3609" s="20" t="s">
        <v>597</v>
      </c>
      <c r="B3609" s="20" t="s">
        <v>362</v>
      </c>
      <c r="C3609" s="20" t="s">
        <v>362</v>
      </c>
      <c r="D3609" s="20" t="s">
        <v>1566</v>
      </c>
      <c r="E3609" s="27">
        <v>1</v>
      </c>
      <c r="F3609" s="27">
        <v>1</v>
      </c>
      <c r="G3609" s="31">
        <v>0.31</v>
      </c>
    </row>
    <row r="3610" spans="1:7" x14ac:dyDescent="0.25">
      <c r="A3610" s="20" t="s">
        <v>597</v>
      </c>
      <c r="B3610" s="20" t="s">
        <v>576</v>
      </c>
      <c r="C3610" s="20" t="s">
        <v>576</v>
      </c>
      <c r="D3610" s="20" t="s">
        <v>1566</v>
      </c>
      <c r="E3610" s="27">
        <v>3</v>
      </c>
      <c r="F3610" s="27">
        <v>3</v>
      </c>
      <c r="G3610" s="29">
        <v>2.5368499999999998</v>
      </c>
    </row>
    <row r="3611" spans="1:7" x14ac:dyDescent="0.25">
      <c r="A3611" s="20" t="s">
        <v>597</v>
      </c>
      <c r="B3611" s="20" t="s">
        <v>1612</v>
      </c>
      <c r="C3611" s="20" t="s">
        <v>1612</v>
      </c>
      <c r="D3611" s="20" t="s">
        <v>1566</v>
      </c>
      <c r="E3611" s="27">
        <v>1</v>
      </c>
      <c r="F3611" s="27">
        <v>1</v>
      </c>
      <c r="G3611" s="22"/>
    </row>
    <row r="3612" spans="1:7" x14ac:dyDescent="0.25">
      <c r="A3612" s="20" t="s">
        <v>597</v>
      </c>
      <c r="B3612" s="20" t="s">
        <v>373</v>
      </c>
      <c r="C3612" s="20" t="s">
        <v>373</v>
      </c>
      <c r="D3612" s="20" t="s">
        <v>1566</v>
      </c>
      <c r="E3612" s="27">
        <v>1</v>
      </c>
      <c r="F3612" s="27">
        <v>1</v>
      </c>
      <c r="G3612" s="35">
        <v>4.8000000000000001E-2</v>
      </c>
    </row>
    <row r="3613" spans="1:7" x14ac:dyDescent="0.25">
      <c r="A3613" s="20" t="s">
        <v>597</v>
      </c>
      <c r="B3613" s="20" t="s">
        <v>374</v>
      </c>
      <c r="C3613" s="20" t="s">
        <v>374</v>
      </c>
      <c r="D3613" s="20" t="s">
        <v>1566</v>
      </c>
      <c r="E3613" s="27">
        <v>4</v>
      </c>
      <c r="F3613" s="27">
        <v>4</v>
      </c>
      <c r="G3613" s="35">
        <v>3.5000000000000003E-2</v>
      </c>
    </row>
    <row r="3614" spans="1:7" x14ac:dyDescent="0.25">
      <c r="A3614" s="20" t="s">
        <v>597</v>
      </c>
      <c r="B3614" s="20" t="s">
        <v>375</v>
      </c>
      <c r="C3614" s="20" t="s">
        <v>375</v>
      </c>
      <c r="D3614" s="20" t="s">
        <v>1566</v>
      </c>
      <c r="E3614" s="27">
        <v>4</v>
      </c>
      <c r="F3614" s="27">
        <v>4</v>
      </c>
      <c r="G3614" s="35">
        <v>1.4E-2</v>
      </c>
    </row>
    <row r="3615" spans="1:7" ht="22.5" x14ac:dyDescent="0.25">
      <c r="A3615" s="20" t="s">
        <v>597</v>
      </c>
      <c r="B3615" s="20" t="s">
        <v>376</v>
      </c>
      <c r="C3615" s="20" t="s">
        <v>376</v>
      </c>
      <c r="D3615" s="20" t="s">
        <v>1566</v>
      </c>
      <c r="E3615" s="27">
        <v>7</v>
      </c>
      <c r="F3615" s="27">
        <v>7</v>
      </c>
      <c r="G3615" s="29">
        <v>7.1730000000000002E-2</v>
      </c>
    </row>
    <row r="3616" spans="1:7" ht="22.5" x14ac:dyDescent="0.25">
      <c r="A3616" s="20" t="s">
        <v>597</v>
      </c>
      <c r="B3616" s="20" t="s">
        <v>377</v>
      </c>
      <c r="C3616" s="20" t="s">
        <v>377</v>
      </c>
      <c r="D3616" s="20" t="s">
        <v>1566</v>
      </c>
      <c r="E3616" s="27">
        <v>14</v>
      </c>
      <c r="F3616" s="27">
        <v>14</v>
      </c>
      <c r="G3616" s="29">
        <v>6.2950000000000006E-2</v>
      </c>
    </row>
    <row r="3617" spans="1:7" x14ac:dyDescent="0.25">
      <c r="A3617" s="20" t="s">
        <v>597</v>
      </c>
      <c r="B3617" s="20" t="s">
        <v>1613</v>
      </c>
      <c r="C3617" s="20" t="s">
        <v>1613</v>
      </c>
      <c r="D3617" s="20" t="s">
        <v>1566</v>
      </c>
      <c r="E3617" s="27">
        <v>1</v>
      </c>
      <c r="F3617" s="27">
        <v>1</v>
      </c>
      <c r="G3617" s="22"/>
    </row>
    <row r="3618" spans="1:7" ht="22.5" x14ac:dyDescent="0.25">
      <c r="A3618" s="20" t="s">
        <v>597</v>
      </c>
      <c r="B3618" s="20" t="s">
        <v>1614</v>
      </c>
      <c r="C3618" s="20" t="s">
        <v>1614</v>
      </c>
      <c r="D3618" s="20" t="s">
        <v>1566</v>
      </c>
      <c r="E3618" s="27">
        <v>1</v>
      </c>
      <c r="F3618" s="27">
        <v>1</v>
      </c>
      <c r="G3618" s="22"/>
    </row>
    <row r="3619" spans="1:7" x14ac:dyDescent="0.25">
      <c r="A3619" s="20" t="s">
        <v>597</v>
      </c>
      <c r="B3619" s="20" t="s">
        <v>381</v>
      </c>
      <c r="C3619" s="20" t="s">
        <v>381</v>
      </c>
      <c r="D3619" s="20" t="s">
        <v>1566</v>
      </c>
      <c r="E3619" s="27">
        <v>2</v>
      </c>
      <c r="F3619" s="27">
        <v>2</v>
      </c>
      <c r="G3619" s="35">
        <v>8.9999999999999993E-3</v>
      </c>
    </row>
    <row r="3620" spans="1:7" x14ac:dyDescent="0.25">
      <c r="A3620" s="20" t="s">
        <v>597</v>
      </c>
      <c r="B3620" s="20" t="s">
        <v>382</v>
      </c>
      <c r="C3620" s="20" t="s">
        <v>382</v>
      </c>
      <c r="D3620" s="20" t="s">
        <v>1566</v>
      </c>
      <c r="E3620" s="27">
        <v>3</v>
      </c>
      <c r="F3620" s="27">
        <v>3</v>
      </c>
      <c r="G3620" s="22"/>
    </row>
    <row r="3621" spans="1:7" x14ac:dyDescent="0.25">
      <c r="A3621" s="20" t="s">
        <v>597</v>
      </c>
      <c r="B3621" s="20" t="s">
        <v>577</v>
      </c>
      <c r="C3621" s="20" t="s">
        <v>577</v>
      </c>
      <c r="D3621" s="20" t="s">
        <v>1566</v>
      </c>
      <c r="E3621" s="27">
        <v>1</v>
      </c>
      <c r="F3621" s="27">
        <v>1</v>
      </c>
      <c r="G3621" s="29">
        <v>0.36621999999999999</v>
      </c>
    </row>
    <row r="3622" spans="1:7" x14ac:dyDescent="0.25">
      <c r="A3622" s="20" t="s">
        <v>597</v>
      </c>
      <c r="B3622" s="20" t="s">
        <v>390</v>
      </c>
      <c r="C3622" s="20" t="s">
        <v>390</v>
      </c>
      <c r="D3622" s="20" t="s">
        <v>1566</v>
      </c>
      <c r="E3622" s="27">
        <v>2</v>
      </c>
      <c r="F3622" s="27">
        <v>2</v>
      </c>
      <c r="G3622" s="29">
        <v>0.19148000000000001</v>
      </c>
    </row>
    <row r="3623" spans="1:7" x14ac:dyDescent="0.25">
      <c r="A3623" s="20" t="s">
        <v>597</v>
      </c>
      <c r="B3623" s="20" t="s">
        <v>418</v>
      </c>
      <c r="C3623" s="20" t="s">
        <v>1608</v>
      </c>
      <c r="D3623" s="20" t="s">
        <v>1566</v>
      </c>
      <c r="E3623" s="27">
        <v>5</v>
      </c>
      <c r="F3623" s="27">
        <v>5</v>
      </c>
      <c r="G3623" s="28">
        <v>8.9999999999999998E-4</v>
      </c>
    </row>
    <row r="3624" spans="1:7" x14ac:dyDescent="0.25">
      <c r="A3624" s="20" t="s">
        <v>597</v>
      </c>
      <c r="B3624" s="20" t="s">
        <v>442</v>
      </c>
      <c r="C3624" s="20" t="s">
        <v>442</v>
      </c>
      <c r="D3624" s="20" t="s">
        <v>1566</v>
      </c>
      <c r="E3624" s="27">
        <v>2</v>
      </c>
      <c r="F3624" s="27">
        <v>2</v>
      </c>
      <c r="G3624" s="28">
        <v>0.1109</v>
      </c>
    </row>
    <row r="3625" spans="1:7" x14ac:dyDescent="0.25">
      <c r="A3625" s="20" t="s">
        <v>597</v>
      </c>
      <c r="B3625" s="20" t="s">
        <v>1615</v>
      </c>
      <c r="C3625" s="20" t="s">
        <v>1615</v>
      </c>
      <c r="D3625" s="20" t="s">
        <v>1566</v>
      </c>
      <c r="E3625" s="27">
        <v>3</v>
      </c>
      <c r="F3625" s="27">
        <v>3</v>
      </c>
      <c r="G3625" s="22"/>
    </row>
    <row r="3626" spans="1:7" x14ac:dyDescent="0.25">
      <c r="A3626" s="20" t="s">
        <v>597</v>
      </c>
      <c r="B3626" s="20" t="s">
        <v>448</v>
      </c>
      <c r="C3626" s="20" t="s">
        <v>448</v>
      </c>
      <c r="D3626" s="20" t="s">
        <v>1566</v>
      </c>
      <c r="E3626" s="27">
        <v>1</v>
      </c>
      <c r="F3626" s="27">
        <v>1</v>
      </c>
      <c r="G3626" s="29">
        <v>18.50883</v>
      </c>
    </row>
    <row r="3627" spans="1:7" x14ac:dyDescent="0.25">
      <c r="A3627" s="20" t="s">
        <v>597</v>
      </c>
      <c r="B3627" s="20" t="s">
        <v>449</v>
      </c>
      <c r="C3627" s="20" t="s">
        <v>449</v>
      </c>
      <c r="D3627" s="20" t="s">
        <v>1566</v>
      </c>
      <c r="E3627" s="27">
        <v>18</v>
      </c>
      <c r="F3627" s="27">
        <v>18</v>
      </c>
      <c r="G3627" s="29">
        <v>4.4999999999999999E-4</v>
      </c>
    </row>
    <row r="3628" spans="1:7" x14ac:dyDescent="0.25">
      <c r="A3628" s="20" t="s">
        <v>597</v>
      </c>
      <c r="B3628" s="20" t="s">
        <v>450</v>
      </c>
      <c r="C3628" s="20" t="s">
        <v>450</v>
      </c>
      <c r="D3628" s="20" t="s">
        <v>1566</v>
      </c>
      <c r="E3628" s="27">
        <v>100</v>
      </c>
      <c r="F3628" s="27">
        <v>100</v>
      </c>
      <c r="G3628" s="29">
        <v>1.4999999999999999E-4</v>
      </c>
    </row>
    <row r="3629" spans="1:7" x14ac:dyDescent="0.25">
      <c r="A3629" s="20" t="s">
        <v>597</v>
      </c>
      <c r="B3629" s="20" t="s">
        <v>451</v>
      </c>
      <c r="C3629" s="20" t="s">
        <v>451</v>
      </c>
      <c r="D3629" s="20" t="s">
        <v>1566</v>
      </c>
      <c r="E3629" s="27">
        <v>25</v>
      </c>
      <c r="F3629" s="27">
        <v>25</v>
      </c>
      <c r="G3629" s="29">
        <v>2.2000000000000001E-4</v>
      </c>
    </row>
    <row r="3630" spans="1:7" x14ac:dyDescent="0.25">
      <c r="A3630" s="20" t="s">
        <v>597</v>
      </c>
      <c r="B3630" s="20" t="s">
        <v>453</v>
      </c>
      <c r="C3630" s="20" t="s">
        <v>453</v>
      </c>
      <c r="D3630" s="20" t="s">
        <v>1566</v>
      </c>
      <c r="E3630" s="27">
        <v>18</v>
      </c>
      <c r="F3630" s="27">
        <v>18</v>
      </c>
      <c r="G3630" s="29">
        <v>4.0999999999999999E-4</v>
      </c>
    </row>
    <row r="3631" spans="1:7" x14ac:dyDescent="0.25">
      <c r="A3631" s="20" t="s">
        <v>597</v>
      </c>
      <c r="B3631" s="20" t="s">
        <v>454</v>
      </c>
      <c r="C3631" s="20" t="s">
        <v>454</v>
      </c>
      <c r="D3631" s="20" t="s">
        <v>1566</v>
      </c>
      <c r="E3631" s="27">
        <v>10</v>
      </c>
      <c r="F3631" s="27">
        <v>10</v>
      </c>
      <c r="G3631" s="22"/>
    </row>
    <row r="3632" spans="1:7" x14ac:dyDescent="0.25">
      <c r="A3632" s="20" t="s">
        <v>597</v>
      </c>
      <c r="B3632" s="20" t="s">
        <v>458</v>
      </c>
      <c r="C3632" s="20" t="s">
        <v>458</v>
      </c>
      <c r="D3632" s="20" t="s">
        <v>1566</v>
      </c>
      <c r="E3632" s="27">
        <v>1</v>
      </c>
      <c r="F3632" s="27">
        <v>1</v>
      </c>
      <c r="G3632" s="31">
        <v>1.92</v>
      </c>
    </row>
    <row r="3633" spans="1:7" x14ac:dyDescent="0.25">
      <c r="A3633" s="20" t="s">
        <v>597</v>
      </c>
      <c r="B3633" s="20" t="s">
        <v>463</v>
      </c>
      <c r="C3633" s="20" t="s">
        <v>463</v>
      </c>
      <c r="D3633" s="20" t="s">
        <v>1566</v>
      </c>
      <c r="E3633" s="27">
        <v>6</v>
      </c>
      <c r="F3633" s="27">
        <v>6</v>
      </c>
      <c r="G3633" s="29">
        <v>2.0899999999999998E-3</v>
      </c>
    </row>
    <row r="3634" spans="1:7" x14ac:dyDescent="0.25">
      <c r="A3634" s="20" t="s">
        <v>597</v>
      </c>
      <c r="B3634" s="20" t="s">
        <v>466</v>
      </c>
      <c r="C3634" s="20" t="s">
        <v>466</v>
      </c>
      <c r="D3634" s="20" t="s">
        <v>1566</v>
      </c>
      <c r="E3634" s="33">
        <v>0.8</v>
      </c>
      <c r="F3634" s="33">
        <v>0.8</v>
      </c>
      <c r="G3634" s="35">
        <v>0.28299999999999997</v>
      </c>
    </row>
    <row r="3635" spans="1:7" x14ac:dyDescent="0.25">
      <c r="A3635" s="20" t="s">
        <v>597</v>
      </c>
      <c r="B3635" s="20" t="s">
        <v>467</v>
      </c>
      <c r="C3635" s="20" t="s">
        <v>467</v>
      </c>
      <c r="D3635" s="20" t="s">
        <v>1566</v>
      </c>
      <c r="E3635" s="33">
        <v>1.6</v>
      </c>
      <c r="F3635" s="33">
        <v>1.6</v>
      </c>
      <c r="G3635" s="31">
        <v>0.25</v>
      </c>
    </row>
    <row r="3636" spans="1:7" x14ac:dyDescent="0.25">
      <c r="A3636" s="20" t="s">
        <v>597</v>
      </c>
      <c r="B3636" s="20" t="s">
        <v>470</v>
      </c>
      <c r="C3636" s="20" t="s">
        <v>470</v>
      </c>
      <c r="D3636" s="20" t="s">
        <v>1566</v>
      </c>
      <c r="E3636" s="27">
        <v>10</v>
      </c>
      <c r="F3636" s="27">
        <v>10</v>
      </c>
      <c r="G3636" s="22"/>
    </row>
    <row r="3637" spans="1:7" x14ac:dyDescent="0.25">
      <c r="A3637" s="20" t="s">
        <v>597</v>
      </c>
      <c r="B3637" s="20" t="s">
        <v>472</v>
      </c>
      <c r="C3637" s="20" t="s">
        <v>472</v>
      </c>
      <c r="D3637" s="20" t="s">
        <v>1566</v>
      </c>
      <c r="E3637" s="27">
        <v>1</v>
      </c>
      <c r="F3637" s="27">
        <v>1</v>
      </c>
      <c r="G3637" s="29">
        <v>0.16206000000000001</v>
      </c>
    </row>
    <row r="3638" spans="1:7" x14ac:dyDescent="0.25">
      <c r="A3638" s="20" t="s">
        <v>597</v>
      </c>
      <c r="B3638" s="20" t="s">
        <v>1616</v>
      </c>
      <c r="C3638" s="20" t="s">
        <v>1616</v>
      </c>
      <c r="D3638" s="20" t="s">
        <v>1566</v>
      </c>
      <c r="E3638" s="27">
        <v>3</v>
      </c>
      <c r="F3638" s="27">
        <v>3</v>
      </c>
      <c r="G3638" s="22"/>
    </row>
    <row r="3639" spans="1:7" x14ac:dyDescent="0.25">
      <c r="A3639" s="20" t="s">
        <v>597</v>
      </c>
      <c r="B3639" s="20" t="s">
        <v>477</v>
      </c>
      <c r="C3639" s="20" t="s">
        <v>477</v>
      </c>
      <c r="D3639" s="20" t="s">
        <v>1566</v>
      </c>
      <c r="E3639" s="27">
        <v>6</v>
      </c>
      <c r="F3639" s="27">
        <v>6</v>
      </c>
      <c r="G3639" s="22"/>
    </row>
    <row r="3640" spans="1:7" x14ac:dyDescent="0.25">
      <c r="A3640" s="20" t="s">
        <v>597</v>
      </c>
      <c r="B3640" s="20" t="s">
        <v>481</v>
      </c>
      <c r="C3640" s="20" t="s">
        <v>481</v>
      </c>
      <c r="D3640" s="20" t="s">
        <v>1566</v>
      </c>
      <c r="E3640" s="27">
        <v>30</v>
      </c>
      <c r="F3640" s="27">
        <v>30</v>
      </c>
      <c r="G3640" s="22"/>
    </row>
    <row r="3641" spans="1:7" x14ac:dyDescent="0.25">
      <c r="A3641" s="20" t="s">
        <v>597</v>
      </c>
      <c r="B3641" s="20" t="s">
        <v>482</v>
      </c>
      <c r="C3641" s="20" t="s">
        <v>482</v>
      </c>
      <c r="D3641" s="20" t="s">
        <v>1566</v>
      </c>
      <c r="E3641" s="27">
        <v>3</v>
      </c>
      <c r="F3641" s="27">
        <v>3</v>
      </c>
      <c r="G3641" s="22"/>
    </row>
    <row r="3642" spans="1:7" x14ac:dyDescent="0.25">
      <c r="A3642" s="20" t="s">
        <v>597</v>
      </c>
      <c r="B3642" s="20" t="s">
        <v>486</v>
      </c>
      <c r="C3642" s="20" t="s">
        <v>486</v>
      </c>
      <c r="D3642" s="20" t="s">
        <v>1566</v>
      </c>
      <c r="E3642" s="27">
        <v>2</v>
      </c>
      <c r="F3642" s="27">
        <v>2</v>
      </c>
      <c r="G3642" s="22"/>
    </row>
    <row r="3643" spans="1:7" x14ac:dyDescent="0.25">
      <c r="A3643" s="20" t="s">
        <v>597</v>
      </c>
      <c r="B3643" s="20" t="s">
        <v>488</v>
      </c>
      <c r="C3643" s="20" t="s">
        <v>488</v>
      </c>
      <c r="D3643" s="20" t="s">
        <v>1566</v>
      </c>
      <c r="E3643" s="27">
        <v>18</v>
      </c>
      <c r="F3643" s="27">
        <v>18</v>
      </c>
      <c r="G3643" s="22"/>
    </row>
    <row r="3644" spans="1:7" x14ac:dyDescent="0.25">
      <c r="A3644" s="20" t="s">
        <v>597</v>
      </c>
      <c r="B3644" s="20" t="s">
        <v>491</v>
      </c>
      <c r="C3644" s="20" t="s">
        <v>491</v>
      </c>
      <c r="D3644" s="20" t="s">
        <v>1566</v>
      </c>
      <c r="E3644" s="27">
        <v>3</v>
      </c>
      <c r="F3644" s="27">
        <v>3</v>
      </c>
      <c r="G3644" s="29">
        <v>3.6800000000000001E-3</v>
      </c>
    </row>
    <row r="3645" spans="1:7" x14ac:dyDescent="0.25">
      <c r="A3645" s="20" t="s">
        <v>597</v>
      </c>
      <c r="B3645" s="20" t="s">
        <v>570</v>
      </c>
      <c r="C3645" s="20" t="s">
        <v>570</v>
      </c>
      <c r="D3645" s="20" t="s">
        <v>1566</v>
      </c>
      <c r="E3645" s="27">
        <v>6</v>
      </c>
      <c r="F3645" s="27">
        <v>6</v>
      </c>
      <c r="G3645" s="29">
        <v>4.2199999999999998E-3</v>
      </c>
    </row>
    <row r="3646" spans="1:7" x14ac:dyDescent="0.25">
      <c r="A3646" s="20" t="s">
        <v>597</v>
      </c>
      <c r="B3646" s="20" t="s">
        <v>500</v>
      </c>
      <c r="C3646" s="20" t="s">
        <v>500</v>
      </c>
      <c r="D3646" s="20" t="s">
        <v>1566</v>
      </c>
      <c r="E3646" s="27">
        <v>1</v>
      </c>
      <c r="F3646" s="27">
        <v>1</v>
      </c>
      <c r="G3646" s="35">
        <v>0.113</v>
      </c>
    </row>
    <row r="3647" spans="1:7" x14ac:dyDescent="0.25">
      <c r="A3647" s="20" t="s">
        <v>597</v>
      </c>
      <c r="B3647" s="20" t="s">
        <v>510</v>
      </c>
      <c r="C3647" s="20" t="s">
        <v>510</v>
      </c>
      <c r="D3647" s="20" t="s">
        <v>1566</v>
      </c>
      <c r="E3647" s="27">
        <v>1</v>
      </c>
      <c r="F3647" s="27">
        <v>1</v>
      </c>
      <c r="G3647" s="29">
        <v>0.87595999999999996</v>
      </c>
    </row>
    <row r="3648" spans="1:7" x14ac:dyDescent="0.25">
      <c r="A3648" s="20" t="s">
        <v>597</v>
      </c>
      <c r="B3648" s="20" t="s">
        <v>511</v>
      </c>
      <c r="C3648" s="20" t="s">
        <v>511</v>
      </c>
      <c r="D3648" s="20" t="s">
        <v>1566</v>
      </c>
      <c r="E3648" s="27">
        <v>100</v>
      </c>
      <c r="F3648" s="27">
        <v>100</v>
      </c>
      <c r="G3648" s="22"/>
    </row>
    <row r="3649" spans="1:7" x14ac:dyDescent="0.25">
      <c r="A3649" s="20" t="s">
        <v>597</v>
      </c>
      <c r="B3649" s="20" t="s">
        <v>519</v>
      </c>
      <c r="C3649" s="20" t="s">
        <v>519</v>
      </c>
      <c r="D3649" s="20" t="s">
        <v>1566</v>
      </c>
      <c r="E3649" s="27">
        <v>1</v>
      </c>
      <c r="F3649" s="27">
        <v>1</v>
      </c>
      <c r="G3649" s="22"/>
    </row>
    <row r="3650" spans="1:7" x14ac:dyDescent="0.25">
      <c r="A3650" s="20" t="s">
        <v>597</v>
      </c>
      <c r="B3650" s="20" t="s">
        <v>520</v>
      </c>
      <c r="C3650" s="20" t="s">
        <v>520</v>
      </c>
      <c r="D3650" s="20" t="s">
        <v>1566</v>
      </c>
      <c r="E3650" s="27">
        <v>1</v>
      </c>
      <c r="F3650" s="27">
        <v>1</v>
      </c>
      <c r="G3650" s="22"/>
    </row>
    <row r="3651" spans="1:7" x14ac:dyDescent="0.25">
      <c r="A3651" s="20" t="s">
        <v>597</v>
      </c>
      <c r="B3651" s="20" t="s">
        <v>521</v>
      </c>
      <c r="C3651" s="20" t="s">
        <v>521</v>
      </c>
      <c r="D3651" s="20" t="s">
        <v>1566</v>
      </c>
      <c r="E3651" s="27">
        <v>1</v>
      </c>
      <c r="F3651" s="27">
        <v>1</v>
      </c>
      <c r="G3651" s="22"/>
    </row>
    <row r="3652" spans="1:7" x14ac:dyDescent="0.25">
      <c r="A3652" s="20" t="s">
        <v>597</v>
      </c>
      <c r="B3652" s="20" t="s">
        <v>523</v>
      </c>
      <c r="C3652" s="20" t="s">
        <v>523</v>
      </c>
      <c r="D3652" s="20" t="s">
        <v>1566</v>
      </c>
      <c r="E3652" s="27">
        <v>6</v>
      </c>
      <c r="F3652" s="27">
        <v>6</v>
      </c>
      <c r="G3652" s="29">
        <v>1.5689999999999999E-2</v>
      </c>
    </row>
    <row r="3653" spans="1:7" x14ac:dyDescent="0.25">
      <c r="A3653" s="20" t="s">
        <v>597</v>
      </c>
      <c r="B3653" s="20" t="s">
        <v>525</v>
      </c>
      <c r="C3653" s="20" t="s">
        <v>525</v>
      </c>
      <c r="D3653" s="20" t="s">
        <v>1566</v>
      </c>
      <c r="E3653" s="27">
        <v>11</v>
      </c>
      <c r="F3653" s="27">
        <v>11</v>
      </c>
      <c r="G3653" s="29">
        <v>2.743E-2</v>
      </c>
    </row>
    <row r="3654" spans="1:7" x14ac:dyDescent="0.25">
      <c r="A3654" s="20" t="s">
        <v>597</v>
      </c>
      <c r="B3654" s="20" t="s">
        <v>528</v>
      </c>
      <c r="C3654" s="20" t="s">
        <v>528</v>
      </c>
      <c r="D3654" s="20" t="s">
        <v>1566</v>
      </c>
      <c r="E3654" s="27">
        <v>1</v>
      </c>
      <c r="F3654" s="27">
        <v>1</v>
      </c>
      <c r="G3654" s="31">
        <v>0.31</v>
      </c>
    </row>
    <row r="3655" spans="1:7" x14ac:dyDescent="0.25">
      <c r="A3655" s="20" t="s">
        <v>597</v>
      </c>
      <c r="B3655" s="20" t="s">
        <v>579</v>
      </c>
      <c r="C3655" s="20" t="s">
        <v>579</v>
      </c>
      <c r="D3655" s="20" t="s">
        <v>1566</v>
      </c>
      <c r="E3655" s="27">
        <v>3</v>
      </c>
      <c r="F3655" s="27">
        <v>3</v>
      </c>
      <c r="G3655" s="29">
        <v>4.3047700000000004</v>
      </c>
    </row>
    <row r="3656" spans="1:7" x14ac:dyDescent="0.25">
      <c r="A3656" s="20" t="s">
        <v>597</v>
      </c>
      <c r="B3656" s="20" t="s">
        <v>540</v>
      </c>
      <c r="C3656" s="20" t="s">
        <v>540</v>
      </c>
      <c r="D3656" s="20" t="s">
        <v>1566</v>
      </c>
      <c r="E3656" s="27">
        <v>1</v>
      </c>
      <c r="F3656" s="27">
        <v>1</v>
      </c>
      <c r="G3656" s="29">
        <v>0.11327</v>
      </c>
    </row>
    <row r="3657" spans="1:7" x14ac:dyDescent="0.25">
      <c r="A3657" s="20" t="s">
        <v>588</v>
      </c>
      <c r="B3657" s="20" t="s">
        <v>1617</v>
      </c>
      <c r="C3657" s="20" t="s">
        <v>1617</v>
      </c>
      <c r="D3657" s="20" t="s">
        <v>1611</v>
      </c>
      <c r="E3657" s="27">
        <v>1</v>
      </c>
      <c r="F3657" s="27">
        <v>1</v>
      </c>
      <c r="G3657" s="22"/>
    </row>
    <row r="3658" spans="1:7" x14ac:dyDescent="0.25">
      <c r="A3658" s="20" t="s">
        <v>595</v>
      </c>
      <c r="B3658" s="20" t="s">
        <v>800</v>
      </c>
      <c r="C3658" s="20" t="s">
        <v>800</v>
      </c>
      <c r="D3658" s="20" t="s">
        <v>1567</v>
      </c>
      <c r="E3658" s="27">
        <v>1</v>
      </c>
      <c r="F3658" s="27">
        <v>4</v>
      </c>
      <c r="G3658" s="29">
        <v>0.12250999999999999</v>
      </c>
    </row>
    <row r="3659" spans="1:7" x14ac:dyDescent="0.25">
      <c r="A3659" s="20" t="s">
        <v>595</v>
      </c>
      <c r="B3659" s="20" t="s">
        <v>801</v>
      </c>
      <c r="C3659" s="20" t="s">
        <v>801</v>
      </c>
      <c r="D3659" s="20" t="s">
        <v>1567</v>
      </c>
      <c r="E3659" s="27">
        <v>1</v>
      </c>
      <c r="F3659" s="27">
        <v>4</v>
      </c>
      <c r="G3659" s="29">
        <v>0.20648</v>
      </c>
    </row>
    <row r="3660" spans="1:7" x14ac:dyDescent="0.25">
      <c r="A3660" s="20" t="s">
        <v>595</v>
      </c>
      <c r="B3660" s="20" t="s">
        <v>1618</v>
      </c>
      <c r="C3660" s="20" t="s">
        <v>1618</v>
      </c>
      <c r="D3660" s="20" t="s">
        <v>1567</v>
      </c>
      <c r="E3660" s="27">
        <v>1</v>
      </c>
      <c r="F3660" s="27">
        <v>4</v>
      </c>
      <c r="G3660" s="29">
        <v>15.812989999999999</v>
      </c>
    </row>
    <row r="3661" spans="1:7" ht="22.5" x14ac:dyDescent="0.25">
      <c r="A3661" s="20" t="s">
        <v>620</v>
      </c>
      <c r="B3661" s="20" t="s">
        <v>501</v>
      </c>
      <c r="C3661" s="20" t="s">
        <v>501</v>
      </c>
      <c r="D3661" s="20" t="s">
        <v>1567</v>
      </c>
      <c r="E3661" s="27">
        <v>50</v>
      </c>
      <c r="F3661" s="27">
        <v>200</v>
      </c>
      <c r="G3661" s="28">
        <v>1.5E-3</v>
      </c>
    </row>
    <row r="3662" spans="1:7" x14ac:dyDescent="0.25">
      <c r="A3662" s="20" t="s">
        <v>597</v>
      </c>
      <c r="B3662" s="20" t="s">
        <v>1619</v>
      </c>
      <c r="C3662" s="20" t="s">
        <v>356</v>
      </c>
      <c r="D3662" s="20" t="s">
        <v>1567</v>
      </c>
      <c r="E3662" s="27">
        <v>1</v>
      </c>
      <c r="F3662" s="27">
        <v>4</v>
      </c>
      <c r="G3662" s="29">
        <v>0.95032000000000005</v>
      </c>
    </row>
    <row r="3663" spans="1:7" x14ac:dyDescent="0.25">
      <c r="A3663" s="20" t="s">
        <v>597</v>
      </c>
      <c r="B3663" s="20" t="s">
        <v>358</v>
      </c>
      <c r="C3663" s="20" t="s">
        <v>358</v>
      </c>
      <c r="D3663" s="20" t="s">
        <v>1567</v>
      </c>
      <c r="E3663" s="27">
        <v>1</v>
      </c>
      <c r="F3663" s="27">
        <v>4</v>
      </c>
      <c r="G3663" s="31">
        <v>0.32</v>
      </c>
    </row>
    <row r="3664" spans="1:7" x14ac:dyDescent="0.25">
      <c r="A3664" s="20" t="s">
        <v>597</v>
      </c>
      <c r="B3664" s="20" t="s">
        <v>359</v>
      </c>
      <c r="C3664" s="20" t="s">
        <v>359</v>
      </c>
      <c r="D3664" s="20" t="s">
        <v>1567</v>
      </c>
      <c r="E3664" s="27">
        <v>1</v>
      </c>
      <c r="F3664" s="27">
        <v>4</v>
      </c>
      <c r="G3664" s="29">
        <v>2.3327800000000001</v>
      </c>
    </row>
    <row r="3665" spans="1:7" ht="22.5" x14ac:dyDescent="0.25">
      <c r="A3665" s="20" t="s">
        <v>597</v>
      </c>
      <c r="B3665" s="20" t="s">
        <v>376</v>
      </c>
      <c r="C3665" s="20" t="s">
        <v>376</v>
      </c>
      <c r="D3665" s="20" t="s">
        <v>1567</v>
      </c>
      <c r="E3665" s="27">
        <v>3</v>
      </c>
      <c r="F3665" s="27">
        <v>12</v>
      </c>
      <c r="G3665" s="29">
        <v>7.1730000000000002E-2</v>
      </c>
    </row>
    <row r="3666" spans="1:7" ht="22.5" x14ac:dyDescent="0.25">
      <c r="A3666" s="20" t="s">
        <v>597</v>
      </c>
      <c r="B3666" s="20" t="s">
        <v>377</v>
      </c>
      <c r="C3666" s="20" t="s">
        <v>377</v>
      </c>
      <c r="D3666" s="20" t="s">
        <v>1567</v>
      </c>
      <c r="E3666" s="27">
        <v>21</v>
      </c>
      <c r="F3666" s="27">
        <v>84</v>
      </c>
      <c r="G3666" s="29">
        <v>6.2950000000000006E-2</v>
      </c>
    </row>
    <row r="3667" spans="1:7" x14ac:dyDescent="0.25">
      <c r="A3667" s="20" t="s">
        <v>597</v>
      </c>
      <c r="B3667" s="20" t="s">
        <v>380</v>
      </c>
      <c r="C3667" s="20" t="s">
        <v>380</v>
      </c>
      <c r="D3667" s="20" t="s">
        <v>1567</v>
      </c>
      <c r="E3667" s="27">
        <v>2</v>
      </c>
      <c r="F3667" s="27">
        <v>8</v>
      </c>
      <c r="G3667" s="29">
        <v>5.96E-3</v>
      </c>
    </row>
    <row r="3668" spans="1:7" x14ac:dyDescent="0.25">
      <c r="A3668" s="20" t="s">
        <v>597</v>
      </c>
      <c r="B3668" s="20" t="s">
        <v>391</v>
      </c>
      <c r="C3668" s="20" t="s">
        <v>391</v>
      </c>
      <c r="D3668" s="20" t="s">
        <v>1567</v>
      </c>
      <c r="E3668" s="27">
        <v>2</v>
      </c>
      <c r="F3668" s="27">
        <v>8</v>
      </c>
      <c r="G3668" s="29">
        <v>6.4999999999999997E-4</v>
      </c>
    </row>
    <row r="3669" spans="1:7" x14ac:dyDescent="0.25">
      <c r="A3669" s="20" t="s">
        <v>597</v>
      </c>
      <c r="B3669" s="20" t="s">
        <v>394</v>
      </c>
      <c r="C3669" s="20" t="s">
        <v>394</v>
      </c>
      <c r="D3669" s="20" t="s">
        <v>1567</v>
      </c>
      <c r="E3669" s="27">
        <v>1</v>
      </c>
      <c r="F3669" s="27">
        <v>4</v>
      </c>
      <c r="G3669" s="22"/>
    </row>
    <row r="3670" spans="1:7" x14ac:dyDescent="0.25">
      <c r="A3670" s="20" t="s">
        <v>597</v>
      </c>
      <c r="B3670" s="20" t="s">
        <v>406</v>
      </c>
      <c r="C3670" s="20" t="s">
        <v>406</v>
      </c>
      <c r="D3670" s="20" t="s">
        <v>1567</v>
      </c>
      <c r="E3670" s="27">
        <v>1</v>
      </c>
      <c r="F3670" s="27">
        <v>4</v>
      </c>
      <c r="G3670" s="29">
        <v>0.24562999999999999</v>
      </c>
    </row>
    <row r="3671" spans="1:7" x14ac:dyDescent="0.25">
      <c r="A3671" s="20" t="s">
        <v>597</v>
      </c>
      <c r="B3671" s="20" t="s">
        <v>408</v>
      </c>
      <c r="C3671" s="20" t="s">
        <v>408</v>
      </c>
      <c r="D3671" s="20" t="s">
        <v>1567</v>
      </c>
      <c r="E3671" s="27">
        <v>1</v>
      </c>
      <c r="F3671" s="27">
        <v>4</v>
      </c>
      <c r="G3671" s="29">
        <v>4.7980000000000002E-2</v>
      </c>
    </row>
    <row r="3672" spans="1:7" x14ac:dyDescent="0.25">
      <c r="A3672" s="20" t="s">
        <v>597</v>
      </c>
      <c r="B3672" s="20" t="s">
        <v>409</v>
      </c>
      <c r="C3672" s="20" t="s">
        <v>409</v>
      </c>
      <c r="D3672" s="20" t="s">
        <v>1567</v>
      </c>
      <c r="E3672" s="27">
        <v>1</v>
      </c>
      <c r="F3672" s="27">
        <v>4</v>
      </c>
      <c r="G3672" s="29">
        <v>2.1121400000000001</v>
      </c>
    </row>
    <row r="3673" spans="1:7" x14ac:dyDescent="0.25">
      <c r="A3673" s="20" t="s">
        <v>597</v>
      </c>
      <c r="B3673" s="20" t="s">
        <v>414</v>
      </c>
      <c r="C3673" s="20" t="s">
        <v>414</v>
      </c>
      <c r="D3673" s="20" t="s">
        <v>1567</v>
      </c>
      <c r="E3673" s="27">
        <v>1</v>
      </c>
      <c r="F3673" s="27">
        <v>4</v>
      </c>
      <c r="G3673" s="29">
        <v>0.10681</v>
      </c>
    </row>
    <row r="3674" spans="1:7" x14ac:dyDescent="0.25">
      <c r="A3674" s="20" t="s">
        <v>597</v>
      </c>
      <c r="B3674" s="20" t="s">
        <v>418</v>
      </c>
      <c r="C3674" s="20" t="s">
        <v>1608</v>
      </c>
      <c r="D3674" s="20" t="s">
        <v>1567</v>
      </c>
      <c r="E3674" s="27">
        <v>3</v>
      </c>
      <c r="F3674" s="27">
        <v>12</v>
      </c>
      <c r="G3674" s="28">
        <v>8.9999999999999998E-4</v>
      </c>
    </row>
    <row r="3675" spans="1:7" x14ac:dyDescent="0.25">
      <c r="A3675" s="20" t="s">
        <v>597</v>
      </c>
      <c r="B3675" s="20" t="s">
        <v>419</v>
      </c>
      <c r="C3675" s="20" t="s">
        <v>1609</v>
      </c>
      <c r="D3675" s="20" t="s">
        <v>1567</v>
      </c>
      <c r="E3675" s="27">
        <v>1</v>
      </c>
      <c r="F3675" s="27">
        <v>4</v>
      </c>
      <c r="G3675" s="22"/>
    </row>
    <row r="3676" spans="1:7" ht="22.5" x14ac:dyDescent="0.25">
      <c r="A3676" s="20" t="s">
        <v>597</v>
      </c>
      <c r="B3676" s="20" t="s">
        <v>424</v>
      </c>
      <c r="C3676" s="20" t="s">
        <v>424</v>
      </c>
      <c r="D3676" s="20" t="s">
        <v>1567</v>
      </c>
      <c r="E3676" s="27">
        <v>2</v>
      </c>
      <c r="F3676" s="27">
        <v>8</v>
      </c>
      <c r="G3676" s="22"/>
    </row>
    <row r="3677" spans="1:7" x14ac:dyDescent="0.25">
      <c r="A3677" s="20" t="s">
        <v>597</v>
      </c>
      <c r="B3677" s="20" t="s">
        <v>429</v>
      </c>
      <c r="C3677" s="20" t="s">
        <v>429</v>
      </c>
      <c r="D3677" s="20" t="s">
        <v>1567</v>
      </c>
      <c r="E3677" s="27">
        <v>2</v>
      </c>
      <c r="F3677" s="27">
        <v>8</v>
      </c>
      <c r="G3677" s="29">
        <v>3.8109999999999998E-2</v>
      </c>
    </row>
    <row r="3678" spans="1:7" x14ac:dyDescent="0.25">
      <c r="A3678" s="20" t="s">
        <v>597</v>
      </c>
      <c r="B3678" s="20" t="s">
        <v>435</v>
      </c>
      <c r="C3678" s="20" t="s">
        <v>435</v>
      </c>
      <c r="D3678" s="20" t="s">
        <v>1567</v>
      </c>
      <c r="E3678" s="27">
        <v>2</v>
      </c>
      <c r="F3678" s="27">
        <v>8</v>
      </c>
      <c r="G3678" s="29">
        <v>4.6339999999999999E-2</v>
      </c>
    </row>
    <row r="3679" spans="1:7" x14ac:dyDescent="0.25">
      <c r="A3679" s="20" t="s">
        <v>597</v>
      </c>
      <c r="B3679" s="20" t="s">
        <v>436</v>
      </c>
      <c r="C3679" s="20" t="s">
        <v>436</v>
      </c>
      <c r="D3679" s="20" t="s">
        <v>1567</v>
      </c>
      <c r="E3679" s="27">
        <v>1</v>
      </c>
      <c r="F3679" s="27">
        <v>4</v>
      </c>
      <c r="G3679" s="29">
        <v>0.72323000000000004</v>
      </c>
    </row>
    <row r="3680" spans="1:7" x14ac:dyDescent="0.25">
      <c r="A3680" s="20" t="s">
        <v>597</v>
      </c>
      <c r="B3680" s="20" t="s">
        <v>441</v>
      </c>
      <c r="C3680" s="20" t="s">
        <v>441</v>
      </c>
      <c r="D3680" s="20" t="s">
        <v>1567</v>
      </c>
      <c r="E3680" s="27">
        <v>2</v>
      </c>
      <c r="F3680" s="27">
        <v>8</v>
      </c>
      <c r="G3680" s="29">
        <v>8.0509999999999998E-2</v>
      </c>
    </row>
    <row r="3681" spans="1:7" x14ac:dyDescent="0.25">
      <c r="A3681" s="20" t="s">
        <v>597</v>
      </c>
      <c r="B3681" s="20" t="s">
        <v>447</v>
      </c>
      <c r="C3681" s="20" t="s">
        <v>447</v>
      </c>
      <c r="D3681" s="20" t="s">
        <v>1567</v>
      </c>
      <c r="E3681" s="27">
        <v>1</v>
      </c>
      <c r="F3681" s="27">
        <v>4</v>
      </c>
      <c r="G3681" s="29">
        <v>6.64154</v>
      </c>
    </row>
    <row r="3682" spans="1:7" x14ac:dyDescent="0.25">
      <c r="A3682" s="20" t="s">
        <v>597</v>
      </c>
      <c r="B3682" s="20" t="s">
        <v>450</v>
      </c>
      <c r="C3682" s="20" t="s">
        <v>450</v>
      </c>
      <c r="D3682" s="20" t="s">
        <v>1567</v>
      </c>
      <c r="E3682" s="27">
        <v>200</v>
      </c>
      <c r="F3682" s="27">
        <v>800</v>
      </c>
      <c r="G3682" s="29">
        <v>1.4999999999999999E-4</v>
      </c>
    </row>
    <row r="3683" spans="1:7" ht="22.5" x14ac:dyDescent="0.25">
      <c r="A3683" s="20" t="s">
        <v>597</v>
      </c>
      <c r="B3683" s="20" t="s">
        <v>460</v>
      </c>
      <c r="C3683" s="20" t="s">
        <v>460</v>
      </c>
      <c r="D3683" s="20" t="s">
        <v>1567</v>
      </c>
      <c r="E3683" s="27">
        <v>1</v>
      </c>
      <c r="F3683" s="27">
        <v>4</v>
      </c>
      <c r="G3683" s="29">
        <v>0.13605</v>
      </c>
    </row>
    <row r="3684" spans="1:7" x14ac:dyDescent="0.25">
      <c r="A3684" s="20" t="s">
        <v>597</v>
      </c>
      <c r="B3684" s="20" t="s">
        <v>463</v>
      </c>
      <c r="C3684" s="20" t="s">
        <v>463</v>
      </c>
      <c r="D3684" s="20" t="s">
        <v>1567</v>
      </c>
      <c r="E3684" s="27">
        <v>3</v>
      </c>
      <c r="F3684" s="27">
        <v>12</v>
      </c>
      <c r="G3684" s="29">
        <v>2.0899999999999998E-3</v>
      </c>
    </row>
    <row r="3685" spans="1:7" x14ac:dyDescent="0.25">
      <c r="A3685" s="20" t="s">
        <v>597</v>
      </c>
      <c r="B3685" s="20" t="s">
        <v>466</v>
      </c>
      <c r="C3685" s="20" t="s">
        <v>466</v>
      </c>
      <c r="D3685" s="20" t="s">
        <v>1567</v>
      </c>
      <c r="E3685" s="27">
        <v>2</v>
      </c>
      <c r="F3685" s="27">
        <v>8</v>
      </c>
      <c r="G3685" s="35">
        <v>0.28299999999999997</v>
      </c>
    </row>
    <row r="3686" spans="1:7" x14ac:dyDescent="0.25">
      <c r="A3686" s="20" t="s">
        <v>597</v>
      </c>
      <c r="B3686" s="20" t="s">
        <v>470</v>
      </c>
      <c r="C3686" s="20" t="s">
        <v>470</v>
      </c>
      <c r="D3686" s="20" t="s">
        <v>1567</v>
      </c>
      <c r="E3686" s="27">
        <v>10</v>
      </c>
      <c r="F3686" s="27">
        <v>40</v>
      </c>
      <c r="G3686" s="22"/>
    </row>
    <row r="3687" spans="1:7" x14ac:dyDescent="0.25">
      <c r="A3687" s="20" t="s">
        <v>597</v>
      </c>
      <c r="B3687" s="20" t="s">
        <v>471</v>
      </c>
      <c r="C3687" s="20" t="s">
        <v>471</v>
      </c>
      <c r="D3687" s="20" t="s">
        <v>1567</v>
      </c>
      <c r="E3687" s="27">
        <v>2</v>
      </c>
      <c r="F3687" s="27">
        <v>8</v>
      </c>
      <c r="G3687" s="29">
        <v>0.12361999999999999</v>
      </c>
    </row>
    <row r="3688" spans="1:7" x14ac:dyDescent="0.25">
      <c r="A3688" s="20" t="s">
        <v>597</v>
      </c>
      <c r="B3688" s="20" t="s">
        <v>473</v>
      </c>
      <c r="C3688" s="20" t="s">
        <v>473</v>
      </c>
      <c r="D3688" s="20" t="s">
        <v>1567</v>
      </c>
      <c r="E3688" s="27">
        <v>1</v>
      </c>
      <c r="F3688" s="27">
        <v>4</v>
      </c>
      <c r="G3688" s="22"/>
    </row>
    <row r="3689" spans="1:7" x14ac:dyDescent="0.25">
      <c r="A3689" s="20" t="s">
        <v>597</v>
      </c>
      <c r="B3689" s="20" t="s">
        <v>477</v>
      </c>
      <c r="C3689" s="20" t="s">
        <v>477</v>
      </c>
      <c r="D3689" s="20" t="s">
        <v>1567</v>
      </c>
      <c r="E3689" s="27">
        <v>5</v>
      </c>
      <c r="F3689" s="27">
        <v>20</v>
      </c>
      <c r="G3689" s="22"/>
    </row>
    <row r="3690" spans="1:7" x14ac:dyDescent="0.25">
      <c r="A3690" s="20" t="s">
        <v>597</v>
      </c>
      <c r="B3690" s="20" t="s">
        <v>478</v>
      </c>
      <c r="C3690" s="20" t="s">
        <v>478</v>
      </c>
      <c r="D3690" s="20" t="s">
        <v>1567</v>
      </c>
      <c r="E3690" s="27">
        <v>5</v>
      </c>
      <c r="F3690" s="27">
        <v>20</v>
      </c>
      <c r="G3690" s="22"/>
    </row>
    <row r="3691" spans="1:7" x14ac:dyDescent="0.25">
      <c r="A3691" s="20" t="s">
        <v>597</v>
      </c>
      <c r="B3691" s="20" t="s">
        <v>481</v>
      </c>
      <c r="C3691" s="20" t="s">
        <v>481</v>
      </c>
      <c r="D3691" s="20" t="s">
        <v>1567</v>
      </c>
      <c r="E3691" s="27">
        <v>20</v>
      </c>
      <c r="F3691" s="27">
        <v>80</v>
      </c>
      <c r="G3691" s="22"/>
    </row>
    <row r="3692" spans="1:7" x14ac:dyDescent="0.25">
      <c r="A3692" s="20" t="s">
        <v>597</v>
      </c>
      <c r="B3692" s="20" t="s">
        <v>490</v>
      </c>
      <c r="C3692" s="20" t="s">
        <v>490</v>
      </c>
      <c r="D3692" s="20" t="s">
        <v>1567</v>
      </c>
      <c r="E3692" s="27">
        <v>4</v>
      </c>
      <c r="F3692" s="27">
        <v>16</v>
      </c>
      <c r="G3692" s="29">
        <v>2.5400000000000002E-3</v>
      </c>
    </row>
    <row r="3693" spans="1:7" x14ac:dyDescent="0.25">
      <c r="A3693" s="20" t="s">
        <v>597</v>
      </c>
      <c r="B3693" s="20" t="s">
        <v>498</v>
      </c>
      <c r="C3693" s="20" t="s">
        <v>498</v>
      </c>
      <c r="D3693" s="20" t="s">
        <v>1567</v>
      </c>
      <c r="E3693" s="27">
        <v>2</v>
      </c>
      <c r="F3693" s="27">
        <v>8</v>
      </c>
      <c r="G3693" s="22"/>
    </row>
    <row r="3694" spans="1:7" x14ac:dyDescent="0.25">
      <c r="A3694" s="20" t="s">
        <v>597</v>
      </c>
      <c r="B3694" s="20" t="s">
        <v>499</v>
      </c>
      <c r="C3694" s="20" t="s">
        <v>499</v>
      </c>
      <c r="D3694" s="20" t="s">
        <v>1567</v>
      </c>
      <c r="E3694" s="27">
        <v>4</v>
      </c>
      <c r="F3694" s="27">
        <v>16</v>
      </c>
      <c r="G3694" s="29">
        <v>6.9849999999999995E-2</v>
      </c>
    </row>
    <row r="3695" spans="1:7" x14ac:dyDescent="0.25">
      <c r="A3695" s="20" t="s">
        <v>597</v>
      </c>
      <c r="B3695" s="20" t="s">
        <v>505</v>
      </c>
      <c r="C3695" s="20" t="s">
        <v>505</v>
      </c>
      <c r="D3695" s="20" t="s">
        <v>1567</v>
      </c>
      <c r="E3695" s="27">
        <v>1</v>
      </c>
      <c r="F3695" s="27">
        <v>4</v>
      </c>
      <c r="G3695" s="29">
        <v>6.812E-2</v>
      </c>
    </row>
    <row r="3696" spans="1:7" x14ac:dyDescent="0.25">
      <c r="A3696" s="20" t="s">
        <v>597</v>
      </c>
      <c r="B3696" s="20" t="s">
        <v>506</v>
      </c>
      <c r="C3696" s="20" t="s">
        <v>506</v>
      </c>
      <c r="D3696" s="20" t="s">
        <v>1567</v>
      </c>
      <c r="E3696" s="27">
        <v>1</v>
      </c>
      <c r="F3696" s="27">
        <v>4</v>
      </c>
      <c r="G3696" s="29">
        <v>6.812E-2</v>
      </c>
    </row>
    <row r="3697" spans="1:7" x14ac:dyDescent="0.25">
      <c r="A3697" s="20" t="s">
        <v>597</v>
      </c>
      <c r="B3697" s="20" t="s">
        <v>511</v>
      </c>
      <c r="C3697" s="20" t="s">
        <v>511</v>
      </c>
      <c r="D3697" s="20" t="s">
        <v>1567</v>
      </c>
      <c r="E3697" s="27">
        <v>100</v>
      </c>
      <c r="F3697" s="27">
        <v>400</v>
      </c>
      <c r="G3697" s="22"/>
    </row>
    <row r="3698" spans="1:7" x14ac:dyDescent="0.25">
      <c r="A3698" s="20" t="s">
        <v>597</v>
      </c>
      <c r="B3698" s="20" t="s">
        <v>516</v>
      </c>
      <c r="C3698" s="20" t="s">
        <v>516</v>
      </c>
      <c r="D3698" s="20" t="s">
        <v>1567</v>
      </c>
      <c r="E3698" s="27">
        <v>1</v>
      </c>
      <c r="F3698" s="27">
        <v>4</v>
      </c>
      <c r="G3698" s="29">
        <v>1.7549699999999999</v>
      </c>
    </row>
    <row r="3699" spans="1:7" x14ac:dyDescent="0.25">
      <c r="A3699" s="20" t="s">
        <v>597</v>
      </c>
      <c r="B3699" s="20" t="s">
        <v>523</v>
      </c>
      <c r="C3699" s="20" t="s">
        <v>523</v>
      </c>
      <c r="D3699" s="20" t="s">
        <v>1567</v>
      </c>
      <c r="E3699" s="27">
        <v>3</v>
      </c>
      <c r="F3699" s="27">
        <v>12</v>
      </c>
      <c r="G3699" s="29">
        <v>1.5689999999999999E-2</v>
      </c>
    </row>
    <row r="3700" spans="1:7" x14ac:dyDescent="0.25">
      <c r="A3700" s="20" t="s">
        <v>597</v>
      </c>
      <c r="B3700" s="20" t="s">
        <v>525</v>
      </c>
      <c r="C3700" s="20" t="s">
        <v>525</v>
      </c>
      <c r="D3700" s="20" t="s">
        <v>1567</v>
      </c>
      <c r="E3700" s="27">
        <v>8</v>
      </c>
      <c r="F3700" s="27">
        <v>32</v>
      </c>
      <c r="G3700" s="29">
        <v>2.743E-2</v>
      </c>
    </row>
    <row r="3701" spans="1:7" x14ac:dyDescent="0.25">
      <c r="A3701" s="20" t="s">
        <v>597</v>
      </c>
      <c r="B3701" s="20" t="s">
        <v>535</v>
      </c>
      <c r="C3701" s="20" t="s">
        <v>535</v>
      </c>
      <c r="D3701" s="20" t="s">
        <v>1567</v>
      </c>
      <c r="E3701" s="27">
        <v>1</v>
      </c>
      <c r="F3701" s="27">
        <v>4</v>
      </c>
      <c r="G3701" s="29">
        <v>1.129E-2</v>
      </c>
    </row>
    <row r="3702" spans="1:7" x14ac:dyDescent="0.25">
      <c r="A3702" s="20" t="s">
        <v>597</v>
      </c>
      <c r="B3702" s="20" t="s">
        <v>536</v>
      </c>
      <c r="C3702" s="20" t="s">
        <v>536</v>
      </c>
      <c r="D3702" s="20" t="s">
        <v>1567</v>
      </c>
      <c r="E3702" s="27">
        <v>1</v>
      </c>
      <c r="F3702" s="27">
        <v>4</v>
      </c>
      <c r="G3702" s="29">
        <v>2.9520000000000001E-2</v>
      </c>
    </row>
    <row r="3703" spans="1:7" x14ac:dyDescent="0.25">
      <c r="A3703" s="20" t="s">
        <v>597</v>
      </c>
      <c r="B3703" s="20" t="s">
        <v>537</v>
      </c>
      <c r="C3703" s="20" t="s">
        <v>537</v>
      </c>
      <c r="D3703" s="20" t="s">
        <v>1567</v>
      </c>
      <c r="E3703" s="27">
        <v>1</v>
      </c>
      <c r="F3703" s="27">
        <v>4</v>
      </c>
      <c r="G3703" s="29">
        <v>2.1749999999999999E-2</v>
      </c>
    </row>
    <row r="3704" spans="1:7" x14ac:dyDescent="0.25">
      <c r="A3704" s="20" t="s">
        <v>588</v>
      </c>
      <c r="B3704" s="20" t="s">
        <v>542</v>
      </c>
      <c r="C3704" s="20" t="s">
        <v>542</v>
      </c>
      <c r="D3704" s="20" t="s">
        <v>1618</v>
      </c>
      <c r="E3704" s="27">
        <v>1</v>
      </c>
      <c r="F3704" s="27">
        <v>4</v>
      </c>
      <c r="G3704" s="22"/>
    </row>
    <row r="3705" spans="1:7" x14ac:dyDescent="0.25">
      <c r="A3705" s="20" t="s">
        <v>595</v>
      </c>
      <c r="B3705" s="20" t="s">
        <v>800</v>
      </c>
      <c r="C3705" s="20" t="s">
        <v>800</v>
      </c>
      <c r="D3705" s="20" t="s">
        <v>1569</v>
      </c>
      <c r="E3705" s="27">
        <v>2</v>
      </c>
      <c r="F3705" s="27">
        <v>4</v>
      </c>
      <c r="G3705" s="29">
        <v>0.12250999999999999</v>
      </c>
    </row>
    <row r="3706" spans="1:7" x14ac:dyDescent="0.25">
      <c r="A3706" s="20" t="s">
        <v>595</v>
      </c>
      <c r="B3706" s="20" t="s">
        <v>801</v>
      </c>
      <c r="C3706" s="20" t="s">
        <v>801</v>
      </c>
      <c r="D3706" s="20" t="s">
        <v>1569</v>
      </c>
      <c r="E3706" s="27">
        <v>2</v>
      </c>
      <c r="F3706" s="27">
        <v>4</v>
      </c>
      <c r="G3706" s="29">
        <v>0.20648</v>
      </c>
    </row>
    <row r="3707" spans="1:7" x14ac:dyDescent="0.25">
      <c r="A3707" s="20" t="s">
        <v>595</v>
      </c>
      <c r="B3707" s="20" t="s">
        <v>1620</v>
      </c>
      <c r="C3707" s="20" t="s">
        <v>1620</v>
      </c>
      <c r="D3707" s="20" t="s">
        <v>1569</v>
      </c>
      <c r="E3707" s="27">
        <v>1</v>
      </c>
      <c r="F3707" s="27">
        <v>2</v>
      </c>
      <c r="G3707" s="29">
        <v>15.812989999999999</v>
      </c>
    </row>
    <row r="3708" spans="1:7" ht="22.5" x14ac:dyDescent="0.25">
      <c r="A3708" s="20" t="s">
        <v>620</v>
      </c>
      <c r="B3708" s="20" t="s">
        <v>501</v>
      </c>
      <c r="C3708" s="20" t="s">
        <v>501</v>
      </c>
      <c r="D3708" s="20" t="s">
        <v>1569</v>
      </c>
      <c r="E3708" s="27">
        <v>50</v>
      </c>
      <c r="F3708" s="27">
        <v>100</v>
      </c>
      <c r="G3708" s="28">
        <v>1.5E-3</v>
      </c>
    </row>
    <row r="3709" spans="1:7" x14ac:dyDescent="0.25">
      <c r="A3709" s="20" t="s">
        <v>597</v>
      </c>
      <c r="B3709" s="20" t="s">
        <v>1619</v>
      </c>
      <c r="C3709" s="20" t="s">
        <v>356</v>
      </c>
      <c r="D3709" s="20" t="s">
        <v>1569</v>
      </c>
      <c r="E3709" s="27">
        <v>2</v>
      </c>
      <c r="F3709" s="27">
        <v>4</v>
      </c>
      <c r="G3709" s="29">
        <v>0.95032000000000005</v>
      </c>
    </row>
    <row r="3710" spans="1:7" x14ac:dyDescent="0.25">
      <c r="A3710" s="20" t="s">
        <v>597</v>
      </c>
      <c r="B3710" s="20" t="s">
        <v>358</v>
      </c>
      <c r="C3710" s="20" t="s">
        <v>358</v>
      </c>
      <c r="D3710" s="20" t="s">
        <v>1569</v>
      </c>
      <c r="E3710" s="27">
        <v>1</v>
      </c>
      <c r="F3710" s="27">
        <v>2</v>
      </c>
      <c r="G3710" s="31">
        <v>0.32</v>
      </c>
    </row>
    <row r="3711" spans="1:7" x14ac:dyDescent="0.25">
      <c r="A3711" s="20" t="s">
        <v>597</v>
      </c>
      <c r="B3711" s="20" t="s">
        <v>359</v>
      </c>
      <c r="C3711" s="20" t="s">
        <v>359</v>
      </c>
      <c r="D3711" s="20" t="s">
        <v>1569</v>
      </c>
      <c r="E3711" s="27">
        <v>2</v>
      </c>
      <c r="F3711" s="27">
        <v>4</v>
      </c>
      <c r="G3711" s="29">
        <v>2.3327800000000001</v>
      </c>
    </row>
    <row r="3712" spans="1:7" ht="22.5" x14ac:dyDescent="0.25">
      <c r="A3712" s="20" t="s">
        <v>597</v>
      </c>
      <c r="B3712" s="20" t="s">
        <v>376</v>
      </c>
      <c r="C3712" s="20" t="s">
        <v>376</v>
      </c>
      <c r="D3712" s="20" t="s">
        <v>1569</v>
      </c>
      <c r="E3712" s="27">
        <v>5</v>
      </c>
      <c r="F3712" s="27">
        <v>10</v>
      </c>
      <c r="G3712" s="29">
        <v>7.1730000000000002E-2</v>
      </c>
    </row>
    <row r="3713" spans="1:7" ht="22.5" x14ac:dyDescent="0.25">
      <c r="A3713" s="20" t="s">
        <v>597</v>
      </c>
      <c r="B3713" s="20" t="s">
        <v>377</v>
      </c>
      <c r="C3713" s="20" t="s">
        <v>377</v>
      </c>
      <c r="D3713" s="20" t="s">
        <v>1569</v>
      </c>
      <c r="E3713" s="27">
        <v>33</v>
      </c>
      <c r="F3713" s="27">
        <v>66</v>
      </c>
      <c r="G3713" s="29">
        <v>6.2950000000000006E-2</v>
      </c>
    </row>
    <row r="3714" spans="1:7" x14ac:dyDescent="0.25">
      <c r="A3714" s="20" t="s">
        <v>597</v>
      </c>
      <c r="B3714" s="20" t="s">
        <v>380</v>
      </c>
      <c r="C3714" s="20" t="s">
        <v>380</v>
      </c>
      <c r="D3714" s="20" t="s">
        <v>1569</v>
      </c>
      <c r="E3714" s="27">
        <v>4</v>
      </c>
      <c r="F3714" s="27">
        <v>8</v>
      </c>
      <c r="G3714" s="29">
        <v>5.96E-3</v>
      </c>
    </row>
    <row r="3715" spans="1:7" x14ac:dyDescent="0.25">
      <c r="A3715" s="20" t="s">
        <v>597</v>
      </c>
      <c r="B3715" s="20" t="s">
        <v>391</v>
      </c>
      <c r="C3715" s="20" t="s">
        <v>391</v>
      </c>
      <c r="D3715" s="20" t="s">
        <v>1569</v>
      </c>
      <c r="E3715" s="27">
        <v>4</v>
      </c>
      <c r="F3715" s="27">
        <v>8</v>
      </c>
      <c r="G3715" s="29">
        <v>6.4999999999999997E-4</v>
      </c>
    </row>
    <row r="3716" spans="1:7" x14ac:dyDescent="0.25">
      <c r="A3716" s="20" t="s">
        <v>597</v>
      </c>
      <c r="B3716" s="20" t="s">
        <v>394</v>
      </c>
      <c r="C3716" s="20" t="s">
        <v>394</v>
      </c>
      <c r="D3716" s="20" t="s">
        <v>1569</v>
      </c>
      <c r="E3716" s="27">
        <v>1</v>
      </c>
      <c r="F3716" s="27">
        <v>2</v>
      </c>
      <c r="G3716" s="22"/>
    </row>
    <row r="3717" spans="1:7" x14ac:dyDescent="0.25">
      <c r="A3717" s="20" t="s">
        <v>597</v>
      </c>
      <c r="B3717" s="20" t="s">
        <v>406</v>
      </c>
      <c r="C3717" s="20" t="s">
        <v>406</v>
      </c>
      <c r="D3717" s="20" t="s">
        <v>1569</v>
      </c>
      <c r="E3717" s="27">
        <v>2</v>
      </c>
      <c r="F3717" s="27">
        <v>4</v>
      </c>
      <c r="G3717" s="29">
        <v>0.24562999999999999</v>
      </c>
    </row>
    <row r="3718" spans="1:7" x14ac:dyDescent="0.25">
      <c r="A3718" s="20" t="s">
        <v>597</v>
      </c>
      <c r="B3718" s="20" t="s">
        <v>408</v>
      </c>
      <c r="C3718" s="20" t="s">
        <v>408</v>
      </c>
      <c r="D3718" s="20" t="s">
        <v>1569</v>
      </c>
      <c r="E3718" s="27">
        <v>2</v>
      </c>
      <c r="F3718" s="27">
        <v>4</v>
      </c>
      <c r="G3718" s="29">
        <v>4.7980000000000002E-2</v>
      </c>
    </row>
    <row r="3719" spans="1:7" x14ac:dyDescent="0.25">
      <c r="A3719" s="20" t="s">
        <v>597</v>
      </c>
      <c r="B3719" s="20" t="s">
        <v>409</v>
      </c>
      <c r="C3719" s="20" t="s">
        <v>409</v>
      </c>
      <c r="D3719" s="20" t="s">
        <v>1569</v>
      </c>
      <c r="E3719" s="27">
        <v>2</v>
      </c>
      <c r="F3719" s="27">
        <v>4</v>
      </c>
      <c r="G3719" s="29">
        <v>2.1121400000000001</v>
      </c>
    </row>
    <row r="3720" spans="1:7" x14ac:dyDescent="0.25">
      <c r="A3720" s="20" t="s">
        <v>597</v>
      </c>
      <c r="B3720" s="20" t="s">
        <v>414</v>
      </c>
      <c r="C3720" s="20" t="s">
        <v>414</v>
      </c>
      <c r="D3720" s="20" t="s">
        <v>1569</v>
      </c>
      <c r="E3720" s="27">
        <v>2</v>
      </c>
      <c r="F3720" s="27">
        <v>4</v>
      </c>
      <c r="G3720" s="29">
        <v>0.10681</v>
      </c>
    </row>
    <row r="3721" spans="1:7" x14ac:dyDescent="0.25">
      <c r="A3721" s="20" t="s">
        <v>597</v>
      </c>
      <c r="B3721" s="20" t="s">
        <v>418</v>
      </c>
      <c r="C3721" s="20" t="s">
        <v>1608</v>
      </c>
      <c r="D3721" s="20" t="s">
        <v>1569</v>
      </c>
      <c r="E3721" s="27">
        <v>3</v>
      </c>
      <c r="F3721" s="27">
        <v>6</v>
      </c>
      <c r="G3721" s="28">
        <v>8.9999999999999998E-4</v>
      </c>
    </row>
    <row r="3722" spans="1:7" x14ac:dyDescent="0.25">
      <c r="A3722" s="20" t="s">
        <v>597</v>
      </c>
      <c r="B3722" s="20" t="s">
        <v>419</v>
      </c>
      <c r="C3722" s="20" t="s">
        <v>1609</v>
      </c>
      <c r="D3722" s="20" t="s">
        <v>1569</v>
      </c>
      <c r="E3722" s="27">
        <v>1</v>
      </c>
      <c r="F3722" s="27">
        <v>2</v>
      </c>
      <c r="G3722" s="22"/>
    </row>
    <row r="3723" spans="1:7" ht="22.5" x14ac:dyDescent="0.25">
      <c r="A3723" s="20" t="s">
        <v>597</v>
      </c>
      <c r="B3723" s="20" t="s">
        <v>424</v>
      </c>
      <c r="C3723" s="20" t="s">
        <v>424</v>
      </c>
      <c r="D3723" s="20" t="s">
        <v>1569</v>
      </c>
      <c r="E3723" s="27">
        <v>3</v>
      </c>
      <c r="F3723" s="27">
        <v>6</v>
      </c>
      <c r="G3723" s="22"/>
    </row>
    <row r="3724" spans="1:7" x14ac:dyDescent="0.25">
      <c r="A3724" s="20" t="s">
        <v>597</v>
      </c>
      <c r="B3724" s="20" t="s">
        <v>429</v>
      </c>
      <c r="C3724" s="20" t="s">
        <v>429</v>
      </c>
      <c r="D3724" s="20" t="s">
        <v>1569</v>
      </c>
      <c r="E3724" s="27">
        <v>3</v>
      </c>
      <c r="F3724" s="27">
        <v>6</v>
      </c>
      <c r="G3724" s="29">
        <v>3.8109999999999998E-2</v>
      </c>
    </row>
    <row r="3725" spans="1:7" x14ac:dyDescent="0.25">
      <c r="A3725" s="20" t="s">
        <v>597</v>
      </c>
      <c r="B3725" s="20" t="s">
        <v>435</v>
      </c>
      <c r="C3725" s="20" t="s">
        <v>435</v>
      </c>
      <c r="D3725" s="20" t="s">
        <v>1569</v>
      </c>
      <c r="E3725" s="27">
        <v>4</v>
      </c>
      <c r="F3725" s="27">
        <v>8</v>
      </c>
      <c r="G3725" s="29">
        <v>4.6339999999999999E-2</v>
      </c>
    </row>
    <row r="3726" spans="1:7" x14ac:dyDescent="0.25">
      <c r="A3726" s="20" t="s">
        <v>597</v>
      </c>
      <c r="B3726" s="20" t="s">
        <v>436</v>
      </c>
      <c r="C3726" s="20" t="s">
        <v>436</v>
      </c>
      <c r="D3726" s="20" t="s">
        <v>1569</v>
      </c>
      <c r="E3726" s="27">
        <v>2</v>
      </c>
      <c r="F3726" s="27">
        <v>4</v>
      </c>
      <c r="G3726" s="29">
        <v>0.72323000000000004</v>
      </c>
    </row>
    <row r="3727" spans="1:7" x14ac:dyDescent="0.25">
      <c r="A3727" s="20" t="s">
        <v>597</v>
      </c>
      <c r="B3727" s="20" t="s">
        <v>441</v>
      </c>
      <c r="C3727" s="20" t="s">
        <v>441</v>
      </c>
      <c r="D3727" s="20" t="s">
        <v>1569</v>
      </c>
      <c r="E3727" s="27">
        <v>4</v>
      </c>
      <c r="F3727" s="27">
        <v>8</v>
      </c>
      <c r="G3727" s="29">
        <v>8.0509999999999998E-2</v>
      </c>
    </row>
    <row r="3728" spans="1:7" x14ac:dyDescent="0.25">
      <c r="A3728" s="20" t="s">
        <v>597</v>
      </c>
      <c r="B3728" s="20" t="s">
        <v>447</v>
      </c>
      <c r="C3728" s="20" t="s">
        <v>447</v>
      </c>
      <c r="D3728" s="20" t="s">
        <v>1569</v>
      </c>
      <c r="E3728" s="27">
        <v>1</v>
      </c>
      <c r="F3728" s="27">
        <v>2</v>
      </c>
      <c r="G3728" s="29">
        <v>6.64154</v>
      </c>
    </row>
    <row r="3729" spans="1:7" x14ac:dyDescent="0.25">
      <c r="A3729" s="20" t="s">
        <v>597</v>
      </c>
      <c r="B3729" s="20" t="s">
        <v>450</v>
      </c>
      <c r="C3729" s="20" t="s">
        <v>450</v>
      </c>
      <c r="D3729" s="20" t="s">
        <v>1569</v>
      </c>
      <c r="E3729" s="27">
        <v>200</v>
      </c>
      <c r="F3729" s="27">
        <v>400</v>
      </c>
      <c r="G3729" s="29">
        <v>1.4999999999999999E-4</v>
      </c>
    </row>
    <row r="3730" spans="1:7" ht="22.5" x14ac:dyDescent="0.25">
      <c r="A3730" s="20" t="s">
        <v>597</v>
      </c>
      <c r="B3730" s="20" t="s">
        <v>460</v>
      </c>
      <c r="C3730" s="20" t="s">
        <v>460</v>
      </c>
      <c r="D3730" s="20" t="s">
        <v>1569</v>
      </c>
      <c r="E3730" s="27">
        <v>2</v>
      </c>
      <c r="F3730" s="27">
        <v>4</v>
      </c>
      <c r="G3730" s="29">
        <v>0.13605</v>
      </c>
    </row>
    <row r="3731" spans="1:7" x14ac:dyDescent="0.25">
      <c r="A3731" s="20" t="s">
        <v>597</v>
      </c>
      <c r="B3731" s="20" t="s">
        <v>463</v>
      </c>
      <c r="C3731" s="20" t="s">
        <v>463</v>
      </c>
      <c r="D3731" s="20" t="s">
        <v>1569</v>
      </c>
      <c r="E3731" s="27">
        <v>3</v>
      </c>
      <c r="F3731" s="27">
        <v>6</v>
      </c>
      <c r="G3731" s="29">
        <v>2.0899999999999998E-3</v>
      </c>
    </row>
    <row r="3732" spans="1:7" x14ac:dyDescent="0.25">
      <c r="A3732" s="20" t="s">
        <v>597</v>
      </c>
      <c r="B3732" s="20" t="s">
        <v>466</v>
      </c>
      <c r="C3732" s="20" t="s">
        <v>466</v>
      </c>
      <c r="D3732" s="20" t="s">
        <v>1569</v>
      </c>
      <c r="E3732" s="27">
        <v>2</v>
      </c>
      <c r="F3732" s="27">
        <v>4</v>
      </c>
      <c r="G3732" s="35">
        <v>0.28299999999999997</v>
      </c>
    </row>
    <row r="3733" spans="1:7" x14ac:dyDescent="0.25">
      <c r="A3733" s="20" t="s">
        <v>597</v>
      </c>
      <c r="B3733" s="20" t="s">
        <v>470</v>
      </c>
      <c r="C3733" s="20" t="s">
        <v>470</v>
      </c>
      <c r="D3733" s="20" t="s">
        <v>1569</v>
      </c>
      <c r="E3733" s="27">
        <v>20</v>
      </c>
      <c r="F3733" s="27">
        <v>40</v>
      </c>
      <c r="G3733" s="22"/>
    </row>
    <row r="3734" spans="1:7" x14ac:dyDescent="0.25">
      <c r="A3734" s="20" t="s">
        <v>597</v>
      </c>
      <c r="B3734" s="20" t="s">
        <v>471</v>
      </c>
      <c r="C3734" s="20" t="s">
        <v>471</v>
      </c>
      <c r="D3734" s="20" t="s">
        <v>1569</v>
      </c>
      <c r="E3734" s="27">
        <v>4</v>
      </c>
      <c r="F3734" s="27">
        <v>8</v>
      </c>
      <c r="G3734" s="29">
        <v>0.12361999999999999</v>
      </c>
    </row>
    <row r="3735" spans="1:7" x14ac:dyDescent="0.25">
      <c r="A3735" s="20" t="s">
        <v>597</v>
      </c>
      <c r="B3735" s="20" t="s">
        <v>473</v>
      </c>
      <c r="C3735" s="20" t="s">
        <v>473</v>
      </c>
      <c r="D3735" s="20" t="s">
        <v>1569</v>
      </c>
      <c r="E3735" s="27">
        <v>1</v>
      </c>
      <c r="F3735" s="27">
        <v>2</v>
      </c>
      <c r="G3735" s="22"/>
    </row>
    <row r="3736" spans="1:7" x14ac:dyDescent="0.25">
      <c r="A3736" s="20" t="s">
        <v>597</v>
      </c>
      <c r="B3736" s="20" t="s">
        <v>477</v>
      </c>
      <c r="C3736" s="20" t="s">
        <v>477</v>
      </c>
      <c r="D3736" s="20" t="s">
        <v>1569</v>
      </c>
      <c r="E3736" s="27">
        <v>5</v>
      </c>
      <c r="F3736" s="27">
        <v>10</v>
      </c>
      <c r="G3736" s="22"/>
    </row>
    <row r="3737" spans="1:7" x14ac:dyDescent="0.25">
      <c r="A3737" s="20" t="s">
        <v>597</v>
      </c>
      <c r="B3737" s="20" t="s">
        <v>478</v>
      </c>
      <c r="C3737" s="20" t="s">
        <v>478</v>
      </c>
      <c r="D3737" s="20" t="s">
        <v>1569</v>
      </c>
      <c r="E3737" s="27">
        <v>5</v>
      </c>
      <c r="F3737" s="27">
        <v>10</v>
      </c>
      <c r="G3737" s="22"/>
    </row>
    <row r="3738" spans="1:7" x14ac:dyDescent="0.25">
      <c r="A3738" s="20" t="s">
        <v>597</v>
      </c>
      <c r="B3738" s="20" t="s">
        <v>481</v>
      </c>
      <c r="C3738" s="20" t="s">
        <v>481</v>
      </c>
      <c r="D3738" s="20" t="s">
        <v>1569</v>
      </c>
      <c r="E3738" s="27">
        <v>20</v>
      </c>
      <c r="F3738" s="27">
        <v>40</v>
      </c>
      <c r="G3738" s="22"/>
    </row>
    <row r="3739" spans="1:7" x14ac:dyDescent="0.25">
      <c r="A3739" s="20" t="s">
        <v>597</v>
      </c>
      <c r="B3739" s="20" t="s">
        <v>490</v>
      </c>
      <c r="C3739" s="20" t="s">
        <v>490</v>
      </c>
      <c r="D3739" s="20" t="s">
        <v>1569</v>
      </c>
      <c r="E3739" s="27">
        <v>8</v>
      </c>
      <c r="F3739" s="27">
        <v>16</v>
      </c>
      <c r="G3739" s="29">
        <v>2.5400000000000002E-3</v>
      </c>
    </row>
    <row r="3740" spans="1:7" x14ac:dyDescent="0.25">
      <c r="A3740" s="20" t="s">
        <v>597</v>
      </c>
      <c r="B3740" s="20" t="s">
        <v>498</v>
      </c>
      <c r="C3740" s="20" t="s">
        <v>498</v>
      </c>
      <c r="D3740" s="20" t="s">
        <v>1569</v>
      </c>
      <c r="E3740" s="27">
        <v>3</v>
      </c>
      <c r="F3740" s="27">
        <v>6</v>
      </c>
      <c r="G3740" s="22"/>
    </row>
    <row r="3741" spans="1:7" x14ac:dyDescent="0.25">
      <c r="A3741" s="20" t="s">
        <v>597</v>
      </c>
      <c r="B3741" s="20" t="s">
        <v>499</v>
      </c>
      <c r="C3741" s="20" t="s">
        <v>499</v>
      </c>
      <c r="D3741" s="20" t="s">
        <v>1569</v>
      </c>
      <c r="E3741" s="27">
        <v>8</v>
      </c>
      <c r="F3741" s="27">
        <v>16</v>
      </c>
      <c r="G3741" s="29">
        <v>6.9849999999999995E-2</v>
      </c>
    </row>
    <row r="3742" spans="1:7" x14ac:dyDescent="0.25">
      <c r="A3742" s="20" t="s">
        <v>597</v>
      </c>
      <c r="B3742" s="20" t="s">
        <v>505</v>
      </c>
      <c r="C3742" s="20" t="s">
        <v>505</v>
      </c>
      <c r="D3742" s="20" t="s">
        <v>1569</v>
      </c>
      <c r="E3742" s="27">
        <v>2</v>
      </c>
      <c r="F3742" s="27">
        <v>4</v>
      </c>
      <c r="G3742" s="29">
        <v>6.812E-2</v>
      </c>
    </row>
    <row r="3743" spans="1:7" x14ac:dyDescent="0.25">
      <c r="A3743" s="20" t="s">
        <v>597</v>
      </c>
      <c r="B3743" s="20" t="s">
        <v>506</v>
      </c>
      <c r="C3743" s="20" t="s">
        <v>506</v>
      </c>
      <c r="D3743" s="20" t="s">
        <v>1569</v>
      </c>
      <c r="E3743" s="27">
        <v>2</v>
      </c>
      <c r="F3743" s="27">
        <v>4</v>
      </c>
      <c r="G3743" s="29">
        <v>6.812E-2</v>
      </c>
    </row>
    <row r="3744" spans="1:7" x14ac:dyDescent="0.25">
      <c r="A3744" s="20" t="s">
        <v>597</v>
      </c>
      <c r="B3744" s="20" t="s">
        <v>511</v>
      </c>
      <c r="C3744" s="20" t="s">
        <v>511</v>
      </c>
      <c r="D3744" s="20" t="s">
        <v>1569</v>
      </c>
      <c r="E3744" s="27">
        <v>100</v>
      </c>
      <c r="F3744" s="27">
        <v>200</v>
      </c>
      <c r="G3744" s="22"/>
    </row>
    <row r="3745" spans="1:7" x14ac:dyDescent="0.25">
      <c r="A3745" s="20" t="s">
        <v>597</v>
      </c>
      <c r="B3745" s="20" t="s">
        <v>516</v>
      </c>
      <c r="C3745" s="20" t="s">
        <v>516</v>
      </c>
      <c r="D3745" s="20" t="s">
        <v>1569</v>
      </c>
      <c r="E3745" s="27">
        <v>2</v>
      </c>
      <c r="F3745" s="27">
        <v>4</v>
      </c>
      <c r="G3745" s="29">
        <v>1.7549699999999999</v>
      </c>
    </row>
    <row r="3746" spans="1:7" x14ac:dyDescent="0.25">
      <c r="A3746" s="20" t="s">
        <v>597</v>
      </c>
      <c r="B3746" s="20" t="s">
        <v>523</v>
      </c>
      <c r="C3746" s="20" t="s">
        <v>523</v>
      </c>
      <c r="D3746" s="20" t="s">
        <v>1569</v>
      </c>
      <c r="E3746" s="27">
        <v>4</v>
      </c>
      <c r="F3746" s="27">
        <v>8</v>
      </c>
      <c r="G3746" s="29">
        <v>1.5689999999999999E-2</v>
      </c>
    </row>
    <row r="3747" spans="1:7" x14ac:dyDescent="0.25">
      <c r="A3747" s="20" t="s">
        <v>597</v>
      </c>
      <c r="B3747" s="20" t="s">
        <v>525</v>
      </c>
      <c r="C3747" s="20" t="s">
        <v>525</v>
      </c>
      <c r="D3747" s="20" t="s">
        <v>1569</v>
      </c>
      <c r="E3747" s="27">
        <v>9</v>
      </c>
      <c r="F3747" s="27">
        <v>18</v>
      </c>
      <c r="G3747" s="29">
        <v>2.743E-2</v>
      </c>
    </row>
    <row r="3748" spans="1:7" x14ac:dyDescent="0.25">
      <c r="A3748" s="20" t="s">
        <v>597</v>
      </c>
      <c r="B3748" s="20" t="s">
        <v>535</v>
      </c>
      <c r="C3748" s="20" t="s">
        <v>535</v>
      </c>
      <c r="D3748" s="20" t="s">
        <v>1569</v>
      </c>
      <c r="E3748" s="27">
        <v>2</v>
      </c>
      <c r="F3748" s="27">
        <v>4</v>
      </c>
      <c r="G3748" s="29">
        <v>1.129E-2</v>
      </c>
    </row>
    <row r="3749" spans="1:7" x14ac:dyDescent="0.25">
      <c r="A3749" s="20" t="s">
        <v>597</v>
      </c>
      <c r="B3749" s="20" t="s">
        <v>536</v>
      </c>
      <c r="C3749" s="20" t="s">
        <v>536</v>
      </c>
      <c r="D3749" s="20" t="s">
        <v>1569</v>
      </c>
      <c r="E3749" s="27">
        <v>2</v>
      </c>
      <c r="F3749" s="27">
        <v>4</v>
      </c>
      <c r="G3749" s="29">
        <v>2.9520000000000001E-2</v>
      </c>
    </row>
    <row r="3750" spans="1:7" x14ac:dyDescent="0.25">
      <c r="A3750" s="20" t="s">
        <v>597</v>
      </c>
      <c r="B3750" s="20" t="s">
        <v>537</v>
      </c>
      <c r="C3750" s="20" t="s">
        <v>537</v>
      </c>
      <c r="D3750" s="20" t="s">
        <v>1569</v>
      </c>
      <c r="E3750" s="27">
        <v>2</v>
      </c>
      <c r="F3750" s="27">
        <v>4</v>
      </c>
      <c r="G3750" s="29">
        <v>2.1749999999999999E-2</v>
      </c>
    </row>
    <row r="3751" spans="1:7" x14ac:dyDescent="0.25">
      <c r="A3751" s="20" t="s">
        <v>588</v>
      </c>
      <c r="B3751" s="20" t="s">
        <v>542</v>
      </c>
      <c r="C3751" s="20" t="s">
        <v>542</v>
      </c>
      <c r="D3751" s="20" t="s">
        <v>1620</v>
      </c>
      <c r="E3751" s="27">
        <v>1</v>
      </c>
      <c r="F3751" s="27">
        <v>2</v>
      </c>
      <c r="G3751" s="22"/>
    </row>
    <row r="3752" spans="1:7" x14ac:dyDescent="0.25">
      <c r="A3752" s="20" t="s">
        <v>588</v>
      </c>
      <c r="B3752" s="20" t="s">
        <v>165</v>
      </c>
      <c r="C3752" s="20" t="s">
        <v>165</v>
      </c>
      <c r="D3752" s="20" t="s">
        <v>874</v>
      </c>
      <c r="E3752" s="24">
        <v>2.8000000000000001E-2</v>
      </c>
      <c r="F3752" s="24">
        <v>5.6000000000000001E-2</v>
      </c>
      <c r="G3752" s="22"/>
    </row>
    <row r="3753" spans="1:7" x14ac:dyDescent="0.25">
      <c r="A3753" s="20" t="s">
        <v>588</v>
      </c>
      <c r="B3753" s="20" t="s">
        <v>166</v>
      </c>
      <c r="C3753" s="20" t="s">
        <v>166</v>
      </c>
      <c r="D3753" s="20" t="s">
        <v>1240</v>
      </c>
      <c r="E3753" s="24">
        <v>4.8000000000000001E-2</v>
      </c>
      <c r="F3753" s="24">
        <v>0.38400000000000001</v>
      </c>
      <c r="G3753" s="22"/>
    </row>
    <row r="3754" spans="1:7" x14ac:dyDescent="0.25">
      <c r="A3754" s="20" t="s">
        <v>588</v>
      </c>
      <c r="B3754" s="20" t="s">
        <v>166</v>
      </c>
      <c r="C3754" s="20" t="s">
        <v>166</v>
      </c>
      <c r="D3754" s="20" t="s">
        <v>705</v>
      </c>
      <c r="E3754" s="24">
        <v>6.6000000000000003E-2</v>
      </c>
      <c r="F3754" s="24">
        <v>1.254</v>
      </c>
      <c r="G3754" s="22"/>
    </row>
    <row r="3755" spans="1:7" x14ac:dyDescent="0.25">
      <c r="A3755" s="20" t="s">
        <v>588</v>
      </c>
      <c r="B3755" s="20" t="s">
        <v>167</v>
      </c>
      <c r="C3755" s="20" t="s">
        <v>167</v>
      </c>
      <c r="D3755" s="20" t="s">
        <v>942</v>
      </c>
      <c r="E3755" s="24">
        <v>4.2999999999999997E-2</v>
      </c>
      <c r="F3755" s="24">
        <v>4.2999999999999997E-2</v>
      </c>
      <c r="G3755" s="22"/>
    </row>
    <row r="3756" spans="1:7" x14ac:dyDescent="0.25">
      <c r="A3756" s="20" t="s">
        <v>588</v>
      </c>
      <c r="B3756" s="20" t="s">
        <v>167</v>
      </c>
      <c r="C3756" s="20" t="s">
        <v>167</v>
      </c>
      <c r="D3756" s="20" t="s">
        <v>944</v>
      </c>
      <c r="E3756" s="24">
        <v>9.2999999999999999E-2</v>
      </c>
      <c r="F3756" s="24">
        <v>9.2999999999999999E-2</v>
      </c>
      <c r="G3756" s="22"/>
    </row>
  </sheetData>
  <sortState ref="A4:F3108">
    <sortCondition ref="A1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C885"/>
  <sheetViews>
    <sheetView workbookViewId="0">
      <pane xSplit="1" ySplit="4" topLeftCell="B861" activePane="bottomRight" state="frozenSplit"/>
      <selection pane="topRight" activeCell="B1" sqref="B1"/>
      <selection pane="bottomLeft" activeCell="A5" sqref="A5"/>
      <selection pane="bottomRight" activeCell="B877" sqref="B877"/>
    </sheetView>
  </sheetViews>
  <sheetFormatPr defaultRowHeight="15" x14ac:dyDescent="0.25"/>
  <cols>
    <col min="1" max="1" width="35.42578125" customWidth="1"/>
    <col min="2" max="2" width="10.140625" customWidth="1"/>
    <col min="3" max="29" width="4.42578125" customWidth="1"/>
    <col min="30" max="30" width="9.5703125" customWidth="1"/>
    <col min="31" max="55" width="4.42578125" customWidth="1"/>
  </cols>
  <sheetData>
    <row r="1" spans="1:55" ht="25.5" customHeight="1" x14ac:dyDescent="0.25">
      <c r="A1" s="17" t="s">
        <v>565</v>
      </c>
      <c r="X1" s="144">
        <v>149159.29</v>
      </c>
      <c r="Y1" s="144"/>
      <c r="Z1" s="144"/>
      <c r="AA1" s="144"/>
    </row>
    <row r="2" spans="1:55" ht="44.25" customHeight="1" x14ac:dyDescent="0.3">
      <c r="A2" s="18" t="s">
        <v>1675</v>
      </c>
      <c r="E2" s="145" t="s">
        <v>546</v>
      </c>
      <c r="F2" s="145"/>
      <c r="G2" s="145"/>
      <c r="H2" s="145"/>
      <c r="I2" s="145"/>
      <c r="J2" s="145"/>
      <c r="K2" s="145"/>
      <c r="L2" s="145"/>
      <c r="M2" s="145" t="s">
        <v>547</v>
      </c>
      <c r="N2" s="145"/>
      <c r="O2" s="145"/>
      <c r="P2" s="145"/>
      <c r="Q2" s="145"/>
      <c r="R2" s="145"/>
      <c r="S2" s="145"/>
      <c r="T2" s="145"/>
    </row>
    <row r="3" spans="1:55" ht="183" x14ac:dyDescent="0.25">
      <c r="A3" s="49" t="s">
        <v>0</v>
      </c>
      <c r="B3" s="41" t="s">
        <v>1621</v>
      </c>
      <c r="C3" s="42" t="s">
        <v>1622</v>
      </c>
      <c r="D3" s="42" t="s">
        <v>1623</v>
      </c>
      <c r="E3" s="42" t="s">
        <v>1624</v>
      </c>
      <c r="F3" s="42" t="s">
        <v>1625</v>
      </c>
      <c r="G3" s="42" t="s">
        <v>1626</v>
      </c>
      <c r="H3" s="42" t="s">
        <v>1627</v>
      </c>
      <c r="I3" s="42" t="s">
        <v>1628</v>
      </c>
      <c r="J3" s="42" t="s">
        <v>1629</v>
      </c>
      <c r="K3" s="42" t="s">
        <v>1630</v>
      </c>
      <c r="L3" s="42" t="s">
        <v>1631</v>
      </c>
      <c r="M3" s="42" t="s">
        <v>1632</v>
      </c>
      <c r="N3" s="42" t="s">
        <v>1633</v>
      </c>
      <c r="O3" s="42" t="s">
        <v>1634</v>
      </c>
      <c r="P3" s="42" t="s">
        <v>1635</v>
      </c>
      <c r="Q3" s="42" t="s">
        <v>1636</v>
      </c>
      <c r="R3" s="42" t="s">
        <v>1637</v>
      </c>
      <c r="S3" s="42" t="s">
        <v>1638</v>
      </c>
      <c r="T3" s="42" t="s">
        <v>1639</v>
      </c>
      <c r="U3" s="42" t="s">
        <v>1640</v>
      </c>
      <c r="V3" s="42" t="s">
        <v>1641</v>
      </c>
      <c r="W3" s="42" t="s">
        <v>1642</v>
      </c>
      <c r="X3" s="42" t="s">
        <v>1643</v>
      </c>
      <c r="Y3" s="42" t="s">
        <v>1644</v>
      </c>
      <c r="Z3" s="42" t="s">
        <v>1645</v>
      </c>
      <c r="AA3" s="42" t="s">
        <v>1646</v>
      </c>
      <c r="AB3" s="42" t="s">
        <v>1647</v>
      </c>
      <c r="AC3" s="42" t="s">
        <v>1648</v>
      </c>
      <c r="AD3" s="42" t="s">
        <v>1649</v>
      </c>
      <c r="AE3" s="42" t="s">
        <v>1650</v>
      </c>
      <c r="AF3" s="42" t="s">
        <v>1651</v>
      </c>
      <c r="AG3" s="42" t="s">
        <v>1652</v>
      </c>
      <c r="AH3" s="42" t="s">
        <v>1653</v>
      </c>
      <c r="AI3" s="42" t="s">
        <v>1654</v>
      </c>
      <c r="AJ3" s="42" t="s">
        <v>1655</v>
      </c>
      <c r="AK3" s="42" t="s">
        <v>1656</v>
      </c>
      <c r="AL3" s="42" t="s">
        <v>1657</v>
      </c>
      <c r="AM3" s="42" t="s">
        <v>1658</v>
      </c>
      <c r="AN3" s="42" t="s">
        <v>1659</v>
      </c>
      <c r="AO3" s="42" t="s">
        <v>1660</v>
      </c>
      <c r="AP3" s="42" t="s">
        <v>1661</v>
      </c>
      <c r="AQ3" s="42" t="s">
        <v>1662</v>
      </c>
      <c r="AR3" s="42" t="s">
        <v>1663</v>
      </c>
      <c r="AS3" s="42" t="s">
        <v>1664</v>
      </c>
      <c r="AT3" s="42" t="s">
        <v>1665</v>
      </c>
      <c r="AU3" s="42" t="s">
        <v>1666</v>
      </c>
      <c r="AV3" s="42" t="s">
        <v>1667</v>
      </c>
      <c r="AW3" s="42" t="s">
        <v>1668</v>
      </c>
      <c r="AX3" s="42" t="s">
        <v>1669</v>
      </c>
      <c r="AY3" s="42" t="s">
        <v>1670</v>
      </c>
      <c r="AZ3" s="42" t="s">
        <v>1671</v>
      </c>
      <c r="BA3" s="42" t="s">
        <v>1672</v>
      </c>
      <c r="BB3" s="42" t="s">
        <v>1673</v>
      </c>
      <c r="BC3" s="42" t="s">
        <v>1674</v>
      </c>
    </row>
    <row r="4" spans="1:55" x14ac:dyDescent="0.25">
      <c r="A4" s="41" t="s">
        <v>1621</v>
      </c>
      <c r="B4" s="43">
        <f t="shared" ref="B4:B67" si="0">SUM(C4:BC4)</f>
        <v>32595.05</v>
      </c>
      <c r="C4" s="43">
        <f t="shared" ref="C4:AH4" si="1">SUM(C5:C885)</f>
        <v>585</v>
      </c>
      <c r="D4" s="43">
        <f t="shared" si="1"/>
        <v>174.29999999999998</v>
      </c>
      <c r="E4" s="43">
        <f t="shared" si="1"/>
        <v>954.15</v>
      </c>
      <c r="F4" s="43">
        <f t="shared" si="1"/>
        <v>86.499999999999986</v>
      </c>
      <c r="G4" s="43">
        <f t="shared" si="1"/>
        <v>136.1</v>
      </c>
      <c r="H4" s="43">
        <f t="shared" si="1"/>
        <v>155</v>
      </c>
      <c r="I4" s="44">
        <f t="shared" si="1"/>
        <v>27.600000000000009</v>
      </c>
      <c r="J4" s="43">
        <f t="shared" si="1"/>
        <v>106</v>
      </c>
      <c r="K4" s="44">
        <f t="shared" si="1"/>
        <v>184</v>
      </c>
      <c r="L4" s="44">
        <f t="shared" si="1"/>
        <v>8</v>
      </c>
      <c r="M4" s="44">
        <f t="shared" si="1"/>
        <v>251.1</v>
      </c>
      <c r="N4" s="44">
        <f t="shared" si="1"/>
        <v>25.5</v>
      </c>
      <c r="O4" s="44">
        <f t="shared" si="1"/>
        <v>28.75</v>
      </c>
      <c r="P4" s="43">
        <f t="shared" si="1"/>
        <v>1108.5</v>
      </c>
      <c r="Q4" s="43">
        <f t="shared" si="1"/>
        <v>2053.5</v>
      </c>
      <c r="R4" s="44">
        <f t="shared" si="1"/>
        <v>20</v>
      </c>
      <c r="S4" s="43">
        <f t="shared" si="1"/>
        <v>494.98500000000007</v>
      </c>
      <c r="T4" s="43">
        <f t="shared" si="1"/>
        <v>602.13000000000022</v>
      </c>
      <c r="U4" s="44">
        <f t="shared" si="1"/>
        <v>1</v>
      </c>
      <c r="V4" s="43">
        <f t="shared" si="1"/>
        <v>595.05000000000007</v>
      </c>
      <c r="W4" s="43">
        <f t="shared" si="1"/>
        <v>1496.4600000000003</v>
      </c>
      <c r="X4" s="44">
        <f t="shared" si="1"/>
        <v>28.319999999999997</v>
      </c>
      <c r="Y4" s="44">
        <f t="shared" si="1"/>
        <v>321</v>
      </c>
      <c r="Z4" s="44">
        <f t="shared" si="1"/>
        <v>15.600000000000005</v>
      </c>
      <c r="AA4" s="43">
        <f t="shared" si="1"/>
        <v>302.85000000000002</v>
      </c>
      <c r="AB4" s="44">
        <f t="shared" si="1"/>
        <v>20</v>
      </c>
      <c r="AC4" s="43">
        <f t="shared" si="1"/>
        <v>38.6</v>
      </c>
      <c r="AD4" s="43">
        <f t="shared" si="1"/>
        <v>4607.5049999999992</v>
      </c>
      <c r="AE4" s="44">
        <f t="shared" si="1"/>
        <v>86</v>
      </c>
      <c r="AF4" s="43">
        <f t="shared" si="1"/>
        <v>206.5</v>
      </c>
      <c r="AG4" s="44">
        <f t="shared" si="1"/>
        <v>30</v>
      </c>
      <c r="AH4" s="43">
        <f t="shared" si="1"/>
        <v>2877</v>
      </c>
      <c r="AI4" s="43">
        <f t="shared" ref="AI4:BC4" si="2">SUM(AI5:AI885)</f>
        <v>5189</v>
      </c>
      <c r="AJ4" s="43">
        <f t="shared" si="2"/>
        <v>2186</v>
      </c>
      <c r="AK4" s="44">
        <f t="shared" si="2"/>
        <v>130</v>
      </c>
      <c r="AL4" s="44">
        <f t="shared" si="2"/>
        <v>245</v>
      </c>
      <c r="AM4" s="43">
        <f t="shared" si="2"/>
        <v>655.5</v>
      </c>
      <c r="AN4" s="44">
        <f t="shared" si="2"/>
        <v>86.1</v>
      </c>
      <c r="AO4" s="43">
        <f t="shared" si="2"/>
        <v>2541.9499999999998</v>
      </c>
      <c r="AP4" s="44">
        <f t="shared" si="2"/>
        <v>111</v>
      </c>
      <c r="AQ4" s="44">
        <f t="shared" si="2"/>
        <v>41.9</v>
      </c>
      <c r="AR4" s="44">
        <f t="shared" si="2"/>
        <v>29.5</v>
      </c>
      <c r="AS4" s="43">
        <f t="shared" si="2"/>
        <v>647</v>
      </c>
      <c r="AT4" s="44">
        <f t="shared" si="2"/>
        <v>100</v>
      </c>
      <c r="AU4" s="44">
        <f t="shared" si="2"/>
        <v>161</v>
      </c>
      <c r="AV4" s="43">
        <f t="shared" si="2"/>
        <v>1062</v>
      </c>
      <c r="AW4" s="43">
        <f t="shared" si="2"/>
        <v>840.59999999999991</v>
      </c>
      <c r="AX4" s="44">
        <f t="shared" si="2"/>
        <v>50</v>
      </c>
      <c r="AY4" s="43">
        <f t="shared" si="2"/>
        <v>360</v>
      </c>
      <c r="AZ4" s="43">
        <f t="shared" si="2"/>
        <v>462</v>
      </c>
      <c r="BA4" s="44">
        <f t="shared" si="2"/>
        <v>45.5</v>
      </c>
      <c r="BB4" s="44">
        <f t="shared" si="2"/>
        <v>10</v>
      </c>
      <c r="BC4" s="44">
        <f t="shared" si="2"/>
        <v>14</v>
      </c>
    </row>
    <row r="5" spans="1:55" x14ac:dyDescent="0.25">
      <c r="A5" s="45" t="s">
        <v>589</v>
      </c>
      <c r="B5" s="46">
        <f t="shared" si="0"/>
        <v>81.5</v>
      </c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6">
        <f>1.5/IF(Общие_или_заединицу="Общие трудозатраты",1,1)</f>
        <v>1.5</v>
      </c>
      <c r="U5" s="47"/>
      <c r="V5" s="47"/>
      <c r="W5" s="47"/>
      <c r="X5" s="46">
        <f>2/IF(Общие_или_заединицу="Общие трудозатраты",1,1)</f>
        <v>2</v>
      </c>
      <c r="Y5" s="47"/>
      <c r="Z5" s="47"/>
      <c r="AA5" s="47"/>
      <c r="AB5" s="46">
        <f>20/IF(Общие_или_заединицу="Общие трудозатраты",1,1)</f>
        <v>20</v>
      </c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6">
        <f>58/IF(Общие_или_заединицу="Общие трудозатраты",1,1)</f>
        <v>58</v>
      </c>
      <c r="AZ5" s="47"/>
      <c r="BA5" s="47"/>
      <c r="BB5" s="47"/>
      <c r="BC5" s="47"/>
    </row>
    <row r="6" spans="1:55" x14ac:dyDescent="0.25">
      <c r="A6" s="45" t="s">
        <v>590</v>
      </c>
      <c r="B6" s="46">
        <f t="shared" si="0"/>
        <v>66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6">
        <f>3/IF(Общие_или_заединицу="Общие трудозатраты",1,1)</f>
        <v>3</v>
      </c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6">
        <f>45/IF(Общие_или_заединицу="Общие трудозатраты",1,1)</f>
        <v>45</v>
      </c>
      <c r="AW6" s="47"/>
      <c r="AX6" s="47"/>
      <c r="AY6" s="46">
        <f>8/IF(Общие_или_заединицу="Общие трудозатраты",1,1)</f>
        <v>8</v>
      </c>
      <c r="AZ6" s="47"/>
      <c r="BA6" s="47"/>
      <c r="BB6" s="46">
        <f>10/IF(Общие_или_заединицу="Общие трудозатраты",1,1)</f>
        <v>10</v>
      </c>
      <c r="BC6" s="47"/>
    </row>
    <row r="7" spans="1:55" x14ac:dyDescent="0.25">
      <c r="A7" s="45" t="s">
        <v>591</v>
      </c>
      <c r="B7" s="46">
        <f t="shared" si="0"/>
        <v>78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6">
        <f>3/IF(Общие_или_заединицу="Общие трудозатраты",1,1)</f>
        <v>3</v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6">
        <f>45/IF(Общие_или_заединицу="Общие трудозатраты",1,1)</f>
        <v>45</v>
      </c>
      <c r="AW7" s="46">
        <f>15/IF(Общие_или_заединицу="Общие трудозатраты",1,1)</f>
        <v>15</v>
      </c>
      <c r="AX7" s="47"/>
      <c r="AY7" s="46">
        <f>15/IF(Общие_или_заединицу="Общие трудозатраты",1,1)</f>
        <v>15</v>
      </c>
      <c r="AZ7" s="47"/>
      <c r="BA7" s="47"/>
      <c r="BB7" s="47"/>
      <c r="BC7" s="47"/>
    </row>
    <row r="8" spans="1:55" x14ac:dyDescent="0.25">
      <c r="A8" s="45" t="s">
        <v>593</v>
      </c>
      <c r="B8" s="46">
        <f t="shared" si="0"/>
        <v>40</v>
      </c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6">
        <f>20/IF(Общие_или_заединицу="Общие трудозатраты",1,2)</f>
        <v>10</v>
      </c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6">
        <f>60/IF(Общие_или_заединицу="Общие трудозатраты",1,2)</f>
        <v>30</v>
      </c>
      <c r="AX8" s="47"/>
      <c r="AY8" s="47"/>
      <c r="AZ8" s="47"/>
      <c r="BA8" s="47"/>
      <c r="BB8" s="47"/>
      <c r="BC8" s="47"/>
    </row>
    <row r="9" spans="1:55" x14ac:dyDescent="0.25">
      <c r="A9" s="45" t="s">
        <v>594</v>
      </c>
      <c r="B9" s="46">
        <f t="shared" si="0"/>
        <v>42</v>
      </c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6">
        <f>24/IF(Общие_или_заединицу="Общие трудозатраты",1,2)</f>
        <v>12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6">
        <f>60/IF(Общие_или_заединицу="Общие трудозатраты",1,2)</f>
        <v>30</v>
      </c>
      <c r="AW9" s="47"/>
      <c r="AX9" s="47"/>
      <c r="AY9" s="47"/>
      <c r="AZ9" s="47"/>
      <c r="BA9" s="47"/>
      <c r="BB9" s="47"/>
      <c r="BC9" s="47"/>
    </row>
    <row r="10" spans="1:55" x14ac:dyDescent="0.25">
      <c r="A10" s="45" t="s">
        <v>596</v>
      </c>
      <c r="B10" s="46">
        <f t="shared" si="0"/>
        <v>110</v>
      </c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6">
        <f>12/IF(Общие_или_заединицу="Общие трудозатраты",1,2)</f>
        <v>6</v>
      </c>
      <c r="AF10" s="47"/>
      <c r="AG10" s="47"/>
      <c r="AH10" s="47"/>
      <c r="AI10" s="47"/>
      <c r="AJ10" s="47"/>
      <c r="AK10" s="47"/>
      <c r="AL10" s="47"/>
      <c r="AM10" s="47"/>
      <c r="AN10" s="47"/>
      <c r="AO10" s="46">
        <f>60/IF(Общие_или_заединицу="Общие трудозатраты",1,2)</f>
        <v>30</v>
      </c>
      <c r="AP10" s="46">
        <f>12/IF(Общие_или_заединицу="Общие трудозатраты",1,2)</f>
        <v>6</v>
      </c>
      <c r="AQ10" s="47"/>
      <c r="AR10" s="47"/>
      <c r="AS10" s="47"/>
      <c r="AT10" s="47"/>
      <c r="AU10" s="47"/>
      <c r="AV10" s="47"/>
      <c r="AW10" s="46">
        <f>56/IF(Общие_или_заединицу="Общие трудозатраты",1,2)</f>
        <v>28</v>
      </c>
      <c r="AX10" s="47"/>
      <c r="AY10" s="47"/>
      <c r="AZ10" s="46">
        <f>80/IF(Общие_или_заединицу="Общие трудозатраты",1,2)</f>
        <v>40</v>
      </c>
      <c r="BA10" s="47"/>
      <c r="BB10" s="47"/>
      <c r="BC10" s="47"/>
    </row>
    <row r="11" spans="1:55" ht="22.5" x14ac:dyDescent="0.25">
      <c r="A11" s="45" t="s">
        <v>598</v>
      </c>
      <c r="B11" s="46">
        <f t="shared" si="0"/>
        <v>120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6">
        <f>120/IF(Общие_или_заединицу="Общие трудозатраты",1,1)</f>
        <v>120</v>
      </c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</row>
    <row r="12" spans="1:55" x14ac:dyDescent="0.25">
      <c r="A12" s="45" t="s">
        <v>600</v>
      </c>
      <c r="B12" s="46">
        <f t="shared" si="0"/>
        <v>125</v>
      </c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6">
        <f>5/IF(Общие_или_заединицу="Общие трудозатраты",1,1)</f>
        <v>5</v>
      </c>
      <c r="Q12" s="46">
        <f>120/IF(Общие_или_заединицу="Общие трудозатраты",1,1)</f>
        <v>120</v>
      </c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</row>
    <row r="13" spans="1:55" x14ac:dyDescent="0.25">
      <c r="A13" s="45" t="s">
        <v>627</v>
      </c>
      <c r="B13" s="46">
        <f t="shared" si="0"/>
        <v>120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6">
        <f>120/IF(Общие_или_заединицу="Общие трудозатраты",1,1)</f>
        <v>120</v>
      </c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</row>
    <row r="14" spans="1:55" x14ac:dyDescent="0.25">
      <c r="A14" s="45" t="s">
        <v>631</v>
      </c>
      <c r="B14" s="46">
        <f t="shared" si="0"/>
        <v>60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6">
        <f>60/IF(Общие_или_заединицу="Общие трудозатраты",1,1)</f>
        <v>60</v>
      </c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</row>
    <row r="15" spans="1:55" x14ac:dyDescent="0.25">
      <c r="A15" s="45" t="s">
        <v>634</v>
      </c>
      <c r="B15" s="46">
        <f t="shared" si="0"/>
        <v>15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6">
        <f>15/IF(Общие_или_заединицу="Общие трудозатраты",1,1)</f>
        <v>15</v>
      </c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</row>
    <row r="16" spans="1:55" x14ac:dyDescent="0.25">
      <c r="A16" s="45" t="s">
        <v>637</v>
      </c>
      <c r="B16" s="46">
        <f t="shared" si="0"/>
        <v>8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6">
        <f>32/IF(Общие_или_заединицу="Общие трудозатраты",1,4)</f>
        <v>8</v>
      </c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</row>
    <row r="17" spans="1:55" x14ac:dyDescent="0.25">
      <c r="A17" s="45" t="s">
        <v>639</v>
      </c>
      <c r="B17" s="46">
        <f t="shared" si="0"/>
        <v>30</v>
      </c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6">
        <f>30/IF(Общие_или_заединицу="Общие трудозатраты",1,1)</f>
        <v>30</v>
      </c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</row>
    <row r="18" spans="1:55" ht="22.5" x14ac:dyDescent="0.25">
      <c r="A18" s="45" t="s">
        <v>641</v>
      </c>
      <c r="B18" s="46">
        <f t="shared" si="0"/>
        <v>1</v>
      </c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6">
        <f>1/IF(Общие_или_заединицу="Общие трудозатраты",1,1)</f>
        <v>1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</row>
    <row r="19" spans="1:55" x14ac:dyDescent="0.25">
      <c r="A19" s="45" t="s">
        <v>646</v>
      </c>
      <c r="B19" s="46">
        <f t="shared" si="0"/>
        <v>10</v>
      </c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6">
        <f>10/IF(Общие_или_заединицу="Общие трудозатраты",1,1)</f>
        <v>10</v>
      </c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</row>
    <row r="20" spans="1:55" x14ac:dyDescent="0.25">
      <c r="A20" s="45" t="s">
        <v>645</v>
      </c>
      <c r="B20" s="46">
        <f t="shared" si="0"/>
        <v>7.5</v>
      </c>
      <c r="C20" s="47"/>
      <c r="D20" s="47"/>
      <c r="E20" s="47"/>
      <c r="F20" s="47"/>
      <c r="G20" s="46">
        <f>4/IF(Общие_или_заединицу="Общие трудозатраты",1,1)</f>
        <v>4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6">
        <f>3.5/IF(Общие_или_заединицу="Общие трудозатраты",1,1)</f>
        <v>3.5</v>
      </c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</row>
    <row r="21" spans="1:55" x14ac:dyDescent="0.25">
      <c r="A21" s="45" t="s">
        <v>647</v>
      </c>
      <c r="B21" s="46">
        <f t="shared" si="0"/>
        <v>13.05</v>
      </c>
      <c r="C21" s="47"/>
      <c r="D21" s="46">
        <f>11.4/IF(Общие_или_заединицу="Общие трудозатраты",1,2)</f>
        <v>5.7</v>
      </c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6">
        <f>4.2/IF(Общие_или_заединицу="Общие трудозатраты",1,2)*IF(Пробивка="Стандартная пробивная",1,3.5)</f>
        <v>7.3500000000000005</v>
      </c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</row>
    <row r="22" spans="1:55" x14ac:dyDescent="0.25">
      <c r="A22" s="45" t="s">
        <v>649</v>
      </c>
      <c r="B22" s="46">
        <f t="shared" si="0"/>
        <v>11.8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6">
        <f>1.7/IF(Общие_или_заединицу="Общие трудозатраты",1,1)</f>
        <v>1.7</v>
      </c>
      <c r="U22" s="47"/>
      <c r="V22" s="46">
        <f>4/IF(Общие_или_заединицу="Общие трудозатраты",1,1)</f>
        <v>4</v>
      </c>
      <c r="W22" s="46">
        <f>2/IF(Общие_или_заединицу="Общие трудозатраты",1,1)</f>
        <v>2</v>
      </c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6">
        <f>4.1/IF(Общие_или_заединицу="Общие трудозатраты",1,1)</f>
        <v>4.0999999999999996</v>
      </c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</row>
    <row r="23" spans="1:55" x14ac:dyDescent="0.25">
      <c r="A23" s="45" t="s">
        <v>650</v>
      </c>
      <c r="B23" s="46">
        <f t="shared" si="0"/>
        <v>18</v>
      </c>
      <c r="C23" s="47"/>
      <c r="D23" s="47"/>
      <c r="E23" s="47"/>
      <c r="F23" s="46">
        <f>8/IF(Общие_или_заединицу="Общие трудозатраты",1,2)</f>
        <v>4</v>
      </c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6">
        <f>1.8/IF(Общие_или_заединицу="Общие трудозатраты",1,2)</f>
        <v>0.9</v>
      </c>
      <c r="U23" s="47"/>
      <c r="V23" s="47"/>
      <c r="W23" s="46">
        <f>2.2/IF(Общие_или_заединицу="Общие трудозатраты",1,2)</f>
        <v>1.1000000000000001</v>
      </c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6">
        <f>24/IF(Общие_или_заединицу="Общие трудозатраты",1,2)</f>
        <v>12</v>
      </c>
      <c r="AX23" s="47"/>
      <c r="AY23" s="47"/>
      <c r="AZ23" s="47"/>
      <c r="BA23" s="47"/>
      <c r="BB23" s="47"/>
      <c r="BC23" s="47"/>
    </row>
    <row r="24" spans="1:55" x14ac:dyDescent="0.25">
      <c r="A24" s="45" t="s">
        <v>651</v>
      </c>
      <c r="B24" s="46">
        <f t="shared" si="0"/>
        <v>0.5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6">
        <f>0.5/IF(Общие_или_заединицу="Общие трудозатраты",1,1)</f>
        <v>0.5</v>
      </c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</row>
    <row r="25" spans="1:55" x14ac:dyDescent="0.25">
      <c r="A25" s="45" t="s">
        <v>652</v>
      </c>
      <c r="B25" s="46">
        <f t="shared" si="0"/>
        <v>20</v>
      </c>
      <c r="C25" s="47"/>
      <c r="D25" s="47"/>
      <c r="E25" s="47"/>
      <c r="F25" s="47"/>
      <c r="G25" s="46">
        <f>6/IF(Общие_или_заединицу="Общие трудозатраты",1,1)</f>
        <v>6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6">
        <f>4/IF(Общие_или_заединицу="Общие трудозатраты",1,1)*IF(Пробивка="Стандартная пробивная",1,3.5)</f>
        <v>14</v>
      </c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</row>
    <row r="26" spans="1:55" x14ac:dyDescent="0.25">
      <c r="A26" s="45" t="s">
        <v>654</v>
      </c>
      <c r="B26" s="46">
        <f t="shared" si="0"/>
        <v>2.1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6">
        <f>4.2/IF(Общие_или_заединицу="Общие трудозатраты",1,2)</f>
        <v>2.1</v>
      </c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</row>
    <row r="27" spans="1:55" x14ac:dyDescent="0.25">
      <c r="A27" s="45" t="s">
        <v>655</v>
      </c>
      <c r="B27" s="46">
        <f t="shared" si="0"/>
        <v>1.5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6">
        <f>6/IF(Общие_или_заединицу="Общие трудозатраты",1,4)</f>
        <v>1.5</v>
      </c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</row>
    <row r="28" spans="1:55" x14ac:dyDescent="0.25">
      <c r="A28" s="45" t="s">
        <v>656</v>
      </c>
      <c r="B28" s="46">
        <f t="shared" si="0"/>
        <v>1.1000000000000001</v>
      </c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6">
        <f>8.8/IF(Общие_или_заединицу="Общие трудозатраты",1,8)</f>
        <v>1.1000000000000001</v>
      </c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</row>
    <row r="29" spans="1:55" x14ac:dyDescent="0.25">
      <c r="A29" s="45" t="s">
        <v>658</v>
      </c>
      <c r="B29" s="46">
        <f t="shared" si="0"/>
        <v>5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6">
        <f>10/IF(Общие_или_заединицу="Общие трудозатраты",1,2)</f>
        <v>5</v>
      </c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</row>
    <row r="30" spans="1:55" x14ac:dyDescent="0.25">
      <c r="A30" s="45" t="s">
        <v>657</v>
      </c>
      <c r="B30" s="46">
        <f t="shared" si="0"/>
        <v>5.4</v>
      </c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6">
        <f>6/IF(Общие_или_заединицу="Общие трудозатраты",1,2)</f>
        <v>3</v>
      </c>
      <c r="O30" s="47"/>
      <c r="P30" s="47"/>
      <c r="Q30" s="47"/>
      <c r="R30" s="47"/>
      <c r="S30" s="47"/>
      <c r="T30" s="46">
        <f>4.8/IF(Общие_или_заединицу="Общие трудозатраты",1,2)</f>
        <v>2.4</v>
      </c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</row>
    <row r="31" spans="1:55" x14ac:dyDescent="0.25">
      <c r="A31" s="45" t="s">
        <v>659</v>
      </c>
      <c r="B31" s="46">
        <f t="shared" si="0"/>
        <v>3.1</v>
      </c>
      <c r="C31" s="47"/>
      <c r="D31" s="47"/>
      <c r="E31" s="47"/>
      <c r="F31" s="46">
        <f>8/IF(Общие_или_заединицу="Общие трудозатраты",1,4)</f>
        <v>2</v>
      </c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6">
        <f>4.4/IF(Общие_или_заединицу="Общие трудозатраты",1,4)</f>
        <v>1.1000000000000001</v>
      </c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</row>
    <row r="32" spans="1:55" x14ac:dyDescent="0.25">
      <c r="A32" s="45" t="s">
        <v>661</v>
      </c>
      <c r="B32" s="46">
        <f t="shared" si="0"/>
        <v>10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6">
        <f>190/IF(Общие_или_заединицу="Общие трудозатраты",1,19)</f>
        <v>10</v>
      </c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</row>
    <row r="33" spans="1:55" x14ac:dyDescent="0.25">
      <c r="A33" s="45" t="s">
        <v>660</v>
      </c>
      <c r="B33" s="46">
        <f t="shared" si="0"/>
        <v>19.7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6">
        <f>28.5/IF(Общие_или_заединицу="Общие трудозатраты",1,19)</f>
        <v>1.5</v>
      </c>
      <c r="U33" s="47"/>
      <c r="V33" s="47"/>
      <c r="W33" s="47"/>
      <c r="X33" s="46">
        <f>38/IF(Общие_или_заединицу="Общие трудозатраты",1,19)</f>
        <v>2</v>
      </c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6">
        <f>79.8/IF(Общие_или_заединицу="Общие трудозатраты",1,19)</f>
        <v>4.2</v>
      </c>
      <c r="AR33" s="47"/>
      <c r="AS33" s="47"/>
      <c r="AT33" s="47"/>
      <c r="AU33" s="47"/>
      <c r="AV33" s="47"/>
      <c r="AW33" s="46">
        <f>228/IF(Общие_или_заединицу="Общие трудозатраты",1,19)</f>
        <v>12</v>
      </c>
      <c r="AX33" s="47"/>
      <c r="AY33" s="47"/>
      <c r="AZ33" s="47"/>
      <c r="BA33" s="47"/>
      <c r="BB33" s="47"/>
      <c r="BC33" s="47"/>
    </row>
    <row r="34" spans="1:55" x14ac:dyDescent="0.25">
      <c r="A34" s="45" t="s">
        <v>663</v>
      </c>
      <c r="B34" s="46">
        <f t="shared" si="0"/>
        <v>14.600000000000001</v>
      </c>
      <c r="C34" s="47"/>
      <c r="D34" s="47"/>
      <c r="E34" s="47"/>
      <c r="F34" s="47"/>
      <c r="G34" s="46">
        <f>1.5/IF(Общие_или_заединицу="Общие трудозатраты",1,1)</f>
        <v>1.5</v>
      </c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6">
        <f>4.8/IF(Общие_или_заединицу="Общие трудозатраты",1,1)</f>
        <v>4.8</v>
      </c>
      <c r="W34" s="46">
        <f>3.6/IF(Общие_или_заединицу="Общие трудозатраты",1,1)</f>
        <v>3.6</v>
      </c>
      <c r="X34" s="47"/>
      <c r="Y34" s="47"/>
      <c r="Z34" s="47"/>
      <c r="AA34" s="46">
        <f>4.7/IF(Общие_или_заединицу="Общие трудозатраты",1,1)</f>
        <v>4.7</v>
      </c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</row>
    <row r="35" spans="1:55" x14ac:dyDescent="0.25">
      <c r="A35" s="45" t="s">
        <v>664</v>
      </c>
      <c r="B35" s="46">
        <f t="shared" si="0"/>
        <v>17</v>
      </c>
      <c r="C35" s="47"/>
      <c r="D35" s="47"/>
      <c r="E35" s="47"/>
      <c r="F35" s="47"/>
      <c r="G35" s="46">
        <f>2/IF(Общие_или_заединицу="Общие трудозатраты",1,1)</f>
        <v>2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6">
        <f>3/IF(Общие_или_заединицу="Общие трудозатраты",1,1)</f>
        <v>3</v>
      </c>
      <c r="W35" s="46">
        <f>8/IF(Общие_или_заединицу="Общие трудозатраты",1,1)</f>
        <v>8</v>
      </c>
      <c r="X35" s="47"/>
      <c r="Y35" s="47"/>
      <c r="Z35" s="47"/>
      <c r="AA35" s="46">
        <f>4/IF(Общие_или_заединицу="Общие трудозатраты",1,1)</f>
        <v>4</v>
      </c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</row>
    <row r="36" spans="1:55" x14ac:dyDescent="0.25">
      <c r="A36" s="45" t="s">
        <v>665</v>
      </c>
      <c r="B36" s="46">
        <f t="shared" si="0"/>
        <v>9.8000000000000007</v>
      </c>
      <c r="C36" s="47"/>
      <c r="D36" s="47"/>
      <c r="E36" s="47"/>
      <c r="F36" s="47"/>
      <c r="G36" s="46">
        <f>2/IF(Общие_или_заединицу="Общие трудозатраты",1,1)</f>
        <v>2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6">
        <f>3.6/IF(Общие_или_заединицу="Общие трудозатраты",1,1)</f>
        <v>3.6</v>
      </c>
      <c r="W36" s="46">
        <f>1.2/IF(Общие_или_заединицу="Общие трудозатраты",1,1)</f>
        <v>1.2</v>
      </c>
      <c r="X36" s="47"/>
      <c r="Y36" s="47"/>
      <c r="Z36" s="47"/>
      <c r="AA36" s="46">
        <f>3/IF(Общие_или_заединицу="Общие трудозатраты",1,1)</f>
        <v>3</v>
      </c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</row>
    <row r="37" spans="1:55" x14ac:dyDescent="0.25">
      <c r="A37" s="45" t="s">
        <v>666</v>
      </c>
      <c r="B37" s="46">
        <f t="shared" si="0"/>
        <v>9.8000000000000007</v>
      </c>
      <c r="C37" s="47"/>
      <c r="D37" s="47"/>
      <c r="E37" s="47"/>
      <c r="F37" s="47"/>
      <c r="G37" s="46">
        <f>2/IF(Общие_или_заединицу="Общие трудозатраты",1,1)</f>
        <v>2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6">
        <f>3.6/IF(Общие_или_заединицу="Общие трудозатраты",1,1)</f>
        <v>3.6</v>
      </c>
      <c r="W37" s="46">
        <f>1.2/IF(Общие_или_заединицу="Общие трудозатраты",1,1)</f>
        <v>1.2</v>
      </c>
      <c r="X37" s="47"/>
      <c r="Y37" s="47"/>
      <c r="Z37" s="47"/>
      <c r="AA37" s="46">
        <f>3/IF(Общие_или_заединицу="Общие трудозатраты",1,1)</f>
        <v>3</v>
      </c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</row>
    <row r="38" spans="1:55" x14ac:dyDescent="0.25">
      <c r="A38" s="45" t="s">
        <v>667</v>
      </c>
      <c r="B38" s="46">
        <f t="shared" si="0"/>
        <v>2.7</v>
      </c>
      <c r="C38" s="47"/>
      <c r="D38" s="47"/>
      <c r="E38" s="47"/>
      <c r="F38" s="46">
        <f>2.2/IF(Общие_или_заединицу="Общие трудозатраты",1,2)</f>
        <v>1.1000000000000001</v>
      </c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6">
        <f>3.2/IF(Общие_или_заединицу="Общие трудозатраты",1,2)</f>
        <v>1.6</v>
      </c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</row>
    <row r="39" spans="1:55" ht="22.5" x14ac:dyDescent="0.25">
      <c r="A39" s="45" t="s">
        <v>669</v>
      </c>
      <c r="B39" s="46">
        <f t="shared" si="0"/>
        <v>290</v>
      </c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6">
        <f>240/IF(Общие_или_заединицу="Общие трудозатраты",1,1)</f>
        <v>240</v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6">
        <f>50/IF(Общие_или_заединицу="Общие трудозатраты",1,1)</f>
        <v>50</v>
      </c>
      <c r="AY39" s="47"/>
      <c r="AZ39" s="47"/>
      <c r="BA39" s="47"/>
      <c r="BB39" s="47"/>
      <c r="BC39" s="47"/>
    </row>
    <row r="40" spans="1:55" x14ac:dyDescent="0.25">
      <c r="A40" s="45" t="s">
        <v>670</v>
      </c>
      <c r="B40" s="46">
        <f t="shared" si="0"/>
        <v>3.5</v>
      </c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6">
        <f>273/IF(Общие_или_заединицу="Общие трудозатраты",1,78)</f>
        <v>3.5</v>
      </c>
      <c r="BB40" s="47"/>
      <c r="BC40" s="47"/>
    </row>
    <row r="41" spans="1:55" ht="22.5" x14ac:dyDescent="0.25">
      <c r="A41" s="45" t="s">
        <v>668</v>
      </c>
      <c r="B41" s="46">
        <f t="shared" si="0"/>
        <v>160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>
        <f>70/IF(Общие_или_заединицу="Общие трудозатраты",1,1)</f>
        <v>70</v>
      </c>
      <c r="AN41" s="47"/>
      <c r="AO41" s="46">
        <f>90/IF(Общие_или_заединицу="Общие трудозатраты",1,1)</f>
        <v>90</v>
      </c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</row>
    <row r="42" spans="1:55" x14ac:dyDescent="0.25">
      <c r="A42" s="45" t="s">
        <v>673</v>
      </c>
      <c r="B42" s="46">
        <f t="shared" si="0"/>
        <v>0.5</v>
      </c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6">
        <f>78/IF(Общие_или_заединицу="Общие трудозатраты",1,156)</f>
        <v>0.5</v>
      </c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</row>
    <row r="43" spans="1:55" x14ac:dyDescent="0.25">
      <c r="A43" s="45" t="s">
        <v>674</v>
      </c>
      <c r="B43" s="46">
        <f t="shared" si="0"/>
        <v>4</v>
      </c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6">
        <f>24/IF(Общие_или_заединицу="Общие трудозатраты",1,6)</f>
        <v>4</v>
      </c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</row>
    <row r="44" spans="1:55" x14ac:dyDescent="0.25">
      <c r="A44" s="45" t="s">
        <v>675</v>
      </c>
      <c r="B44" s="46">
        <f t="shared" si="0"/>
        <v>4.7</v>
      </c>
      <c r="C44" s="47"/>
      <c r="D44" s="47"/>
      <c r="E44" s="46">
        <f>4/IF(Общие_или_заединицу="Общие трудозатраты",1,1)</f>
        <v>4</v>
      </c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6">
        <f>0.7/IF(Общие_или_заединицу="Общие трудозатраты",1,1)</f>
        <v>0.7</v>
      </c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</row>
    <row r="45" spans="1:55" x14ac:dyDescent="0.25">
      <c r="A45" s="45" t="s">
        <v>676</v>
      </c>
      <c r="B45" s="46">
        <f t="shared" si="0"/>
        <v>1.1000000000000001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6">
        <f>1.1/IF(Общие_или_заединицу="Общие трудозатраты",1,1)</f>
        <v>1.1000000000000001</v>
      </c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</row>
    <row r="46" spans="1:55" x14ac:dyDescent="0.25">
      <c r="A46" s="45" t="s">
        <v>677</v>
      </c>
      <c r="B46" s="46">
        <f t="shared" si="0"/>
        <v>0.3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6">
        <f>0.6/IF(Общие_или_заединицу="Общие трудозатраты",1,2)</f>
        <v>0.3</v>
      </c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</row>
    <row r="47" spans="1:55" x14ac:dyDescent="0.25">
      <c r="A47" s="45" t="s">
        <v>678</v>
      </c>
      <c r="B47" s="46">
        <f t="shared" si="0"/>
        <v>4</v>
      </c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6">
        <f>8/IF(Общие_или_заединицу="Общие трудозатраты",1,2)</f>
        <v>4</v>
      </c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</row>
    <row r="48" spans="1:55" x14ac:dyDescent="0.25">
      <c r="A48" s="45" t="s">
        <v>679</v>
      </c>
      <c r="B48" s="46">
        <f t="shared" si="0"/>
        <v>0.7</v>
      </c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6">
        <f>0.7/IF(Общие_или_заединицу="Общие трудозатраты",1,1)</f>
        <v>0.7</v>
      </c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</row>
    <row r="49" spans="1:55" x14ac:dyDescent="0.25">
      <c r="A49" s="45" t="s">
        <v>681</v>
      </c>
      <c r="B49" s="46">
        <f t="shared" si="0"/>
        <v>4.05</v>
      </c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6">
        <f>1.25/IF(Общие_или_заединицу="Общие трудозатраты",1,1)</f>
        <v>1.25</v>
      </c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6">
        <f>2.8/IF(Общие_или_заединицу="Общие трудозатраты",1,1)</f>
        <v>2.8</v>
      </c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</row>
    <row r="50" spans="1:55" x14ac:dyDescent="0.25">
      <c r="A50" s="45" t="s">
        <v>680</v>
      </c>
      <c r="B50" s="46">
        <f t="shared" si="0"/>
        <v>0.7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6">
        <f>0.7/IF(Общие_или_заединицу="Общие трудозатраты",1,1)</f>
        <v>0.7</v>
      </c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</row>
    <row r="51" spans="1:55" x14ac:dyDescent="0.25">
      <c r="A51" s="45" t="s">
        <v>682</v>
      </c>
      <c r="B51" s="46">
        <f t="shared" si="0"/>
        <v>5</v>
      </c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6">
        <f>5/IF(Общие_или_заединицу="Общие трудозатраты",1,1)</f>
        <v>5</v>
      </c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</row>
    <row r="52" spans="1:55" x14ac:dyDescent="0.25">
      <c r="A52" s="45" t="s">
        <v>684</v>
      </c>
      <c r="B52" s="46">
        <f t="shared" si="0"/>
        <v>2.2999999999999998</v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6">
        <f>1.2/IF(Общие_или_заединицу="Общие трудозатраты",1,1)</f>
        <v>1.2</v>
      </c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6">
        <f>1.1/IF(Общие_или_заединицу="Общие трудозатраты",1,1)</f>
        <v>1.1000000000000001</v>
      </c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</row>
    <row r="53" spans="1:55" x14ac:dyDescent="0.25">
      <c r="A53" s="45" t="s">
        <v>683</v>
      </c>
      <c r="B53" s="46">
        <f t="shared" si="0"/>
        <v>0.5</v>
      </c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6">
        <f>0.5/IF(Общие_или_заединицу="Общие трудозатраты",1,1)</f>
        <v>0.5</v>
      </c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</row>
    <row r="54" spans="1:55" x14ac:dyDescent="0.25">
      <c r="A54" s="45" t="s">
        <v>685</v>
      </c>
      <c r="B54" s="46">
        <f t="shared" si="0"/>
        <v>12</v>
      </c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6">
        <f>5/IF(Общие_или_заединицу="Общие трудозатраты",1,1)</f>
        <v>5</v>
      </c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6">
        <f>2/IF(Общие_или_заединицу="Общие трудозатраты",1,1)</f>
        <v>2</v>
      </c>
      <c r="AQ54" s="47"/>
      <c r="AR54" s="47"/>
      <c r="AS54" s="47"/>
      <c r="AT54" s="47"/>
      <c r="AU54" s="47"/>
      <c r="AV54" s="47"/>
      <c r="AW54" s="46">
        <f>5/IF(Общие_или_заединицу="Общие трудозатраты",1,1)</f>
        <v>5</v>
      </c>
      <c r="AX54" s="47"/>
      <c r="AY54" s="47"/>
      <c r="AZ54" s="47"/>
      <c r="BA54" s="47"/>
      <c r="BB54" s="47"/>
      <c r="BC54" s="47"/>
    </row>
    <row r="55" spans="1:55" x14ac:dyDescent="0.25">
      <c r="A55" s="45" t="s">
        <v>686</v>
      </c>
      <c r="B55" s="46">
        <f t="shared" si="0"/>
        <v>30.5</v>
      </c>
      <c r="C55" s="47"/>
      <c r="D55" s="47"/>
      <c r="E55" s="46">
        <f>6/IF(Общие_или_заединицу="Общие трудозатраты",1,1)</f>
        <v>6</v>
      </c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6">
        <f>7/IF(Общие_или_заединицу="Общие трудозатраты",1,1)*IF(Пробивка="Стандартная пробивная",1,3.5)</f>
        <v>24.5</v>
      </c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</row>
    <row r="56" spans="1:55" x14ac:dyDescent="0.25">
      <c r="A56" s="45" t="s">
        <v>687</v>
      </c>
      <c r="B56" s="46">
        <f t="shared" si="0"/>
        <v>0.3</v>
      </c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6">
        <f>0.3/IF(Общие_или_заединицу="Общие трудозатраты",1,1)</f>
        <v>0.3</v>
      </c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</row>
    <row r="57" spans="1:55" x14ac:dyDescent="0.25">
      <c r="A57" s="45" t="s">
        <v>688</v>
      </c>
      <c r="B57" s="46">
        <f t="shared" si="0"/>
        <v>77</v>
      </c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6">
        <f>43.5/IF(Общие_или_заединицу="Общие трудозатраты",1,3)</f>
        <v>14.5</v>
      </c>
      <c r="W57" s="46">
        <f>52.5/IF(Общие_или_заединицу="Общие трудозатраты",1,3)</f>
        <v>17.5</v>
      </c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6">
        <f>72/IF(Общие_или_заединицу="Общие трудозатраты",1,3)</f>
        <v>24</v>
      </c>
      <c r="AN57" s="47"/>
      <c r="AO57" s="46">
        <f>63/IF(Общие_или_заединицу="Общие трудозатраты",1,3)</f>
        <v>21</v>
      </c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</row>
    <row r="58" spans="1:55" x14ac:dyDescent="0.25">
      <c r="A58" s="45" t="s">
        <v>689</v>
      </c>
      <c r="B58" s="46">
        <f t="shared" si="0"/>
        <v>21.5</v>
      </c>
      <c r="C58" s="47"/>
      <c r="D58" s="47"/>
      <c r="E58" s="46">
        <f>96/IF(Общие_или_заединицу="Общие трудозатраты",1,6)</f>
        <v>16</v>
      </c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6">
        <f>33/IF(Общие_или_заединицу="Общие трудозатраты",1,6)</f>
        <v>5.5</v>
      </c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</row>
    <row r="59" spans="1:55" x14ac:dyDescent="0.25">
      <c r="A59" s="45" t="s">
        <v>690</v>
      </c>
      <c r="B59" s="46">
        <f t="shared" si="0"/>
        <v>1.0999999999999999</v>
      </c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6">
        <f>6.6/IF(Общие_или_заединицу="Общие трудозатраты",1,6)</f>
        <v>1.0999999999999999</v>
      </c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</row>
    <row r="60" spans="1:55" x14ac:dyDescent="0.25">
      <c r="A60" s="45" t="s">
        <v>691</v>
      </c>
      <c r="B60" s="46">
        <f t="shared" si="0"/>
        <v>14</v>
      </c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6">
        <f>24/IF(Общие_или_заединицу="Общие трудозатраты",1,3)</f>
        <v>8</v>
      </c>
      <c r="N60" s="47"/>
      <c r="O60" s="47"/>
      <c r="P60" s="47"/>
      <c r="Q60" s="47"/>
      <c r="R60" s="47"/>
      <c r="S60" s="47"/>
      <c r="T60" s="46">
        <f>18/IF(Общие_или_заединицу="Общие трудозатраты",1,3)</f>
        <v>6</v>
      </c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</row>
    <row r="61" spans="1:55" x14ac:dyDescent="0.25">
      <c r="A61" s="45" t="s">
        <v>692</v>
      </c>
      <c r="B61" s="46">
        <f t="shared" si="0"/>
        <v>32.230000000000004</v>
      </c>
      <c r="C61" s="47"/>
      <c r="D61" s="47"/>
      <c r="E61" s="47"/>
      <c r="F61" s="47"/>
      <c r="G61" s="46">
        <f>6/IF(Общие_или_заединицу="Общие трудозатраты",1,1)</f>
        <v>6</v>
      </c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6">
        <f>9/IF(Общие_или_заединицу="Общие трудозатраты",1,1)</f>
        <v>9</v>
      </c>
      <c r="W61" s="46">
        <f>10.73/IF(Общие_или_заединицу="Общие трудозатраты",1,1)</f>
        <v>10.73</v>
      </c>
      <c r="X61" s="47"/>
      <c r="Y61" s="47"/>
      <c r="Z61" s="47"/>
      <c r="AA61" s="46">
        <f>6.5/IF(Общие_или_заединицу="Общие трудозатраты",1,1)</f>
        <v>6.5</v>
      </c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</row>
    <row r="62" spans="1:55" x14ac:dyDescent="0.25">
      <c r="A62" s="45" t="s">
        <v>693</v>
      </c>
      <c r="B62" s="46">
        <f t="shared" si="0"/>
        <v>32.230000000000004</v>
      </c>
      <c r="C62" s="47"/>
      <c r="D62" s="47"/>
      <c r="E62" s="47"/>
      <c r="F62" s="47"/>
      <c r="G62" s="46">
        <f>6/IF(Общие_или_заединицу="Общие трудозатраты",1,1)</f>
        <v>6</v>
      </c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6">
        <f>9/IF(Общие_или_заединицу="Общие трудозатраты",1,1)</f>
        <v>9</v>
      </c>
      <c r="W62" s="46">
        <f>10.73/IF(Общие_или_заединицу="Общие трудозатраты",1,1)</f>
        <v>10.73</v>
      </c>
      <c r="X62" s="47"/>
      <c r="Y62" s="47"/>
      <c r="Z62" s="47"/>
      <c r="AA62" s="46">
        <f>6.5/IF(Общие_или_заединицу="Общие трудозатраты",1,1)</f>
        <v>6.5</v>
      </c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</row>
    <row r="63" spans="1:55" x14ac:dyDescent="0.25">
      <c r="A63" s="45" t="s">
        <v>694</v>
      </c>
      <c r="B63" s="46">
        <f t="shared" si="0"/>
        <v>3.2</v>
      </c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6">
        <f>1.7/IF(Общие_или_заединицу="Общие трудозатраты",1,1)</f>
        <v>1.7</v>
      </c>
      <c r="T63" s="47"/>
      <c r="U63" s="47"/>
      <c r="V63" s="47"/>
      <c r="W63" s="46">
        <f>1.5/IF(Общие_или_заединицу="Общие трудозатраты",1,1)</f>
        <v>1.5</v>
      </c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</row>
    <row r="64" spans="1:55" ht="22.5" x14ac:dyDescent="0.25">
      <c r="A64" s="45" t="s">
        <v>695</v>
      </c>
      <c r="B64" s="46">
        <f t="shared" si="0"/>
        <v>217</v>
      </c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6">
        <f>5/IF(Общие_или_заединицу="Общие трудозатраты",1,1)</f>
        <v>5</v>
      </c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6">
        <f>212/IF(Общие_или_заединицу="Общие трудозатраты",1,1)</f>
        <v>212</v>
      </c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</row>
    <row r="65" spans="1:55" x14ac:dyDescent="0.25">
      <c r="A65" s="45" t="s">
        <v>698</v>
      </c>
      <c r="B65" s="46">
        <f t="shared" si="0"/>
        <v>31.5</v>
      </c>
      <c r="C65" s="47"/>
      <c r="D65" s="47"/>
      <c r="E65" s="47"/>
      <c r="F65" s="47"/>
      <c r="G65" s="46">
        <f>6/IF(Общие_или_заединицу="Общие трудозатраты",1,1)</f>
        <v>6</v>
      </c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6">
        <f>8.5/IF(Общие_или_заединицу="Общие трудозатраты",1,1)</f>
        <v>8.5</v>
      </c>
      <c r="W65" s="46">
        <f>11/IF(Общие_или_заединицу="Общие трудозатраты",1,1)</f>
        <v>11</v>
      </c>
      <c r="X65" s="47"/>
      <c r="Y65" s="47"/>
      <c r="Z65" s="47"/>
      <c r="AA65" s="46">
        <f>6/IF(Общие_или_заединицу="Общие трудозатраты",1,1)</f>
        <v>6</v>
      </c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</row>
    <row r="66" spans="1:55" x14ac:dyDescent="0.25">
      <c r="A66" s="45" t="s">
        <v>699</v>
      </c>
      <c r="B66" s="46">
        <f t="shared" si="0"/>
        <v>31.5</v>
      </c>
      <c r="C66" s="47"/>
      <c r="D66" s="47"/>
      <c r="E66" s="47"/>
      <c r="F66" s="47"/>
      <c r="G66" s="46">
        <f>6/IF(Общие_или_заединицу="Общие трудозатраты",1,1)</f>
        <v>6</v>
      </c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6">
        <f>8.5/IF(Общие_или_заединицу="Общие трудозатраты",1,1)</f>
        <v>8.5</v>
      </c>
      <c r="W66" s="46">
        <f>11/IF(Общие_или_заединицу="Общие трудозатраты",1,1)</f>
        <v>11</v>
      </c>
      <c r="X66" s="47"/>
      <c r="Y66" s="47"/>
      <c r="Z66" s="47"/>
      <c r="AA66" s="46">
        <f>6/IF(Общие_или_заединицу="Общие трудозатраты",1,1)</f>
        <v>6</v>
      </c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</row>
    <row r="67" spans="1:55" x14ac:dyDescent="0.25">
      <c r="A67" s="45" t="s">
        <v>700</v>
      </c>
      <c r="B67" s="46">
        <f t="shared" si="0"/>
        <v>9.5</v>
      </c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6">
        <f>3.5/IF(Общие_или_заединицу="Общие трудозатраты",1,1)</f>
        <v>3.5</v>
      </c>
      <c r="T67" s="47"/>
      <c r="U67" s="47"/>
      <c r="V67" s="47"/>
      <c r="W67" s="46">
        <f>6/IF(Общие_или_заединицу="Общие трудозатраты",1,1)</f>
        <v>6</v>
      </c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</row>
    <row r="68" spans="1:55" x14ac:dyDescent="0.25">
      <c r="A68" s="45" t="s">
        <v>696</v>
      </c>
      <c r="B68" s="46">
        <f t="shared" ref="B68:B131" si="3">SUM(C68:BC68)</f>
        <v>14.5</v>
      </c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6">
        <f>4/IF(Общие_или_заединицу="Общие трудозатраты",1,1)</f>
        <v>4</v>
      </c>
      <c r="W68" s="46">
        <f>4.5/IF(Общие_или_заединицу="Общие трудозатраты",1,1)</f>
        <v>4.5</v>
      </c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6">
        <f>6/IF(Общие_или_заединицу="Общие трудозатраты",1,1)</f>
        <v>6</v>
      </c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</row>
    <row r="69" spans="1:55" x14ac:dyDescent="0.25">
      <c r="A69" s="45" t="s">
        <v>712</v>
      </c>
      <c r="B69" s="46">
        <f t="shared" si="3"/>
        <v>10.5</v>
      </c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6">
        <f>2.5/IF(Общие_или_заединицу="Общие трудозатраты",1,1)</f>
        <v>2.5</v>
      </c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6">
        <f>8/IF(Общие_или_заединицу="Общие трудозатраты",1,1)</f>
        <v>8</v>
      </c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</row>
    <row r="70" spans="1:55" x14ac:dyDescent="0.25">
      <c r="A70" s="45" t="s">
        <v>713</v>
      </c>
      <c r="B70" s="46">
        <f t="shared" si="3"/>
        <v>5.2</v>
      </c>
      <c r="C70" s="47"/>
      <c r="D70" s="47"/>
      <c r="E70" s="47"/>
      <c r="F70" s="47"/>
      <c r="G70" s="47"/>
      <c r="H70" s="46">
        <f>32/IF(Общие_или_заединицу="Общие трудозатраты",1,8)</f>
        <v>4</v>
      </c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6">
        <f>9.6/IF(Общие_или_заединицу="Общие трудозатраты",1,8)</f>
        <v>1.2</v>
      </c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</row>
    <row r="71" spans="1:55" x14ac:dyDescent="0.25">
      <c r="A71" s="45" t="s">
        <v>714</v>
      </c>
      <c r="B71" s="46">
        <f t="shared" si="3"/>
        <v>12.25</v>
      </c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6">
        <f>3.5/IF(Общие_или_заединицу="Общие трудозатраты",1,1)*IF(Пробивка="Стандартная пробивная",1,3.5)</f>
        <v>12.25</v>
      </c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</row>
    <row r="72" spans="1:55" x14ac:dyDescent="0.25">
      <c r="A72" s="45" t="s">
        <v>715</v>
      </c>
      <c r="B72" s="46">
        <f t="shared" si="3"/>
        <v>9</v>
      </c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6">
        <f>18/IF(Общие_или_заединицу="Общие трудозатраты",1,2)</f>
        <v>9</v>
      </c>
      <c r="BB72" s="47"/>
      <c r="BC72" s="47"/>
    </row>
    <row r="73" spans="1:55" x14ac:dyDescent="0.25">
      <c r="A73" s="45" t="s">
        <v>716</v>
      </c>
      <c r="B73" s="46">
        <f t="shared" si="3"/>
        <v>1</v>
      </c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6">
        <f>1/IF(Общие_или_заединицу="Общие трудозатраты",1,2)</f>
        <v>0.5</v>
      </c>
      <c r="X73" s="47"/>
      <c r="Y73" s="47"/>
      <c r="Z73" s="47"/>
      <c r="AA73" s="46">
        <f>1/IF(Общие_или_заединицу="Общие трудозатраты",1,2)</f>
        <v>0.5</v>
      </c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</row>
    <row r="74" spans="1:55" x14ac:dyDescent="0.25">
      <c r="A74" s="45" t="s">
        <v>717</v>
      </c>
      <c r="B74" s="46">
        <f t="shared" si="3"/>
        <v>13.149999999999999</v>
      </c>
      <c r="C74" s="47"/>
      <c r="D74" s="47"/>
      <c r="E74" s="47"/>
      <c r="F74" s="47"/>
      <c r="G74" s="47"/>
      <c r="H74" s="46">
        <f>4/IF(Общие_или_заединицу="Общие трудозатраты",1,1)</f>
        <v>4</v>
      </c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6">
        <f>1.8/IF(Общие_или_заединицу="Общие трудозатраты",1,1)</f>
        <v>1.8</v>
      </c>
      <c r="T74" s="47"/>
      <c r="U74" s="47"/>
      <c r="V74" s="46">
        <f>4.35/IF(Общие_или_заединицу="Общие трудозатраты",1,1)</f>
        <v>4.3499999999999996</v>
      </c>
      <c r="W74" s="46">
        <f>3/IF(Общие_или_заединицу="Общие трудозатраты",1,1)</f>
        <v>3</v>
      </c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</row>
    <row r="75" spans="1:55" x14ac:dyDescent="0.25">
      <c r="A75" s="45" t="s">
        <v>719</v>
      </c>
      <c r="B75" s="46">
        <f t="shared" si="3"/>
        <v>10</v>
      </c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6">
        <f>20/IF(Общие_или_заединицу="Общие трудозатраты",1,2)</f>
        <v>10</v>
      </c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</row>
    <row r="76" spans="1:55" ht="22.5" x14ac:dyDescent="0.25">
      <c r="A76" s="45" t="s">
        <v>718</v>
      </c>
      <c r="B76" s="46">
        <f t="shared" si="3"/>
        <v>20.5</v>
      </c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6">
        <f>9/IF(Общие_или_заединицу="Общие трудозатраты",1,2)</f>
        <v>4.5</v>
      </c>
      <c r="W76" s="46">
        <f>8/IF(Общие_или_заединицу="Общие трудозатраты",1,2)</f>
        <v>4</v>
      </c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6">
        <f>12/IF(Общие_или_заединицу="Общие трудозатраты",1,2)</f>
        <v>6</v>
      </c>
      <c r="AN76" s="47"/>
      <c r="AO76" s="46">
        <f>12/IF(Общие_или_заединицу="Общие трудозатраты",1,2)</f>
        <v>6</v>
      </c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</row>
    <row r="77" spans="1:55" x14ac:dyDescent="0.25">
      <c r="A77" s="45" t="s">
        <v>724</v>
      </c>
      <c r="B77" s="46">
        <f t="shared" si="3"/>
        <v>2.4</v>
      </c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6">
        <f>4.8/IF(Общие_или_заединицу="Общие трудозатраты",1,2)</f>
        <v>2.4</v>
      </c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</row>
    <row r="78" spans="1:55" x14ac:dyDescent="0.25">
      <c r="A78" s="45" t="s">
        <v>725</v>
      </c>
      <c r="B78" s="46">
        <f t="shared" si="3"/>
        <v>2.5</v>
      </c>
      <c r="C78" s="47"/>
      <c r="D78" s="47"/>
      <c r="E78" s="47"/>
      <c r="F78" s="47"/>
      <c r="G78" s="46">
        <f>4.8/IF(Общие_или_заединицу="Общие трудозатраты",1,6)</f>
        <v>0.79999999999999993</v>
      </c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6">
        <f>10.2/IF(Общие_или_заединицу="Общие трудозатраты",1,6)</f>
        <v>1.7</v>
      </c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</row>
    <row r="79" spans="1:55" x14ac:dyDescent="0.25">
      <c r="A79" s="45" t="s">
        <v>701</v>
      </c>
      <c r="B79" s="46">
        <f t="shared" si="3"/>
        <v>21</v>
      </c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6">
        <f>6/IF(Общие_или_заединицу="Общие трудозатраты",1,1)*IF(Пробивка="Стандартная пробивная",1,3.5)</f>
        <v>21</v>
      </c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</row>
    <row r="80" spans="1:55" x14ac:dyDescent="0.25">
      <c r="A80" s="45" t="s">
        <v>702</v>
      </c>
      <c r="B80" s="46">
        <f t="shared" si="3"/>
        <v>14.1</v>
      </c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6">
        <f>6.4/IF(Общие_или_заединицу="Общие трудозатраты",1,4)</f>
        <v>1.6</v>
      </c>
      <c r="U80" s="47"/>
      <c r="V80" s="46">
        <f>12/IF(Общие_или_заединицу="Общие трудозатраты",1,4)</f>
        <v>3</v>
      </c>
      <c r="W80" s="46">
        <f>6/IF(Общие_или_заединицу="Общие трудозатраты",1,4)</f>
        <v>1.5</v>
      </c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6">
        <f>32/IF(Общие_или_заединицу="Общие трудозатраты",1,4)</f>
        <v>8</v>
      </c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</row>
    <row r="81" spans="1:55" x14ac:dyDescent="0.25">
      <c r="A81" s="45" t="s">
        <v>703</v>
      </c>
      <c r="B81" s="46">
        <f t="shared" si="3"/>
        <v>7.25</v>
      </c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6">
        <f>4.2/IF(Общие_или_заединицу="Общие трудозатраты",1,4)</f>
        <v>1.05</v>
      </c>
      <c r="T81" s="47"/>
      <c r="U81" s="47"/>
      <c r="V81" s="47"/>
      <c r="W81" s="46">
        <f>4.8/IF(Общие_или_заединицу="Общие трудозатраты",1,4)</f>
        <v>1.2</v>
      </c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6">
        <f>20/IF(Общие_или_заединицу="Общие трудозатраты",1,4)</f>
        <v>5</v>
      </c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</row>
    <row r="82" spans="1:55" x14ac:dyDescent="0.25">
      <c r="A82" s="45" t="s">
        <v>704</v>
      </c>
      <c r="B82" s="46">
        <f t="shared" si="3"/>
        <v>18.100000000000001</v>
      </c>
      <c r="C82" s="47"/>
      <c r="D82" s="47"/>
      <c r="E82" s="47"/>
      <c r="F82" s="47"/>
      <c r="G82" s="47"/>
      <c r="H82" s="46">
        <f>6/IF(Общие_или_заединицу="Общие трудозатраты",1,1)</f>
        <v>6</v>
      </c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6">
        <f>2.6/IF(Общие_или_заединицу="Общие трудозатраты",1,1)</f>
        <v>2.6</v>
      </c>
      <c r="T82" s="47"/>
      <c r="U82" s="47"/>
      <c r="V82" s="46">
        <f>4.5/IF(Общие_или_заединицу="Общие трудозатраты",1,1)</f>
        <v>4.5</v>
      </c>
      <c r="W82" s="46">
        <f>5/IF(Общие_или_заединицу="Общие трудозатраты",1,1)</f>
        <v>5</v>
      </c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</row>
    <row r="83" spans="1:55" x14ac:dyDescent="0.25">
      <c r="A83" s="45" t="s">
        <v>697</v>
      </c>
      <c r="B83" s="46">
        <f t="shared" si="3"/>
        <v>12</v>
      </c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6">
        <f>24/IF(Общие_или_заединицу="Общие трудозатраты",1,2)</f>
        <v>12</v>
      </c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</row>
    <row r="84" spans="1:55" x14ac:dyDescent="0.25">
      <c r="A84" s="45" t="s">
        <v>727</v>
      </c>
      <c r="B84" s="46">
        <f t="shared" si="3"/>
        <v>6</v>
      </c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  <c r="BA84" s="46">
        <f>12/IF(Общие_или_заединицу="Общие трудозатраты",1,2)</f>
        <v>6</v>
      </c>
      <c r="BB84" s="47"/>
      <c r="BC84" s="47"/>
    </row>
    <row r="85" spans="1:55" ht="22.5" x14ac:dyDescent="0.25">
      <c r="A85" s="45" t="s">
        <v>726</v>
      </c>
      <c r="B85" s="46">
        <f t="shared" si="3"/>
        <v>18.5</v>
      </c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6">
        <f>9/IF(Общие_или_заединицу="Общие трудозатраты",1,2)</f>
        <v>4.5</v>
      </c>
      <c r="W85" s="46">
        <f>8/IF(Общие_или_заединицу="Общие трудозатраты",1,2)</f>
        <v>4</v>
      </c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6">
        <f>2/IF(Общие_или_заединицу="Общие трудозатраты",1,2)</f>
        <v>1</v>
      </c>
      <c r="AN85" s="47"/>
      <c r="AO85" s="46">
        <f>18/IF(Общие_или_заединицу="Общие трудозатраты",1,2)</f>
        <v>9</v>
      </c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7"/>
      <c r="BA85" s="47"/>
      <c r="BB85" s="47"/>
      <c r="BC85" s="47"/>
    </row>
    <row r="86" spans="1:55" x14ac:dyDescent="0.25">
      <c r="A86" s="45" t="s">
        <v>728</v>
      </c>
      <c r="B86" s="46">
        <f t="shared" si="3"/>
        <v>2.2999999999999998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6">
        <f>9.2/IF(Общие_или_заединицу="Общие трудозатраты",1,4)</f>
        <v>2.2999999999999998</v>
      </c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7"/>
      <c r="BA86" s="47"/>
      <c r="BB86" s="47"/>
      <c r="BC86" s="47"/>
    </row>
    <row r="87" spans="1:55" x14ac:dyDescent="0.25">
      <c r="A87" s="45" t="s">
        <v>729</v>
      </c>
      <c r="B87" s="46">
        <f t="shared" si="3"/>
        <v>15</v>
      </c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6">
        <f>15/IF(Общие_или_заединицу="Общие трудозатраты",1,1)</f>
        <v>15</v>
      </c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</row>
    <row r="88" spans="1:55" x14ac:dyDescent="0.25">
      <c r="A88" s="45" t="s">
        <v>738</v>
      </c>
      <c r="B88" s="46">
        <f t="shared" si="3"/>
        <v>15</v>
      </c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6">
        <f>15/IF(Общие_или_заединицу="Общие трудозатраты",1,1)</f>
        <v>15</v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</row>
    <row r="89" spans="1:55" x14ac:dyDescent="0.25">
      <c r="A89" s="45" t="s">
        <v>741</v>
      </c>
      <c r="B89" s="46">
        <f t="shared" si="3"/>
        <v>13</v>
      </c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6">
        <f>4/IF(Общие_или_заединицу="Общие трудозатраты",1,1)</f>
        <v>4</v>
      </c>
      <c r="U89" s="47"/>
      <c r="V89" s="47"/>
      <c r="W89" s="47"/>
      <c r="X89" s="46">
        <f>2/IF(Общие_или_заединицу="Общие трудозатраты",1,1)</f>
        <v>2</v>
      </c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6">
        <f>2/IF(Общие_или_заединицу="Общие трудозатраты",1,1)</f>
        <v>2</v>
      </c>
      <c r="AQ89" s="47"/>
      <c r="AR89" s="47"/>
      <c r="AS89" s="47"/>
      <c r="AT89" s="47"/>
      <c r="AU89" s="47"/>
      <c r="AV89" s="47"/>
      <c r="AW89" s="46">
        <f>5/IF(Общие_или_заединицу="Общие трудозатраты",1,1)</f>
        <v>5</v>
      </c>
      <c r="AX89" s="47"/>
      <c r="AY89" s="47"/>
      <c r="AZ89" s="47"/>
      <c r="BA89" s="47"/>
      <c r="BB89" s="47"/>
      <c r="BC89" s="47"/>
    </row>
    <row r="90" spans="1:55" x14ac:dyDescent="0.25">
      <c r="A90" s="45" t="s">
        <v>739</v>
      </c>
      <c r="B90" s="46">
        <f t="shared" si="3"/>
        <v>132.5</v>
      </c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6">
        <f>8/IF(Общие_или_заединицу="Общие трудозатраты",1,1)</f>
        <v>8</v>
      </c>
      <c r="W90" s="46">
        <f>46/IF(Общие_или_заединицу="Общие трудозатраты",1,1)</f>
        <v>46</v>
      </c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6">
        <f>36.5/IF(Общие_или_заединицу="Общие трудозатраты",1,1)</f>
        <v>36.5</v>
      </c>
      <c r="AN90" s="47"/>
      <c r="AO90" s="46">
        <f>42/IF(Общие_или_заединицу="Общие трудозатраты",1,1)</f>
        <v>42</v>
      </c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  <c r="BA90" s="47"/>
      <c r="BB90" s="47"/>
      <c r="BC90" s="47"/>
    </row>
    <row r="91" spans="1:55" x14ac:dyDescent="0.25">
      <c r="A91" s="45" t="s">
        <v>749</v>
      </c>
      <c r="B91" s="46">
        <f t="shared" si="3"/>
        <v>5.9</v>
      </c>
      <c r="C91" s="47"/>
      <c r="D91" s="47"/>
      <c r="E91" s="46">
        <f>4/IF(Общие_или_заединицу="Общие трудозатраты",1,1)</f>
        <v>4</v>
      </c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6">
        <f>1.9/IF(Общие_или_заединицу="Общие трудозатраты",1,1)</f>
        <v>1.9</v>
      </c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  <c r="BA91" s="47"/>
      <c r="BB91" s="47"/>
      <c r="BC91" s="47"/>
    </row>
    <row r="92" spans="1:55" x14ac:dyDescent="0.25">
      <c r="A92" s="45" t="s">
        <v>750</v>
      </c>
      <c r="B92" s="46">
        <f t="shared" si="3"/>
        <v>7.7</v>
      </c>
      <c r="C92" s="47"/>
      <c r="D92" s="47"/>
      <c r="E92" s="46">
        <f>4/IF(Общие_или_заединицу="Общие трудозатраты",1,1)</f>
        <v>4</v>
      </c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6">
        <f>3.7/IF(Общие_или_заединицу="Общие трудозатраты",1,1)</f>
        <v>3.7</v>
      </c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  <c r="BA92" s="47"/>
      <c r="BB92" s="47"/>
      <c r="BC92" s="47"/>
    </row>
    <row r="93" spans="1:55" x14ac:dyDescent="0.25">
      <c r="A93" s="45" t="s">
        <v>751</v>
      </c>
      <c r="B93" s="46">
        <f t="shared" si="3"/>
        <v>6</v>
      </c>
      <c r="C93" s="47"/>
      <c r="D93" s="47"/>
      <c r="E93" s="46">
        <f>4/IF(Общие_или_заединицу="Общие трудозатраты",1,1)</f>
        <v>4</v>
      </c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6">
        <f>2/IF(Общие_или_заединицу="Общие трудозатраты",1,1)</f>
        <v>2</v>
      </c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  <c r="BA93" s="47"/>
      <c r="BB93" s="47"/>
      <c r="BC93" s="47"/>
    </row>
    <row r="94" spans="1:55" x14ac:dyDescent="0.25">
      <c r="A94" s="45" t="s">
        <v>752</v>
      </c>
      <c r="B94" s="46">
        <f t="shared" si="3"/>
        <v>6</v>
      </c>
      <c r="C94" s="47"/>
      <c r="D94" s="47"/>
      <c r="E94" s="46">
        <f>4/IF(Общие_или_заединицу="Общие трудозатраты",1,1)</f>
        <v>4</v>
      </c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6">
        <f>2/IF(Общие_или_заединицу="Общие трудозатраты",1,1)</f>
        <v>2</v>
      </c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</row>
    <row r="95" spans="1:55" x14ac:dyDescent="0.25">
      <c r="A95" s="45" t="s">
        <v>740</v>
      </c>
      <c r="B95" s="46">
        <f t="shared" si="3"/>
        <v>2.1</v>
      </c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6">
        <f>0.6/IF(Общие_или_заединицу="Общие трудозатраты",1,1)</f>
        <v>0.6</v>
      </c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6">
        <f>1.5/IF(Общие_или_заединицу="Общие трудозатраты",1,1)</f>
        <v>1.5</v>
      </c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</row>
    <row r="96" spans="1:55" x14ac:dyDescent="0.25">
      <c r="A96" s="45" t="s">
        <v>753</v>
      </c>
      <c r="B96" s="46">
        <f t="shared" si="3"/>
        <v>6</v>
      </c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6">
        <f>4/IF(Общие_или_заединицу="Общие трудозатраты",1,1)</f>
        <v>4</v>
      </c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6">
        <f>2/IF(Общие_или_заединицу="Общие трудозатраты",1,1)</f>
        <v>2</v>
      </c>
      <c r="AQ96" s="47"/>
      <c r="AR96" s="47"/>
      <c r="AS96" s="47"/>
      <c r="AT96" s="47"/>
      <c r="AU96" s="47"/>
      <c r="AV96" s="47"/>
      <c r="AW96" s="47"/>
      <c r="AX96" s="47"/>
      <c r="AY96" s="47"/>
      <c r="AZ96" s="47"/>
      <c r="BA96" s="47"/>
      <c r="BB96" s="47"/>
      <c r="BC96" s="47"/>
    </row>
    <row r="97" spans="1:55" x14ac:dyDescent="0.25">
      <c r="A97" s="45" t="s">
        <v>754</v>
      </c>
      <c r="B97" s="46">
        <f t="shared" si="3"/>
        <v>1.1000000000000001</v>
      </c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6">
        <f>1.1/IF(Общие_или_заединицу="Общие трудозатраты",1,1)</f>
        <v>1.1000000000000001</v>
      </c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  <c r="BA97" s="47"/>
      <c r="BB97" s="47"/>
      <c r="BC97" s="47"/>
    </row>
    <row r="98" spans="1:55" ht="22.5" x14ac:dyDescent="0.25">
      <c r="A98" s="45" t="s">
        <v>755</v>
      </c>
      <c r="B98" s="46">
        <f t="shared" si="3"/>
        <v>240</v>
      </c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6">
        <f>240/IF(Общие_или_заединицу="Общие трудозатраты",1,1)</f>
        <v>240</v>
      </c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</row>
    <row r="99" spans="1:55" ht="22.5" x14ac:dyDescent="0.25">
      <c r="A99" s="45" t="s">
        <v>756</v>
      </c>
      <c r="B99" s="46">
        <f t="shared" si="3"/>
        <v>218</v>
      </c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6">
        <f>30/IF(Общие_или_заединицу="Общие трудозатраты",1,1)</f>
        <v>30</v>
      </c>
      <c r="Q99" s="47"/>
      <c r="R99" s="46">
        <f>20/IF(Общие_или_заединицу="Общие трудозатраты",1,1)</f>
        <v>20</v>
      </c>
      <c r="S99" s="47"/>
      <c r="T99" s="47"/>
      <c r="U99" s="47"/>
      <c r="V99" s="47"/>
      <c r="W99" s="47"/>
      <c r="X99" s="46">
        <f>6/IF(Общие_или_заединицу="Общие трудозатраты",1,1)</f>
        <v>6</v>
      </c>
      <c r="Y99" s="47"/>
      <c r="Z99" s="47"/>
      <c r="AA99" s="47"/>
      <c r="AB99" s="47"/>
      <c r="AC99" s="47"/>
      <c r="AD99" s="47"/>
      <c r="AE99" s="47"/>
      <c r="AF99" s="47"/>
      <c r="AG99" s="47"/>
      <c r="AH99" s="46">
        <f>42/IF(Общие_или_заединицу="Общие трудозатраты",1,1)</f>
        <v>42</v>
      </c>
      <c r="AI99" s="47"/>
      <c r="AJ99" s="47"/>
      <c r="AK99" s="46">
        <f>120/IF(Общие_или_заединицу="Общие трудозатраты",1,1)</f>
        <v>120</v>
      </c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</row>
    <row r="100" spans="1:55" ht="22.5" x14ac:dyDescent="0.25">
      <c r="A100" s="45" t="s">
        <v>757</v>
      </c>
      <c r="B100" s="46">
        <f t="shared" si="3"/>
        <v>60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6">
        <f>180/IF(Общие_или_заединицу="Общие трудозатраты",1,3)</f>
        <v>60</v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</row>
    <row r="101" spans="1:55" x14ac:dyDescent="0.25">
      <c r="A101" s="45" t="s">
        <v>769</v>
      </c>
      <c r="B101" s="46">
        <f t="shared" si="3"/>
        <v>33</v>
      </c>
      <c r="C101" s="47"/>
      <c r="D101" s="47"/>
      <c r="E101" s="46">
        <f>108/IF(Общие_или_заединицу="Общие трудозатраты",1,6)</f>
        <v>18</v>
      </c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6">
        <f>90/IF(Общие_или_заединицу="Общие трудозатраты",1,6)</f>
        <v>15</v>
      </c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</row>
    <row r="102" spans="1:55" x14ac:dyDescent="0.25">
      <c r="A102" s="45" t="s">
        <v>770</v>
      </c>
      <c r="B102" s="46">
        <f t="shared" si="3"/>
        <v>13.3</v>
      </c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6">
        <f>17.4/IF(Общие_или_заединицу="Общие трудозатраты",1,3)</f>
        <v>5.8</v>
      </c>
      <c r="T102" s="47"/>
      <c r="U102" s="47"/>
      <c r="V102" s="47"/>
      <c r="W102" s="46">
        <f>22.5/IF(Общие_или_заединицу="Общие трудозатраты",1,3)</f>
        <v>7.5</v>
      </c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</row>
    <row r="103" spans="1:55" x14ac:dyDescent="0.25">
      <c r="A103" s="45" t="s">
        <v>771</v>
      </c>
      <c r="B103" s="46">
        <f t="shared" si="3"/>
        <v>38.5</v>
      </c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6">
        <f>33/IF(Общие_или_заединицу="Общие трудозатраты",1,3)*IF(Пробивка="Стандартная пробивная",1,3.5)</f>
        <v>38.5</v>
      </c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</row>
    <row r="104" spans="1:55" x14ac:dyDescent="0.25">
      <c r="A104" s="45" t="s">
        <v>760</v>
      </c>
      <c r="B104" s="46">
        <f t="shared" si="3"/>
        <v>3.8</v>
      </c>
      <c r="C104" s="47"/>
      <c r="D104" s="47"/>
      <c r="E104" s="47"/>
      <c r="F104" s="47"/>
      <c r="G104" s="46">
        <f>0.8/IF(Общие_или_заединицу="Общие трудозатраты",1,1)</f>
        <v>0.8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6">
        <f>0.5/IF(Общие_или_заединицу="Общие трудозатраты",1,1)</f>
        <v>0.5</v>
      </c>
      <c r="X104" s="47"/>
      <c r="Y104" s="47"/>
      <c r="Z104" s="47"/>
      <c r="AA104" s="46">
        <f>2.5/IF(Общие_или_заединицу="Общие трудозатраты",1,1)</f>
        <v>2.5</v>
      </c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</row>
    <row r="105" spans="1:55" x14ac:dyDescent="0.25">
      <c r="A105" s="45" t="s">
        <v>772</v>
      </c>
      <c r="B105" s="46">
        <f t="shared" si="3"/>
        <v>1</v>
      </c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6">
        <f>1/IF(Общие_или_заединицу="Общие трудозатраты",1,1)</f>
        <v>1</v>
      </c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</row>
    <row r="106" spans="1:55" ht="22.5" x14ac:dyDescent="0.25">
      <c r="A106" s="45" t="s">
        <v>773</v>
      </c>
      <c r="B106" s="48">
        <f t="shared" si="3"/>
        <v>150</v>
      </c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8">
        <f>1200/IF(Общие_или_заединицу="Общие трудозатраты",1,8)</f>
        <v>150</v>
      </c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</row>
    <row r="107" spans="1:55" ht="22.5" x14ac:dyDescent="0.25">
      <c r="A107" s="45" t="s">
        <v>774</v>
      </c>
      <c r="B107" s="48">
        <f t="shared" si="3"/>
        <v>470</v>
      </c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8">
        <f>3760/IF(Общие_или_заединицу="Общие трудозатраты",1,8)</f>
        <v>470</v>
      </c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</row>
    <row r="108" spans="1:55" ht="22.5" x14ac:dyDescent="0.25">
      <c r="A108" s="45" t="s">
        <v>777</v>
      </c>
      <c r="B108" s="46">
        <f t="shared" si="3"/>
        <v>1</v>
      </c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6">
        <f>1/IF(Общие_или_заединицу="Общие трудозатраты",1,1)</f>
        <v>1</v>
      </c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</row>
    <row r="109" spans="1:55" ht="22.5" x14ac:dyDescent="0.25">
      <c r="A109" s="45" t="s">
        <v>780</v>
      </c>
      <c r="B109" s="46">
        <f t="shared" si="3"/>
        <v>130</v>
      </c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6">
        <f>130/IF(Общие_или_заединицу="Общие трудозатраты",1,1)</f>
        <v>130</v>
      </c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</row>
    <row r="110" spans="1:55" ht="22.5" x14ac:dyDescent="0.25">
      <c r="A110" s="45" t="s">
        <v>779</v>
      </c>
      <c r="B110" s="46">
        <f t="shared" si="3"/>
        <v>240</v>
      </c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6">
        <f>240/IF(Общие_или_заединицу="Общие трудозатраты",1,1)</f>
        <v>240</v>
      </c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</row>
    <row r="111" spans="1:55" ht="22.5" x14ac:dyDescent="0.25">
      <c r="A111" s="45" t="s">
        <v>781</v>
      </c>
      <c r="B111" s="46">
        <f t="shared" si="3"/>
        <v>45</v>
      </c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6">
        <f>45/IF(Общие_или_заединицу="Общие трудозатраты",1,1)</f>
        <v>45</v>
      </c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</row>
    <row r="112" spans="1:55" ht="22.5" x14ac:dyDescent="0.25">
      <c r="A112" s="45" t="s">
        <v>783</v>
      </c>
      <c r="B112" s="46">
        <f t="shared" si="3"/>
        <v>1</v>
      </c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6">
        <f>1/IF(Общие_или_заединицу="Общие трудозатраты",1,1)</f>
        <v>1</v>
      </c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  <c r="BA112" s="47"/>
      <c r="BB112" s="47"/>
      <c r="BC112" s="47"/>
    </row>
    <row r="113" spans="1:55" ht="22.5" x14ac:dyDescent="0.25">
      <c r="A113" s="45" t="s">
        <v>782</v>
      </c>
      <c r="B113" s="46">
        <f t="shared" si="3"/>
        <v>1</v>
      </c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6">
        <f>1/IF(Общие_или_заединицу="Общие трудозатраты",1,1)</f>
        <v>1</v>
      </c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</row>
    <row r="114" spans="1:55" ht="22.5" x14ac:dyDescent="0.25">
      <c r="A114" s="45" t="s">
        <v>784</v>
      </c>
      <c r="B114" s="46">
        <f t="shared" si="3"/>
        <v>1</v>
      </c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6">
        <f>1/IF(Общие_или_заединицу="Общие трудозатраты",1,1)</f>
        <v>1</v>
      </c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</row>
    <row r="115" spans="1:55" ht="22.5" x14ac:dyDescent="0.25">
      <c r="A115" s="45" t="s">
        <v>786</v>
      </c>
      <c r="B115" s="46">
        <f t="shared" si="3"/>
        <v>250</v>
      </c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6">
        <f>250/IF(Общие_или_заединицу="Общие трудозатраты",1,1)</f>
        <v>250</v>
      </c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</row>
    <row r="116" spans="1:55" ht="22.5" x14ac:dyDescent="0.25">
      <c r="A116" s="45" t="s">
        <v>787</v>
      </c>
      <c r="B116" s="46">
        <f t="shared" si="3"/>
        <v>1</v>
      </c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6">
        <f>1/IF(Общие_или_заединицу="Общие трудозатраты",1,1)</f>
        <v>1</v>
      </c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</row>
    <row r="117" spans="1:55" ht="22.5" x14ac:dyDescent="0.25">
      <c r="A117" s="45" t="s">
        <v>788</v>
      </c>
      <c r="B117" s="46">
        <f t="shared" si="3"/>
        <v>1</v>
      </c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6">
        <f>1/IF(Общие_или_заединицу="Общие трудозатраты",1,1)</f>
        <v>1</v>
      </c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</row>
    <row r="118" spans="1:55" ht="22.5" x14ac:dyDescent="0.25">
      <c r="A118" s="45" t="s">
        <v>789</v>
      </c>
      <c r="B118" s="46">
        <f t="shared" si="3"/>
        <v>1</v>
      </c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6">
        <f>1/IF(Общие_или_заединицу="Общие трудозатраты",1,1)</f>
        <v>1</v>
      </c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</row>
    <row r="119" spans="1:55" ht="22.5" x14ac:dyDescent="0.25">
      <c r="A119" s="45" t="s">
        <v>790</v>
      </c>
      <c r="B119" s="46">
        <f t="shared" si="3"/>
        <v>1</v>
      </c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6">
        <f>1/IF(Общие_или_заединицу="Общие трудозатраты",1,1)</f>
        <v>1</v>
      </c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</row>
    <row r="120" spans="1:55" ht="22.5" x14ac:dyDescent="0.25">
      <c r="A120" s="45" t="s">
        <v>791</v>
      </c>
      <c r="B120" s="46">
        <f t="shared" si="3"/>
        <v>200</v>
      </c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6">
        <f>200/IF(Общие_или_заединицу="Общие трудозатраты",1,1)</f>
        <v>200</v>
      </c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</row>
    <row r="121" spans="1:55" ht="22.5" x14ac:dyDescent="0.25">
      <c r="A121" s="45" t="s">
        <v>792</v>
      </c>
      <c r="B121" s="46">
        <f t="shared" si="3"/>
        <v>65</v>
      </c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6">
        <f>65/IF(Общие_или_заединицу="Общие трудозатраты",1,1)</f>
        <v>65</v>
      </c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</row>
    <row r="122" spans="1:55" ht="22.5" x14ac:dyDescent="0.25">
      <c r="A122" s="45" t="s">
        <v>794</v>
      </c>
      <c r="B122" s="46">
        <f t="shared" si="3"/>
        <v>1</v>
      </c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6">
        <f>1/IF(Общие_или_заединицу="Общие трудозатраты",1,1)</f>
        <v>1</v>
      </c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</row>
    <row r="123" spans="1:55" ht="22.5" x14ac:dyDescent="0.25">
      <c r="A123" s="45" t="s">
        <v>795</v>
      </c>
      <c r="B123" s="46">
        <f t="shared" si="3"/>
        <v>240</v>
      </c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6">
        <f>240/IF(Общие_или_заединицу="Общие трудозатраты",1,1)</f>
        <v>240</v>
      </c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</row>
    <row r="124" spans="1:55" ht="22.5" x14ac:dyDescent="0.25">
      <c r="A124" s="45" t="s">
        <v>796</v>
      </c>
      <c r="B124" s="46">
        <f t="shared" si="3"/>
        <v>1</v>
      </c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6">
        <f>1/IF(Общие_или_заединицу="Общие трудозатраты",1,1)</f>
        <v>1</v>
      </c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</row>
    <row r="125" spans="1:55" ht="33.75" x14ac:dyDescent="0.25">
      <c r="A125" s="45" t="s">
        <v>797</v>
      </c>
      <c r="B125" s="46">
        <f t="shared" si="3"/>
        <v>1</v>
      </c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6">
        <f>1/IF(Общие_или_заединицу="Общие трудозатраты",1,1)</f>
        <v>1</v>
      </c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</row>
    <row r="126" spans="1:55" ht="22.5" x14ac:dyDescent="0.25">
      <c r="A126" s="45" t="s">
        <v>798</v>
      </c>
      <c r="B126" s="46">
        <f t="shared" si="3"/>
        <v>65</v>
      </c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6">
        <f>65/IF(Общие_или_заединицу="Общие трудозатраты",1,1)</f>
        <v>65</v>
      </c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</row>
    <row r="127" spans="1:55" ht="22.5" x14ac:dyDescent="0.25">
      <c r="A127" s="45" t="s">
        <v>799</v>
      </c>
      <c r="B127" s="46">
        <f t="shared" si="3"/>
        <v>1</v>
      </c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6">
        <f>1/IF(Общие_или_заединицу="Общие трудозатраты",1,1)</f>
        <v>1</v>
      </c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</row>
    <row r="128" spans="1:55" x14ac:dyDescent="0.25">
      <c r="A128" s="45" t="s">
        <v>605</v>
      </c>
      <c r="B128" s="46">
        <f t="shared" si="3"/>
        <v>21.5</v>
      </c>
      <c r="C128" s="47"/>
      <c r="D128" s="47"/>
      <c r="E128" s="46">
        <f>44/IF(Общие_или_заединицу="Общие трудозатраты",1,11)</f>
        <v>4</v>
      </c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6">
        <f>55/IF(Общие_или_заединицу="Общие трудозатраты",1,11)*IF(Пробивка="Стандартная пробивная",1,3.5)</f>
        <v>17.5</v>
      </c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</row>
    <row r="129" spans="1:55" x14ac:dyDescent="0.25">
      <c r="A129" s="45" t="s">
        <v>606</v>
      </c>
      <c r="B129" s="46">
        <f t="shared" si="3"/>
        <v>21.5</v>
      </c>
      <c r="C129" s="47"/>
      <c r="D129" s="47"/>
      <c r="E129" s="46">
        <f>44/IF(Общие_или_заединицу="Общие трудозатраты",1,11)</f>
        <v>4</v>
      </c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6">
        <f>55/IF(Общие_или_заединицу="Общие трудозатраты",1,11)*IF(Пробивка="Стандартная пробивная",1,3.5)</f>
        <v>17.5</v>
      </c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</row>
    <row r="130" spans="1:55" x14ac:dyDescent="0.25">
      <c r="A130" s="45" t="s">
        <v>607</v>
      </c>
      <c r="B130" s="46">
        <f t="shared" si="3"/>
        <v>1.5</v>
      </c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6">
        <f>12/IF(Общие_или_заединицу="Общие трудозатраты",1,8)</f>
        <v>1.5</v>
      </c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</row>
    <row r="131" spans="1:55" x14ac:dyDescent="0.25">
      <c r="A131" s="45" t="s">
        <v>800</v>
      </c>
      <c r="B131" s="46">
        <f t="shared" si="3"/>
        <v>5.0999999999999996</v>
      </c>
      <c r="C131" s="47"/>
      <c r="D131" s="47"/>
      <c r="E131" s="46">
        <f>80/IF(Общие_или_заединицу="Общие трудозатраты",1,20)</f>
        <v>4</v>
      </c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6">
        <f>22/IF(Общие_или_заединицу="Общие трудозатраты",1,20)</f>
        <v>1.1000000000000001</v>
      </c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</row>
    <row r="132" spans="1:55" x14ac:dyDescent="0.25">
      <c r="A132" s="45" t="s">
        <v>801</v>
      </c>
      <c r="B132" s="46">
        <f t="shared" ref="B132:B195" si="4">SUM(C132:BC132)</f>
        <v>11</v>
      </c>
      <c r="C132" s="47"/>
      <c r="D132" s="47"/>
      <c r="E132" s="46">
        <f>80/IF(Общие_или_заединицу="Общие трудозатраты",1,20)</f>
        <v>4</v>
      </c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6">
        <f>40/IF(Общие_или_заединицу="Общие трудозатраты",1,20)*IF(Пробивка="Стандартная пробивная",1,3.5)</f>
        <v>7</v>
      </c>
      <c r="AE132" s="47"/>
      <c r="AF132" s="47"/>
      <c r="AG132" s="47"/>
      <c r="AH132" s="47"/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7"/>
      <c r="BA132" s="47"/>
      <c r="BB132" s="47"/>
      <c r="BC132" s="47"/>
    </row>
    <row r="133" spans="1:55" x14ac:dyDescent="0.25">
      <c r="A133" s="45" t="s">
        <v>802</v>
      </c>
      <c r="B133" s="46">
        <f t="shared" si="4"/>
        <v>7.75</v>
      </c>
      <c r="C133" s="47"/>
      <c r="D133" s="47"/>
      <c r="E133" s="47"/>
      <c r="F133" s="47"/>
      <c r="G133" s="46">
        <f>6/IF(Общие_или_заединицу="Общие трудозатраты",1,1)</f>
        <v>6</v>
      </c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6">
        <f>0.5/IF(Общие_или_заединицу="Общие трудозатраты",1,1)*IF(Пробивка="Стандартная пробивная",1,3.5)</f>
        <v>1.75</v>
      </c>
      <c r="AE133" s="47"/>
      <c r="AF133" s="47"/>
      <c r="AG133" s="47"/>
      <c r="AH133" s="47"/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7"/>
      <c r="BA133" s="47"/>
      <c r="BB133" s="47"/>
      <c r="BC133" s="47"/>
    </row>
    <row r="134" spans="1:55" x14ac:dyDescent="0.25">
      <c r="A134" s="45" t="s">
        <v>803</v>
      </c>
      <c r="B134" s="46">
        <f t="shared" si="4"/>
        <v>21</v>
      </c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6">
        <f>70/IF(Общие_или_заединицу="Общие трудозатраты",1,14)</f>
        <v>5</v>
      </c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6">
        <f>224/IF(Общие_или_заединицу="Общие трудозатраты",1,14)</f>
        <v>16</v>
      </c>
      <c r="AV134" s="47"/>
      <c r="AW134" s="47"/>
      <c r="AX134" s="47"/>
      <c r="AY134" s="47"/>
      <c r="AZ134" s="47"/>
      <c r="BA134" s="47"/>
      <c r="BB134" s="47"/>
      <c r="BC134" s="47"/>
    </row>
    <row r="135" spans="1:55" x14ac:dyDescent="0.25">
      <c r="A135" s="45" t="s">
        <v>793</v>
      </c>
      <c r="B135" s="46">
        <f t="shared" si="4"/>
        <v>33.75</v>
      </c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6">
        <f>5.25/IF(Общие_или_заединицу="Общие трудозатраты",1,3)</f>
        <v>1.75</v>
      </c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6">
        <f>96/IF(Общие_или_заединицу="Общие трудозатраты",1,3)</f>
        <v>32</v>
      </c>
      <c r="AV135" s="47"/>
      <c r="AW135" s="47"/>
      <c r="AX135" s="47"/>
      <c r="AY135" s="47"/>
      <c r="AZ135" s="47"/>
      <c r="BA135" s="47"/>
      <c r="BB135" s="47"/>
      <c r="BC135" s="47"/>
    </row>
    <row r="136" spans="1:55" x14ac:dyDescent="0.25">
      <c r="A136" s="45" t="s">
        <v>804</v>
      </c>
      <c r="B136" s="46">
        <f t="shared" si="4"/>
        <v>17</v>
      </c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6">
        <f>25/IF(Общие_или_заединицу="Общие трудозатраты",1,5)</f>
        <v>5</v>
      </c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6">
        <f>60/IF(Общие_или_заединицу="Общие трудозатраты",1,5)</f>
        <v>12</v>
      </c>
      <c r="AV136" s="47"/>
      <c r="AW136" s="47"/>
      <c r="AX136" s="47"/>
      <c r="AY136" s="47"/>
      <c r="AZ136" s="47"/>
      <c r="BA136" s="47"/>
      <c r="BB136" s="47"/>
      <c r="BC136" s="47"/>
    </row>
    <row r="137" spans="1:55" x14ac:dyDescent="0.25">
      <c r="A137" s="45" t="s">
        <v>776</v>
      </c>
      <c r="B137" s="46">
        <f t="shared" si="4"/>
        <v>31.5</v>
      </c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6">
        <f>16.5/IF(Общие_или_заединицу="Общие трудозатраты",1,11)</f>
        <v>1.5</v>
      </c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6">
        <f>198/IF(Общие_или_заединицу="Общие трудозатраты",1,11)</f>
        <v>18</v>
      </c>
      <c r="AV137" s="47"/>
      <c r="AW137" s="47"/>
      <c r="AX137" s="47"/>
      <c r="AY137" s="46">
        <f>132/IF(Общие_или_заединицу="Общие трудозатраты",1,11)</f>
        <v>12</v>
      </c>
      <c r="AZ137" s="47"/>
      <c r="BA137" s="47"/>
      <c r="BB137" s="47"/>
      <c r="BC137" s="47"/>
    </row>
    <row r="138" spans="1:55" ht="22.5" x14ac:dyDescent="0.25">
      <c r="A138" s="45" t="s">
        <v>608</v>
      </c>
      <c r="B138" s="46">
        <f t="shared" si="4"/>
        <v>0.45</v>
      </c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6">
        <f>4.5/IF(Общие_или_заединицу="Общие трудозатраты",1,10)</f>
        <v>0.45</v>
      </c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7"/>
      <c r="BA138" s="47"/>
      <c r="BB138" s="47"/>
      <c r="BC138" s="47"/>
    </row>
    <row r="139" spans="1:55" ht="22.5" x14ac:dyDescent="0.25">
      <c r="A139" s="45" t="s">
        <v>805</v>
      </c>
      <c r="B139" s="46">
        <f t="shared" si="4"/>
        <v>4.5999999999999996</v>
      </c>
      <c r="C139" s="47"/>
      <c r="D139" s="47"/>
      <c r="E139" s="46">
        <f>16/IF(Общие_или_заединицу="Общие трудозатраты",1,4)</f>
        <v>4</v>
      </c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6">
        <f>2.4/IF(Общие_или_заединицу="Общие трудозатраты",1,4)</f>
        <v>0.6</v>
      </c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7"/>
      <c r="BA139" s="47"/>
      <c r="BB139" s="47"/>
      <c r="BC139" s="47"/>
    </row>
    <row r="140" spans="1:55" x14ac:dyDescent="0.25">
      <c r="A140" s="45" t="s">
        <v>806</v>
      </c>
      <c r="B140" s="46">
        <f t="shared" si="4"/>
        <v>20</v>
      </c>
      <c r="C140" s="47"/>
      <c r="D140" s="47"/>
      <c r="E140" s="46">
        <f>6/IF(Общие_или_заединицу="Общие трудозатраты",1,1)</f>
        <v>6</v>
      </c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6">
        <f>4/IF(Общие_или_заединицу="Общие трудозатраты",1,1)*IF(Пробивка="Стандартная пробивная",1,3.5)</f>
        <v>14</v>
      </c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47"/>
    </row>
    <row r="141" spans="1:55" x14ac:dyDescent="0.25">
      <c r="A141" s="45" t="s">
        <v>807</v>
      </c>
      <c r="B141" s="46">
        <f t="shared" si="4"/>
        <v>20</v>
      </c>
      <c r="C141" s="47"/>
      <c r="D141" s="47"/>
      <c r="E141" s="46">
        <f>6/IF(Общие_или_заединицу="Общие трудозатраты",1,1)</f>
        <v>6</v>
      </c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6">
        <f>4/IF(Общие_или_заединицу="Общие трудозатраты",1,1)*IF(Пробивка="Стандартная пробивная",1,3.5)</f>
        <v>14</v>
      </c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</row>
    <row r="142" spans="1:55" ht="22.5" x14ac:dyDescent="0.25">
      <c r="A142" s="45" t="s">
        <v>808</v>
      </c>
      <c r="B142" s="46">
        <f t="shared" si="4"/>
        <v>2.2999999999999998</v>
      </c>
      <c r="C142" s="47"/>
      <c r="D142" s="47"/>
      <c r="E142" s="46">
        <f>96/IF(Общие_или_заединицу="Общие трудозатраты",1,48)</f>
        <v>2</v>
      </c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6">
        <f>14.4/IF(Общие_или_заединицу="Общие трудозатраты",1,48)</f>
        <v>0.3</v>
      </c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</row>
    <row r="143" spans="1:55" x14ac:dyDescent="0.25">
      <c r="A143" s="45" t="s">
        <v>809</v>
      </c>
      <c r="B143" s="46">
        <f t="shared" si="4"/>
        <v>8.1</v>
      </c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6">
        <f>4.4/IF(Общие_или_заединицу="Общие трудозатраты",1,4)</f>
        <v>1.1000000000000001</v>
      </c>
      <c r="X143" s="47"/>
      <c r="Y143" s="47"/>
      <c r="Z143" s="47"/>
      <c r="AA143" s="47"/>
      <c r="AB143" s="47"/>
      <c r="AC143" s="47"/>
      <c r="AD143" s="46">
        <f>8/IF(Общие_или_заединицу="Общие трудозатраты",1,4)*IF(Пробивка="Стандартная пробивная",1,3.5)</f>
        <v>7</v>
      </c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</row>
    <row r="144" spans="1:55" x14ac:dyDescent="0.25">
      <c r="A144" s="45" t="s">
        <v>810</v>
      </c>
      <c r="B144" s="46">
        <f t="shared" si="4"/>
        <v>3.0000000000000004</v>
      </c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6">
        <f>0.8/IF(Общие_или_заединицу="Общие трудозатраты",1,4)</f>
        <v>0.2</v>
      </c>
      <c r="X144" s="47"/>
      <c r="Y144" s="47"/>
      <c r="Z144" s="47"/>
      <c r="AA144" s="47"/>
      <c r="AB144" s="47"/>
      <c r="AC144" s="47"/>
      <c r="AD144" s="46">
        <f>3.2/IF(Общие_или_заединицу="Общие трудозатраты",1,4)*IF(Пробивка="Стандартная пробивная",1,3.5)</f>
        <v>2.8000000000000003</v>
      </c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</row>
    <row r="145" spans="1:55" x14ac:dyDescent="0.25">
      <c r="A145" s="45" t="s">
        <v>609</v>
      </c>
      <c r="B145" s="46">
        <f t="shared" si="4"/>
        <v>2.4</v>
      </c>
      <c r="C145" s="47"/>
      <c r="D145" s="47"/>
      <c r="E145" s="46">
        <f>20/IF(Общие_или_заединицу="Общие трудозатраты",1,10)</f>
        <v>2</v>
      </c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6">
        <f>4/IF(Общие_или_заединицу="Общие трудозатраты",1,10)</f>
        <v>0.4</v>
      </c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</row>
    <row r="146" spans="1:55" x14ac:dyDescent="0.25">
      <c r="A146" s="45" t="s">
        <v>610</v>
      </c>
      <c r="B146" s="46">
        <f t="shared" si="4"/>
        <v>2.4</v>
      </c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6">
        <f>40/IF(Общие_или_заединицу="Общие трудозатраты",1,80)</f>
        <v>0.5</v>
      </c>
      <c r="X146" s="47"/>
      <c r="Y146" s="47"/>
      <c r="Z146" s="47"/>
      <c r="AA146" s="46">
        <f>32/IF(Общие_или_заединицу="Общие трудозатраты",1,80)</f>
        <v>0.4</v>
      </c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6">
        <f>120/IF(Общие_или_заединицу="Общие трудозатраты",1,80)</f>
        <v>1.5</v>
      </c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</row>
    <row r="147" spans="1:55" x14ac:dyDescent="0.25">
      <c r="A147" s="45" t="s">
        <v>812</v>
      </c>
      <c r="B147" s="46">
        <f t="shared" si="4"/>
        <v>14</v>
      </c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6">
        <f>16/IF(Общие_или_заединицу="Общие трудозатраты",1,4)</f>
        <v>4</v>
      </c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6">
        <f>40/IF(Общие_или_заединицу="Общие трудозатраты",1,4)</f>
        <v>10</v>
      </c>
      <c r="AV147" s="47"/>
      <c r="AW147" s="47"/>
      <c r="AX147" s="47"/>
      <c r="AY147" s="47"/>
      <c r="AZ147" s="47"/>
      <c r="BA147" s="47"/>
      <c r="BB147" s="47"/>
      <c r="BC147" s="47"/>
    </row>
    <row r="148" spans="1:55" ht="22.5" x14ac:dyDescent="0.25">
      <c r="A148" s="45" t="s">
        <v>813</v>
      </c>
      <c r="B148" s="46">
        <f t="shared" si="4"/>
        <v>11</v>
      </c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6">
        <f>12/IF(Общие_или_заединицу="Общие трудозатраты",1,4)</f>
        <v>3</v>
      </c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6">
        <f>32/IF(Общие_или_заединицу="Общие трудозатраты",1,4)</f>
        <v>8</v>
      </c>
      <c r="AV148" s="47"/>
      <c r="AW148" s="47"/>
      <c r="AX148" s="47"/>
      <c r="AY148" s="47"/>
      <c r="AZ148" s="47"/>
      <c r="BA148" s="47"/>
      <c r="BB148" s="47"/>
      <c r="BC148" s="47"/>
    </row>
    <row r="149" spans="1:55" ht="22.5" x14ac:dyDescent="0.25">
      <c r="A149" s="45" t="s">
        <v>611</v>
      </c>
      <c r="B149" s="46">
        <f t="shared" si="4"/>
        <v>0.19999999999999998</v>
      </c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6">
        <f>9.6/IF(Общие_или_заединицу="Общие трудозатраты",1,48)</f>
        <v>0.19999999999999998</v>
      </c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</row>
    <row r="150" spans="1:55" x14ac:dyDescent="0.25">
      <c r="A150" s="45" t="s">
        <v>612</v>
      </c>
      <c r="B150" s="46">
        <f t="shared" si="4"/>
        <v>7.25</v>
      </c>
      <c r="C150" s="47"/>
      <c r="D150" s="47"/>
      <c r="E150" s="46">
        <f>12/IF(Общие_или_заединицу="Общие трудозатраты",1,6)</f>
        <v>2</v>
      </c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6">
        <f>9/IF(Общие_или_заединицу="Общие трудозатраты",1,6)*IF(Пробивка="Стандартная пробивная",1,3.5)</f>
        <v>5.25</v>
      </c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</row>
    <row r="151" spans="1:55" x14ac:dyDescent="0.25">
      <c r="A151" s="45" t="s">
        <v>613</v>
      </c>
      <c r="B151" s="46">
        <f t="shared" si="4"/>
        <v>2.5</v>
      </c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6">
        <f>5/IF(Общие_или_заединицу="Общие трудозатраты",1,10)</f>
        <v>0.5</v>
      </c>
      <c r="X151" s="47"/>
      <c r="Y151" s="47"/>
      <c r="Z151" s="47"/>
      <c r="AA151" s="46">
        <f>20/IF(Общие_или_заединицу="Общие трудозатраты",1,10)</f>
        <v>2</v>
      </c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</row>
    <row r="152" spans="1:55" x14ac:dyDescent="0.25">
      <c r="A152" s="45" t="s">
        <v>614</v>
      </c>
      <c r="B152" s="46">
        <f t="shared" si="4"/>
        <v>10.6</v>
      </c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6">
        <f>14.4/IF(Общие_или_заединицу="Общие трудозатраты",1,24)</f>
        <v>0.6</v>
      </c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6">
        <f>240/IF(Общие_или_заединицу="Общие трудозатраты",1,24)</f>
        <v>10</v>
      </c>
      <c r="AX152" s="47"/>
      <c r="AY152" s="47"/>
      <c r="AZ152" s="47"/>
      <c r="BA152" s="47"/>
      <c r="BB152" s="47"/>
      <c r="BC152" s="47"/>
    </row>
    <row r="153" spans="1:55" x14ac:dyDescent="0.25">
      <c r="A153" s="45" t="s">
        <v>815</v>
      </c>
      <c r="B153" s="46">
        <f t="shared" si="4"/>
        <v>15</v>
      </c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6">
        <f>45/IF(Общие_или_заединицу="Общие трудозатраты",1,9)</f>
        <v>5</v>
      </c>
      <c r="Q153" s="46">
        <f>90/IF(Общие_или_заединицу="Общие трудозатраты",1,9)</f>
        <v>10</v>
      </c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</row>
    <row r="154" spans="1:55" x14ac:dyDescent="0.25">
      <c r="A154" s="45" t="s">
        <v>816</v>
      </c>
      <c r="B154" s="46">
        <f t="shared" si="4"/>
        <v>18.8</v>
      </c>
      <c r="C154" s="47"/>
      <c r="D154" s="47"/>
      <c r="E154" s="46">
        <f>36/IF(Общие_или_заединицу="Общие трудозатраты",1,9)</f>
        <v>4</v>
      </c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6">
        <f>74.7/IF(Общие_или_заединицу="Общие трудозатраты",1,9)</f>
        <v>8.3000000000000007</v>
      </c>
      <c r="X154" s="47"/>
      <c r="Y154" s="47"/>
      <c r="Z154" s="47"/>
      <c r="AA154" s="46">
        <f>58.5/IF(Общие_или_заединицу="Общие трудозатраты",1,9)</f>
        <v>6.5</v>
      </c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</row>
    <row r="155" spans="1:55" x14ac:dyDescent="0.25">
      <c r="A155" s="45" t="s">
        <v>814</v>
      </c>
      <c r="B155" s="46">
        <f t="shared" si="4"/>
        <v>46</v>
      </c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6">
        <f>180/IF(Общие_или_заединицу="Общие трудозатраты",1,18)</f>
        <v>10</v>
      </c>
      <c r="N155" s="47"/>
      <c r="O155" s="47"/>
      <c r="P155" s="47"/>
      <c r="Q155" s="47"/>
      <c r="R155" s="47"/>
      <c r="S155" s="47"/>
      <c r="T155" s="47"/>
      <c r="U155" s="47"/>
      <c r="V155" s="47"/>
      <c r="W155" s="46">
        <f>180/IF(Общие_или_заединицу="Общие трудозатраты",1,18)</f>
        <v>10</v>
      </c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6">
        <f>468/IF(Общие_или_заединицу="Общие трудозатраты",1,18)</f>
        <v>26</v>
      </c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</row>
    <row r="156" spans="1:55" x14ac:dyDescent="0.25">
      <c r="A156" s="45" t="s">
        <v>820</v>
      </c>
      <c r="B156" s="46">
        <f t="shared" si="4"/>
        <v>11.3</v>
      </c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6">
        <f>226/IF(Общие_или_заединицу="Общие трудозатраты",1,20)</f>
        <v>11.3</v>
      </c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7"/>
      <c r="BA156" s="47"/>
      <c r="BB156" s="47"/>
      <c r="BC156" s="47"/>
    </row>
    <row r="157" spans="1:55" x14ac:dyDescent="0.25">
      <c r="A157" s="45" t="s">
        <v>821</v>
      </c>
      <c r="B157" s="46">
        <f t="shared" si="4"/>
        <v>10</v>
      </c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6">
        <f>180/IF(Общие_или_заединицу="Общие трудозатраты",1,18)</f>
        <v>10</v>
      </c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7"/>
      <c r="BA157" s="47"/>
      <c r="BB157" s="47"/>
      <c r="BC157" s="47"/>
    </row>
    <row r="158" spans="1:55" x14ac:dyDescent="0.25">
      <c r="A158" s="45" t="s">
        <v>822</v>
      </c>
      <c r="B158" s="46">
        <f t="shared" si="4"/>
        <v>5.0999999999999996</v>
      </c>
      <c r="C158" s="47"/>
      <c r="D158" s="47"/>
      <c r="E158" s="46">
        <f>36/IF(Общие_или_заединицу="Общие трудозатраты",1,18)</f>
        <v>2</v>
      </c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6">
        <f>55.8/IF(Общие_или_заединицу="Общие трудозатраты",1,18)</f>
        <v>3.0999999999999996</v>
      </c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</row>
    <row r="159" spans="1:55" x14ac:dyDescent="0.25">
      <c r="A159" s="45" t="s">
        <v>823</v>
      </c>
      <c r="B159" s="46">
        <f t="shared" si="4"/>
        <v>3.1</v>
      </c>
      <c r="C159" s="47"/>
      <c r="D159" s="47"/>
      <c r="E159" s="46">
        <f>36/IF(Общие_или_заединицу="Общие трудозатраты",1,18)</f>
        <v>2</v>
      </c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6">
        <f>19.8/IF(Общие_или_заединицу="Общие трудозатраты",1,18)</f>
        <v>1.1000000000000001</v>
      </c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</row>
    <row r="160" spans="1:55" x14ac:dyDescent="0.25">
      <c r="A160" s="45" t="s">
        <v>824</v>
      </c>
      <c r="B160" s="46">
        <f t="shared" si="4"/>
        <v>0.8</v>
      </c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6">
        <f>14.4/IF(Общие_или_заединицу="Общие трудозатраты",1,18)</f>
        <v>0.8</v>
      </c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</row>
    <row r="161" spans="1:55" x14ac:dyDescent="0.25">
      <c r="A161" s="45" t="s">
        <v>825</v>
      </c>
      <c r="B161" s="46">
        <f t="shared" si="4"/>
        <v>32</v>
      </c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6">
        <f>40/IF(Общие_или_заединицу="Общие трудозатраты",1,2)</f>
        <v>20</v>
      </c>
      <c r="N161" s="47"/>
      <c r="O161" s="47"/>
      <c r="P161" s="47"/>
      <c r="Q161" s="47"/>
      <c r="R161" s="47"/>
      <c r="S161" s="47"/>
      <c r="T161" s="47"/>
      <c r="U161" s="47"/>
      <c r="V161" s="47"/>
      <c r="W161" s="46">
        <f>16/IF(Общие_или_заединицу="Общие трудозатраты",1,2)</f>
        <v>8</v>
      </c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6">
        <f>8/IF(Общие_или_заединицу="Общие трудозатраты",1,2)</f>
        <v>4</v>
      </c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7"/>
      <c r="BA161" s="47"/>
      <c r="BB161" s="47"/>
      <c r="BC161" s="47"/>
    </row>
    <row r="162" spans="1:55" x14ac:dyDescent="0.25">
      <c r="A162" s="45" t="s">
        <v>826</v>
      </c>
      <c r="B162" s="46">
        <f t="shared" si="4"/>
        <v>24</v>
      </c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6">
        <f>36/IF(Общие_или_заединицу="Общие трудозатраты",1,2)</f>
        <v>18</v>
      </c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  <c r="AN162" s="47"/>
      <c r="AO162" s="47"/>
      <c r="AP162" s="46">
        <f>12/IF(Общие_или_заединицу="Общие трудозатраты",1,2)</f>
        <v>6</v>
      </c>
      <c r="AQ162" s="47"/>
      <c r="AR162" s="47"/>
      <c r="AS162" s="47"/>
      <c r="AT162" s="47"/>
      <c r="AU162" s="47"/>
      <c r="AV162" s="47"/>
      <c r="AW162" s="47"/>
      <c r="AX162" s="47"/>
      <c r="AY162" s="47"/>
      <c r="AZ162" s="47"/>
      <c r="BA162" s="47"/>
      <c r="BB162" s="47"/>
      <c r="BC162" s="47"/>
    </row>
    <row r="163" spans="1:55" x14ac:dyDescent="0.25">
      <c r="A163" s="45" t="s">
        <v>828</v>
      </c>
      <c r="B163" s="46">
        <f t="shared" si="4"/>
        <v>10</v>
      </c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6">
        <f>10/IF(Общие_или_заединицу="Общие трудозатраты",1,1)</f>
        <v>10</v>
      </c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7"/>
      <c r="BA163" s="47"/>
      <c r="BB163" s="47"/>
      <c r="BC163" s="47"/>
    </row>
    <row r="164" spans="1:55" x14ac:dyDescent="0.25">
      <c r="A164" s="45" t="s">
        <v>830</v>
      </c>
      <c r="B164" s="46">
        <f t="shared" si="4"/>
        <v>7.3</v>
      </c>
      <c r="C164" s="47"/>
      <c r="D164" s="47"/>
      <c r="E164" s="47"/>
      <c r="F164" s="46">
        <f>4/IF(Общие_или_заединицу="Общие трудозатраты",1,1)</f>
        <v>4</v>
      </c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6">
        <f>3.3/IF(Общие_или_заединицу="Общие трудозатраты",1,1)</f>
        <v>3.3</v>
      </c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7"/>
      <c r="BA164" s="47"/>
      <c r="BB164" s="47"/>
      <c r="BC164" s="47"/>
    </row>
    <row r="165" spans="1:55" ht="22.5" x14ac:dyDescent="0.25">
      <c r="A165" s="45" t="s">
        <v>827</v>
      </c>
      <c r="B165" s="46">
        <f t="shared" si="4"/>
        <v>21</v>
      </c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6">
        <f>5/IF(Общие_или_заединицу="Общие трудозатраты",1,1)</f>
        <v>5</v>
      </c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6">
        <f>6/IF(Общие_или_заединицу="Общие трудозатраты",1,1)</f>
        <v>6</v>
      </c>
      <c r="AM165" s="47"/>
      <c r="AN165" s="47"/>
      <c r="AO165" s="46">
        <f>10/IF(Общие_или_заединицу="Общие трудозатраты",1,1)</f>
        <v>10</v>
      </c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</row>
    <row r="166" spans="1:55" ht="22.5" x14ac:dyDescent="0.25">
      <c r="A166" s="45" t="s">
        <v>829</v>
      </c>
      <c r="B166" s="46">
        <f t="shared" si="4"/>
        <v>21</v>
      </c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6">
        <f>5/IF(Общие_или_заединицу="Общие трудозатраты",1,1)</f>
        <v>5</v>
      </c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6">
        <f>6/IF(Общие_или_заединицу="Общие трудозатраты",1,1)</f>
        <v>6</v>
      </c>
      <c r="AM166" s="47"/>
      <c r="AN166" s="47"/>
      <c r="AO166" s="46">
        <f>10/IF(Общие_или_заединицу="Общие трудозатраты",1,1)</f>
        <v>10</v>
      </c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7"/>
      <c r="BA166" s="47"/>
      <c r="BB166" s="47"/>
      <c r="BC166" s="47"/>
    </row>
    <row r="167" spans="1:55" x14ac:dyDescent="0.25">
      <c r="A167" s="45" t="s">
        <v>831</v>
      </c>
      <c r="B167" s="46">
        <f t="shared" si="4"/>
        <v>1.8</v>
      </c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6">
        <f>5.4/IF(Общие_или_заединицу="Общие трудозатраты",1,3)</f>
        <v>1.8</v>
      </c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7"/>
      <c r="BA167" s="47"/>
      <c r="BB167" s="47"/>
      <c r="BC167" s="47"/>
    </row>
    <row r="168" spans="1:55" x14ac:dyDescent="0.25">
      <c r="A168" s="45" t="s">
        <v>832</v>
      </c>
      <c r="B168" s="46">
        <f t="shared" si="4"/>
        <v>2.6999999999999997</v>
      </c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6">
        <f>8.1/IF(Общие_или_заединицу="Общие трудозатраты",1,3)</f>
        <v>2.6999999999999997</v>
      </c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7"/>
      <c r="BA168" s="47"/>
      <c r="BB168" s="47"/>
      <c r="BC168" s="47"/>
    </row>
    <row r="169" spans="1:55" x14ac:dyDescent="0.25">
      <c r="A169" s="45" t="s">
        <v>833</v>
      </c>
      <c r="B169" s="46">
        <f t="shared" si="4"/>
        <v>3.9</v>
      </c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6">
        <f>11.7/IF(Общие_или_заединицу="Общие трудозатраты",1,3)</f>
        <v>3.9</v>
      </c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7"/>
      <c r="BA169" s="47"/>
      <c r="BB169" s="47"/>
      <c r="BC169" s="47"/>
    </row>
    <row r="170" spans="1:55" x14ac:dyDescent="0.25">
      <c r="A170" s="45" t="s">
        <v>835</v>
      </c>
      <c r="B170" s="46">
        <f t="shared" si="4"/>
        <v>10</v>
      </c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6">
        <f>10/IF(Общие_или_заединицу="Общие трудозатраты",1,1)</f>
        <v>10</v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7"/>
      <c r="BA170" s="47"/>
      <c r="BB170" s="47"/>
      <c r="BC170" s="47"/>
    </row>
    <row r="171" spans="1:55" x14ac:dyDescent="0.25">
      <c r="A171" s="45" t="s">
        <v>834</v>
      </c>
      <c r="B171" s="46">
        <f t="shared" si="4"/>
        <v>1.1000000000000001</v>
      </c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6">
        <f>1.1/IF(Общие_или_заединицу="Общие трудозатраты",1,1)</f>
        <v>1.1000000000000001</v>
      </c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7"/>
      <c r="BA171" s="47"/>
      <c r="BB171" s="47"/>
      <c r="BC171" s="47"/>
    </row>
    <row r="172" spans="1:55" x14ac:dyDescent="0.25">
      <c r="A172" s="45" t="s">
        <v>836</v>
      </c>
      <c r="B172" s="46">
        <f t="shared" si="4"/>
        <v>31</v>
      </c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6">
        <f>4/IF(Общие_или_заединицу="Общие трудозатраты",1,1)</f>
        <v>4</v>
      </c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6">
        <f>12/IF(Общие_или_заединицу="Общие трудозатраты",1,1)</f>
        <v>12</v>
      </c>
      <c r="AV172" s="47"/>
      <c r="AW172" s="47"/>
      <c r="AX172" s="47"/>
      <c r="AY172" s="46">
        <f>15/IF(Общие_или_заединицу="Общие трудозатраты",1,1)</f>
        <v>15</v>
      </c>
      <c r="AZ172" s="47"/>
      <c r="BA172" s="47"/>
      <c r="BB172" s="47"/>
      <c r="BC172" s="47"/>
    </row>
    <row r="173" spans="1:55" x14ac:dyDescent="0.25">
      <c r="A173" s="45" t="s">
        <v>838</v>
      </c>
      <c r="B173" s="46">
        <f t="shared" si="4"/>
        <v>24</v>
      </c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6">
        <f>5/IF(Общие_или_заединицу="Общие трудозатраты",1,1)</f>
        <v>5</v>
      </c>
      <c r="N173" s="47"/>
      <c r="O173" s="47"/>
      <c r="P173" s="47"/>
      <c r="Q173" s="47"/>
      <c r="R173" s="47"/>
      <c r="S173" s="47"/>
      <c r="T173" s="47"/>
      <c r="U173" s="47"/>
      <c r="V173" s="47"/>
      <c r="W173" s="46">
        <f>7/IF(Общие_или_заединицу="Общие трудозатраты",1,1)</f>
        <v>7</v>
      </c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6">
        <f>12/IF(Общие_или_заединицу="Общие трудозатраты",1,1)</f>
        <v>12</v>
      </c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7"/>
      <c r="BA173" s="47"/>
      <c r="BB173" s="47"/>
      <c r="BC173" s="47"/>
    </row>
    <row r="174" spans="1:55" x14ac:dyDescent="0.25">
      <c r="A174" s="45" t="s">
        <v>837</v>
      </c>
      <c r="B174" s="46">
        <f t="shared" si="4"/>
        <v>10</v>
      </c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6">
        <f>7/IF(Общие_или_заединицу="Общие трудозатраты",1,1)</f>
        <v>7</v>
      </c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6">
        <f>3/IF(Общие_или_заединицу="Общие трудозатраты",1,1)</f>
        <v>3</v>
      </c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</row>
    <row r="175" spans="1:55" x14ac:dyDescent="0.25">
      <c r="A175" s="45" t="s">
        <v>839</v>
      </c>
      <c r="B175" s="46">
        <f t="shared" si="4"/>
        <v>7</v>
      </c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6">
        <f>7/IF(Общие_или_заединицу="Общие трудозатраты",1,1)</f>
        <v>7</v>
      </c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7"/>
      <c r="BA175" s="47"/>
      <c r="BB175" s="47"/>
      <c r="BC175" s="47"/>
    </row>
    <row r="176" spans="1:55" x14ac:dyDescent="0.25">
      <c r="A176" s="45" t="s">
        <v>840</v>
      </c>
      <c r="B176" s="46">
        <f t="shared" si="4"/>
        <v>12.5</v>
      </c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6">
        <f>16/IF(Общие_или_заединицу="Общие трудозатраты",1,2)</f>
        <v>8</v>
      </c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6">
        <f>9/IF(Общие_или_заединицу="Общие трудозатраты",1,2)</f>
        <v>4.5</v>
      </c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</row>
    <row r="177" spans="1:55" x14ac:dyDescent="0.25">
      <c r="A177" s="45" t="s">
        <v>841</v>
      </c>
      <c r="B177" s="46">
        <f t="shared" si="4"/>
        <v>2.2999999999999998</v>
      </c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6">
        <f>2.3/IF(Общие_или_заединицу="Общие трудозатраты",1,1)</f>
        <v>2.2999999999999998</v>
      </c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7"/>
      <c r="BA177" s="47"/>
      <c r="BB177" s="47"/>
      <c r="BC177" s="47"/>
    </row>
    <row r="178" spans="1:55" x14ac:dyDescent="0.25">
      <c r="A178" s="45" t="s">
        <v>843</v>
      </c>
      <c r="B178" s="46">
        <f t="shared" si="4"/>
        <v>8.5</v>
      </c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6">
        <f>6/IF(Общие_или_заединицу="Общие трудозатраты",1,2)</f>
        <v>3</v>
      </c>
      <c r="W178" s="46">
        <f>8/IF(Общие_или_заединицу="Общие трудозатраты",1,2)</f>
        <v>4</v>
      </c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6">
        <f>3/IF(Общие_или_заединицу="Общие трудозатраты",1,2)</f>
        <v>1.5</v>
      </c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</row>
    <row r="179" spans="1:55" x14ac:dyDescent="0.25">
      <c r="A179" s="45" t="s">
        <v>842</v>
      </c>
      <c r="B179" s="46">
        <f t="shared" si="4"/>
        <v>13</v>
      </c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6">
        <f>20/IF(Общие_или_заединицу="Общие трудозатраты",1,2)</f>
        <v>10</v>
      </c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6">
        <f>6/IF(Общие_или_заединицу="Общие трудозатраты",1,2)</f>
        <v>3</v>
      </c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</row>
    <row r="180" spans="1:55" x14ac:dyDescent="0.25">
      <c r="A180" s="45" t="s">
        <v>844</v>
      </c>
      <c r="B180" s="46">
        <f t="shared" si="4"/>
        <v>13</v>
      </c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6">
        <f>10/IF(Общие_или_заединицу="Общие трудозатраты",1,2)</f>
        <v>5</v>
      </c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6">
        <f>6/IF(Общие_или_заединицу="Общие трудозатраты",1,2)</f>
        <v>3</v>
      </c>
      <c r="AQ180" s="47"/>
      <c r="AR180" s="47"/>
      <c r="AS180" s="47"/>
      <c r="AT180" s="47"/>
      <c r="AU180" s="47"/>
      <c r="AV180" s="47"/>
      <c r="AW180" s="47"/>
      <c r="AX180" s="47"/>
      <c r="AY180" s="46">
        <f>10/IF(Общие_или_заединицу="Общие трудозатраты",1,2)</f>
        <v>5</v>
      </c>
      <c r="AZ180" s="47"/>
      <c r="BA180" s="47"/>
      <c r="BB180" s="47"/>
      <c r="BC180" s="47"/>
    </row>
    <row r="181" spans="1:55" x14ac:dyDescent="0.25">
      <c r="A181" s="45" t="s">
        <v>599</v>
      </c>
      <c r="B181" s="46">
        <f t="shared" si="4"/>
        <v>4</v>
      </c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6">
        <f>8/IF(Общие_или_заединицу="Общие трудозатраты",1,2)</f>
        <v>4</v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</row>
    <row r="182" spans="1:55" x14ac:dyDescent="0.25">
      <c r="A182" s="45" t="s">
        <v>845</v>
      </c>
      <c r="B182" s="46">
        <f t="shared" si="4"/>
        <v>4.3</v>
      </c>
      <c r="C182" s="47"/>
      <c r="D182" s="47"/>
      <c r="E182" s="46">
        <f>3/IF(Общие_или_заединицу="Общие трудозатраты",1,2)</f>
        <v>1.5</v>
      </c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6">
        <f>5.6/IF(Общие_или_заединицу="Общие трудозатраты",1,2)</f>
        <v>2.8</v>
      </c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  <c r="BB182" s="47"/>
      <c r="BC182" s="47"/>
    </row>
    <row r="183" spans="1:55" x14ac:dyDescent="0.25">
      <c r="A183" s="45" t="s">
        <v>846</v>
      </c>
      <c r="B183" s="46">
        <f t="shared" si="4"/>
        <v>0.2</v>
      </c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6">
        <f>0.8/IF(Общие_или_заединицу="Общие трудозатраты",1,4)</f>
        <v>0.2</v>
      </c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  <c r="BB183" s="47"/>
      <c r="BC183" s="47"/>
    </row>
    <row r="184" spans="1:55" x14ac:dyDescent="0.25">
      <c r="A184" s="45" t="s">
        <v>847</v>
      </c>
      <c r="B184" s="46">
        <f t="shared" si="4"/>
        <v>0.3</v>
      </c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6">
        <f>1.2/IF(Общие_или_заединицу="Общие трудозатраты",1,4)</f>
        <v>0.3</v>
      </c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  <c r="BB184" s="47"/>
      <c r="BC184" s="47"/>
    </row>
    <row r="185" spans="1:55" x14ac:dyDescent="0.25">
      <c r="A185" s="45" t="s">
        <v>849</v>
      </c>
      <c r="B185" s="46">
        <f t="shared" si="4"/>
        <v>360</v>
      </c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6">
        <f>360/IF(Общие_или_заединицу="Общие трудозатраты",1,1)</f>
        <v>360</v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  <c r="BB185" s="47"/>
      <c r="BC185" s="47"/>
    </row>
    <row r="186" spans="1:55" x14ac:dyDescent="0.25">
      <c r="A186" s="45" t="s">
        <v>857</v>
      </c>
      <c r="B186" s="46">
        <f t="shared" si="4"/>
        <v>10</v>
      </c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6">
        <f>30/IF(Общие_или_заединицу="Общие трудозатраты",1,6)</f>
        <v>5</v>
      </c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6">
        <f>30/IF(Общие_или_заединицу="Общие трудозатраты",1,6)</f>
        <v>5</v>
      </c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</row>
    <row r="187" spans="1:55" x14ac:dyDescent="0.25">
      <c r="A187" s="45" t="s">
        <v>858</v>
      </c>
      <c r="B187" s="46">
        <f t="shared" si="4"/>
        <v>7.9</v>
      </c>
      <c r="C187" s="47"/>
      <c r="D187" s="47"/>
      <c r="E187" s="46">
        <f>5/IF(Общие_или_заединицу="Общие трудозатраты",1,1)</f>
        <v>5</v>
      </c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6">
        <f>2.9/IF(Общие_или_заединицу="Общие трудозатраты",1,1)</f>
        <v>2.9</v>
      </c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  <c r="BB187" s="47"/>
      <c r="BC187" s="47"/>
    </row>
    <row r="188" spans="1:55" x14ac:dyDescent="0.25">
      <c r="A188" s="45" t="s">
        <v>859</v>
      </c>
      <c r="B188" s="46">
        <f t="shared" si="4"/>
        <v>5.7</v>
      </c>
      <c r="C188" s="47"/>
      <c r="D188" s="47"/>
      <c r="E188" s="46">
        <f>5/IF(Общие_или_заединицу="Общие трудозатраты",1,1)</f>
        <v>5</v>
      </c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6">
        <f>0.7/IF(Общие_или_заединицу="Общие трудозатраты",1,1)</f>
        <v>0.7</v>
      </c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  <c r="BB188" s="47"/>
      <c r="BC188" s="47"/>
    </row>
    <row r="189" spans="1:55" x14ac:dyDescent="0.25">
      <c r="A189" s="45" t="s">
        <v>860</v>
      </c>
      <c r="B189" s="46">
        <f t="shared" si="4"/>
        <v>28.75</v>
      </c>
      <c r="C189" s="47"/>
      <c r="D189" s="47"/>
      <c r="E189" s="46">
        <f>8/IF(Общие_или_заединицу="Общие трудозатраты",1,1)</f>
        <v>8</v>
      </c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6">
        <f>5/IF(Общие_или_заединицу="Общие трудозатраты",1,1)</f>
        <v>5</v>
      </c>
      <c r="X189" s="47"/>
      <c r="Y189" s="47"/>
      <c r="Z189" s="47"/>
      <c r="AA189" s="47"/>
      <c r="AB189" s="47"/>
      <c r="AC189" s="47"/>
      <c r="AD189" s="46">
        <f>4.5/IF(Общие_или_заединицу="Общие трудозатраты",1,1)*IF(Пробивка="Стандартная пробивная",1,3.5)</f>
        <v>15.75</v>
      </c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  <c r="BB189" s="47"/>
      <c r="BC189" s="47"/>
    </row>
    <row r="190" spans="1:55" x14ac:dyDescent="0.25">
      <c r="A190" s="45" t="s">
        <v>861</v>
      </c>
      <c r="B190" s="46">
        <f t="shared" si="4"/>
        <v>1</v>
      </c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6">
        <f>1/IF(Общие_или_заединицу="Общие трудозатраты",1,1)</f>
        <v>1</v>
      </c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  <c r="BB190" s="47"/>
      <c r="BC190" s="47"/>
    </row>
    <row r="191" spans="1:55" x14ac:dyDescent="0.25">
      <c r="A191" s="45" t="s">
        <v>848</v>
      </c>
      <c r="B191" s="46">
        <f t="shared" si="4"/>
        <v>4</v>
      </c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6">
        <f>4/IF(Общие_или_заединицу="Общие трудозатраты",1,1)</f>
        <v>4</v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  <c r="BB191" s="47"/>
      <c r="BC191" s="47"/>
    </row>
    <row r="192" spans="1:55" x14ac:dyDescent="0.25">
      <c r="A192" s="45" t="s">
        <v>867</v>
      </c>
      <c r="B192" s="46">
        <f t="shared" si="4"/>
        <v>10.1</v>
      </c>
      <c r="C192" s="47"/>
      <c r="D192" s="47"/>
      <c r="E192" s="46">
        <f>8/IF(Общие_или_заединицу="Общие трудозатраты",1,1)</f>
        <v>8</v>
      </c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6">
        <f>2.1/IF(Общие_или_заединицу="Общие трудозатраты",1,1)</f>
        <v>2.1</v>
      </c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7"/>
      <c r="BA192" s="47"/>
      <c r="BB192" s="47"/>
      <c r="BC192" s="47"/>
    </row>
    <row r="193" spans="1:55" x14ac:dyDescent="0.25">
      <c r="A193" s="45" t="s">
        <v>868</v>
      </c>
      <c r="B193" s="46">
        <f t="shared" si="4"/>
        <v>4.8</v>
      </c>
      <c r="C193" s="47"/>
      <c r="D193" s="47"/>
      <c r="E193" s="46">
        <f>8/IF(Общие_или_заединицу="Общие трудозатраты",1,2)</f>
        <v>4</v>
      </c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6">
        <f>1.6/IF(Общие_или_заединицу="Общие трудозатраты",1,2)</f>
        <v>0.8</v>
      </c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7"/>
      <c r="BA193" s="47"/>
      <c r="BB193" s="47"/>
      <c r="BC193" s="47"/>
    </row>
    <row r="194" spans="1:55" x14ac:dyDescent="0.25">
      <c r="A194" s="45" t="s">
        <v>869</v>
      </c>
      <c r="B194" s="46">
        <f t="shared" si="4"/>
        <v>6.5</v>
      </c>
      <c r="C194" s="47"/>
      <c r="D194" s="47"/>
      <c r="E194" s="46">
        <f>5/IF(Общие_или_заединицу="Общие трудозатраты",1,1)</f>
        <v>5</v>
      </c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6">
        <f>1.5/IF(Общие_или_заединицу="Общие трудозатраты",1,1)</f>
        <v>1.5</v>
      </c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7"/>
      <c r="BA194" s="47"/>
      <c r="BB194" s="47"/>
      <c r="BC194" s="47"/>
    </row>
    <row r="195" spans="1:55" x14ac:dyDescent="0.25">
      <c r="A195" s="45" t="s">
        <v>850</v>
      </c>
      <c r="B195" s="46">
        <f t="shared" si="4"/>
        <v>2</v>
      </c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6">
        <f>4/IF(Общие_или_заединицу="Общие трудозатраты",1,2)</f>
        <v>2</v>
      </c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7"/>
      <c r="BA195" s="47"/>
      <c r="BB195" s="47"/>
      <c r="BC195" s="47"/>
    </row>
    <row r="196" spans="1:55" ht="22.5" x14ac:dyDescent="0.25">
      <c r="A196" s="45" t="s">
        <v>851</v>
      </c>
      <c r="B196" s="46">
        <f t="shared" ref="B196:B259" si="5">SUM(C196:BC196)</f>
        <v>16</v>
      </c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6">
        <f>6/IF(Общие_или_заединицу="Общие трудозатраты",1,2)</f>
        <v>3</v>
      </c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6">
        <f>6/IF(Общие_или_заединицу="Общие трудозатраты",1,2)</f>
        <v>3</v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6">
        <f>20/IF(Общие_или_заединицу="Общие трудозатраты",1,2)</f>
        <v>10</v>
      </c>
      <c r="AX196" s="47"/>
      <c r="AY196" s="47"/>
      <c r="AZ196" s="47"/>
      <c r="BA196" s="47"/>
      <c r="BB196" s="47"/>
      <c r="BC196" s="47"/>
    </row>
    <row r="197" spans="1:55" ht="22.5" x14ac:dyDescent="0.25">
      <c r="A197" s="45" t="s">
        <v>852</v>
      </c>
      <c r="B197" s="46">
        <f t="shared" si="5"/>
        <v>16</v>
      </c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6">
        <f>6/IF(Общие_или_заединицу="Общие трудозатраты",1,2)</f>
        <v>3</v>
      </c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6">
        <f>6/IF(Общие_или_заединицу="Общие трудозатраты",1,2)</f>
        <v>3</v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6">
        <f>20/IF(Общие_или_заединицу="Общие трудозатраты",1,2)</f>
        <v>10</v>
      </c>
      <c r="AX197" s="47"/>
      <c r="AY197" s="47"/>
      <c r="AZ197" s="47"/>
      <c r="BA197" s="47"/>
      <c r="BB197" s="47"/>
      <c r="BC197" s="47"/>
    </row>
    <row r="198" spans="1:55" ht="22.5" x14ac:dyDescent="0.25">
      <c r="A198" s="45" t="s">
        <v>853</v>
      </c>
      <c r="B198" s="46">
        <f t="shared" si="5"/>
        <v>16</v>
      </c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6">
        <f>3/IF(Общие_или_заединицу="Общие трудозатраты",1,1)</f>
        <v>3</v>
      </c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6">
        <f>3/IF(Общие_или_заединицу="Общие трудозатраты",1,1)</f>
        <v>3</v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6">
        <f>10/IF(Общие_или_заединицу="Общие трудозатраты",1,1)</f>
        <v>10</v>
      </c>
      <c r="AX198" s="47"/>
      <c r="AY198" s="47"/>
      <c r="AZ198" s="47"/>
      <c r="BA198" s="47"/>
      <c r="BB198" s="47"/>
      <c r="BC198" s="47"/>
    </row>
    <row r="199" spans="1:55" ht="22.5" x14ac:dyDescent="0.25">
      <c r="A199" s="45" t="s">
        <v>854</v>
      </c>
      <c r="B199" s="46">
        <f t="shared" si="5"/>
        <v>16</v>
      </c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6">
        <f>3/IF(Общие_или_заединицу="Общие трудозатраты",1,1)</f>
        <v>3</v>
      </c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6">
        <f>3/IF(Общие_или_заединицу="Общие трудозатраты",1,1)</f>
        <v>3</v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6">
        <f>10/IF(Общие_или_заединицу="Общие трудозатраты",1,1)</f>
        <v>10</v>
      </c>
      <c r="AX199" s="47"/>
      <c r="AY199" s="47"/>
      <c r="AZ199" s="47"/>
      <c r="BA199" s="47"/>
      <c r="BB199" s="47"/>
      <c r="BC199" s="47"/>
    </row>
    <row r="200" spans="1:55" x14ac:dyDescent="0.25">
      <c r="A200" s="45" t="s">
        <v>872</v>
      </c>
      <c r="B200" s="46">
        <f t="shared" si="5"/>
        <v>45.6</v>
      </c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6">
        <f>10/IF(Общие_или_заединицу="Общие трудозатраты",1,2)</f>
        <v>5</v>
      </c>
      <c r="U200" s="47"/>
      <c r="V200" s="47"/>
      <c r="W200" s="47"/>
      <c r="X200" s="46">
        <f>1.2/IF(Общие_или_заединицу="Общие трудозатраты",1,2)</f>
        <v>0.6</v>
      </c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6">
        <f>10/IF(Общие_или_заединицу="Общие трудозатраты",1,2)</f>
        <v>5</v>
      </c>
      <c r="AQ200" s="47"/>
      <c r="AR200" s="47"/>
      <c r="AS200" s="47"/>
      <c r="AT200" s="47"/>
      <c r="AU200" s="47"/>
      <c r="AV200" s="46">
        <f>30/IF(Общие_или_заединицу="Общие трудозатраты",1,2)</f>
        <v>15</v>
      </c>
      <c r="AW200" s="46">
        <f>10/IF(Общие_или_заединицу="Общие трудозатраты",1,2)</f>
        <v>5</v>
      </c>
      <c r="AX200" s="47"/>
      <c r="AY200" s="47"/>
      <c r="AZ200" s="46">
        <f>30/IF(Общие_или_заединицу="Общие трудозатраты",1,2)</f>
        <v>15</v>
      </c>
      <c r="BA200" s="47"/>
      <c r="BB200" s="47"/>
      <c r="BC200" s="47"/>
    </row>
    <row r="201" spans="1:55" x14ac:dyDescent="0.25">
      <c r="A201" s="45" t="s">
        <v>876</v>
      </c>
      <c r="B201" s="46">
        <f t="shared" si="5"/>
        <v>13.2</v>
      </c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6">
        <f>16/IF(Общие_или_заединицу="Общие трудозатраты",1,4)</f>
        <v>4</v>
      </c>
      <c r="U201" s="47"/>
      <c r="V201" s="47"/>
      <c r="W201" s="47"/>
      <c r="X201" s="46">
        <f>0.8/IF(Общие_или_заединицу="Общие трудозатраты",1,4)</f>
        <v>0.2</v>
      </c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6">
        <f>8/IF(Общие_или_заединицу="Общие трудозатраты",1,4)</f>
        <v>2</v>
      </c>
      <c r="AQ201" s="47"/>
      <c r="AR201" s="47"/>
      <c r="AS201" s="47"/>
      <c r="AT201" s="47"/>
      <c r="AU201" s="47"/>
      <c r="AV201" s="47"/>
      <c r="AW201" s="46">
        <f>20/IF(Общие_или_заединицу="Общие трудозатраты",1,4)</f>
        <v>5</v>
      </c>
      <c r="AX201" s="47"/>
      <c r="AY201" s="46">
        <f>8/IF(Общие_или_заединицу="Общие трудозатраты",1,4)</f>
        <v>2</v>
      </c>
      <c r="AZ201" s="47"/>
      <c r="BA201" s="47"/>
      <c r="BB201" s="47"/>
      <c r="BC201" s="47"/>
    </row>
    <row r="202" spans="1:55" x14ac:dyDescent="0.25">
      <c r="A202" s="45" t="s">
        <v>878</v>
      </c>
      <c r="B202" s="46">
        <f t="shared" si="5"/>
        <v>12.5</v>
      </c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6">
        <f>8/IF(Общие_или_заединицу="Общие трудозатраты",1,2)</f>
        <v>4</v>
      </c>
      <c r="U202" s="47"/>
      <c r="V202" s="47"/>
      <c r="W202" s="47"/>
      <c r="X202" s="46">
        <f>1/IF(Общие_или_заединицу="Общие трудозатраты",1,2)</f>
        <v>0.5</v>
      </c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6">
        <f>6/IF(Общие_или_заединицу="Общие трудозатраты",1,2)</f>
        <v>3</v>
      </c>
      <c r="AQ202" s="47"/>
      <c r="AR202" s="47"/>
      <c r="AS202" s="47"/>
      <c r="AT202" s="47"/>
      <c r="AU202" s="47"/>
      <c r="AV202" s="47"/>
      <c r="AW202" s="46">
        <f>10/IF(Общие_или_заединицу="Общие трудозатраты",1,2)</f>
        <v>5</v>
      </c>
      <c r="AX202" s="47"/>
      <c r="AY202" s="47"/>
      <c r="AZ202" s="47"/>
      <c r="BA202" s="47"/>
      <c r="BB202" s="47"/>
      <c r="BC202" s="47"/>
    </row>
    <row r="203" spans="1:55" x14ac:dyDescent="0.25">
      <c r="A203" s="45" t="s">
        <v>873</v>
      </c>
      <c r="B203" s="46">
        <f t="shared" si="5"/>
        <v>2.58</v>
      </c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6">
        <f>4.56/IF(Общие_или_заединицу="Общие трудозатраты",1,12)</f>
        <v>0.37999999999999995</v>
      </c>
      <c r="T203" s="47"/>
      <c r="U203" s="47"/>
      <c r="V203" s="47"/>
      <c r="W203" s="46">
        <f>2.4/IF(Общие_или_заединицу="Общие трудозатраты",1,12)</f>
        <v>0.19999999999999998</v>
      </c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6">
        <f>24/IF(Общие_или_заединицу="Общие трудозатраты",1,12)</f>
        <v>2</v>
      </c>
      <c r="AX203" s="47"/>
      <c r="AY203" s="47"/>
      <c r="AZ203" s="47"/>
      <c r="BA203" s="47"/>
      <c r="BB203" s="47"/>
      <c r="BC203" s="47"/>
    </row>
    <row r="204" spans="1:55" x14ac:dyDescent="0.25">
      <c r="A204" s="45" t="s">
        <v>877</v>
      </c>
      <c r="B204" s="46">
        <f t="shared" si="5"/>
        <v>30</v>
      </c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6">
        <f>24/IF(Общие_или_заединицу="Общие трудозатраты",1,6)</f>
        <v>4</v>
      </c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6">
        <f>156/IF(Общие_или_заединицу="Общие трудозатраты",1,6)</f>
        <v>26</v>
      </c>
      <c r="AW204" s="47"/>
      <c r="AX204" s="47"/>
      <c r="AY204" s="47"/>
      <c r="AZ204" s="47"/>
      <c r="BA204" s="47"/>
      <c r="BB204" s="47"/>
      <c r="BC204" s="47"/>
    </row>
    <row r="205" spans="1:55" x14ac:dyDescent="0.25">
      <c r="A205" s="45" t="s">
        <v>875</v>
      </c>
      <c r="B205" s="46">
        <f t="shared" si="5"/>
        <v>6.8000000000000007</v>
      </c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6">
        <f>22.8/IF(Общие_или_заединицу="Общие трудозатраты",1,6)</f>
        <v>3.8000000000000003</v>
      </c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6">
        <f>18/IF(Общие_или_заединицу="Общие трудозатраты",1,6)</f>
        <v>3</v>
      </c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</row>
    <row r="206" spans="1:55" x14ac:dyDescent="0.25">
      <c r="A206" s="45" t="s">
        <v>879</v>
      </c>
      <c r="B206" s="46">
        <f t="shared" si="5"/>
        <v>0.5</v>
      </c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6">
        <f>3/IF(Общие_или_заединицу="Общие трудозатраты",1,6)</f>
        <v>0.5</v>
      </c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7"/>
      <c r="BA206" s="47"/>
      <c r="BB206" s="47"/>
      <c r="BC206" s="47"/>
    </row>
    <row r="207" spans="1:55" x14ac:dyDescent="0.25">
      <c r="A207" s="45" t="s">
        <v>855</v>
      </c>
      <c r="B207" s="46">
        <f t="shared" si="5"/>
        <v>20</v>
      </c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6">
        <f>5/IF(Общие_или_заединицу="Общие трудозатраты",1,1)</f>
        <v>5</v>
      </c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6">
        <f>3/IF(Общие_или_заединицу="Общие трудозатраты",1,1)</f>
        <v>3</v>
      </c>
      <c r="AI207" s="47"/>
      <c r="AJ207" s="47"/>
      <c r="AK207" s="47"/>
      <c r="AL207" s="47"/>
      <c r="AM207" s="47"/>
      <c r="AN207" s="47"/>
      <c r="AO207" s="46">
        <f>12/IF(Общие_или_заединицу="Общие трудозатраты",1,1)</f>
        <v>12</v>
      </c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7"/>
      <c r="BA207" s="47"/>
      <c r="BB207" s="47"/>
      <c r="BC207" s="47"/>
    </row>
    <row r="208" spans="1:55" x14ac:dyDescent="0.25">
      <c r="A208" s="45" t="s">
        <v>882</v>
      </c>
      <c r="B208" s="46">
        <f t="shared" si="5"/>
        <v>7</v>
      </c>
      <c r="C208" s="47"/>
      <c r="D208" s="47"/>
      <c r="E208" s="46">
        <f>5/IF(Общие_или_заединицу="Общие трудозатраты",1,1)</f>
        <v>5</v>
      </c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6">
        <f>2/IF(Общие_или_заединицу="Общие трудозатраты",1,1)</f>
        <v>2</v>
      </c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7"/>
      <c r="BA208" s="47"/>
      <c r="BB208" s="47"/>
      <c r="BC208" s="47"/>
    </row>
    <row r="209" spans="1:55" x14ac:dyDescent="0.25">
      <c r="A209" s="45" t="s">
        <v>883</v>
      </c>
      <c r="B209" s="46">
        <f t="shared" si="5"/>
        <v>5.3</v>
      </c>
      <c r="C209" s="47"/>
      <c r="D209" s="47"/>
      <c r="E209" s="46">
        <f>4/IF(Общие_или_заединицу="Общие трудозатраты",1,1)</f>
        <v>4</v>
      </c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6">
        <f>1.3/IF(Общие_или_заединицу="Общие трудозатраты",1,1)</f>
        <v>1.3</v>
      </c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7"/>
      <c r="BA209" s="47"/>
      <c r="BB209" s="47"/>
      <c r="BC209" s="47"/>
    </row>
    <row r="210" spans="1:55" x14ac:dyDescent="0.25">
      <c r="A210" s="45" t="s">
        <v>884</v>
      </c>
      <c r="B210" s="46">
        <f t="shared" si="5"/>
        <v>5.3</v>
      </c>
      <c r="C210" s="47"/>
      <c r="D210" s="47"/>
      <c r="E210" s="46">
        <f>4/IF(Общие_или_заединицу="Общие трудозатраты",1,1)</f>
        <v>4</v>
      </c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6">
        <f>1.3/IF(Общие_или_заединицу="Общие трудозатраты",1,1)</f>
        <v>1.3</v>
      </c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7"/>
      <c r="BA210" s="47"/>
      <c r="BB210" s="47"/>
      <c r="BC210" s="47"/>
    </row>
    <row r="211" spans="1:55" x14ac:dyDescent="0.25">
      <c r="A211" s="45" t="s">
        <v>885</v>
      </c>
      <c r="B211" s="46">
        <f t="shared" si="5"/>
        <v>9.5</v>
      </c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6">
        <f>2/IF(Общие_или_заединицу="Общие трудозатраты",1,1)</f>
        <v>2</v>
      </c>
      <c r="U211" s="47"/>
      <c r="V211" s="47"/>
      <c r="W211" s="46">
        <f>1.5/IF(Общие_или_заединицу="Общие трудозатраты",1,1)</f>
        <v>1.5</v>
      </c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6">
        <f>6/IF(Общие_или_заединицу="Общие трудозатраты",1,1)</f>
        <v>6</v>
      </c>
      <c r="AV211" s="47"/>
      <c r="AW211" s="47"/>
      <c r="AX211" s="47"/>
      <c r="AY211" s="47"/>
      <c r="AZ211" s="47"/>
      <c r="BA211" s="47"/>
      <c r="BB211" s="47"/>
      <c r="BC211" s="47"/>
    </row>
    <row r="212" spans="1:55" x14ac:dyDescent="0.25">
      <c r="A212" s="45" t="s">
        <v>881</v>
      </c>
      <c r="B212" s="46">
        <f t="shared" si="5"/>
        <v>5</v>
      </c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6">
        <f>5/IF(Общие_или_заединицу="Общие трудозатраты",1,1)</f>
        <v>5</v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7"/>
      <c r="BA212" s="47"/>
      <c r="BB212" s="47"/>
      <c r="BC212" s="47"/>
    </row>
    <row r="213" spans="1:55" x14ac:dyDescent="0.25">
      <c r="A213" s="45" t="s">
        <v>887</v>
      </c>
      <c r="B213" s="46">
        <f t="shared" si="5"/>
        <v>72.5</v>
      </c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6">
        <f>6/IF(Общие_или_заединицу="Общие трудозатраты",1,1)</f>
        <v>6</v>
      </c>
      <c r="U213" s="47"/>
      <c r="V213" s="47"/>
      <c r="W213" s="47"/>
      <c r="X213" s="46">
        <f>1.5/IF(Общие_или_заединицу="Общие трудозатраты",1,1)</f>
        <v>1.5</v>
      </c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6">
        <f>5/IF(Общие_или_заединицу="Общие трудозатраты",1,1)</f>
        <v>5</v>
      </c>
      <c r="AQ213" s="47"/>
      <c r="AR213" s="47"/>
      <c r="AS213" s="47"/>
      <c r="AT213" s="47"/>
      <c r="AU213" s="47"/>
      <c r="AV213" s="46">
        <f>40/IF(Общие_или_заединицу="Общие трудозатраты",1,1)</f>
        <v>40</v>
      </c>
      <c r="AW213" s="47"/>
      <c r="AX213" s="47"/>
      <c r="AY213" s="47"/>
      <c r="AZ213" s="46">
        <f>20/IF(Общие_или_заединицу="Общие трудозатраты",1,1)</f>
        <v>20</v>
      </c>
      <c r="BA213" s="47"/>
      <c r="BB213" s="47"/>
      <c r="BC213" s="47"/>
    </row>
    <row r="214" spans="1:55" x14ac:dyDescent="0.25">
      <c r="A214" s="45" t="s">
        <v>888</v>
      </c>
      <c r="B214" s="46">
        <f t="shared" si="5"/>
        <v>8.5</v>
      </c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6">
        <f>2/IF(Общие_или_заединицу="Общие трудозатраты",1,1)</f>
        <v>2</v>
      </c>
      <c r="U214" s="47"/>
      <c r="V214" s="47"/>
      <c r="W214" s="47"/>
      <c r="X214" s="46">
        <f>1.5/IF(Общие_или_заединицу="Общие трудозатраты",1,1)</f>
        <v>1.5</v>
      </c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6">
        <f>5/IF(Общие_или_заединицу="Общие трудозатраты",1,1)</f>
        <v>5</v>
      </c>
      <c r="AV214" s="47"/>
      <c r="AW214" s="47"/>
      <c r="AX214" s="47"/>
      <c r="AY214" s="47"/>
      <c r="AZ214" s="47"/>
      <c r="BA214" s="47"/>
      <c r="BB214" s="47"/>
      <c r="BC214" s="47"/>
    </row>
    <row r="215" spans="1:55" x14ac:dyDescent="0.25">
      <c r="A215" s="45" t="s">
        <v>856</v>
      </c>
      <c r="B215" s="46">
        <f t="shared" si="5"/>
        <v>367</v>
      </c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6">
        <f>300/IF(Общие_или_заединицу="Общие трудозатраты",1,1)</f>
        <v>300</v>
      </c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6">
        <f>67/IF(Общие_или_заединицу="Общие трудозатраты",1,1)</f>
        <v>67</v>
      </c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7"/>
      <c r="BA215" s="47"/>
      <c r="BB215" s="47"/>
      <c r="BC215" s="47"/>
    </row>
    <row r="216" spans="1:55" x14ac:dyDescent="0.25">
      <c r="A216" s="45" t="s">
        <v>890</v>
      </c>
      <c r="B216" s="46">
        <f t="shared" si="5"/>
        <v>52</v>
      </c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6">
        <f>52/IF(Общие_или_заединицу="Общие трудозатраты",1,1)</f>
        <v>52</v>
      </c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7"/>
      <c r="BA216" s="47"/>
      <c r="BB216" s="47"/>
      <c r="BC216" s="47"/>
    </row>
    <row r="217" spans="1:55" x14ac:dyDescent="0.25">
      <c r="A217" s="45" t="s">
        <v>894</v>
      </c>
      <c r="B217" s="46">
        <f t="shared" si="5"/>
        <v>18.3</v>
      </c>
      <c r="C217" s="47"/>
      <c r="D217" s="47"/>
      <c r="E217" s="46">
        <f>12/IF(Общие_или_заединицу="Общие трудозатраты",1,1)</f>
        <v>12</v>
      </c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6">
        <f>4.3/IF(Общие_или_заединицу="Общие трудозатраты",1,1)</f>
        <v>4.3</v>
      </c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6">
        <f>2/IF(Общие_или_заединицу="Общие трудозатраты",1,1)</f>
        <v>2</v>
      </c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7"/>
      <c r="BA217" s="47"/>
      <c r="BB217" s="47"/>
      <c r="BC217" s="47"/>
    </row>
    <row r="218" spans="1:55" x14ac:dyDescent="0.25">
      <c r="A218" s="45" t="s">
        <v>895</v>
      </c>
      <c r="B218" s="46">
        <f t="shared" si="5"/>
        <v>13.5</v>
      </c>
      <c r="C218" s="47"/>
      <c r="D218" s="47"/>
      <c r="E218" s="46">
        <f>10/IF(Общие_или_заединицу="Общие трудозатраты",1,1)</f>
        <v>10</v>
      </c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6">
        <f>3.5/IF(Общие_или_заединицу="Общие трудозатраты",1,1)</f>
        <v>3.5</v>
      </c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7"/>
      <c r="BA218" s="47"/>
      <c r="BB218" s="47"/>
      <c r="BC218" s="47"/>
    </row>
    <row r="219" spans="1:55" x14ac:dyDescent="0.25">
      <c r="A219" s="45" t="s">
        <v>896</v>
      </c>
      <c r="B219" s="46">
        <f t="shared" si="5"/>
        <v>13.6</v>
      </c>
      <c r="C219" s="47"/>
      <c r="D219" s="47"/>
      <c r="E219" s="46">
        <f>10/IF(Общие_или_заединицу="Общие трудозатраты",1,1)</f>
        <v>10</v>
      </c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6">
        <f>3.6/IF(Общие_или_заединицу="Общие трудозатраты",1,1)</f>
        <v>3.6</v>
      </c>
      <c r="AB219" s="47"/>
      <c r="AC219" s="47"/>
      <c r="AD219" s="47"/>
      <c r="AE219" s="47"/>
      <c r="AF219" s="47"/>
      <c r="AG219" s="47"/>
      <c r="AH219" s="47"/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7"/>
      <c r="BA219" s="47"/>
      <c r="BB219" s="47"/>
      <c r="BC219" s="47"/>
    </row>
    <row r="220" spans="1:55" x14ac:dyDescent="0.25">
      <c r="A220" s="45" t="s">
        <v>897</v>
      </c>
      <c r="B220" s="46">
        <f t="shared" si="5"/>
        <v>6.6</v>
      </c>
      <c r="C220" s="47"/>
      <c r="D220" s="47"/>
      <c r="E220" s="46">
        <f>10/IF(Общие_или_заединицу="Общие трудозатраты",1,2)</f>
        <v>5</v>
      </c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6">
        <f>3.2/IF(Общие_или_заединицу="Общие трудозатраты",1,2)</f>
        <v>1.6</v>
      </c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7"/>
      <c r="BA220" s="47"/>
      <c r="BB220" s="47"/>
      <c r="BC220" s="47"/>
    </row>
    <row r="221" spans="1:55" x14ac:dyDescent="0.25">
      <c r="A221" s="45" t="s">
        <v>898</v>
      </c>
      <c r="B221" s="46">
        <f t="shared" si="5"/>
        <v>6.1</v>
      </c>
      <c r="C221" s="47"/>
      <c r="D221" s="47"/>
      <c r="E221" s="46">
        <f>5/IF(Общие_или_заединицу="Общие трудозатраты",1,1)</f>
        <v>5</v>
      </c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6">
        <f>1.1/IF(Общие_или_заединицу="Общие трудозатраты",1,1)</f>
        <v>1.1000000000000001</v>
      </c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7"/>
      <c r="BA221" s="47"/>
      <c r="BB221" s="47"/>
      <c r="BC221" s="47"/>
    </row>
    <row r="222" spans="1:55" x14ac:dyDescent="0.25">
      <c r="A222" s="45" t="s">
        <v>899</v>
      </c>
      <c r="B222" s="46">
        <f t="shared" si="5"/>
        <v>6.1</v>
      </c>
      <c r="C222" s="47"/>
      <c r="D222" s="47"/>
      <c r="E222" s="46">
        <f>5/IF(Общие_или_заединицу="Общие трудозатраты",1,1)</f>
        <v>5</v>
      </c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6">
        <f>1.1/IF(Общие_или_заединицу="Общие трудозатраты",1,1)</f>
        <v>1.1000000000000001</v>
      </c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AR222" s="47"/>
      <c r="AS222" s="47"/>
      <c r="AT222" s="47"/>
      <c r="AU222" s="47"/>
      <c r="AV222" s="47"/>
      <c r="AW222" s="47"/>
      <c r="AX222" s="47"/>
      <c r="AY222" s="47"/>
      <c r="AZ222" s="47"/>
      <c r="BA222" s="47"/>
      <c r="BB222" s="47"/>
      <c r="BC222" s="47"/>
    </row>
    <row r="223" spans="1:55" x14ac:dyDescent="0.25">
      <c r="A223" s="45" t="s">
        <v>900</v>
      </c>
      <c r="B223" s="46">
        <f t="shared" si="5"/>
        <v>0.25</v>
      </c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6">
        <f>0.5/IF(Общие_или_заединицу="Общие трудозатраты",1,2)</f>
        <v>0.25</v>
      </c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  <c r="AS223" s="47"/>
      <c r="AT223" s="47"/>
      <c r="AU223" s="47"/>
      <c r="AV223" s="47"/>
      <c r="AW223" s="47"/>
      <c r="AX223" s="47"/>
      <c r="AY223" s="47"/>
      <c r="AZ223" s="47"/>
      <c r="BA223" s="47"/>
      <c r="BB223" s="47"/>
      <c r="BC223" s="47"/>
    </row>
    <row r="224" spans="1:55" x14ac:dyDescent="0.25">
      <c r="A224" s="45" t="s">
        <v>901</v>
      </c>
      <c r="B224" s="46">
        <f t="shared" si="5"/>
        <v>11.2</v>
      </c>
      <c r="C224" s="47"/>
      <c r="D224" s="47"/>
      <c r="E224" s="46">
        <f>8/IF(Общие_или_заединицу="Общие трудозатраты",1,1)</f>
        <v>8</v>
      </c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6">
        <f>3.2/IF(Общие_или_заединицу="Общие трудозатраты",1,1)</f>
        <v>3.2</v>
      </c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AR224" s="47"/>
      <c r="AS224" s="47"/>
      <c r="AT224" s="47"/>
      <c r="AU224" s="47"/>
      <c r="AV224" s="47"/>
      <c r="AW224" s="47"/>
      <c r="AX224" s="47"/>
      <c r="AY224" s="47"/>
      <c r="AZ224" s="47"/>
      <c r="BA224" s="47"/>
      <c r="BB224" s="47"/>
      <c r="BC224" s="47"/>
    </row>
    <row r="225" spans="1:55" x14ac:dyDescent="0.25">
      <c r="A225" s="45" t="s">
        <v>902</v>
      </c>
      <c r="B225" s="46">
        <f t="shared" si="5"/>
        <v>9</v>
      </c>
      <c r="C225" s="47"/>
      <c r="D225" s="47"/>
      <c r="E225" s="46">
        <f>12/IF(Общие_или_заединицу="Общие трудозатраты",1,2)</f>
        <v>6</v>
      </c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6">
        <f>6/IF(Общие_или_заединицу="Общие трудозатраты",1,2)</f>
        <v>3</v>
      </c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AR225" s="47"/>
      <c r="AS225" s="47"/>
      <c r="AT225" s="47"/>
      <c r="AU225" s="47"/>
      <c r="AV225" s="47"/>
      <c r="AW225" s="47"/>
      <c r="AX225" s="47"/>
      <c r="AY225" s="47"/>
      <c r="AZ225" s="47"/>
      <c r="BA225" s="47"/>
      <c r="BB225" s="47"/>
      <c r="BC225" s="47"/>
    </row>
    <row r="226" spans="1:55" x14ac:dyDescent="0.25">
      <c r="A226" s="45" t="s">
        <v>891</v>
      </c>
      <c r="B226" s="46">
        <f t="shared" si="5"/>
        <v>588</v>
      </c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6">
        <f>120/IF(Общие_или_заединицу="Общие трудозатраты",1,1)</f>
        <v>120</v>
      </c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6">
        <f>468/IF(Общие_или_заединицу="Общие трудозатраты",1,1)</f>
        <v>468</v>
      </c>
      <c r="AP226" s="47"/>
      <c r="AQ226" s="47"/>
      <c r="AR226" s="47"/>
      <c r="AS226" s="47"/>
      <c r="AT226" s="47"/>
      <c r="AU226" s="47"/>
      <c r="AV226" s="47"/>
      <c r="AW226" s="47"/>
      <c r="AX226" s="47"/>
      <c r="AY226" s="47"/>
      <c r="AZ226" s="47"/>
      <c r="BA226" s="47"/>
      <c r="BB226" s="47"/>
      <c r="BC226" s="47"/>
    </row>
    <row r="227" spans="1:55" x14ac:dyDescent="0.25">
      <c r="A227" s="45" t="s">
        <v>907</v>
      </c>
      <c r="B227" s="46">
        <f t="shared" si="5"/>
        <v>15.5</v>
      </c>
      <c r="C227" s="47"/>
      <c r="D227" s="47"/>
      <c r="E227" s="46">
        <f>60/IF(Общие_или_заединицу="Общие трудозатраты",1,6)</f>
        <v>10</v>
      </c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6">
        <f>33/IF(Общие_или_заединицу="Общие трудозатраты",1,6)</f>
        <v>5.5</v>
      </c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AR227" s="47"/>
      <c r="AS227" s="47"/>
      <c r="AT227" s="47"/>
      <c r="AU227" s="47"/>
      <c r="AV227" s="47"/>
      <c r="AW227" s="47"/>
      <c r="AX227" s="47"/>
      <c r="AY227" s="47"/>
      <c r="AZ227" s="47"/>
      <c r="BA227" s="47"/>
      <c r="BB227" s="47"/>
      <c r="BC227" s="47"/>
    </row>
    <row r="228" spans="1:55" x14ac:dyDescent="0.25">
      <c r="A228" s="45" t="s">
        <v>908</v>
      </c>
      <c r="B228" s="46">
        <f t="shared" si="5"/>
        <v>16.600000000000001</v>
      </c>
      <c r="C228" s="47"/>
      <c r="D228" s="47"/>
      <c r="E228" s="46">
        <f>32/IF(Общие_или_заединицу="Общие трудозатраты",1,4)</f>
        <v>8</v>
      </c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6">
        <f>34.4/IF(Общие_или_заединицу="Общие трудозатраты",1,4)</f>
        <v>8.6</v>
      </c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</row>
    <row r="229" spans="1:55" x14ac:dyDescent="0.25">
      <c r="A229" s="45" t="s">
        <v>909</v>
      </c>
      <c r="B229" s="46">
        <f t="shared" si="5"/>
        <v>12</v>
      </c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6">
        <f>192/IF(Общие_или_заединицу="Общие трудозатраты",1,16)</f>
        <v>12</v>
      </c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AR229" s="47"/>
      <c r="AS229" s="47"/>
      <c r="AT229" s="47"/>
      <c r="AU229" s="47"/>
      <c r="AV229" s="47"/>
      <c r="AW229" s="47"/>
      <c r="AX229" s="47"/>
      <c r="AY229" s="47"/>
      <c r="AZ229" s="47"/>
      <c r="BA229" s="47"/>
      <c r="BB229" s="47"/>
      <c r="BC229" s="47"/>
    </row>
    <row r="230" spans="1:55" x14ac:dyDescent="0.25">
      <c r="A230" s="45" t="s">
        <v>910</v>
      </c>
      <c r="B230" s="46">
        <f t="shared" si="5"/>
        <v>0.8</v>
      </c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6">
        <f>12.8/IF(Общие_или_заединицу="Общие трудозатраты",1,16)</f>
        <v>0.8</v>
      </c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  <c r="AX230" s="47"/>
      <c r="AY230" s="47"/>
      <c r="AZ230" s="47"/>
      <c r="BA230" s="47"/>
      <c r="BB230" s="47"/>
      <c r="BC230" s="47"/>
    </row>
    <row r="231" spans="1:55" x14ac:dyDescent="0.25">
      <c r="A231" s="45" t="s">
        <v>911</v>
      </c>
      <c r="B231" s="46">
        <f t="shared" si="5"/>
        <v>0.5</v>
      </c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6">
        <f>8/IF(Общие_или_заединицу="Общие трудозатраты",1,16)</f>
        <v>0.5</v>
      </c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  <c r="AM231" s="47"/>
      <c r="AN231" s="47"/>
      <c r="AO231" s="47"/>
      <c r="AP231" s="47"/>
      <c r="AQ231" s="47"/>
      <c r="AR231" s="47"/>
      <c r="AS231" s="47"/>
      <c r="AT231" s="47"/>
      <c r="AU231" s="47"/>
      <c r="AV231" s="47"/>
      <c r="AW231" s="47"/>
      <c r="AX231" s="47"/>
      <c r="AY231" s="47"/>
      <c r="AZ231" s="47"/>
      <c r="BA231" s="47"/>
      <c r="BB231" s="47"/>
      <c r="BC231" s="47"/>
    </row>
    <row r="232" spans="1:55" x14ac:dyDescent="0.25">
      <c r="A232" s="45" t="s">
        <v>912</v>
      </c>
      <c r="B232" s="46">
        <f t="shared" si="5"/>
        <v>1.5</v>
      </c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6">
        <f>45/IF(Общие_или_заединицу="Общие трудозатраты",1,30)</f>
        <v>1.5</v>
      </c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  <c r="AM232" s="47"/>
      <c r="AN232" s="47"/>
      <c r="AO232" s="47"/>
      <c r="AP232" s="47"/>
      <c r="AQ232" s="47"/>
      <c r="AR232" s="47"/>
      <c r="AS232" s="47"/>
      <c r="AT232" s="47"/>
      <c r="AU232" s="47"/>
      <c r="AV232" s="47"/>
      <c r="AW232" s="47"/>
      <c r="AX232" s="47"/>
      <c r="AY232" s="47"/>
      <c r="AZ232" s="47"/>
      <c r="BA232" s="47"/>
      <c r="BB232" s="47"/>
      <c r="BC232" s="47"/>
    </row>
    <row r="233" spans="1:55" x14ac:dyDescent="0.25">
      <c r="A233" s="45" t="s">
        <v>913</v>
      </c>
      <c r="B233" s="46">
        <f t="shared" si="5"/>
        <v>1.4</v>
      </c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6">
        <f>5.6/IF(Общие_или_заединицу="Общие трудозатраты",1,4)</f>
        <v>1.4</v>
      </c>
      <c r="AB233" s="47"/>
      <c r="AC233" s="47"/>
      <c r="AD233" s="47"/>
      <c r="AE233" s="47"/>
      <c r="AF233" s="47"/>
      <c r="AG233" s="47"/>
      <c r="AH233" s="47"/>
      <c r="AI233" s="47"/>
      <c r="AJ233" s="47"/>
      <c r="AK233" s="47"/>
      <c r="AL233" s="47"/>
      <c r="AM233" s="47"/>
      <c r="AN233" s="47"/>
      <c r="AO233" s="47"/>
      <c r="AP233" s="47"/>
      <c r="AQ233" s="47"/>
      <c r="AR233" s="47"/>
      <c r="AS233" s="47"/>
      <c r="AT233" s="47"/>
      <c r="AU233" s="47"/>
      <c r="AV233" s="47"/>
      <c r="AW233" s="47"/>
      <c r="AX233" s="47"/>
      <c r="AY233" s="47"/>
      <c r="AZ233" s="47"/>
      <c r="BA233" s="47"/>
      <c r="BB233" s="47"/>
      <c r="BC233" s="47"/>
    </row>
    <row r="234" spans="1:55" x14ac:dyDescent="0.25">
      <c r="A234" s="45" t="s">
        <v>903</v>
      </c>
      <c r="B234" s="46">
        <f t="shared" si="5"/>
        <v>20</v>
      </c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  <c r="AB234" s="47"/>
      <c r="AC234" s="47"/>
      <c r="AD234" s="47"/>
      <c r="AE234" s="47"/>
      <c r="AF234" s="47"/>
      <c r="AG234" s="47"/>
      <c r="AH234" s="47"/>
      <c r="AI234" s="47"/>
      <c r="AJ234" s="47"/>
      <c r="AK234" s="47"/>
      <c r="AL234" s="47"/>
      <c r="AM234" s="47"/>
      <c r="AN234" s="47"/>
      <c r="AO234" s="46">
        <f>20/IF(Общие_или_заединицу="Общие трудозатраты",1,1)</f>
        <v>20</v>
      </c>
      <c r="AP234" s="47"/>
      <c r="AQ234" s="47"/>
      <c r="AR234" s="47"/>
      <c r="AS234" s="47"/>
      <c r="AT234" s="47"/>
      <c r="AU234" s="47"/>
      <c r="AV234" s="47"/>
      <c r="AW234" s="47"/>
      <c r="AX234" s="47"/>
      <c r="AY234" s="47"/>
      <c r="AZ234" s="47"/>
      <c r="BA234" s="47"/>
      <c r="BB234" s="47"/>
      <c r="BC234" s="47"/>
    </row>
    <row r="235" spans="1:55" x14ac:dyDescent="0.25">
      <c r="A235" s="45" t="s">
        <v>914</v>
      </c>
      <c r="B235" s="46">
        <f t="shared" si="5"/>
        <v>20.5</v>
      </c>
      <c r="C235" s="47"/>
      <c r="D235" s="47"/>
      <c r="E235" s="46">
        <f>12/IF(Общие_или_заединицу="Общие трудозатраты",1,1)</f>
        <v>12</v>
      </c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6">
        <f>8.5/IF(Общие_или_заединицу="Общие трудозатраты",1,1)</f>
        <v>8.5</v>
      </c>
      <c r="T235" s="47"/>
      <c r="U235" s="47"/>
      <c r="V235" s="47"/>
      <c r="W235" s="47"/>
      <c r="X235" s="47"/>
      <c r="Y235" s="47"/>
      <c r="Z235" s="47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  <c r="AM235" s="47"/>
      <c r="AN235" s="47"/>
      <c r="AO235" s="47"/>
      <c r="AP235" s="47"/>
      <c r="AQ235" s="47"/>
      <c r="AR235" s="47"/>
      <c r="AS235" s="47"/>
      <c r="AT235" s="47"/>
      <c r="AU235" s="47"/>
      <c r="AV235" s="47"/>
      <c r="AW235" s="47"/>
      <c r="AX235" s="47"/>
      <c r="AY235" s="47"/>
      <c r="AZ235" s="47"/>
      <c r="BA235" s="47"/>
      <c r="BB235" s="47"/>
      <c r="BC235" s="47"/>
    </row>
    <row r="236" spans="1:55" x14ac:dyDescent="0.25">
      <c r="A236" s="45" t="s">
        <v>880</v>
      </c>
      <c r="B236" s="46">
        <f t="shared" si="5"/>
        <v>34.9</v>
      </c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6">
        <f>29.4/IF(Общие_или_заединицу="Общие трудозатраты",1,6)</f>
        <v>4.8999999999999995</v>
      </c>
      <c r="U236" s="47"/>
      <c r="V236" s="47"/>
      <c r="W236" s="47"/>
      <c r="X236" s="47"/>
      <c r="Y236" s="47"/>
      <c r="Z236" s="47"/>
      <c r="AA236" s="47"/>
      <c r="AB236" s="47"/>
      <c r="AC236" s="47"/>
      <c r="AD236" s="47"/>
      <c r="AE236" s="47"/>
      <c r="AF236" s="47"/>
      <c r="AG236" s="47"/>
      <c r="AH236" s="47"/>
      <c r="AI236" s="47"/>
      <c r="AJ236" s="47"/>
      <c r="AK236" s="47"/>
      <c r="AL236" s="47"/>
      <c r="AM236" s="47"/>
      <c r="AN236" s="47"/>
      <c r="AO236" s="47"/>
      <c r="AP236" s="47"/>
      <c r="AQ236" s="47"/>
      <c r="AR236" s="47"/>
      <c r="AS236" s="47"/>
      <c r="AT236" s="47"/>
      <c r="AU236" s="47"/>
      <c r="AV236" s="46">
        <f>180/IF(Общие_или_заединицу="Общие трудозатраты",1,6)</f>
        <v>30</v>
      </c>
      <c r="AW236" s="47"/>
      <c r="AX236" s="47"/>
      <c r="AY236" s="47"/>
      <c r="AZ236" s="47"/>
      <c r="BA236" s="47"/>
      <c r="BB236" s="47"/>
      <c r="BC236" s="47"/>
    </row>
    <row r="237" spans="1:55" x14ac:dyDescent="0.25">
      <c r="A237" s="45" t="s">
        <v>915</v>
      </c>
      <c r="B237" s="46">
        <f t="shared" si="5"/>
        <v>4.25</v>
      </c>
      <c r="C237" s="47"/>
      <c r="D237" s="46">
        <f>48/IF(Общие_или_заединицу="Общие трудозатраты",1,12)</f>
        <v>4</v>
      </c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6">
        <f>3/IF(Общие_или_заединицу="Общие трудозатраты",1,12)</f>
        <v>0.25</v>
      </c>
      <c r="T237" s="47"/>
      <c r="U237" s="47"/>
      <c r="V237" s="47"/>
      <c r="W237" s="47"/>
      <c r="X237" s="47"/>
      <c r="Y237" s="47"/>
      <c r="Z237" s="47"/>
      <c r="AA237" s="47"/>
      <c r="AB237" s="47"/>
      <c r="AC237" s="47"/>
      <c r="AD237" s="47"/>
      <c r="AE237" s="47"/>
      <c r="AF237" s="47"/>
      <c r="AG237" s="47"/>
      <c r="AH237" s="47"/>
      <c r="AI237" s="47"/>
      <c r="AJ237" s="47"/>
      <c r="AK237" s="47"/>
      <c r="AL237" s="47"/>
      <c r="AM237" s="47"/>
      <c r="AN237" s="47"/>
      <c r="AO237" s="47"/>
      <c r="AP237" s="47"/>
      <c r="AQ237" s="47"/>
      <c r="AR237" s="47"/>
      <c r="AS237" s="47"/>
      <c r="AT237" s="47"/>
      <c r="AU237" s="47"/>
      <c r="AV237" s="47"/>
      <c r="AW237" s="47"/>
      <c r="AX237" s="47"/>
      <c r="AY237" s="47"/>
      <c r="AZ237" s="47"/>
      <c r="BA237" s="47"/>
      <c r="BB237" s="47"/>
      <c r="BC237" s="47"/>
    </row>
    <row r="238" spans="1:55" x14ac:dyDescent="0.25">
      <c r="A238" s="45" t="s">
        <v>916</v>
      </c>
      <c r="B238" s="46">
        <f t="shared" si="5"/>
        <v>7.7</v>
      </c>
      <c r="C238" s="47"/>
      <c r="D238" s="47"/>
      <c r="E238" s="46">
        <f>6/IF(Общие_или_заединицу="Общие трудозатраты",1,1)</f>
        <v>6</v>
      </c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6">
        <f>1.7/IF(Общие_или_заединицу="Общие трудозатраты",1,1)</f>
        <v>1.7</v>
      </c>
      <c r="T238" s="47"/>
      <c r="U238" s="47"/>
      <c r="V238" s="47"/>
      <c r="W238" s="47"/>
      <c r="X238" s="47"/>
      <c r="Y238" s="47"/>
      <c r="Z238" s="47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  <c r="AM238" s="47"/>
      <c r="AN238" s="47"/>
      <c r="AO238" s="47"/>
      <c r="AP238" s="47"/>
      <c r="AQ238" s="47"/>
      <c r="AR238" s="47"/>
      <c r="AS238" s="47"/>
      <c r="AT238" s="47"/>
      <c r="AU238" s="47"/>
      <c r="AV238" s="47"/>
      <c r="AW238" s="47"/>
      <c r="AX238" s="47"/>
      <c r="AY238" s="47"/>
      <c r="AZ238" s="47"/>
      <c r="BA238" s="47"/>
      <c r="BB238" s="47"/>
      <c r="BC238" s="47"/>
    </row>
    <row r="239" spans="1:55" x14ac:dyDescent="0.25">
      <c r="A239" s="45" t="s">
        <v>917</v>
      </c>
      <c r="B239" s="46">
        <f t="shared" si="5"/>
        <v>7.7</v>
      </c>
      <c r="C239" s="47"/>
      <c r="D239" s="47"/>
      <c r="E239" s="46">
        <f>6/IF(Общие_или_заединицу="Общие трудозатраты",1,1)</f>
        <v>6</v>
      </c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6">
        <f>1.7/IF(Общие_или_заединицу="Общие трудозатраты",1,1)</f>
        <v>1.7</v>
      </c>
      <c r="T239" s="47"/>
      <c r="U239" s="47"/>
      <c r="V239" s="47"/>
      <c r="W239" s="47"/>
      <c r="X239" s="47"/>
      <c r="Y239" s="47"/>
      <c r="Z239" s="47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  <c r="AM239" s="47"/>
      <c r="AN239" s="47"/>
      <c r="AO239" s="47"/>
      <c r="AP239" s="47"/>
      <c r="AQ239" s="47"/>
      <c r="AR239" s="47"/>
      <c r="AS239" s="47"/>
      <c r="AT239" s="47"/>
      <c r="AU239" s="47"/>
      <c r="AV239" s="47"/>
      <c r="AW239" s="47"/>
      <c r="AX239" s="47"/>
      <c r="AY239" s="47"/>
      <c r="AZ239" s="47"/>
      <c r="BA239" s="47"/>
      <c r="BB239" s="47"/>
      <c r="BC239" s="47"/>
    </row>
    <row r="240" spans="1:55" x14ac:dyDescent="0.25">
      <c r="A240" s="45" t="s">
        <v>918</v>
      </c>
      <c r="B240" s="46">
        <f t="shared" si="5"/>
        <v>0.2</v>
      </c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6">
        <f>0.4/IF(Общие_или_заединицу="Общие трудозатраты",1,2)</f>
        <v>0.2</v>
      </c>
      <c r="T240" s="47"/>
      <c r="U240" s="47"/>
      <c r="V240" s="47"/>
      <c r="W240" s="47"/>
      <c r="X240" s="47"/>
      <c r="Y240" s="47"/>
      <c r="Z240" s="47"/>
      <c r="AA240" s="47"/>
      <c r="AB240" s="47"/>
      <c r="AC240" s="47"/>
      <c r="AD240" s="47"/>
      <c r="AE240" s="47"/>
      <c r="AF240" s="47"/>
      <c r="AG240" s="47"/>
      <c r="AH240" s="47"/>
      <c r="AI240" s="47"/>
      <c r="AJ240" s="47"/>
      <c r="AK240" s="47"/>
      <c r="AL240" s="47"/>
      <c r="AM240" s="47"/>
      <c r="AN240" s="47"/>
      <c r="AO240" s="47"/>
      <c r="AP240" s="47"/>
      <c r="AQ240" s="47"/>
      <c r="AR240" s="47"/>
      <c r="AS240" s="47"/>
      <c r="AT240" s="47"/>
      <c r="AU240" s="47"/>
      <c r="AV240" s="47"/>
      <c r="AW240" s="47"/>
      <c r="AX240" s="47"/>
      <c r="AY240" s="47"/>
      <c r="AZ240" s="47"/>
      <c r="BA240" s="47"/>
      <c r="BB240" s="47"/>
      <c r="BC240" s="47"/>
    </row>
    <row r="241" spans="1:55" x14ac:dyDescent="0.25">
      <c r="A241" s="45" t="s">
        <v>904</v>
      </c>
      <c r="B241" s="46">
        <f t="shared" si="5"/>
        <v>20</v>
      </c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  <c r="AM241" s="47"/>
      <c r="AN241" s="47"/>
      <c r="AO241" s="46">
        <f>20/IF(Общие_или_заединицу="Общие трудозатраты",1,1)</f>
        <v>20</v>
      </c>
      <c r="AP241" s="47"/>
      <c r="AQ241" s="47"/>
      <c r="AR241" s="47"/>
      <c r="AS241" s="47"/>
      <c r="AT241" s="47"/>
      <c r="AU241" s="47"/>
      <c r="AV241" s="47"/>
      <c r="AW241" s="47"/>
      <c r="AX241" s="47"/>
      <c r="AY241" s="47"/>
      <c r="AZ241" s="47"/>
      <c r="BA241" s="47"/>
      <c r="BB241" s="47"/>
      <c r="BC241" s="47"/>
    </row>
    <row r="242" spans="1:55" x14ac:dyDescent="0.25">
      <c r="A242" s="45" t="s">
        <v>919</v>
      </c>
      <c r="B242" s="46">
        <f t="shared" si="5"/>
        <v>20</v>
      </c>
      <c r="C242" s="47"/>
      <c r="D242" s="47"/>
      <c r="E242" s="46">
        <f>12/IF(Общие_или_заединицу="Общие трудозатраты",1,1)</f>
        <v>12</v>
      </c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6">
        <f>8/IF(Общие_или_заединицу="Общие трудозатраты",1,1)</f>
        <v>8</v>
      </c>
      <c r="T242" s="47"/>
      <c r="U242" s="47"/>
      <c r="V242" s="47"/>
      <c r="W242" s="47"/>
      <c r="X242" s="47"/>
      <c r="Y242" s="47"/>
      <c r="Z242" s="47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  <c r="AM242" s="47"/>
      <c r="AN242" s="47"/>
      <c r="AO242" s="47"/>
      <c r="AP242" s="47"/>
      <c r="AQ242" s="47"/>
      <c r="AR242" s="47"/>
      <c r="AS242" s="47"/>
      <c r="AT242" s="47"/>
      <c r="AU242" s="47"/>
      <c r="AV242" s="47"/>
      <c r="AW242" s="47"/>
      <c r="AX242" s="47"/>
      <c r="AY242" s="47"/>
      <c r="AZ242" s="47"/>
      <c r="BA242" s="47"/>
      <c r="BB242" s="47"/>
      <c r="BC242" s="47"/>
    </row>
    <row r="243" spans="1:55" x14ac:dyDescent="0.25">
      <c r="A243" s="45" t="s">
        <v>920</v>
      </c>
      <c r="B243" s="46">
        <f t="shared" si="5"/>
        <v>6.8</v>
      </c>
      <c r="C243" s="47"/>
      <c r="D243" s="47"/>
      <c r="E243" s="46">
        <f>10/IF(Общие_или_заединицу="Общие трудозатраты",1,2)</f>
        <v>5</v>
      </c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6">
        <f>3.6/IF(Общие_или_заединицу="Общие трудозатраты",1,2)</f>
        <v>1.8</v>
      </c>
      <c r="T243" s="47"/>
      <c r="U243" s="47"/>
      <c r="V243" s="47"/>
      <c r="W243" s="47"/>
      <c r="X243" s="47"/>
      <c r="Y243" s="47"/>
      <c r="Z243" s="47"/>
      <c r="AA243" s="47"/>
      <c r="AB243" s="47"/>
      <c r="AC243" s="47"/>
      <c r="AD243" s="47"/>
      <c r="AE243" s="47"/>
      <c r="AF243" s="47"/>
      <c r="AG243" s="47"/>
      <c r="AH243" s="47"/>
      <c r="AI243" s="47"/>
      <c r="AJ243" s="47"/>
      <c r="AK243" s="47"/>
      <c r="AL243" s="47"/>
      <c r="AM243" s="47"/>
      <c r="AN243" s="47"/>
      <c r="AO243" s="47"/>
      <c r="AP243" s="47"/>
      <c r="AQ243" s="47"/>
      <c r="AR243" s="47"/>
      <c r="AS243" s="47"/>
      <c r="AT243" s="47"/>
      <c r="AU243" s="47"/>
      <c r="AV243" s="47"/>
      <c r="AW243" s="47"/>
      <c r="AX243" s="47"/>
      <c r="AY243" s="47"/>
      <c r="AZ243" s="47"/>
      <c r="BA243" s="47"/>
      <c r="BB243" s="47"/>
      <c r="BC243" s="47"/>
    </row>
    <row r="244" spans="1:55" x14ac:dyDescent="0.25">
      <c r="A244" s="45" t="s">
        <v>921</v>
      </c>
      <c r="B244" s="46">
        <f t="shared" si="5"/>
        <v>0.2</v>
      </c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6">
        <f>0.4/IF(Общие_или_заединицу="Общие трудозатраты",1,2)</f>
        <v>0.2</v>
      </c>
      <c r="T244" s="47"/>
      <c r="U244" s="47"/>
      <c r="V244" s="47"/>
      <c r="W244" s="47"/>
      <c r="X244" s="47"/>
      <c r="Y244" s="47"/>
      <c r="Z244" s="47"/>
      <c r="AA244" s="47"/>
      <c r="AB244" s="47"/>
      <c r="AC244" s="47"/>
      <c r="AD244" s="47"/>
      <c r="AE244" s="47"/>
      <c r="AF244" s="47"/>
      <c r="AG244" s="47"/>
      <c r="AH244" s="47"/>
      <c r="AI244" s="47"/>
      <c r="AJ244" s="47"/>
      <c r="AK244" s="47"/>
      <c r="AL244" s="47"/>
      <c r="AM244" s="47"/>
      <c r="AN244" s="47"/>
      <c r="AO244" s="47"/>
      <c r="AP244" s="47"/>
      <c r="AQ244" s="47"/>
      <c r="AR244" s="47"/>
      <c r="AS244" s="47"/>
      <c r="AT244" s="47"/>
      <c r="AU244" s="47"/>
      <c r="AV244" s="47"/>
      <c r="AW244" s="47"/>
      <c r="AX244" s="47"/>
      <c r="AY244" s="47"/>
      <c r="AZ244" s="47"/>
      <c r="BA244" s="47"/>
      <c r="BB244" s="47"/>
      <c r="BC244" s="47"/>
    </row>
    <row r="245" spans="1:55" x14ac:dyDescent="0.25">
      <c r="A245" s="45" t="s">
        <v>905</v>
      </c>
      <c r="B245" s="46">
        <f t="shared" si="5"/>
        <v>6</v>
      </c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  <c r="AB245" s="47"/>
      <c r="AC245" s="47"/>
      <c r="AD245" s="47"/>
      <c r="AE245" s="47"/>
      <c r="AF245" s="47"/>
      <c r="AG245" s="47"/>
      <c r="AH245" s="47"/>
      <c r="AI245" s="47"/>
      <c r="AJ245" s="47"/>
      <c r="AK245" s="47"/>
      <c r="AL245" s="47"/>
      <c r="AM245" s="47"/>
      <c r="AN245" s="47"/>
      <c r="AO245" s="46">
        <f>6/IF(Общие_или_заединицу="Общие трудозатраты",1,1)</f>
        <v>6</v>
      </c>
      <c r="AP245" s="47"/>
      <c r="AQ245" s="47"/>
      <c r="AR245" s="47"/>
      <c r="AS245" s="47"/>
      <c r="AT245" s="47"/>
      <c r="AU245" s="47"/>
      <c r="AV245" s="47"/>
      <c r="AW245" s="47"/>
      <c r="AX245" s="47"/>
      <c r="AY245" s="47"/>
      <c r="AZ245" s="47"/>
      <c r="BA245" s="47"/>
      <c r="BB245" s="47"/>
      <c r="BC245" s="47"/>
    </row>
    <row r="246" spans="1:55" x14ac:dyDescent="0.25">
      <c r="A246" s="45" t="s">
        <v>906</v>
      </c>
      <c r="B246" s="46">
        <f t="shared" si="5"/>
        <v>6</v>
      </c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  <c r="AB246" s="47"/>
      <c r="AC246" s="47"/>
      <c r="AD246" s="47"/>
      <c r="AE246" s="47"/>
      <c r="AF246" s="47"/>
      <c r="AG246" s="47"/>
      <c r="AH246" s="47"/>
      <c r="AI246" s="47"/>
      <c r="AJ246" s="47"/>
      <c r="AK246" s="47"/>
      <c r="AL246" s="47"/>
      <c r="AM246" s="47"/>
      <c r="AN246" s="47"/>
      <c r="AO246" s="46">
        <f>6/IF(Общие_или_заединицу="Общие трудозатраты",1,1)</f>
        <v>6</v>
      </c>
      <c r="AP246" s="47"/>
      <c r="AQ246" s="47"/>
      <c r="AR246" s="47"/>
      <c r="AS246" s="47"/>
      <c r="AT246" s="47"/>
      <c r="AU246" s="47"/>
      <c r="AV246" s="47"/>
      <c r="AW246" s="47"/>
      <c r="AX246" s="47"/>
      <c r="AY246" s="47"/>
      <c r="AZ246" s="47"/>
      <c r="BA246" s="47"/>
      <c r="BB246" s="47"/>
      <c r="BC246" s="47"/>
    </row>
    <row r="247" spans="1:55" x14ac:dyDescent="0.25">
      <c r="A247" s="45" t="s">
        <v>922</v>
      </c>
      <c r="B247" s="46">
        <f t="shared" si="5"/>
        <v>4.8</v>
      </c>
      <c r="C247" s="47"/>
      <c r="D247" s="47"/>
      <c r="E247" s="46">
        <f>8/IF(Общие_или_заединицу="Общие трудозатраты",1,2)</f>
        <v>4</v>
      </c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6">
        <f>1.6/IF(Общие_или_заединицу="Общие трудозатраты",1,2)</f>
        <v>0.8</v>
      </c>
      <c r="AB247" s="47"/>
      <c r="AC247" s="47"/>
      <c r="AD247" s="47"/>
      <c r="AE247" s="47"/>
      <c r="AF247" s="47"/>
      <c r="AG247" s="47"/>
      <c r="AH247" s="47"/>
      <c r="AI247" s="47"/>
      <c r="AJ247" s="47"/>
      <c r="AK247" s="47"/>
      <c r="AL247" s="47"/>
      <c r="AM247" s="47"/>
      <c r="AN247" s="47"/>
      <c r="AO247" s="47"/>
      <c r="AP247" s="47"/>
      <c r="AQ247" s="47"/>
      <c r="AR247" s="47"/>
      <c r="AS247" s="47"/>
      <c r="AT247" s="47"/>
      <c r="AU247" s="47"/>
      <c r="AV247" s="47"/>
      <c r="AW247" s="47"/>
      <c r="AX247" s="47"/>
      <c r="AY247" s="47"/>
      <c r="AZ247" s="47"/>
      <c r="BA247" s="47"/>
      <c r="BB247" s="47"/>
      <c r="BC247" s="47"/>
    </row>
    <row r="248" spans="1:55" x14ac:dyDescent="0.25">
      <c r="A248" s="45" t="s">
        <v>923</v>
      </c>
      <c r="B248" s="46">
        <f t="shared" si="5"/>
        <v>15.5</v>
      </c>
      <c r="C248" s="47"/>
      <c r="D248" s="47"/>
      <c r="E248" s="46">
        <f>8/IF(Общие_или_заединицу="Общие трудозатраты",1,1)</f>
        <v>8</v>
      </c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6">
        <f>7.5/IF(Общие_или_заединицу="Общие трудозатраты",1,1)</f>
        <v>7.5</v>
      </c>
      <c r="AB248" s="47"/>
      <c r="AC248" s="47"/>
      <c r="AD248" s="47"/>
      <c r="AE248" s="47"/>
      <c r="AF248" s="47"/>
      <c r="AG248" s="47"/>
      <c r="AH248" s="47"/>
      <c r="AI248" s="47"/>
      <c r="AJ248" s="47"/>
      <c r="AK248" s="47"/>
      <c r="AL248" s="47"/>
      <c r="AM248" s="47"/>
      <c r="AN248" s="47"/>
      <c r="AO248" s="47"/>
      <c r="AP248" s="47"/>
      <c r="AQ248" s="47"/>
      <c r="AR248" s="47"/>
      <c r="AS248" s="47"/>
      <c r="AT248" s="47"/>
      <c r="AU248" s="47"/>
      <c r="AV248" s="47"/>
      <c r="AW248" s="47"/>
      <c r="AX248" s="47"/>
      <c r="AY248" s="47"/>
      <c r="AZ248" s="47"/>
      <c r="BA248" s="47"/>
      <c r="BB248" s="47"/>
      <c r="BC248" s="47"/>
    </row>
    <row r="249" spans="1:55" x14ac:dyDescent="0.25">
      <c r="A249" s="45" t="s">
        <v>924</v>
      </c>
      <c r="B249" s="46">
        <f t="shared" si="5"/>
        <v>15.4</v>
      </c>
      <c r="C249" s="47"/>
      <c r="D249" s="47"/>
      <c r="E249" s="46">
        <f>8/IF(Общие_или_заединицу="Общие трудозатраты",1,1)</f>
        <v>8</v>
      </c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6">
        <f>7.4/IF(Общие_или_заединицу="Общие трудозатраты",1,1)</f>
        <v>7.4</v>
      </c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  <c r="AM249" s="47"/>
      <c r="AN249" s="47"/>
      <c r="AO249" s="47"/>
      <c r="AP249" s="47"/>
      <c r="AQ249" s="47"/>
      <c r="AR249" s="47"/>
      <c r="AS249" s="47"/>
      <c r="AT249" s="47"/>
      <c r="AU249" s="47"/>
      <c r="AV249" s="47"/>
      <c r="AW249" s="47"/>
      <c r="AX249" s="47"/>
      <c r="AY249" s="47"/>
      <c r="AZ249" s="47"/>
      <c r="BA249" s="47"/>
      <c r="BB249" s="47"/>
      <c r="BC249" s="47"/>
    </row>
    <row r="250" spans="1:55" x14ac:dyDescent="0.25">
      <c r="A250" s="45" t="s">
        <v>892</v>
      </c>
      <c r="B250" s="46">
        <f t="shared" si="5"/>
        <v>3</v>
      </c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  <c r="AM250" s="47"/>
      <c r="AN250" s="47"/>
      <c r="AO250" s="46">
        <f>6/IF(Общие_или_заединицу="Общие трудозатраты",1,2)</f>
        <v>3</v>
      </c>
      <c r="AP250" s="47"/>
      <c r="AQ250" s="47"/>
      <c r="AR250" s="47"/>
      <c r="AS250" s="47"/>
      <c r="AT250" s="47"/>
      <c r="AU250" s="47"/>
      <c r="AV250" s="47"/>
      <c r="AW250" s="47"/>
      <c r="AX250" s="47"/>
      <c r="AY250" s="47"/>
      <c r="AZ250" s="47"/>
      <c r="BA250" s="47"/>
      <c r="BB250" s="47"/>
      <c r="BC250" s="47"/>
    </row>
    <row r="251" spans="1:55" x14ac:dyDescent="0.25">
      <c r="A251" s="45" t="s">
        <v>925</v>
      </c>
      <c r="B251" s="46">
        <f t="shared" si="5"/>
        <v>7.3</v>
      </c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6">
        <f>14.6/IF(Общие_или_заединицу="Общие трудозатраты",1,2)</f>
        <v>7.3</v>
      </c>
      <c r="AB251" s="47"/>
      <c r="AC251" s="47"/>
      <c r="AD251" s="47"/>
      <c r="AE251" s="47"/>
      <c r="AF251" s="47"/>
      <c r="AG251" s="47"/>
      <c r="AH251" s="47"/>
      <c r="AI251" s="47"/>
      <c r="AJ251" s="47"/>
      <c r="AK251" s="47"/>
      <c r="AL251" s="47"/>
      <c r="AM251" s="47"/>
      <c r="AN251" s="47"/>
      <c r="AO251" s="47"/>
      <c r="AP251" s="47"/>
      <c r="AQ251" s="47"/>
      <c r="AR251" s="47"/>
      <c r="AS251" s="47"/>
      <c r="AT251" s="47"/>
      <c r="AU251" s="47"/>
      <c r="AV251" s="47"/>
      <c r="AW251" s="47"/>
      <c r="AX251" s="47"/>
      <c r="AY251" s="47"/>
      <c r="AZ251" s="47"/>
      <c r="BA251" s="47"/>
      <c r="BB251" s="47"/>
      <c r="BC251" s="47"/>
    </row>
    <row r="252" spans="1:55" x14ac:dyDescent="0.25">
      <c r="A252" s="45" t="s">
        <v>926</v>
      </c>
      <c r="B252" s="46">
        <f t="shared" si="5"/>
        <v>0.2</v>
      </c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6">
        <f>1.6/IF(Общие_или_заединицу="Общие трудозатраты",1,8)</f>
        <v>0.2</v>
      </c>
      <c r="T252" s="47"/>
      <c r="U252" s="47"/>
      <c r="V252" s="47"/>
      <c r="W252" s="47"/>
      <c r="X252" s="47"/>
      <c r="Y252" s="47"/>
      <c r="Z252" s="47"/>
      <c r="AA252" s="47"/>
      <c r="AB252" s="47"/>
      <c r="AC252" s="47"/>
      <c r="AD252" s="47"/>
      <c r="AE252" s="47"/>
      <c r="AF252" s="47"/>
      <c r="AG252" s="47"/>
      <c r="AH252" s="47"/>
      <c r="AI252" s="47"/>
      <c r="AJ252" s="47"/>
      <c r="AK252" s="47"/>
      <c r="AL252" s="47"/>
      <c r="AM252" s="47"/>
      <c r="AN252" s="47"/>
      <c r="AO252" s="47"/>
      <c r="AP252" s="47"/>
      <c r="AQ252" s="47"/>
      <c r="AR252" s="47"/>
      <c r="AS252" s="47"/>
      <c r="AT252" s="47"/>
      <c r="AU252" s="47"/>
      <c r="AV252" s="47"/>
      <c r="AW252" s="47"/>
      <c r="AX252" s="47"/>
      <c r="AY252" s="47"/>
      <c r="AZ252" s="47"/>
      <c r="BA252" s="47"/>
      <c r="BB252" s="47"/>
      <c r="BC252" s="47"/>
    </row>
    <row r="253" spans="1:55" ht="22.5" x14ac:dyDescent="0.25">
      <c r="A253" s="45" t="s">
        <v>893</v>
      </c>
      <c r="B253" s="46">
        <f t="shared" si="5"/>
        <v>48</v>
      </c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  <c r="AB253" s="47"/>
      <c r="AC253" s="47"/>
      <c r="AD253" s="47"/>
      <c r="AE253" s="47"/>
      <c r="AF253" s="47"/>
      <c r="AG253" s="47"/>
      <c r="AH253" s="47"/>
      <c r="AI253" s="47"/>
      <c r="AJ253" s="47"/>
      <c r="AK253" s="47"/>
      <c r="AL253" s="47"/>
      <c r="AM253" s="47"/>
      <c r="AN253" s="47"/>
      <c r="AO253" s="46">
        <f>288/IF(Общие_или_заединицу="Общие трудозатраты",1,6)</f>
        <v>48</v>
      </c>
      <c r="AP253" s="47"/>
      <c r="AQ253" s="47"/>
      <c r="AR253" s="47"/>
      <c r="AS253" s="47"/>
      <c r="AT253" s="47"/>
      <c r="AU253" s="47"/>
      <c r="AV253" s="47"/>
      <c r="AW253" s="47"/>
      <c r="AX253" s="47"/>
      <c r="AY253" s="47"/>
      <c r="AZ253" s="47"/>
      <c r="BA253" s="47"/>
      <c r="BB253" s="47"/>
      <c r="BC253" s="47"/>
    </row>
    <row r="254" spans="1:55" x14ac:dyDescent="0.25">
      <c r="A254" s="45" t="s">
        <v>927</v>
      </c>
      <c r="B254" s="46">
        <f t="shared" si="5"/>
        <v>16</v>
      </c>
      <c r="C254" s="47"/>
      <c r="D254" s="47"/>
      <c r="E254" s="46">
        <f>36/IF(Общие_или_заединицу="Общие трудозатраты",1,6)</f>
        <v>6</v>
      </c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6">
        <f>60/IF(Общие_или_заединицу="Общие трудозатраты",1,6)</f>
        <v>10</v>
      </c>
      <c r="T254" s="47"/>
      <c r="U254" s="47"/>
      <c r="V254" s="47"/>
      <c r="W254" s="47"/>
      <c r="X254" s="47"/>
      <c r="Y254" s="47"/>
      <c r="Z254" s="47"/>
      <c r="AA254" s="47"/>
      <c r="AB254" s="47"/>
      <c r="AC254" s="47"/>
      <c r="AD254" s="47"/>
      <c r="AE254" s="47"/>
      <c r="AF254" s="47"/>
      <c r="AG254" s="47"/>
      <c r="AH254" s="47"/>
      <c r="AI254" s="47"/>
      <c r="AJ254" s="47"/>
      <c r="AK254" s="47"/>
      <c r="AL254" s="47"/>
      <c r="AM254" s="47"/>
      <c r="AN254" s="47"/>
      <c r="AO254" s="47"/>
      <c r="AP254" s="47"/>
      <c r="AQ254" s="47"/>
      <c r="AR254" s="47"/>
      <c r="AS254" s="47"/>
      <c r="AT254" s="47"/>
      <c r="AU254" s="47"/>
      <c r="AV254" s="47"/>
      <c r="AW254" s="47"/>
      <c r="AX254" s="47"/>
      <c r="AY254" s="47"/>
      <c r="AZ254" s="47"/>
      <c r="BA254" s="47"/>
      <c r="BB254" s="47"/>
      <c r="BC254" s="47"/>
    </row>
    <row r="255" spans="1:55" x14ac:dyDescent="0.25">
      <c r="A255" s="45" t="s">
        <v>928</v>
      </c>
      <c r="B255" s="46">
        <f t="shared" si="5"/>
        <v>16.5</v>
      </c>
      <c r="C255" s="47"/>
      <c r="D255" s="47"/>
      <c r="E255" s="46">
        <f>36/IF(Общие_или_заединицу="Общие трудозатраты",1,6)</f>
        <v>6</v>
      </c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  <c r="AB255" s="47"/>
      <c r="AC255" s="47"/>
      <c r="AD255" s="46">
        <f>18/IF(Общие_или_заединицу="Общие трудозатраты",1,6)*IF(Пробивка="Стандартная пробивная",1,3.5)</f>
        <v>10.5</v>
      </c>
      <c r="AE255" s="47"/>
      <c r="AF255" s="47"/>
      <c r="AG255" s="47"/>
      <c r="AH255" s="47"/>
      <c r="AI255" s="47"/>
      <c r="AJ255" s="47"/>
      <c r="AK255" s="47"/>
      <c r="AL255" s="47"/>
      <c r="AM255" s="47"/>
      <c r="AN255" s="47"/>
      <c r="AO255" s="47"/>
      <c r="AP255" s="47"/>
      <c r="AQ255" s="47"/>
      <c r="AR255" s="47"/>
      <c r="AS255" s="47"/>
      <c r="AT255" s="47"/>
      <c r="AU255" s="47"/>
      <c r="AV255" s="47"/>
      <c r="AW255" s="47"/>
      <c r="AX255" s="47"/>
      <c r="AY255" s="47"/>
      <c r="AZ255" s="47"/>
      <c r="BA255" s="47"/>
      <c r="BB255" s="47"/>
      <c r="BC255" s="47"/>
    </row>
    <row r="256" spans="1:55" x14ac:dyDescent="0.25">
      <c r="A256" s="45" t="s">
        <v>929</v>
      </c>
      <c r="B256" s="46">
        <f t="shared" si="5"/>
        <v>25.75</v>
      </c>
      <c r="C256" s="47"/>
      <c r="D256" s="47"/>
      <c r="E256" s="46">
        <f>60/IF(Общие_или_заединицу="Общие трудозатраты",1,6)</f>
        <v>10</v>
      </c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6">
        <f>27/IF(Общие_или_заединицу="Общие трудозатраты",1,6)*IF(Пробивка="Стандартная пробивная",1,3.5)</f>
        <v>15.75</v>
      </c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AR256" s="47"/>
      <c r="AS256" s="47"/>
      <c r="AT256" s="47"/>
      <c r="AU256" s="47"/>
      <c r="AV256" s="47"/>
      <c r="AW256" s="47"/>
      <c r="AX256" s="47"/>
      <c r="AY256" s="47"/>
      <c r="AZ256" s="47"/>
      <c r="BA256" s="47"/>
      <c r="BB256" s="47"/>
      <c r="BC256" s="47"/>
    </row>
    <row r="257" spans="1:55" x14ac:dyDescent="0.25">
      <c r="A257" s="45" t="s">
        <v>930</v>
      </c>
      <c r="B257" s="46">
        <f t="shared" si="5"/>
        <v>139</v>
      </c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6">
        <f>26/IF(Общие_или_заединицу="Общие трудозатраты",1,1)</f>
        <v>26</v>
      </c>
      <c r="U257" s="47"/>
      <c r="V257" s="47"/>
      <c r="W257" s="46">
        <f>3/IF(Общие_или_заединицу="Общие трудозатраты",1,1)</f>
        <v>3</v>
      </c>
      <c r="X257" s="47"/>
      <c r="Y257" s="47"/>
      <c r="Z257" s="47"/>
      <c r="AA257" s="47"/>
      <c r="AB257" s="47"/>
      <c r="AC257" s="47"/>
      <c r="AD257" s="47"/>
      <c r="AE257" s="46">
        <f>10/IF(Общие_или_заединицу="Общие трудозатраты",1,1)</f>
        <v>10</v>
      </c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6">
        <f>10/IF(Общие_или_заединицу="Общие трудозатраты",1,1)</f>
        <v>10</v>
      </c>
      <c r="AQ257" s="47"/>
      <c r="AR257" s="47"/>
      <c r="AS257" s="47"/>
      <c r="AT257" s="47"/>
      <c r="AU257" s="47"/>
      <c r="AV257" s="46">
        <f>60/IF(Общие_или_заединицу="Общие трудозатраты",1,1)</f>
        <v>60</v>
      </c>
      <c r="AW257" s="47"/>
      <c r="AX257" s="47"/>
      <c r="AY257" s="47"/>
      <c r="AZ257" s="46">
        <f>30/IF(Общие_или_заединицу="Общие трудозатраты",1,1)</f>
        <v>30</v>
      </c>
      <c r="BA257" s="47"/>
      <c r="BB257" s="47"/>
      <c r="BC257" s="47"/>
    </row>
    <row r="258" spans="1:55" x14ac:dyDescent="0.25">
      <c r="A258" s="45" t="s">
        <v>931</v>
      </c>
      <c r="B258" s="46">
        <f t="shared" si="5"/>
        <v>177</v>
      </c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6">
        <f>39/IF(Общие_или_заединицу="Общие трудозатраты",1,1)</f>
        <v>39</v>
      </c>
      <c r="U258" s="47"/>
      <c r="V258" s="47"/>
      <c r="W258" s="46">
        <f>3/IF(Общие_или_заединицу="Общие трудозатраты",1,1)</f>
        <v>3</v>
      </c>
      <c r="X258" s="47"/>
      <c r="Y258" s="47"/>
      <c r="Z258" s="47"/>
      <c r="AA258" s="47"/>
      <c r="AB258" s="47"/>
      <c r="AC258" s="47"/>
      <c r="AD258" s="47"/>
      <c r="AE258" s="46">
        <f>15/IF(Общие_или_заединицу="Общие трудозатраты",1,1)</f>
        <v>15</v>
      </c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6">
        <f>10/IF(Общие_или_заединицу="Общие трудозатраты",1,1)</f>
        <v>10</v>
      </c>
      <c r="AQ258" s="47"/>
      <c r="AR258" s="47"/>
      <c r="AS258" s="47"/>
      <c r="AT258" s="47"/>
      <c r="AU258" s="47"/>
      <c r="AV258" s="46">
        <f>70/IF(Общие_или_заединицу="Общие трудозатраты",1,1)</f>
        <v>70</v>
      </c>
      <c r="AW258" s="47"/>
      <c r="AX258" s="47"/>
      <c r="AY258" s="47"/>
      <c r="AZ258" s="46">
        <f>40/IF(Общие_или_заединицу="Общие трудозатраты",1,1)</f>
        <v>40</v>
      </c>
      <c r="BA258" s="47"/>
      <c r="BB258" s="47"/>
      <c r="BC258" s="47"/>
    </row>
    <row r="259" spans="1:55" ht="22.5" x14ac:dyDescent="0.25">
      <c r="A259" s="45" t="s">
        <v>933</v>
      </c>
      <c r="B259" s="46">
        <f t="shared" si="5"/>
        <v>7</v>
      </c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6">
        <f>3/IF(Общие_или_заединицу="Общие трудозатраты",1,1)</f>
        <v>3</v>
      </c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6">
        <f>4/IF(Общие_или_заединицу="Общие трудозатраты",1,1)</f>
        <v>4</v>
      </c>
      <c r="AP259" s="47"/>
      <c r="AQ259" s="47"/>
      <c r="AR259" s="47"/>
      <c r="AS259" s="47"/>
      <c r="AT259" s="47"/>
      <c r="AU259" s="47"/>
      <c r="AV259" s="47"/>
      <c r="AW259" s="47"/>
      <c r="AX259" s="47"/>
      <c r="AY259" s="47"/>
      <c r="AZ259" s="47"/>
      <c r="BA259" s="47"/>
      <c r="BB259" s="47"/>
      <c r="BC259" s="47"/>
    </row>
    <row r="260" spans="1:55" ht="22.5" x14ac:dyDescent="0.25">
      <c r="A260" s="45" t="s">
        <v>936</v>
      </c>
      <c r="B260" s="46">
        <f t="shared" ref="B260:B323" si="6">SUM(C260:BC260)</f>
        <v>6.6</v>
      </c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6">
        <f>3/IF(Общие_или_заединицу="Общие трудозатраты",1,1)</f>
        <v>3</v>
      </c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6">
        <f>3.6/IF(Общие_или_заединицу="Общие трудозатраты",1,1)</f>
        <v>3.6</v>
      </c>
      <c r="AP260" s="47"/>
      <c r="AQ260" s="47"/>
      <c r="AR260" s="47"/>
      <c r="AS260" s="47"/>
      <c r="AT260" s="47"/>
      <c r="AU260" s="47"/>
      <c r="AV260" s="47"/>
      <c r="AW260" s="47"/>
      <c r="AX260" s="47"/>
      <c r="AY260" s="47"/>
      <c r="AZ260" s="47"/>
      <c r="BA260" s="47"/>
      <c r="BB260" s="47"/>
      <c r="BC260" s="47"/>
    </row>
    <row r="261" spans="1:55" x14ac:dyDescent="0.25">
      <c r="A261" s="45" t="s">
        <v>932</v>
      </c>
      <c r="B261" s="46">
        <f t="shared" si="6"/>
        <v>136</v>
      </c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6">
        <f>26/IF(Общие_или_заединицу="Общие трудозатраты",1,1)</f>
        <v>26</v>
      </c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6">
        <f>10/IF(Общие_или_заединицу="Общие трудозатраты",1,1)</f>
        <v>10</v>
      </c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6">
        <f>10/IF(Общие_или_заединицу="Общие трудозатраты",1,1)</f>
        <v>10</v>
      </c>
      <c r="AQ261" s="47"/>
      <c r="AR261" s="47"/>
      <c r="AS261" s="47"/>
      <c r="AT261" s="47"/>
      <c r="AU261" s="47"/>
      <c r="AV261" s="46">
        <f>60/IF(Общие_или_заединицу="Общие трудозатраты",1,1)</f>
        <v>60</v>
      </c>
      <c r="AW261" s="47"/>
      <c r="AX261" s="47"/>
      <c r="AY261" s="47"/>
      <c r="AZ261" s="46">
        <f>30/IF(Общие_или_заединицу="Общие трудозатраты",1,1)</f>
        <v>30</v>
      </c>
      <c r="BA261" s="47"/>
      <c r="BB261" s="47"/>
      <c r="BC261" s="47"/>
    </row>
    <row r="262" spans="1:55" x14ac:dyDescent="0.25">
      <c r="A262" s="45" t="s">
        <v>935</v>
      </c>
      <c r="B262" s="46">
        <f t="shared" si="6"/>
        <v>136</v>
      </c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6">
        <f>26/IF(Общие_или_заединицу="Общие трудозатраты",1,1)</f>
        <v>26</v>
      </c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6">
        <f>10/IF(Общие_или_заединицу="Общие трудозатраты",1,1)</f>
        <v>10</v>
      </c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6">
        <f>10/IF(Общие_или_заединицу="Общие трудозатраты",1,1)</f>
        <v>10</v>
      </c>
      <c r="AQ262" s="47"/>
      <c r="AR262" s="47"/>
      <c r="AS262" s="47"/>
      <c r="AT262" s="47"/>
      <c r="AU262" s="47"/>
      <c r="AV262" s="46">
        <f>60/IF(Общие_или_заединицу="Общие трудозатраты",1,1)</f>
        <v>60</v>
      </c>
      <c r="AW262" s="47"/>
      <c r="AX262" s="47"/>
      <c r="AY262" s="47"/>
      <c r="AZ262" s="46">
        <f>30/IF(Общие_или_заединицу="Общие трудозатраты",1,1)</f>
        <v>30</v>
      </c>
      <c r="BA262" s="47"/>
      <c r="BB262" s="47"/>
      <c r="BC262" s="47"/>
    </row>
    <row r="263" spans="1:55" x14ac:dyDescent="0.25">
      <c r="A263" s="45" t="s">
        <v>934</v>
      </c>
      <c r="B263" s="46">
        <f t="shared" si="6"/>
        <v>4.0999999999999996</v>
      </c>
      <c r="C263" s="47"/>
      <c r="D263" s="46">
        <f>6/IF(Общие_или_заединицу="Общие трудозатраты",1,2)</f>
        <v>3</v>
      </c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6">
        <f>1.8/IF(Общие_или_заединицу="Общие трудозатраты",1,2)</f>
        <v>0.9</v>
      </c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6">
        <f>0.4/IF(Общие_или_заединицу="Общие трудозатраты",1,2)</f>
        <v>0.2</v>
      </c>
      <c r="AP263" s="47"/>
      <c r="AQ263" s="47"/>
      <c r="AR263" s="47"/>
      <c r="AS263" s="47"/>
      <c r="AT263" s="47"/>
      <c r="AU263" s="47"/>
      <c r="AV263" s="47"/>
      <c r="AW263" s="47"/>
      <c r="AX263" s="47"/>
      <c r="AY263" s="47"/>
      <c r="AZ263" s="47"/>
      <c r="BA263" s="47"/>
      <c r="BB263" s="47"/>
      <c r="BC263" s="47"/>
    </row>
    <row r="264" spans="1:55" ht="22.5" x14ac:dyDescent="0.25">
      <c r="A264" s="45" t="s">
        <v>938</v>
      </c>
      <c r="B264" s="46">
        <f t="shared" si="6"/>
        <v>30</v>
      </c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  <c r="AC264" s="47"/>
      <c r="AD264" s="47"/>
      <c r="AE264" s="47"/>
      <c r="AF264" s="47"/>
      <c r="AG264" s="47"/>
      <c r="AH264" s="46">
        <f>30/IF(Общие_или_заединицу="Общие трудозатраты",1,1)</f>
        <v>30</v>
      </c>
      <c r="AI264" s="47"/>
      <c r="AJ264" s="47"/>
      <c r="AK264" s="47"/>
      <c r="AL264" s="47"/>
      <c r="AM264" s="47"/>
      <c r="AN264" s="47"/>
      <c r="AO264" s="47"/>
      <c r="AP264" s="47"/>
      <c r="AQ264" s="47"/>
      <c r="AR264" s="47"/>
      <c r="AS264" s="47"/>
      <c r="AT264" s="47"/>
      <c r="AU264" s="47"/>
      <c r="AV264" s="47"/>
      <c r="AW264" s="47"/>
      <c r="AX264" s="47"/>
      <c r="AY264" s="47"/>
      <c r="AZ264" s="47"/>
      <c r="BA264" s="47"/>
      <c r="BB264" s="47"/>
      <c r="BC264" s="47"/>
    </row>
    <row r="265" spans="1:55" x14ac:dyDescent="0.25">
      <c r="A265" s="45" t="s">
        <v>939</v>
      </c>
      <c r="B265" s="46">
        <f t="shared" si="6"/>
        <v>35</v>
      </c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6">
        <f>3/IF(Общие_или_заединицу="Общие трудозатраты",1,1)</f>
        <v>3</v>
      </c>
      <c r="U265" s="47"/>
      <c r="V265" s="47"/>
      <c r="W265" s="47"/>
      <c r="X265" s="46">
        <f>2/IF(Общие_или_заединицу="Общие трудозатраты",1,1)</f>
        <v>2</v>
      </c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47"/>
      <c r="AN265" s="47"/>
      <c r="AO265" s="47"/>
      <c r="AP265" s="47"/>
      <c r="AQ265" s="47"/>
      <c r="AR265" s="47"/>
      <c r="AS265" s="47"/>
      <c r="AT265" s="47"/>
      <c r="AU265" s="47"/>
      <c r="AV265" s="47"/>
      <c r="AW265" s="46">
        <f>20/IF(Общие_или_заединицу="Общие трудозатраты",1,1)</f>
        <v>20</v>
      </c>
      <c r="AX265" s="47"/>
      <c r="AY265" s="46">
        <f>10/IF(Общие_или_заединицу="Общие трудозатраты",1,1)</f>
        <v>10</v>
      </c>
      <c r="AZ265" s="47"/>
      <c r="BA265" s="47"/>
      <c r="BB265" s="47"/>
      <c r="BC265" s="47"/>
    </row>
    <row r="266" spans="1:55" x14ac:dyDescent="0.25">
      <c r="A266" s="45" t="s">
        <v>940</v>
      </c>
      <c r="B266" s="46">
        <f t="shared" si="6"/>
        <v>139</v>
      </c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6">
        <f>3/IF(Общие_или_заединицу="Общие трудозатраты",1,1)</f>
        <v>3</v>
      </c>
      <c r="U266" s="47"/>
      <c r="V266" s="47"/>
      <c r="W266" s="46">
        <f>3/IF(Общие_или_заединицу="Общие трудозатраты",1,1)</f>
        <v>3</v>
      </c>
      <c r="X266" s="47"/>
      <c r="Y266" s="47"/>
      <c r="Z266" s="47"/>
      <c r="AA266" s="47"/>
      <c r="AB266" s="47"/>
      <c r="AC266" s="47"/>
      <c r="AD266" s="47"/>
      <c r="AE266" s="46">
        <f>15/IF(Общие_или_заединицу="Общие трудозатраты",1,1)</f>
        <v>15</v>
      </c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6">
        <f>10/IF(Общие_или_заединицу="Общие трудозатраты",1,1)</f>
        <v>10</v>
      </c>
      <c r="AQ266" s="47"/>
      <c r="AR266" s="47"/>
      <c r="AS266" s="47"/>
      <c r="AT266" s="47"/>
      <c r="AU266" s="47"/>
      <c r="AV266" s="46">
        <f>53/IF(Общие_или_заединицу="Общие трудозатраты",1,1)</f>
        <v>53</v>
      </c>
      <c r="AW266" s="47"/>
      <c r="AX266" s="47"/>
      <c r="AY266" s="47"/>
      <c r="AZ266" s="46">
        <f>55/IF(Общие_или_заединицу="Общие трудозатраты",1,1)</f>
        <v>55</v>
      </c>
      <c r="BA266" s="47"/>
      <c r="BB266" s="47"/>
      <c r="BC266" s="47"/>
    </row>
    <row r="267" spans="1:55" x14ac:dyDescent="0.25">
      <c r="A267" s="45" t="s">
        <v>941</v>
      </c>
      <c r="B267" s="46">
        <f t="shared" si="6"/>
        <v>13.7</v>
      </c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6">
        <f>0.6/IF(Общие_или_заединицу="Общие трудозатраты",1,1)</f>
        <v>0.6</v>
      </c>
      <c r="T267" s="47"/>
      <c r="U267" s="47"/>
      <c r="V267" s="47"/>
      <c r="W267" s="46">
        <f>1.1/IF(Общие_или_заединицу="Общие трудозатраты",1,1)</f>
        <v>1.1000000000000001</v>
      </c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AR267" s="47"/>
      <c r="AS267" s="47"/>
      <c r="AT267" s="47"/>
      <c r="AU267" s="47"/>
      <c r="AV267" s="47"/>
      <c r="AW267" s="46">
        <f>12/IF(Общие_или_заединицу="Общие трудозатраты",1,1)</f>
        <v>12</v>
      </c>
      <c r="AX267" s="47"/>
      <c r="AY267" s="47"/>
      <c r="AZ267" s="47"/>
      <c r="BA267" s="47"/>
      <c r="BB267" s="47"/>
      <c r="BC267" s="47"/>
    </row>
    <row r="268" spans="1:55" x14ac:dyDescent="0.25">
      <c r="A268" s="45" t="s">
        <v>937</v>
      </c>
      <c r="B268" s="46">
        <f t="shared" si="6"/>
        <v>7</v>
      </c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6">
        <f>2/IF(Общие_или_заединицу="Общие трудозатраты",1,1)</f>
        <v>2</v>
      </c>
      <c r="W268" s="46">
        <f>2/IF(Общие_или_заединицу="Общие трудозатраты",1,1)</f>
        <v>2</v>
      </c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6">
        <f>3/IF(Общие_или_заединицу="Общие трудозатраты",1,1)</f>
        <v>3</v>
      </c>
      <c r="AP268" s="47"/>
      <c r="AQ268" s="47"/>
      <c r="AR268" s="47"/>
      <c r="AS268" s="47"/>
      <c r="AT268" s="47"/>
      <c r="AU268" s="47"/>
      <c r="AV268" s="47"/>
      <c r="AW268" s="47"/>
      <c r="AX268" s="47"/>
      <c r="AY268" s="47"/>
      <c r="AZ268" s="47"/>
      <c r="BA268" s="47"/>
      <c r="BB268" s="47"/>
      <c r="BC268" s="47"/>
    </row>
    <row r="269" spans="1:55" x14ac:dyDescent="0.25">
      <c r="A269" s="45" t="s">
        <v>947</v>
      </c>
      <c r="B269" s="46">
        <f t="shared" si="6"/>
        <v>2</v>
      </c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6">
        <f>2/IF(Общие_или_заединицу="Общие трудозатраты",1,1)</f>
        <v>2</v>
      </c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</row>
    <row r="270" spans="1:55" x14ac:dyDescent="0.25">
      <c r="A270" s="45" t="s">
        <v>948</v>
      </c>
      <c r="B270" s="46">
        <f t="shared" si="6"/>
        <v>0.8</v>
      </c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6">
        <f>0.8/IF(Общие_или_заединицу="Общие трудозатраты",1,1)</f>
        <v>0.8</v>
      </c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47"/>
      <c r="AT270" s="47"/>
      <c r="AU270" s="47"/>
      <c r="AV270" s="47"/>
      <c r="AW270" s="47"/>
      <c r="AX270" s="47"/>
      <c r="AY270" s="47"/>
      <c r="AZ270" s="47"/>
      <c r="BA270" s="47"/>
      <c r="BB270" s="47"/>
      <c r="BC270" s="47"/>
    </row>
    <row r="271" spans="1:55" x14ac:dyDescent="0.25">
      <c r="A271" s="45" t="s">
        <v>949</v>
      </c>
      <c r="B271" s="46">
        <f t="shared" si="6"/>
        <v>2.1</v>
      </c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6">
        <f>46.2/IF(Общие_или_заединицу="Общие трудозатраты",1,22)</f>
        <v>2.1</v>
      </c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AR271" s="47"/>
      <c r="AS271" s="47"/>
      <c r="AT271" s="47"/>
      <c r="AU271" s="47"/>
      <c r="AV271" s="47"/>
      <c r="AW271" s="47"/>
      <c r="AX271" s="47"/>
      <c r="AY271" s="47"/>
      <c r="AZ271" s="47"/>
      <c r="BA271" s="47"/>
      <c r="BB271" s="47"/>
      <c r="BC271" s="47"/>
    </row>
    <row r="272" spans="1:55" x14ac:dyDescent="0.25">
      <c r="A272" s="45" t="s">
        <v>950</v>
      </c>
      <c r="B272" s="46">
        <f t="shared" si="6"/>
        <v>31</v>
      </c>
      <c r="C272" s="47"/>
      <c r="D272" s="47"/>
      <c r="E272" s="46">
        <f>60/IF(Общие_или_заединицу="Общие трудозатраты",1,6)</f>
        <v>10</v>
      </c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6">
        <f>36/IF(Общие_или_заединицу="Общие трудозатраты",1,6)*IF(Пробивка="Стандартная пробивная",1,3.5)</f>
        <v>21</v>
      </c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AR272" s="47"/>
      <c r="AS272" s="47"/>
      <c r="AT272" s="47"/>
      <c r="AU272" s="47"/>
      <c r="AV272" s="47"/>
      <c r="AW272" s="47"/>
      <c r="AX272" s="47"/>
      <c r="AY272" s="47"/>
      <c r="AZ272" s="47"/>
      <c r="BA272" s="47"/>
      <c r="BB272" s="47"/>
      <c r="BC272" s="47"/>
    </row>
    <row r="273" spans="1:55" x14ac:dyDescent="0.25">
      <c r="A273" s="45" t="s">
        <v>951</v>
      </c>
      <c r="B273" s="46">
        <f t="shared" si="6"/>
        <v>27</v>
      </c>
      <c r="C273" s="47"/>
      <c r="D273" s="47"/>
      <c r="E273" s="47"/>
      <c r="F273" s="47"/>
      <c r="G273" s="46">
        <f>36/IF(Общие_или_заединицу="Общие трудозатраты",1,6)</f>
        <v>6</v>
      </c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6">
        <f>36/IF(Общие_или_заединицу="Общие трудозатраты",1,6)*IF(Пробивка="Стандартная пробивная",1,3.5)</f>
        <v>21</v>
      </c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AR273" s="47"/>
      <c r="AS273" s="47"/>
      <c r="AT273" s="47"/>
      <c r="AU273" s="47"/>
      <c r="AV273" s="47"/>
      <c r="AW273" s="47"/>
      <c r="AX273" s="47"/>
      <c r="AY273" s="47"/>
      <c r="AZ273" s="47"/>
      <c r="BA273" s="47"/>
      <c r="BB273" s="47"/>
      <c r="BC273" s="47"/>
    </row>
    <row r="274" spans="1:55" x14ac:dyDescent="0.25">
      <c r="A274" s="45" t="s">
        <v>952</v>
      </c>
      <c r="B274" s="46">
        <f t="shared" si="6"/>
        <v>9.02</v>
      </c>
      <c r="C274" s="47"/>
      <c r="D274" s="47"/>
      <c r="E274" s="47"/>
      <c r="F274" s="46">
        <f>24/IF(Общие_или_заединицу="Общие трудозатраты",1,12)</f>
        <v>2</v>
      </c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6">
        <f>24/IF(Общие_или_заединицу="Общие трудозатраты",1,12)</f>
        <v>2</v>
      </c>
      <c r="U274" s="47"/>
      <c r="V274" s="47"/>
      <c r="W274" s="47"/>
      <c r="X274" s="46">
        <f>0.24/IF(Общие_или_заединицу="Общие трудозатраты",1,12)</f>
        <v>0.02</v>
      </c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6">
        <f>60/IF(Общие_или_заединицу="Общие трудозатраты",1,12)</f>
        <v>5</v>
      </c>
      <c r="AX274" s="47"/>
      <c r="AY274" s="47"/>
      <c r="AZ274" s="47"/>
      <c r="BA274" s="47"/>
      <c r="BB274" s="47"/>
      <c r="BC274" s="47"/>
    </row>
    <row r="275" spans="1:55" x14ac:dyDescent="0.25">
      <c r="A275" s="45" t="s">
        <v>953</v>
      </c>
      <c r="B275" s="46">
        <f t="shared" si="6"/>
        <v>0.3</v>
      </c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6">
        <f>7.5/IF(Общие_или_заединицу="Общие трудозатраты",1,25)</f>
        <v>0.3</v>
      </c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AR275" s="47"/>
      <c r="AS275" s="47"/>
      <c r="AT275" s="47"/>
      <c r="AU275" s="47"/>
      <c r="AV275" s="47"/>
      <c r="AW275" s="47"/>
      <c r="AX275" s="47"/>
      <c r="AY275" s="47"/>
      <c r="AZ275" s="47"/>
      <c r="BA275" s="47"/>
      <c r="BB275" s="47"/>
      <c r="BC275" s="47"/>
    </row>
    <row r="276" spans="1:55" x14ac:dyDescent="0.25">
      <c r="A276" s="45" t="s">
        <v>954</v>
      </c>
      <c r="B276" s="46">
        <f t="shared" si="6"/>
        <v>40.450000000000003</v>
      </c>
      <c r="C276" s="47"/>
      <c r="D276" s="47"/>
      <c r="E276" s="47"/>
      <c r="F276" s="47"/>
      <c r="G276" s="47"/>
      <c r="H276" s="46">
        <f>7/IF(Общие_или_заединицу="Общие трудозатраты",1,1)</f>
        <v>7</v>
      </c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6">
        <f>3.7/IF(Общие_или_заединицу="Общие трудозатраты",1,1)</f>
        <v>3.7</v>
      </c>
      <c r="X276" s="47"/>
      <c r="Y276" s="47"/>
      <c r="Z276" s="47"/>
      <c r="AA276" s="47"/>
      <c r="AB276" s="47"/>
      <c r="AC276" s="47"/>
      <c r="AD276" s="46">
        <f>8.5/IF(Общие_или_заединицу="Общие трудозатраты",1,1)*IF(Пробивка="Стандартная пробивная",1,3.5)</f>
        <v>29.75</v>
      </c>
      <c r="AE276" s="47"/>
      <c r="AF276" s="47"/>
      <c r="AG276" s="47"/>
      <c r="AH276" s="47"/>
      <c r="AI276" s="47"/>
      <c r="AJ276" s="47"/>
      <c r="AK276" s="47"/>
      <c r="AL276" s="47"/>
      <c r="AM276" s="47"/>
      <c r="AN276" s="47"/>
      <c r="AO276" s="47"/>
      <c r="AP276" s="47"/>
      <c r="AQ276" s="47"/>
      <c r="AR276" s="47"/>
      <c r="AS276" s="47"/>
      <c r="AT276" s="47"/>
      <c r="AU276" s="47"/>
      <c r="AV276" s="47"/>
      <c r="AW276" s="47"/>
      <c r="AX276" s="47"/>
      <c r="AY276" s="47"/>
      <c r="AZ276" s="47"/>
      <c r="BA276" s="47"/>
      <c r="BB276" s="47"/>
      <c r="BC276" s="47"/>
    </row>
    <row r="277" spans="1:55" x14ac:dyDescent="0.25">
      <c r="A277" s="45" t="s">
        <v>955</v>
      </c>
      <c r="B277" s="46">
        <f t="shared" si="6"/>
        <v>40.75</v>
      </c>
      <c r="C277" s="47"/>
      <c r="D277" s="47"/>
      <c r="E277" s="47"/>
      <c r="F277" s="47"/>
      <c r="G277" s="47"/>
      <c r="H277" s="46">
        <f>7/IF(Общие_или_заединицу="Общие трудозатраты",1,1)</f>
        <v>7</v>
      </c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6">
        <f>4/IF(Общие_или_заединицу="Общие трудозатраты",1,1)</f>
        <v>4</v>
      </c>
      <c r="X277" s="47"/>
      <c r="Y277" s="47"/>
      <c r="Z277" s="47"/>
      <c r="AA277" s="47"/>
      <c r="AB277" s="47"/>
      <c r="AC277" s="47"/>
      <c r="AD277" s="46">
        <f>8.5/IF(Общие_или_заединицу="Общие трудозатраты",1,1)*IF(Пробивка="Стандартная пробивная",1,3.5)</f>
        <v>29.75</v>
      </c>
      <c r="AE277" s="47"/>
      <c r="AF277" s="47"/>
      <c r="AG277" s="47"/>
      <c r="AH277" s="47"/>
      <c r="AI277" s="47"/>
      <c r="AJ277" s="47"/>
      <c r="AK277" s="47"/>
      <c r="AL277" s="47"/>
      <c r="AM277" s="47"/>
      <c r="AN277" s="47"/>
      <c r="AO277" s="47"/>
      <c r="AP277" s="47"/>
      <c r="AQ277" s="47"/>
      <c r="AR277" s="47"/>
      <c r="AS277" s="47"/>
      <c r="AT277" s="47"/>
      <c r="AU277" s="47"/>
      <c r="AV277" s="47"/>
      <c r="AW277" s="47"/>
      <c r="AX277" s="47"/>
      <c r="AY277" s="47"/>
      <c r="AZ277" s="47"/>
      <c r="BA277" s="47"/>
      <c r="BB277" s="47"/>
      <c r="BC277" s="47"/>
    </row>
    <row r="278" spans="1:55" x14ac:dyDescent="0.25">
      <c r="A278" s="45" t="s">
        <v>956</v>
      </c>
      <c r="B278" s="46">
        <f t="shared" si="6"/>
        <v>8.8000000000000007</v>
      </c>
      <c r="C278" s="47"/>
      <c r="D278" s="47"/>
      <c r="E278" s="47"/>
      <c r="F278" s="47"/>
      <c r="G278" s="46">
        <f>288/IF(Общие_или_заединицу="Общие трудозатраты",1,48)</f>
        <v>6</v>
      </c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  <c r="AA278" s="47"/>
      <c r="AB278" s="47"/>
      <c r="AC278" s="47"/>
      <c r="AD278" s="46">
        <f>38.4/IF(Общие_или_заединицу="Общие трудозатраты",1,48)*IF(Пробивка="Стандартная пробивная",1,3.5)</f>
        <v>2.8</v>
      </c>
      <c r="AE278" s="47"/>
      <c r="AF278" s="47"/>
      <c r="AG278" s="47"/>
      <c r="AH278" s="47"/>
      <c r="AI278" s="47"/>
      <c r="AJ278" s="47"/>
      <c r="AK278" s="47"/>
      <c r="AL278" s="47"/>
      <c r="AM278" s="47"/>
      <c r="AN278" s="47"/>
      <c r="AO278" s="47"/>
      <c r="AP278" s="47"/>
      <c r="AQ278" s="47"/>
      <c r="AR278" s="47"/>
      <c r="AS278" s="47"/>
      <c r="AT278" s="47"/>
      <c r="AU278" s="47"/>
      <c r="AV278" s="47"/>
      <c r="AW278" s="47"/>
      <c r="AX278" s="47"/>
      <c r="AY278" s="47"/>
      <c r="AZ278" s="47"/>
      <c r="BA278" s="47"/>
      <c r="BB278" s="47"/>
      <c r="BC278" s="47"/>
    </row>
    <row r="279" spans="1:55" x14ac:dyDescent="0.25">
      <c r="A279" s="45" t="s">
        <v>957</v>
      </c>
      <c r="B279" s="46">
        <f t="shared" si="6"/>
        <v>9.15</v>
      </c>
      <c r="C279" s="47"/>
      <c r="D279" s="47"/>
      <c r="E279" s="47"/>
      <c r="F279" s="47"/>
      <c r="G279" s="46">
        <f>144/IF(Общие_или_заединицу="Общие трудозатраты",1,24)</f>
        <v>6</v>
      </c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  <c r="AB279" s="47"/>
      <c r="AC279" s="47"/>
      <c r="AD279" s="46">
        <f>21.6/IF(Общие_или_заединицу="Общие трудозатраты",1,24)*IF(Пробивка="Стандартная пробивная",1,3.5)</f>
        <v>3.15</v>
      </c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AR279" s="47"/>
      <c r="AS279" s="47"/>
      <c r="AT279" s="47"/>
      <c r="AU279" s="47"/>
      <c r="AV279" s="47"/>
      <c r="AW279" s="47"/>
      <c r="AX279" s="47"/>
      <c r="AY279" s="47"/>
      <c r="AZ279" s="47"/>
      <c r="BA279" s="47"/>
      <c r="BB279" s="47"/>
      <c r="BC279" s="47"/>
    </row>
    <row r="280" spans="1:55" x14ac:dyDescent="0.25">
      <c r="A280" s="45" t="s">
        <v>958</v>
      </c>
      <c r="B280" s="46">
        <f t="shared" si="6"/>
        <v>7.15</v>
      </c>
      <c r="C280" s="47"/>
      <c r="D280" s="47"/>
      <c r="E280" s="47"/>
      <c r="F280" s="47"/>
      <c r="G280" s="46">
        <f>16/IF(Общие_или_заединицу="Общие трудозатраты",1,4)</f>
        <v>4</v>
      </c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  <c r="AA280" s="47"/>
      <c r="AB280" s="47"/>
      <c r="AC280" s="47"/>
      <c r="AD280" s="46">
        <f>3.6/IF(Общие_или_заединицу="Общие трудозатраты",1,4)*IF(Пробивка="Стандартная пробивная",1,3.5)</f>
        <v>3.15</v>
      </c>
      <c r="AE280" s="47"/>
      <c r="AF280" s="47"/>
      <c r="AG280" s="47"/>
      <c r="AH280" s="47"/>
      <c r="AI280" s="47"/>
      <c r="AJ280" s="47"/>
      <c r="AK280" s="47"/>
      <c r="AL280" s="47"/>
      <c r="AM280" s="47"/>
      <c r="AN280" s="47"/>
      <c r="AO280" s="47"/>
      <c r="AP280" s="47"/>
      <c r="AQ280" s="47"/>
      <c r="AR280" s="47"/>
      <c r="AS280" s="47"/>
      <c r="AT280" s="47"/>
      <c r="AU280" s="47"/>
      <c r="AV280" s="47"/>
      <c r="AW280" s="47"/>
      <c r="AX280" s="47"/>
      <c r="AY280" s="47"/>
      <c r="AZ280" s="47"/>
      <c r="BA280" s="47"/>
      <c r="BB280" s="47"/>
      <c r="BC280" s="47"/>
    </row>
    <row r="281" spans="1:55" x14ac:dyDescent="0.25">
      <c r="A281" s="45" t="s">
        <v>638</v>
      </c>
      <c r="B281" s="46">
        <f t="shared" si="6"/>
        <v>58.5</v>
      </c>
      <c r="C281" s="47"/>
      <c r="D281" s="47"/>
      <c r="E281" s="46">
        <f>144/IF(Общие_или_заединицу="Общие трудозатраты",1,24)</f>
        <v>6</v>
      </c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  <c r="AA281" s="47"/>
      <c r="AB281" s="47"/>
      <c r="AC281" s="47"/>
      <c r="AD281" s="46">
        <f>360/IF(Общие_или_заединицу="Общие трудозатраты",1,24)*IF(Пробивка="Стандартная пробивная",1,3.5)</f>
        <v>52.5</v>
      </c>
      <c r="AE281" s="47"/>
      <c r="AF281" s="47"/>
      <c r="AG281" s="47"/>
      <c r="AH281" s="47"/>
      <c r="AI281" s="47"/>
      <c r="AJ281" s="47"/>
      <c r="AK281" s="47"/>
      <c r="AL281" s="47"/>
      <c r="AM281" s="47"/>
      <c r="AN281" s="47"/>
      <c r="AO281" s="47"/>
      <c r="AP281" s="47"/>
      <c r="AQ281" s="47"/>
      <c r="AR281" s="47"/>
      <c r="AS281" s="47"/>
      <c r="AT281" s="47"/>
      <c r="AU281" s="47"/>
      <c r="AV281" s="47"/>
      <c r="AW281" s="47"/>
      <c r="AX281" s="47"/>
      <c r="AY281" s="47"/>
      <c r="AZ281" s="47"/>
      <c r="BA281" s="47"/>
      <c r="BB281" s="47"/>
      <c r="BC281" s="47"/>
    </row>
    <row r="282" spans="1:55" x14ac:dyDescent="0.25">
      <c r="A282" s="45" t="s">
        <v>640</v>
      </c>
      <c r="B282" s="46">
        <f t="shared" si="6"/>
        <v>37.5</v>
      </c>
      <c r="C282" s="47"/>
      <c r="D282" s="47"/>
      <c r="E282" s="46">
        <f>288/IF(Общие_или_заединицу="Общие трудозатраты",1,48)</f>
        <v>6</v>
      </c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  <c r="AA282" s="47"/>
      <c r="AB282" s="47"/>
      <c r="AC282" s="47"/>
      <c r="AD282" s="46">
        <f>432/IF(Общие_или_заединицу="Общие трудозатраты",1,48)*IF(Пробивка="Стандартная пробивная",1,3.5)</f>
        <v>31.5</v>
      </c>
      <c r="AE282" s="47"/>
      <c r="AF282" s="47"/>
      <c r="AG282" s="47"/>
      <c r="AH282" s="47"/>
      <c r="AI282" s="47"/>
      <c r="AJ282" s="47"/>
      <c r="AK282" s="47"/>
      <c r="AL282" s="47"/>
      <c r="AM282" s="47"/>
      <c r="AN282" s="47"/>
      <c r="AO282" s="47"/>
      <c r="AP282" s="47"/>
      <c r="AQ282" s="47"/>
      <c r="AR282" s="47"/>
      <c r="AS282" s="47"/>
      <c r="AT282" s="47"/>
      <c r="AU282" s="47"/>
      <c r="AV282" s="47"/>
      <c r="AW282" s="47"/>
      <c r="AX282" s="47"/>
      <c r="AY282" s="47"/>
      <c r="AZ282" s="47"/>
      <c r="BA282" s="47"/>
      <c r="BB282" s="47"/>
      <c r="BC282" s="47"/>
    </row>
    <row r="283" spans="1:55" x14ac:dyDescent="0.25">
      <c r="A283" s="45" t="s">
        <v>959</v>
      </c>
      <c r="B283" s="46">
        <f t="shared" si="6"/>
        <v>9.25</v>
      </c>
      <c r="C283" s="47"/>
      <c r="D283" s="47"/>
      <c r="E283" s="47"/>
      <c r="F283" s="46">
        <f>200/IF(Общие_или_заединицу="Общие трудозатраты",1,50)</f>
        <v>4</v>
      </c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  <c r="AA283" s="47"/>
      <c r="AB283" s="47"/>
      <c r="AC283" s="47"/>
      <c r="AD283" s="46">
        <f>75/IF(Общие_или_заединицу="Общие трудозатраты",1,50)*IF(Пробивка="Стандартная пробивная",1,3.5)</f>
        <v>5.25</v>
      </c>
      <c r="AE283" s="47"/>
      <c r="AF283" s="47"/>
      <c r="AG283" s="47"/>
      <c r="AH283" s="47"/>
      <c r="AI283" s="47"/>
      <c r="AJ283" s="47"/>
      <c r="AK283" s="47"/>
      <c r="AL283" s="47"/>
      <c r="AM283" s="47"/>
      <c r="AN283" s="47"/>
      <c r="AO283" s="47"/>
      <c r="AP283" s="47"/>
      <c r="AQ283" s="47"/>
      <c r="AR283" s="47"/>
      <c r="AS283" s="47"/>
      <c r="AT283" s="47"/>
      <c r="AU283" s="47"/>
      <c r="AV283" s="47"/>
      <c r="AW283" s="47"/>
      <c r="AX283" s="47"/>
      <c r="AY283" s="47"/>
      <c r="AZ283" s="47"/>
      <c r="BA283" s="47"/>
      <c r="BB283" s="47"/>
      <c r="BC283" s="47"/>
    </row>
    <row r="284" spans="1:55" x14ac:dyDescent="0.25">
      <c r="A284" s="45" t="s">
        <v>960</v>
      </c>
      <c r="B284" s="46">
        <f t="shared" si="6"/>
        <v>23.5</v>
      </c>
      <c r="C284" s="47"/>
      <c r="D284" s="47"/>
      <c r="E284" s="47"/>
      <c r="F284" s="47"/>
      <c r="G284" s="47"/>
      <c r="H284" s="46">
        <f>36/IF(Общие_или_заединицу="Общие трудозатраты",1,6)</f>
        <v>6</v>
      </c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  <c r="AB284" s="47"/>
      <c r="AC284" s="47"/>
      <c r="AD284" s="46">
        <f>30/IF(Общие_или_заединицу="Общие трудозатраты",1,6)*IF(Пробивка="Стандартная пробивная",1,3.5)</f>
        <v>17.5</v>
      </c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47"/>
      <c r="AS284" s="47"/>
      <c r="AT284" s="47"/>
      <c r="AU284" s="47"/>
      <c r="AV284" s="47"/>
      <c r="AW284" s="47"/>
      <c r="AX284" s="47"/>
      <c r="AY284" s="47"/>
      <c r="AZ284" s="47"/>
      <c r="BA284" s="47"/>
      <c r="BB284" s="47"/>
      <c r="BC284" s="47"/>
    </row>
    <row r="285" spans="1:55" x14ac:dyDescent="0.25">
      <c r="A285" s="45" t="s">
        <v>961</v>
      </c>
      <c r="B285" s="46">
        <f t="shared" si="6"/>
        <v>8.1999999999999993</v>
      </c>
      <c r="C285" s="47"/>
      <c r="D285" s="47"/>
      <c r="E285" s="47"/>
      <c r="F285" s="47"/>
      <c r="G285" s="47"/>
      <c r="H285" s="46">
        <f>112/IF(Общие_или_заединицу="Общие трудозатраты",1,16)</f>
        <v>7</v>
      </c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6">
        <f>19.2/IF(Общие_или_заединицу="Общие трудозатраты",1,16)</f>
        <v>1.2</v>
      </c>
      <c r="T285" s="47"/>
      <c r="U285" s="47"/>
      <c r="V285" s="47"/>
      <c r="W285" s="47"/>
      <c r="X285" s="47"/>
      <c r="Y285" s="47"/>
      <c r="Z285" s="47"/>
      <c r="AA285" s="47"/>
      <c r="AB285" s="47"/>
      <c r="AC285" s="47"/>
      <c r="AD285" s="47"/>
      <c r="AE285" s="47"/>
      <c r="AF285" s="47"/>
      <c r="AG285" s="47"/>
      <c r="AH285" s="47"/>
      <c r="AI285" s="47"/>
      <c r="AJ285" s="47"/>
      <c r="AK285" s="47"/>
      <c r="AL285" s="47"/>
      <c r="AM285" s="47"/>
      <c r="AN285" s="47"/>
      <c r="AO285" s="47"/>
      <c r="AP285" s="47"/>
      <c r="AQ285" s="47"/>
      <c r="AR285" s="47"/>
      <c r="AS285" s="47"/>
      <c r="AT285" s="47"/>
      <c r="AU285" s="47"/>
      <c r="AV285" s="47"/>
      <c r="AW285" s="47"/>
      <c r="AX285" s="47"/>
      <c r="AY285" s="47"/>
      <c r="AZ285" s="47"/>
      <c r="BA285" s="47"/>
      <c r="BB285" s="47"/>
      <c r="BC285" s="47"/>
    </row>
    <row r="286" spans="1:55" x14ac:dyDescent="0.25">
      <c r="A286" s="45" t="s">
        <v>963</v>
      </c>
      <c r="B286" s="46">
        <f t="shared" si="6"/>
        <v>64.599999999999994</v>
      </c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6">
        <f>51.6/IF(Общие_или_заединицу="Общие трудозатраты",1,6)</f>
        <v>8.6</v>
      </c>
      <c r="X286" s="47"/>
      <c r="Y286" s="47"/>
      <c r="Z286" s="47"/>
      <c r="AA286" s="47"/>
      <c r="AB286" s="47"/>
      <c r="AC286" s="47"/>
      <c r="AD286" s="47"/>
      <c r="AE286" s="47"/>
      <c r="AF286" s="47"/>
      <c r="AG286" s="47"/>
      <c r="AH286" s="47"/>
      <c r="AI286" s="47"/>
      <c r="AJ286" s="47"/>
      <c r="AK286" s="47"/>
      <c r="AL286" s="47"/>
      <c r="AM286" s="47"/>
      <c r="AN286" s="47"/>
      <c r="AO286" s="46">
        <f>336/IF(Общие_или_заединицу="Общие трудозатраты",1,6)</f>
        <v>56</v>
      </c>
      <c r="AP286" s="47"/>
      <c r="AQ286" s="47"/>
      <c r="AR286" s="47"/>
      <c r="AS286" s="47"/>
      <c r="AT286" s="47"/>
      <c r="AU286" s="47"/>
      <c r="AV286" s="47"/>
      <c r="AW286" s="47"/>
      <c r="AX286" s="47"/>
      <c r="AY286" s="47"/>
      <c r="AZ286" s="47"/>
      <c r="BA286" s="47"/>
      <c r="BB286" s="47"/>
      <c r="BC286" s="47"/>
    </row>
    <row r="287" spans="1:55" x14ac:dyDescent="0.25">
      <c r="A287" s="45" t="s">
        <v>962</v>
      </c>
      <c r="B287" s="46">
        <f t="shared" si="6"/>
        <v>24.9</v>
      </c>
      <c r="C287" s="47"/>
      <c r="D287" s="47"/>
      <c r="E287" s="46">
        <f>36/IF(Общие_или_заединицу="Общие трудозатраты",1,6)</f>
        <v>6</v>
      </c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  <c r="AA287" s="47"/>
      <c r="AB287" s="47"/>
      <c r="AC287" s="47"/>
      <c r="AD287" s="46">
        <f>32.4/IF(Общие_или_заединицу="Общие трудозатраты",1,6)*IF(Пробивка="Стандартная пробивная",1,3.5)</f>
        <v>18.899999999999999</v>
      </c>
      <c r="AE287" s="47"/>
      <c r="AF287" s="47"/>
      <c r="AG287" s="47"/>
      <c r="AH287" s="47"/>
      <c r="AI287" s="47"/>
      <c r="AJ287" s="47"/>
      <c r="AK287" s="47"/>
      <c r="AL287" s="47"/>
      <c r="AM287" s="47"/>
      <c r="AN287" s="47"/>
      <c r="AO287" s="47"/>
      <c r="AP287" s="47"/>
      <c r="AQ287" s="47"/>
      <c r="AR287" s="47"/>
      <c r="AS287" s="47"/>
      <c r="AT287" s="47"/>
      <c r="AU287" s="47"/>
      <c r="AV287" s="47"/>
      <c r="AW287" s="47"/>
      <c r="AX287" s="47"/>
      <c r="AY287" s="47"/>
      <c r="AZ287" s="47"/>
      <c r="BA287" s="47"/>
      <c r="BB287" s="47"/>
      <c r="BC287" s="47"/>
    </row>
    <row r="288" spans="1:55" x14ac:dyDescent="0.25">
      <c r="A288" s="45" t="s">
        <v>964</v>
      </c>
      <c r="B288" s="46">
        <f t="shared" si="6"/>
        <v>0.6</v>
      </c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6">
        <f>7.2/IF(Общие_или_заединицу="Общие трудозатраты",1,12)</f>
        <v>0.6</v>
      </c>
      <c r="T288" s="47"/>
      <c r="U288" s="47"/>
      <c r="V288" s="47"/>
      <c r="W288" s="47"/>
      <c r="X288" s="47"/>
      <c r="Y288" s="47"/>
      <c r="Z288" s="47"/>
      <c r="AA288" s="47"/>
      <c r="AB288" s="47"/>
      <c r="AC288" s="47"/>
      <c r="AD288" s="47"/>
      <c r="AE288" s="47"/>
      <c r="AF288" s="47"/>
      <c r="AG288" s="47"/>
      <c r="AH288" s="47"/>
      <c r="AI288" s="47"/>
      <c r="AJ288" s="47"/>
      <c r="AK288" s="47"/>
      <c r="AL288" s="47"/>
      <c r="AM288" s="47"/>
      <c r="AN288" s="47"/>
      <c r="AO288" s="47"/>
      <c r="AP288" s="47"/>
      <c r="AQ288" s="47"/>
      <c r="AR288" s="47"/>
      <c r="AS288" s="47"/>
      <c r="AT288" s="47"/>
      <c r="AU288" s="47"/>
      <c r="AV288" s="47"/>
      <c r="AW288" s="47"/>
      <c r="AX288" s="47"/>
      <c r="AY288" s="47"/>
      <c r="AZ288" s="47"/>
      <c r="BA288" s="47"/>
      <c r="BB288" s="47"/>
      <c r="BC288" s="47"/>
    </row>
    <row r="289" spans="1:55" x14ac:dyDescent="0.25">
      <c r="A289" s="45" t="s">
        <v>965</v>
      </c>
      <c r="B289" s="46">
        <f t="shared" si="6"/>
        <v>31.45</v>
      </c>
      <c r="C289" s="47"/>
      <c r="D289" s="47"/>
      <c r="E289" s="46">
        <f>48/IF(Общие_или_заединицу="Общие трудозатраты",1,6)</f>
        <v>8</v>
      </c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  <c r="AA289" s="47"/>
      <c r="AB289" s="47"/>
      <c r="AC289" s="47"/>
      <c r="AD289" s="46">
        <f>40.2/IF(Общие_или_заединицу="Общие трудозатраты",1,6)*IF(Пробивка="Стандартная пробивная",1,3.5)</f>
        <v>23.45</v>
      </c>
      <c r="AE289" s="47"/>
      <c r="AF289" s="47"/>
      <c r="AG289" s="47"/>
      <c r="AH289" s="47"/>
      <c r="AI289" s="47"/>
      <c r="AJ289" s="47"/>
      <c r="AK289" s="47"/>
      <c r="AL289" s="47"/>
      <c r="AM289" s="47"/>
      <c r="AN289" s="47"/>
      <c r="AO289" s="47"/>
      <c r="AP289" s="47"/>
      <c r="AQ289" s="47"/>
      <c r="AR289" s="47"/>
      <c r="AS289" s="47"/>
      <c r="AT289" s="47"/>
      <c r="AU289" s="47"/>
      <c r="AV289" s="47"/>
      <c r="AW289" s="47"/>
      <c r="AX289" s="47"/>
      <c r="AY289" s="47"/>
      <c r="AZ289" s="47"/>
      <c r="BA289" s="47"/>
      <c r="BB289" s="47"/>
      <c r="BC289" s="47"/>
    </row>
    <row r="290" spans="1:55" x14ac:dyDescent="0.25">
      <c r="A290" s="45" t="s">
        <v>968</v>
      </c>
      <c r="B290" s="46">
        <f t="shared" si="6"/>
        <v>70</v>
      </c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6">
        <f>10/IF(Общие_или_заединицу="Общие трудозатраты",1,1)</f>
        <v>10</v>
      </c>
      <c r="Q290" s="46">
        <f>60/IF(Общие_или_заединицу="Общие трудозатраты",1,1)</f>
        <v>60</v>
      </c>
      <c r="R290" s="47"/>
      <c r="S290" s="47"/>
      <c r="T290" s="47"/>
      <c r="U290" s="47"/>
      <c r="V290" s="47"/>
      <c r="W290" s="47"/>
      <c r="X290" s="47"/>
      <c r="Y290" s="47"/>
      <c r="Z290" s="47"/>
      <c r="AA290" s="47"/>
      <c r="AB290" s="47"/>
      <c r="AC290" s="47"/>
      <c r="AD290" s="47"/>
      <c r="AE290" s="47"/>
      <c r="AF290" s="47"/>
      <c r="AG290" s="47"/>
      <c r="AH290" s="47"/>
      <c r="AI290" s="47"/>
      <c r="AJ290" s="47"/>
      <c r="AK290" s="47"/>
      <c r="AL290" s="47"/>
      <c r="AM290" s="47"/>
      <c r="AN290" s="47"/>
      <c r="AO290" s="47"/>
      <c r="AP290" s="47"/>
      <c r="AQ290" s="47"/>
      <c r="AR290" s="47"/>
      <c r="AS290" s="47"/>
      <c r="AT290" s="47"/>
      <c r="AU290" s="47"/>
      <c r="AV290" s="47"/>
      <c r="AW290" s="47"/>
      <c r="AX290" s="47"/>
      <c r="AY290" s="47"/>
      <c r="AZ290" s="47"/>
      <c r="BA290" s="47"/>
      <c r="BB290" s="47"/>
      <c r="BC290" s="47"/>
    </row>
    <row r="291" spans="1:55" x14ac:dyDescent="0.25">
      <c r="A291" s="45" t="s">
        <v>971</v>
      </c>
      <c r="B291" s="46">
        <f t="shared" si="6"/>
        <v>41.25</v>
      </c>
      <c r="C291" s="47"/>
      <c r="D291" s="47"/>
      <c r="E291" s="47"/>
      <c r="F291" s="47"/>
      <c r="G291" s="47"/>
      <c r="H291" s="47"/>
      <c r="I291" s="47"/>
      <c r="J291" s="46">
        <f>8/IF(Общие_или_заединицу="Общие трудозатраты",1,1)</f>
        <v>8</v>
      </c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  <c r="AB291" s="47"/>
      <c r="AC291" s="47"/>
      <c r="AD291" s="46">
        <f>9.5/IF(Общие_или_заединицу="Общие трудозатраты",1,1)*IF(Пробивка="Стандартная пробивная",1,3.5)</f>
        <v>33.25</v>
      </c>
      <c r="AE291" s="47"/>
      <c r="AF291" s="47"/>
      <c r="AG291" s="47"/>
      <c r="AH291" s="47"/>
      <c r="AI291" s="47"/>
      <c r="AJ291" s="47"/>
      <c r="AK291" s="47"/>
      <c r="AL291" s="47"/>
      <c r="AM291" s="47"/>
      <c r="AN291" s="47"/>
      <c r="AO291" s="47"/>
      <c r="AP291" s="47"/>
      <c r="AQ291" s="47"/>
      <c r="AR291" s="47"/>
      <c r="AS291" s="47"/>
      <c r="AT291" s="47"/>
      <c r="AU291" s="47"/>
      <c r="AV291" s="47"/>
      <c r="AW291" s="47"/>
      <c r="AX291" s="47"/>
      <c r="AY291" s="47"/>
      <c r="AZ291" s="47"/>
      <c r="BA291" s="47"/>
      <c r="BB291" s="47"/>
      <c r="BC291" s="47"/>
    </row>
    <row r="292" spans="1:55" x14ac:dyDescent="0.25">
      <c r="A292" s="45" t="s">
        <v>972</v>
      </c>
      <c r="B292" s="46">
        <f t="shared" si="6"/>
        <v>27.5</v>
      </c>
      <c r="C292" s="47"/>
      <c r="D292" s="47"/>
      <c r="E292" s="47"/>
      <c r="F292" s="47"/>
      <c r="G292" s="47"/>
      <c r="H292" s="46">
        <f>3/IF(Общие_или_заединицу="Общие трудозатраты",1,1)</f>
        <v>3</v>
      </c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  <c r="AA292" s="47"/>
      <c r="AB292" s="47"/>
      <c r="AC292" s="47"/>
      <c r="AD292" s="46">
        <f>7/IF(Общие_или_заединицу="Общие трудозатраты",1,1)*IF(Пробивка="Стандартная пробивная",1,3.5)</f>
        <v>24.5</v>
      </c>
      <c r="AE292" s="47"/>
      <c r="AF292" s="47"/>
      <c r="AG292" s="47"/>
      <c r="AH292" s="47"/>
      <c r="AI292" s="47"/>
      <c r="AJ292" s="47"/>
      <c r="AK292" s="47"/>
      <c r="AL292" s="47"/>
      <c r="AM292" s="47"/>
      <c r="AN292" s="47"/>
      <c r="AO292" s="47"/>
      <c r="AP292" s="47"/>
      <c r="AQ292" s="47"/>
      <c r="AR292" s="47"/>
      <c r="AS292" s="47"/>
      <c r="AT292" s="47"/>
      <c r="AU292" s="47"/>
      <c r="AV292" s="47"/>
      <c r="AW292" s="47"/>
      <c r="AX292" s="47"/>
      <c r="AY292" s="47"/>
      <c r="AZ292" s="47"/>
      <c r="BA292" s="47"/>
      <c r="BB292" s="47"/>
      <c r="BC292" s="47"/>
    </row>
    <row r="293" spans="1:55" x14ac:dyDescent="0.25">
      <c r="A293" s="45" t="s">
        <v>973</v>
      </c>
      <c r="B293" s="46">
        <f t="shared" si="6"/>
        <v>34</v>
      </c>
      <c r="C293" s="47"/>
      <c r="D293" s="47"/>
      <c r="E293" s="47"/>
      <c r="F293" s="47"/>
      <c r="G293" s="47"/>
      <c r="H293" s="47"/>
      <c r="I293" s="47"/>
      <c r="J293" s="46">
        <f>6/IF(Общие_или_заединицу="Общие трудозатраты",1,1)</f>
        <v>6</v>
      </c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  <c r="AA293" s="47"/>
      <c r="AB293" s="47"/>
      <c r="AC293" s="47"/>
      <c r="AD293" s="46">
        <f>8/IF(Общие_или_заединицу="Общие трудозатраты",1,1)*IF(Пробивка="Стандартная пробивная",1,3.5)</f>
        <v>28</v>
      </c>
      <c r="AE293" s="47"/>
      <c r="AF293" s="47"/>
      <c r="AG293" s="47"/>
      <c r="AH293" s="47"/>
      <c r="AI293" s="47"/>
      <c r="AJ293" s="47"/>
      <c r="AK293" s="47"/>
      <c r="AL293" s="47"/>
      <c r="AM293" s="47"/>
      <c r="AN293" s="47"/>
      <c r="AO293" s="47"/>
      <c r="AP293" s="47"/>
      <c r="AQ293" s="47"/>
      <c r="AR293" s="47"/>
      <c r="AS293" s="47"/>
      <c r="AT293" s="47"/>
      <c r="AU293" s="47"/>
      <c r="AV293" s="47"/>
      <c r="AW293" s="47"/>
      <c r="AX293" s="47"/>
      <c r="AY293" s="47"/>
      <c r="AZ293" s="47"/>
      <c r="BA293" s="47"/>
      <c r="BB293" s="47"/>
      <c r="BC293" s="47"/>
    </row>
    <row r="294" spans="1:55" x14ac:dyDescent="0.25">
      <c r="A294" s="45" t="s">
        <v>974</v>
      </c>
      <c r="B294" s="46">
        <f t="shared" si="6"/>
        <v>6.7</v>
      </c>
      <c r="C294" s="47"/>
      <c r="D294" s="47"/>
      <c r="E294" s="47"/>
      <c r="F294" s="47"/>
      <c r="G294" s="47"/>
      <c r="H294" s="47"/>
      <c r="I294" s="46">
        <f>13.2/IF(Общие_или_заединицу="Общие трудозатраты",1,12)</f>
        <v>1.0999999999999999</v>
      </c>
      <c r="J294" s="47"/>
      <c r="K294" s="47"/>
      <c r="L294" s="47"/>
      <c r="M294" s="47"/>
      <c r="N294" s="47"/>
      <c r="O294" s="47"/>
      <c r="P294" s="47"/>
      <c r="Q294" s="47"/>
      <c r="R294" s="47"/>
      <c r="S294" s="46">
        <f>67.2/IF(Общие_или_заединицу="Общие трудозатраты",1,12)</f>
        <v>5.6000000000000005</v>
      </c>
      <c r="T294" s="47"/>
      <c r="U294" s="47"/>
      <c r="V294" s="47"/>
      <c r="W294" s="47"/>
      <c r="X294" s="47"/>
      <c r="Y294" s="47"/>
      <c r="Z294" s="47"/>
      <c r="AA294" s="47"/>
      <c r="AB294" s="47"/>
      <c r="AC294" s="47"/>
      <c r="AD294" s="47"/>
      <c r="AE294" s="47"/>
      <c r="AF294" s="47"/>
      <c r="AG294" s="47"/>
      <c r="AH294" s="47"/>
      <c r="AI294" s="47"/>
      <c r="AJ294" s="47"/>
      <c r="AK294" s="47"/>
      <c r="AL294" s="47"/>
      <c r="AM294" s="47"/>
      <c r="AN294" s="47"/>
      <c r="AO294" s="47"/>
      <c r="AP294" s="47"/>
      <c r="AQ294" s="47"/>
      <c r="AR294" s="47"/>
      <c r="AS294" s="47"/>
      <c r="AT294" s="47"/>
      <c r="AU294" s="47"/>
      <c r="AV294" s="47"/>
      <c r="AW294" s="47"/>
      <c r="AX294" s="47"/>
      <c r="AY294" s="47"/>
      <c r="AZ294" s="47"/>
      <c r="BA294" s="47"/>
      <c r="BB294" s="47"/>
      <c r="BC294" s="47"/>
    </row>
    <row r="295" spans="1:55" x14ac:dyDescent="0.25">
      <c r="A295" s="45" t="s">
        <v>975</v>
      </c>
      <c r="B295" s="48">
        <f t="shared" si="6"/>
        <v>37</v>
      </c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6">
        <f>428/IF(Общие_или_заединицу="Общие трудозатраты",1,214)</f>
        <v>2</v>
      </c>
      <c r="AA295" s="47"/>
      <c r="AB295" s="47"/>
      <c r="AC295" s="47"/>
      <c r="AD295" s="48">
        <f>2140/IF(Общие_или_заединицу="Общие трудозатраты",1,214)*IF(Пробивка="Стандартная пробивная",1,3.5)</f>
        <v>35</v>
      </c>
      <c r="AE295" s="47"/>
      <c r="AF295" s="47"/>
      <c r="AG295" s="47"/>
      <c r="AH295" s="47"/>
      <c r="AI295" s="47"/>
      <c r="AJ295" s="47"/>
      <c r="AK295" s="47"/>
      <c r="AL295" s="47"/>
      <c r="AM295" s="47"/>
      <c r="AN295" s="47"/>
      <c r="AO295" s="47"/>
      <c r="AP295" s="47"/>
      <c r="AQ295" s="47"/>
      <c r="AR295" s="47"/>
      <c r="AS295" s="47"/>
      <c r="AT295" s="47"/>
      <c r="AU295" s="47"/>
      <c r="AV295" s="47"/>
      <c r="AW295" s="47"/>
      <c r="AX295" s="47"/>
      <c r="AY295" s="47"/>
      <c r="AZ295" s="47"/>
      <c r="BA295" s="47"/>
      <c r="BB295" s="47"/>
      <c r="BC295" s="47"/>
    </row>
    <row r="296" spans="1:55" x14ac:dyDescent="0.25">
      <c r="A296" s="45" t="s">
        <v>976</v>
      </c>
      <c r="B296" s="46">
        <f t="shared" si="6"/>
        <v>6.8000000000000007</v>
      </c>
      <c r="C296" s="47"/>
      <c r="D296" s="47"/>
      <c r="E296" s="47"/>
      <c r="F296" s="46">
        <f>1.1/IF(Общие_или_заединицу="Общие трудозатраты",1,1)</f>
        <v>1.1000000000000001</v>
      </c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6">
        <f>5.7/IF(Общие_или_заединицу="Общие трудозатраты",1,1)</f>
        <v>5.7</v>
      </c>
      <c r="T296" s="47"/>
      <c r="U296" s="47"/>
      <c r="V296" s="47"/>
      <c r="W296" s="47"/>
      <c r="X296" s="47"/>
      <c r="Y296" s="47"/>
      <c r="Z296" s="47"/>
      <c r="AA296" s="47"/>
      <c r="AB296" s="47"/>
      <c r="AC296" s="47"/>
      <c r="AD296" s="47"/>
      <c r="AE296" s="47"/>
      <c r="AF296" s="47"/>
      <c r="AG296" s="47"/>
      <c r="AH296" s="47"/>
      <c r="AI296" s="47"/>
      <c r="AJ296" s="47"/>
      <c r="AK296" s="47"/>
      <c r="AL296" s="47"/>
      <c r="AM296" s="47"/>
      <c r="AN296" s="47"/>
      <c r="AO296" s="47"/>
      <c r="AP296" s="47"/>
      <c r="AQ296" s="47"/>
      <c r="AR296" s="47"/>
      <c r="AS296" s="47"/>
      <c r="AT296" s="47"/>
      <c r="AU296" s="47"/>
      <c r="AV296" s="47"/>
      <c r="AW296" s="47"/>
      <c r="AX296" s="47"/>
      <c r="AY296" s="47"/>
      <c r="AZ296" s="47"/>
      <c r="BA296" s="47"/>
      <c r="BB296" s="47"/>
      <c r="BC296" s="47"/>
    </row>
    <row r="297" spans="1:55" x14ac:dyDescent="0.25">
      <c r="A297" s="45" t="s">
        <v>977</v>
      </c>
      <c r="B297" s="46">
        <f t="shared" si="6"/>
        <v>6.8000000000000007</v>
      </c>
      <c r="C297" s="47"/>
      <c r="D297" s="47"/>
      <c r="E297" s="47"/>
      <c r="F297" s="46">
        <f>1.1/IF(Общие_или_заединицу="Общие трудозатраты",1,1)</f>
        <v>1.1000000000000001</v>
      </c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6">
        <f>5.7/IF(Общие_или_заединицу="Общие трудозатраты",1,1)</f>
        <v>5.7</v>
      </c>
      <c r="T297" s="47"/>
      <c r="U297" s="47"/>
      <c r="V297" s="47"/>
      <c r="W297" s="47"/>
      <c r="X297" s="47"/>
      <c r="Y297" s="47"/>
      <c r="Z297" s="47"/>
      <c r="AA297" s="47"/>
      <c r="AB297" s="47"/>
      <c r="AC297" s="47"/>
      <c r="AD297" s="47"/>
      <c r="AE297" s="47"/>
      <c r="AF297" s="47"/>
      <c r="AG297" s="47"/>
      <c r="AH297" s="47"/>
      <c r="AI297" s="47"/>
      <c r="AJ297" s="47"/>
      <c r="AK297" s="47"/>
      <c r="AL297" s="47"/>
      <c r="AM297" s="47"/>
      <c r="AN297" s="47"/>
      <c r="AO297" s="47"/>
      <c r="AP297" s="47"/>
      <c r="AQ297" s="47"/>
      <c r="AR297" s="47"/>
      <c r="AS297" s="47"/>
      <c r="AT297" s="47"/>
      <c r="AU297" s="47"/>
      <c r="AV297" s="47"/>
      <c r="AW297" s="47"/>
      <c r="AX297" s="47"/>
      <c r="AY297" s="47"/>
      <c r="AZ297" s="47"/>
      <c r="BA297" s="47"/>
      <c r="BB297" s="47"/>
      <c r="BC297" s="47"/>
    </row>
    <row r="298" spans="1:55" x14ac:dyDescent="0.25">
      <c r="A298" s="45" t="s">
        <v>633</v>
      </c>
      <c r="B298" s="46">
        <f t="shared" si="6"/>
        <v>106</v>
      </c>
      <c r="C298" s="47"/>
      <c r="D298" s="47"/>
      <c r="E298" s="47"/>
      <c r="F298" s="47"/>
      <c r="G298" s="46">
        <f>192/IF(Общие_или_заединицу="Общие трудозатраты",1,24)</f>
        <v>8</v>
      </c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  <c r="AB298" s="47"/>
      <c r="AC298" s="47"/>
      <c r="AD298" s="46">
        <f>672/IF(Общие_или_заединицу="Общие трудозатраты",1,24)*IF(Пробивка="Стандартная пробивная",1,3.5)</f>
        <v>98</v>
      </c>
      <c r="AE298" s="47"/>
      <c r="AF298" s="47"/>
      <c r="AG298" s="47"/>
      <c r="AH298" s="47"/>
      <c r="AI298" s="47"/>
      <c r="AJ298" s="47"/>
      <c r="AK298" s="47"/>
      <c r="AL298" s="47"/>
      <c r="AM298" s="47"/>
      <c r="AN298" s="47"/>
      <c r="AO298" s="47"/>
      <c r="AP298" s="47"/>
      <c r="AQ298" s="47"/>
      <c r="AR298" s="47"/>
      <c r="AS298" s="47"/>
      <c r="AT298" s="47"/>
      <c r="AU298" s="47"/>
      <c r="AV298" s="47"/>
      <c r="AW298" s="47"/>
      <c r="AX298" s="47"/>
      <c r="AY298" s="47"/>
      <c r="AZ298" s="47"/>
      <c r="BA298" s="47"/>
      <c r="BB298" s="47"/>
      <c r="BC298" s="47"/>
    </row>
    <row r="299" spans="1:55" x14ac:dyDescent="0.25">
      <c r="A299" s="45" t="s">
        <v>630</v>
      </c>
      <c r="B299" s="48">
        <f t="shared" si="6"/>
        <v>109</v>
      </c>
      <c r="C299" s="47"/>
      <c r="D299" s="47"/>
      <c r="E299" s="47"/>
      <c r="F299" s="47"/>
      <c r="G299" s="48">
        <f>1056/IF(Общие_или_заединицу="Общие трудозатраты",1,264)</f>
        <v>4</v>
      </c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  <c r="AA299" s="47"/>
      <c r="AB299" s="47"/>
      <c r="AC299" s="47"/>
      <c r="AD299" s="48">
        <f>7920/IF(Общие_или_заединицу="Общие трудозатраты",1,264)*IF(Пробивка="Стандартная пробивная",1,3.5)</f>
        <v>105</v>
      </c>
      <c r="AE299" s="47"/>
      <c r="AF299" s="47"/>
      <c r="AG299" s="47"/>
      <c r="AH299" s="47"/>
      <c r="AI299" s="47"/>
      <c r="AJ299" s="47"/>
      <c r="AK299" s="47"/>
      <c r="AL299" s="47"/>
      <c r="AM299" s="47"/>
      <c r="AN299" s="47"/>
      <c r="AO299" s="47"/>
      <c r="AP299" s="47"/>
      <c r="AQ299" s="47"/>
      <c r="AR299" s="47"/>
      <c r="AS299" s="47"/>
      <c r="AT299" s="47"/>
      <c r="AU299" s="47"/>
      <c r="AV299" s="47"/>
      <c r="AW299" s="47"/>
      <c r="AX299" s="47"/>
      <c r="AY299" s="47"/>
      <c r="AZ299" s="47"/>
      <c r="BA299" s="47"/>
      <c r="BB299" s="47"/>
      <c r="BC299" s="47"/>
    </row>
    <row r="300" spans="1:55" x14ac:dyDescent="0.25">
      <c r="A300" s="45" t="s">
        <v>978</v>
      </c>
      <c r="B300" s="46">
        <f t="shared" si="6"/>
        <v>3.6</v>
      </c>
      <c r="C300" s="47"/>
      <c r="D300" s="47"/>
      <c r="E300" s="47"/>
      <c r="F300" s="46">
        <f>1.1/IF(Общие_или_заединицу="Общие трудозатраты",1,1)</f>
        <v>1.1000000000000001</v>
      </c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6">
        <f>2.5/IF(Общие_или_заединицу="Общие трудозатраты",1,1)</f>
        <v>2.5</v>
      </c>
      <c r="T300" s="47"/>
      <c r="U300" s="47"/>
      <c r="V300" s="47"/>
      <c r="W300" s="47"/>
      <c r="X300" s="47"/>
      <c r="Y300" s="47"/>
      <c r="Z300" s="47"/>
      <c r="AA300" s="47"/>
      <c r="AB300" s="47"/>
      <c r="AC300" s="47"/>
      <c r="AD300" s="47"/>
      <c r="AE300" s="47"/>
      <c r="AF300" s="47"/>
      <c r="AG300" s="47"/>
      <c r="AH300" s="47"/>
      <c r="AI300" s="47"/>
      <c r="AJ300" s="47"/>
      <c r="AK300" s="47"/>
      <c r="AL300" s="47"/>
      <c r="AM300" s="47"/>
      <c r="AN300" s="47"/>
      <c r="AO300" s="47"/>
      <c r="AP300" s="47"/>
      <c r="AQ300" s="47"/>
      <c r="AR300" s="47"/>
      <c r="AS300" s="47"/>
      <c r="AT300" s="47"/>
      <c r="AU300" s="47"/>
      <c r="AV300" s="47"/>
      <c r="AW300" s="47"/>
      <c r="AX300" s="47"/>
      <c r="AY300" s="47"/>
      <c r="AZ300" s="47"/>
      <c r="BA300" s="47"/>
      <c r="BB300" s="47"/>
      <c r="BC300" s="47"/>
    </row>
    <row r="301" spans="1:55" x14ac:dyDescent="0.25">
      <c r="A301" s="45" t="s">
        <v>979</v>
      </c>
      <c r="B301" s="46">
        <f t="shared" si="6"/>
        <v>11.6</v>
      </c>
      <c r="C301" s="47"/>
      <c r="D301" s="47"/>
      <c r="E301" s="47"/>
      <c r="F301" s="46">
        <f>51.7/IF(Общие_или_заединицу="Общие трудозатраты",1,47)</f>
        <v>1.1000000000000001</v>
      </c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  <c r="AA301" s="47"/>
      <c r="AB301" s="47"/>
      <c r="AC301" s="47"/>
      <c r="AD301" s="46">
        <f>141/IF(Общие_или_заединицу="Общие трудозатраты",1,47)*IF(Пробивка="Стандартная пробивная",1,3.5)</f>
        <v>10.5</v>
      </c>
      <c r="AE301" s="47"/>
      <c r="AF301" s="47"/>
      <c r="AG301" s="47"/>
      <c r="AH301" s="47"/>
      <c r="AI301" s="47"/>
      <c r="AJ301" s="47"/>
      <c r="AK301" s="47"/>
      <c r="AL301" s="47"/>
      <c r="AM301" s="47"/>
      <c r="AN301" s="47"/>
      <c r="AO301" s="47"/>
      <c r="AP301" s="47"/>
      <c r="AQ301" s="47"/>
      <c r="AR301" s="47"/>
      <c r="AS301" s="47"/>
      <c r="AT301" s="47"/>
      <c r="AU301" s="47"/>
      <c r="AV301" s="47"/>
      <c r="AW301" s="47"/>
      <c r="AX301" s="47"/>
      <c r="AY301" s="47"/>
      <c r="AZ301" s="47"/>
      <c r="BA301" s="47"/>
      <c r="BB301" s="47"/>
      <c r="BC301" s="47"/>
    </row>
    <row r="302" spans="1:55" x14ac:dyDescent="0.25">
      <c r="A302" s="45" t="s">
        <v>980</v>
      </c>
      <c r="B302" s="46">
        <f t="shared" si="6"/>
        <v>28</v>
      </c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  <c r="AA302" s="47"/>
      <c r="AB302" s="47"/>
      <c r="AC302" s="47"/>
      <c r="AD302" s="46">
        <f>96/IF(Общие_или_заединицу="Общие трудозатраты",1,12)*IF(Пробивка="Стандартная пробивная",1,3.5)</f>
        <v>28</v>
      </c>
      <c r="AE302" s="47"/>
      <c r="AF302" s="47"/>
      <c r="AG302" s="47"/>
      <c r="AH302" s="47"/>
      <c r="AI302" s="47"/>
      <c r="AJ302" s="47"/>
      <c r="AK302" s="47"/>
      <c r="AL302" s="47"/>
      <c r="AM302" s="47"/>
      <c r="AN302" s="47"/>
      <c r="AO302" s="47"/>
      <c r="AP302" s="47"/>
      <c r="AQ302" s="47"/>
      <c r="AR302" s="47"/>
      <c r="AS302" s="47"/>
      <c r="AT302" s="47"/>
      <c r="AU302" s="47"/>
      <c r="AV302" s="47"/>
      <c r="AW302" s="47"/>
      <c r="AX302" s="47"/>
      <c r="AY302" s="47"/>
      <c r="AZ302" s="47"/>
      <c r="BA302" s="47"/>
      <c r="BB302" s="47"/>
      <c r="BC302" s="47"/>
    </row>
    <row r="303" spans="1:55" x14ac:dyDescent="0.25">
      <c r="A303" s="45" t="s">
        <v>981</v>
      </c>
      <c r="B303" s="46">
        <f t="shared" si="6"/>
        <v>23.9</v>
      </c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6">
        <f>45.6/IF(Общие_или_заединицу="Общие трудозатраты",1,24)</f>
        <v>1.9000000000000001</v>
      </c>
      <c r="U303" s="47"/>
      <c r="V303" s="47"/>
      <c r="W303" s="47"/>
      <c r="X303" s="47"/>
      <c r="Y303" s="47"/>
      <c r="Z303" s="47"/>
      <c r="AA303" s="47"/>
      <c r="AB303" s="47"/>
      <c r="AC303" s="46">
        <f>480/IF(Общие_или_заединицу="Общие трудозатраты",1,24)</f>
        <v>20</v>
      </c>
      <c r="AD303" s="47"/>
      <c r="AE303" s="47"/>
      <c r="AF303" s="47"/>
      <c r="AG303" s="47"/>
      <c r="AH303" s="47"/>
      <c r="AI303" s="47"/>
      <c r="AJ303" s="47"/>
      <c r="AK303" s="47"/>
      <c r="AL303" s="47"/>
      <c r="AM303" s="47"/>
      <c r="AN303" s="47"/>
      <c r="AO303" s="47"/>
      <c r="AP303" s="47"/>
      <c r="AQ303" s="47"/>
      <c r="AR303" s="47"/>
      <c r="AS303" s="47"/>
      <c r="AT303" s="47"/>
      <c r="AU303" s="47"/>
      <c r="AV303" s="47"/>
      <c r="AW303" s="47"/>
      <c r="AX303" s="47"/>
      <c r="AY303" s="47"/>
      <c r="AZ303" s="47"/>
      <c r="BA303" s="47"/>
      <c r="BB303" s="47"/>
      <c r="BC303" s="46">
        <f>48/IF(Общие_или_заединицу="Общие трудозатраты",1,24)</f>
        <v>2</v>
      </c>
    </row>
    <row r="304" spans="1:55" x14ac:dyDescent="0.25">
      <c r="A304" s="45" t="s">
        <v>982</v>
      </c>
      <c r="B304" s="46">
        <f t="shared" si="6"/>
        <v>10.5</v>
      </c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  <c r="AA304" s="47"/>
      <c r="AB304" s="47"/>
      <c r="AC304" s="47"/>
      <c r="AD304" s="46">
        <f>24/IF(Общие_или_заединицу="Общие трудозатраты",1,8)*IF(Пробивка="Стандартная пробивная",1,3.5)</f>
        <v>10.5</v>
      </c>
      <c r="AE304" s="47"/>
      <c r="AF304" s="47"/>
      <c r="AG304" s="47"/>
      <c r="AH304" s="47"/>
      <c r="AI304" s="47"/>
      <c r="AJ304" s="47"/>
      <c r="AK304" s="47"/>
      <c r="AL304" s="47"/>
      <c r="AM304" s="47"/>
      <c r="AN304" s="47"/>
      <c r="AO304" s="47"/>
      <c r="AP304" s="47"/>
      <c r="AQ304" s="47"/>
      <c r="AR304" s="47"/>
      <c r="AS304" s="47"/>
      <c r="AT304" s="47"/>
      <c r="AU304" s="47"/>
      <c r="AV304" s="47"/>
      <c r="AW304" s="47"/>
      <c r="AX304" s="47"/>
      <c r="AY304" s="47"/>
      <c r="AZ304" s="47"/>
      <c r="BA304" s="47"/>
      <c r="BB304" s="47"/>
      <c r="BC304" s="47"/>
    </row>
    <row r="305" spans="1:55" x14ac:dyDescent="0.25">
      <c r="A305" s="45" t="s">
        <v>983</v>
      </c>
      <c r="B305" s="48">
        <f t="shared" si="6"/>
        <v>7.7000000000000011</v>
      </c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  <c r="AB305" s="47"/>
      <c r="AC305" s="47"/>
      <c r="AD305" s="48">
        <f>1267.2/IF(Общие_или_заединицу="Общие трудозатраты",1,576)*IF(Пробивка="Стандартная пробивная",1,3.5)</f>
        <v>7.7000000000000011</v>
      </c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</row>
    <row r="306" spans="1:55" x14ac:dyDescent="0.25">
      <c r="A306" s="45" t="s">
        <v>984</v>
      </c>
      <c r="B306" s="46">
        <f t="shared" si="6"/>
        <v>20</v>
      </c>
      <c r="C306" s="47"/>
      <c r="D306" s="47"/>
      <c r="E306" s="47"/>
      <c r="F306" s="47"/>
      <c r="G306" s="47"/>
      <c r="H306" s="47"/>
      <c r="I306" s="47"/>
      <c r="J306" s="46">
        <f>432/IF(Общие_или_заединицу="Общие трудозатраты",1,72)</f>
        <v>6</v>
      </c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  <c r="AA306" s="47"/>
      <c r="AB306" s="47"/>
      <c r="AC306" s="47"/>
      <c r="AD306" s="46">
        <f>288/IF(Общие_или_заединицу="Общие трудозатраты",1,72)*IF(Пробивка="Стандартная пробивная",1,3.5)</f>
        <v>14</v>
      </c>
      <c r="AE306" s="47"/>
      <c r="AF306" s="47"/>
      <c r="AG306" s="47"/>
      <c r="AH306" s="47"/>
      <c r="AI306" s="47"/>
      <c r="AJ306" s="47"/>
      <c r="AK306" s="47"/>
      <c r="AL306" s="47"/>
      <c r="AM306" s="47"/>
      <c r="AN306" s="47"/>
      <c r="AO306" s="47"/>
      <c r="AP306" s="47"/>
      <c r="AQ306" s="47"/>
      <c r="AR306" s="47"/>
      <c r="AS306" s="47"/>
      <c r="AT306" s="47"/>
      <c r="AU306" s="47"/>
      <c r="AV306" s="47"/>
      <c r="AW306" s="47"/>
      <c r="AX306" s="47"/>
      <c r="AY306" s="47"/>
      <c r="AZ306" s="47"/>
      <c r="BA306" s="47"/>
      <c r="BB306" s="47"/>
      <c r="BC306" s="47"/>
    </row>
    <row r="307" spans="1:55" x14ac:dyDescent="0.25">
      <c r="A307" s="45" t="s">
        <v>985</v>
      </c>
      <c r="B307" s="46">
        <f t="shared" si="6"/>
        <v>1.6</v>
      </c>
      <c r="C307" s="47"/>
      <c r="D307" s="47"/>
      <c r="E307" s="47"/>
      <c r="F307" s="46">
        <f>17.6/IF(Общие_или_заединицу="Общие трудозатраты",1,16)</f>
        <v>1.1000000000000001</v>
      </c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6">
        <f>8/IF(Общие_или_заединицу="Общие трудозатраты",1,16)</f>
        <v>0.5</v>
      </c>
      <c r="T307" s="47"/>
      <c r="U307" s="47"/>
      <c r="V307" s="47"/>
      <c r="W307" s="47"/>
      <c r="X307" s="47"/>
      <c r="Y307" s="47"/>
      <c r="Z307" s="47"/>
      <c r="AA307" s="47"/>
      <c r="AB307" s="47"/>
      <c r="AC307" s="47"/>
      <c r="AD307" s="47"/>
      <c r="AE307" s="47"/>
      <c r="AF307" s="47"/>
      <c r="AG307" s="47"/>
      <c r="AH307" s="47"/>
      <c r="AI307" s="47"/>
      <c r="AJ307" s="47"/>
      <c r="AK307" s="47"/>
      <c r="AL307" s="47"/>
      <c r="AM307" s="47"/>
      <c r="AN307" s="47"/>
      <c r="AO307" s="47"/>
      <c r="AP307" s="47"/>
      <c r="AQ307" s="47"/>
      <c r="AR307" s="47"/>
      <c r="AS307" s="47"/>
      <c r="AT307" s="47"/>
      <c r="AU307" s="47"/>
      <c r="AV307" s="47"/>
      <c r="AW307" s="47"/>
      <c r="AX307" s="47"/>
      <c r="AY307" s="47"/>
      <c r="AZ307" s="47"/>
      <c r="BA307" s="47"/>
      <c r="BB307" s="47"/>
      <c r="BC307" s="47"/>
    </row>
    <row r="308" spans="1:55" x14ac:dyDescent="0.25">
      <c r="A308" s="45" t="s">
        <v>635</v>
      </c>
      <c r="B308" s="48">
        <f t="shared" si="6"/>
        <v>123</v>
      </c>
      <c r="C308" s="47"/>
      <c r="D308" s="47"/>
      <c r="E308" s="47"/>
      <c r="F308" s="47"/>
      <c r="G308" s="47"/>
      <c r="H308" s="47"/>
      <c r="I308" s="47"/>
      <c r="J308" s="46">
        <f>192/IF(Общие_или_заединицу="Общие трудозатраты",1,48)</f>
        <v>4</v>
      </c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  <c r="AA308" s="47"/>
      <c r="AB308" s="47"/>
      <c r="AC308" s="47"/>
      <c r="AD308" s="48">
        <f>1632/IF(Общие_или_заединицу="Общие трудозатраты",1,48)*IF(Пробивка="Стандартная пробивная",1,3.5)</f>
        <v>119</v>
      </c>
      <c r="AE308" s="47"/>
      <c r="AF308" s="47"/>
      <c r="AG308" s="47"/>
      <c r="AH308" s="47"/>
      <c r="AI308" s="47"/>
      <c r="AJ308" s="47"/>
      <c r="AK308" s="47"/>
      <c r="AL308" s="47"/>
      <c r="AM308" s="47"/>
      <c r="AN308" s="47"/>
      <c r="AO308" s="47"/>
      <c r="AP308" s="47"/>
      <c r="AQ308" s="47"/>
      <c r="AR308" s="47"/>
      <c r="AS308" s="47"/>
      <c r="AT308" s="47"/>
      <c r="AU308" s="47"/>
      <c r="AV308" s="47"/>
      <c r="AW308" s="47"/>
      <c r="AX308" s="47"/>
      <c r="AY308" s="47"/>
      <c r="AZ308" s="47"/>
      <c r="BA308" s="47"/>
      <c r="BB308" s="47"/>
      <c r="BC308" s="47"/>
    </row>
    <row r="309" spans="1:55" x14ac:dyDescent="0.25">
      <c r="A309" s="45" t="s">
        <v>986</v>
      </c>
      <c r="B309" s="46">
        <f t="shared" si="6"/>
        <v>32</v>
      </c>
      <c r="C309" s="47"/>
      <c r="D309" s="47"/>
      <c r="E309" s="47"/>
      <c r="F309" s="47"/>
      <c r="G309" s="47"/>
      <c r="H309" s="47"/>
      <c r="I309" s="47"/>
      <c r="J309" s="46">
        <f>20/IF(Общие_или_заединицу="Общие трудозатраты",1,5)</f>
        <v>4</v>
      </c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  <c r="AA309" s="47"/>
      <c r="AB309" s="47"/>
      <c r="AC309" s="47"/>
      <c r="AD309" s="46">
        <f>40/IF(Общие_или_заединицу="Общие трудозатраты",1,5)*IF(Пробивка="Стандартная пробивная",1,3.5)</f>
        <v>28</v>
      </c>
      <c r="AE309" s="47"/>
      <c r="AF309" s="47"/>
      <c r="AG309" s="47"/>
      <c r="AH309" s="47"/>
      <c r="AI309" s="47"/>
      <c r="AJ309" s="47"/>
      <c r="AK309" s="47"/>
      <c r="AL309" s="47"/>
      <c r="AM309" s="47"/>
      <c r="AN309" s="47"/>
      <c r="AO309" s="47"/>
      <c r="AP309" s="47"/>
      <c r="AQ309" s="47"/>
      <c r="AR309" s="47"/>
      <c r="AS309" s="47"/>
      <c r="AT309" s="47"/>
      <c r="AU309" s="47"/>
      <c r="AV309" s="47"/>
      <c r="AW309" s="47"/>
      <c r="AX309" s="47"/>
      <c r="AY309" s="47"/>
      <c r="AZ309" s="47"/>
      <c r="BA309" s="47"/>
      <c r="BB309" s="47"/>
      <c r="BC309" s="47"/>
    </row>
    <row r="310" spans="1:55" x14ac:dyDescent="0.25">
      <c r="A310" s="45" t="s">
        <v>987</v>
      </c>
      <c r="B310" s="46">
        <f t="shared" si="6"/>
        <v>32</v>
      </c>
      <c r="C310" s="47"/>
      <c r="D310" s="47"/>
      <c r="E310" s="47"/>
      <c r="F310" s="47"/>
      <c r="G310" s="47"/>
      <c r="H310" s="47"/>
      <c r="I310" s="47"/>
      <c r="J310" s="46">
        <f>20/IF(Общие_или_заединицу="Общие трудозатраты",1,5)</f>
        <v>4</v>
      </c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  <c r="AB310" s="47"/>
      <c r="AC310" s="47"/>
      <c r="AD310" s="46">
        <f>40/IF(Общие_или_заединицу="Общие трудозатраты",1,5)*IF(Пробивка="Стандартная пробивная",1,3.5)</f>
        <v>28</v>
      </c>
      <c r="AE310" s="47"/>
      <c r="AF310" s="47"/>
      <c r="AG310" s="47"/>
      <c r="AH310" s="47"/>
      <c r="AI310" s="47"/>
      <c r="AJ310" s="47"/>
      <c r="AK310" s="47"/>
      <c r="AL310" s="47"/>
      <c r="AM310" s="47"/>
      <c r="AN310" s="47"/>
      <c r="AO310" s="47"/>
      <c r="AP310" s="47"/>
      <c r="AQ310" s="47"/>
      <c r="AR310" s="47"/>
      <c r="AS310" s="47"/>
      <c r="AT310" s="47"/>
      <c r="AU310" s="47"/>
      <c r="AV310" s="47"/>
      <c r="AW310" s="47"/>
      <c r="AX310" s="47"/>
      <c r="AY310" s="47"/>
      <c r="AZ310" s="47"/>
      <c r="BA310" s="47"/>
      <c r="BB310" s="47"/>
      <c r="BC310" s="47"/>
    </row>
    <row r="311" spans="1:55" x14ac:dyDescent="0.25">
      <c r="A311" s="45" t="s">
        <v>988</v>
      </c>
      <c r="B311" s="46">
        <f t="shared" si="6"/>
        <v>10.899999999999999</v>
      </c>
      <c r="C311" s="47"/>
      <c r="D311" s="47"/>
      <c r="E311" s="47"/>
      <c r="F311" s="46">
        <f>8.8/IF(Общие_или_заединицу="Общие трудозатраты",1,8)</f>
        <v>1.1000000000000001</v>
      </c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  <c r="AA311" s="47"/>
      <c r="AB311" s="47"/>
      <c r="AC311" s="47"/>
      <c r="AD311" s="46">
        <f>22.4/IF(Общие_или_заединицу="Общие трудозатраты",1,8)*IF(Пробивка="Стандартная пробивная",1,3.5)</f>
        <v>9.7999999999999989</v>
      </c>
      <c r="AE311" s="47"/>
      <c r="AF311" s="47"/>
      <c r="AG311" s="47"/>
      <c r="AH311" s="47"/>
      <c r="AI311" s="47"/>
      <c r="AJ311" s="47"/>
      <c r="AK311" s="47"/>
      <c r="AL311" s="47"/>
      <c r="AM311" s="47"/>
      <c r="AN311" s="47"/>
      <c r="AO311" s="47"/>
      <c r="AP311" s="47"/>
      <c r="AQ311" s="47"/>
      <c r="AR311" s="47"/>
      <c r="AS311" s="47"/>
      <c r="AT311" s="47"/>
      <c r="AU311" s="47"/>
      <c r="AV311" s="47"/>
      <c r="AW311" s="47"/>
      <c r="AX311" s="47"/>
      <c r="AY311" s="47"/>
      <c r="AZ311" s="47"/>
      <c r="BA311" s="47"/>
      <c r="BB311" s="47"/>
      <c r="BC311" s="47"/>
    </row>
    <row r="312" spans="1:55" x14ac:dyDescent="0.25">
      <c r="A312" s="45" t="s">
        <v>989</v>
      </c>
      <c r="B312" s="46">
        <f t="shared" si="6"/>
        <v>9.15</v>
      </c>
      <c r="C312" s="47"/>
      <c r="D312" s="47"/>
      <c r="E312" s="47"/>
      <c r="F312" s="46">
        <f>52.8/IF(Общие_или_заединицу="Общие трудозатраты",1,48)</f>
        <v>1.0999999999999999</v>
      </c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  <c r="AB312" s="47"/>
      <c r="AC312" s="47"/>
      <c r="AD312" s="46">
        <f>110.4/IF(Общие_или_заединицу="Общие трудозатраты",1,48)*IF(Пробивка="Стандартная пробивная",1,3.5)</f>
        <v>8.0500000000000007</v>
      </c>
      <c r="AE312" s="47"/>
      <c r="AF312" s="47"/>
      <c r="AG312" s="47"/>
      <c r="AH312" s="47"/>
      <c r="AI312" s="47"/>
      <c r="AJ312" s="47"/>
      <c r="AK312" s="47"/>
      <c r="AL312" s="47"/>
      <c r="AM312" s="47"/>
      <c r="AN312" s="47"/>
      <c r="AO312" s="47"/>
      <c r="AP312" s="47"/>
      <c r="AQ312" s="47"/>
      <c r="AR312" s="47"/>
      <c r="AS312" s="47"/>
      <c r="AT312" s="47"/>
      <c r="AU312" s="47"/>
      <c r="AV312" s="47"/>
      <c r="AW312" s="47"/>
      <c r="AX312" s="47"/>
      <c r="AY312" s="47"/>
      <c r="AZ312" s="47"/>
      <c r="BA312" s="47"/>
      <c r="BB312" s="47"/>
      <c r="BC312" s="47"/>
    </row>
    <row r="313" spans="1:55" x14ac:dyDescent="0.25">
      <c r="A313" s="45" t="s">
        <v>636</v>
      </c>
      <c r="B313" s="46">
        <f t="shared" si="6"/>
        <v>14.25</v>
      </c>
      <c r="C313" s="47"/>
      <c r="D313" s="47"/>
      <c r="E313" s="47"/>
      <c r="F313" s="46">
        <f>48/IF(Общие_или_заединицу="Общие трудозатраты",1,24)</f>
        <v>2</v>
      </c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  <c r="AA313" s="47"/>
      <c r="AB313" s="47"/>
      <c r="AC313" s="47"/>
      <c r="AD313" s="46">
        <f>84/IF(Общие_или_заединицу="Общие трудозатраты",1,24)*IF(Пробивка="Стандартная пробивная",1,3.5)</f>
        <v>12.25</v>
      </c>
      <c r="AE313" s="47"/>
      <c r="AF313" s="47"/>
      <c r="AG313" s="47"/>
      <c r="AH313" s="47"/>
      <c r="AI313" s="47"/>
      <c r="AJ313" s="47"/>
      <c r="AK313" s="47"/>
      <c r="AL313" s="47"/>
      <c r="AM313" s="47"/>
      <c r="AN313" s="47"/>
      <c r="AO313" s="47"/>
      <c r="AP313" s="47"/>
      <c r="AQ313" s="47"/>
      <c r="AR313" s="47"/>
      <c r="AS313" s="47"/>
      <c r="AT313" s="47"/>
      <c r="AU313" s="47"/>
      <c r="AV313" s="47"/>
      <c r="AW313" s="47"/>
      <c r="AX313" s="47"/>
      <c r="AY313" s="47"/>
      <c r="AZ313" s="47"/>
      <c r="BA313" s="47"/>
      <c r="BB313" s="47"/>
      <c r="BC313" s="47"/>
    </row>
    <row r="314" spans="1:55" x14ac:dyDescent="0.25">
      <c r="A314" s="45" t="s">
        <v>990</v>
      </c>
      <c r="B314" s="46">
        <f t="shared" si="6"/>
        <v>7.3500000000000005</v>
      </c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  <c r="AB314" s="47"/>
      <c r="AC314" s="47"/>
      <c r="AD314" s="46">
        <f>50.4/IF(Общие_или_заединицу="Общие трудозатраты",1,24)*IF(Пробивка="Стандартная пробивная",1,3.5)</f>
        <v>7.3500000000000005</v>
      </c>
      <c r="AE314" s="47"/>
      <c r="AF314" s="47"/>
      <c r="AG314" s="47"/>
      <c r="AH314" s="47"/>
      <c r="AI314" s="47"/>
      <c r="AJ314" s="47"/>
      <c r="AK314" s="47"/>
      <c r="AL314" s="47"/>
      <c r="AM314" s="47"/>
      <c r="AN314" s="47"/>
      <c r="AO314" s="47"/>
      <c r="AP314" s="47"/>
      <c r="AQ314" s="47"/>
      <c r="AR314" s="47"/>
      <c r="AS314" s="47"/>
      <c r="AT314" s="47"/>
      <c r="AU314" s="47"/>
      <c r="AV314" s="47"/>
      <c r="AW314" s="47"/>
      <c r="AX314" s="47"/>
      <c r="AY314" s="47"/>
      <c r="AZ314" s="47"/>
      <c r="BA314" s="47"/>
      <c r="BB314" s="47"/>
      <c r="BC314" s="47"/>
    </row>
    <row r="315" spans="1:55" x14ac:dyDescent="0.25">
      <c r="A315" s="45" t="s">
        <v>991</v>
      </c>
      <c r="B315" s="46">
        <f t="shared" si="6"/>
        <v>36</v>
      </c>
      <c r="C315" s="47"/>
      <c r="D315" s="47"/>
      <c r="E315" s="47"/>
      <c r="F315" s="47"/>
      <c r="G315" s="47"/>
      <c r="H315" s="47"/>
      <c r="I315" s="47"/>
      <c r="J315" s="46">
        <f>8/IF(Общие_или_заединицу="Общие трудозатраты",1,1)</f>
        <v>8</v>
      </c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  <c r="AB315" s="47"/>
      <c r="AC315" s="47"/>
      <c r="AD315" s="46">
        <f>8/IF(Общие_или_заединицу="Общие трудозатраты",1,1)*IF(Пробивка="Стандартная пробивная",1,3.5)</f>
        <v>28</v>
      </c>
      <c r="AE315" s="47"/>
      <c r="AF315" s="47"/>
      <c r="AG315" s="47"/>
      <c r="AH315" s="47"/>
      <c r="AI315" s="47"/>
      <c r="AJ315" s="47"/>
      <c r="AK315" s="47"/>
      <c r="AL315" s="47"/>
      <c r="AM315" s="47"/>
      <c r="AN315" s="47"/>
      <c r="AO315" s="47"/>
      <c r="AP315" s="47"/>
      <c r="AQ315" s="47"/>
      <c r="AR315" s="47"/>
      <c r="AS315" s="47"/>
      <c r="AT315" s="47"/>
      <c r="AU315" s="47"/>
      <c r="AV315" s="47"/>
      <c r="AW315" s="47"/>
      <c r="AX315" s="47"/>
      <c r="AY315" s="47"/>
      <c r="AZ315" s="47"/>
      <c r="BA315" s="47"/>
      <c r="BB315" s="47"/>
      <c r="BC315" s="47"/>
    </row>
    <row r="316" spans="1:55" x14ac:dyDescent="0.25">
      <c r="A316" s="45" t="s">
        <v>992</v>
      </c>
      <c r="B316" s="46">
        <f t="shared" si="6"/>
        <v>34</v>
      </c>
      <c r="C316" s="47"/>
      <c r="D316" s="47"/>
      <c r="E316" s="47"/>
      <c r="F316" s="47"/>
      <c r="G316" s="47"/>
      <c r="H316" s="47"/>
      <c r="I316" s="47"/>
      <c r="J316" s="46">
        <f>6/IF(Общие_или_заединицу="Общие трудозатраты",1,1)</f>
        <v>6</v>
      </c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  <c r="AB316" s="47"/>
      <c r="AC316" s="47"/>
      <c r="AD316" s="46">
        <f>8/IF(Общие_или_заединицу="Общие трудозатраты",1,1)*IF(Пробивка="Стандартная пробивная",1,3.5)</f>
        <v>28</v>
      </c>
      <c r="AE316" s="47"/>
      <c r="AF316" s="47"/>
      <c r="AG316" s="47"/>
      <c r="AH316" s="47"/>
      <c r="AI316" s="47"/>
      <c r="AJ316" s="47"/>
      <c r="AK316" s="47"/>
      <c r="AL316" s="47"/>
      <c r="AM316" s="47"/>
      <c r="AN316" s="47"/>
      <c r="AO316" s="47"/>
      <c r="AP316" s="47"/>
      <c r="AQ316" s="47"/>
      <c r="AR316" s="47"/>
      <c r="AS316" s="47"/>
      <c r="AT316" s="47"/>
      <c r="AU316" s="47"/>
      <c r="AV316" s="47"/>
      <c r="AW316" s="47"/>
      <c r="AX316" s="47"/>
      <c r="AY316" s="47"/>
      <c r="AZ316" s="47"/>
      <c r="BA316" s="47"/>
      <c r="BB316" s="47"/>
      <c r="BC316" s="47"/>
    </row>
    <row r="317" spans="1:55" x14ac:dyDescent="0.25">
      <c r="A317" s="45" t="s">
        <v>993</v>
      </c>
      <c r="B317" s="46">
        <f t="shared" si="6"/>
        <v>44</v>
      </c>
      <c r="C317" s="47"/>
      <c r="D317" s="47"/>
      <c r="E317" s="47"/>
      <c r="F317" s="47"/>
      <c r="G317" s="47"/>
      <c r="H317" s="47"/>
      <c r="I317" s="47"/>
      <c r="J317" s="47"/>
      <c r="K317" s="46">
        <f>64/IF(Общие_или_заединицу="Общие трудозатраты",1,4)</f>
        <v>16</v>
      </c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  <c r="AB317" s="47"/>
      <c r="AC317" s="47"/>
      <c r="AD317" s="46">
        <f>32/IF(Общие_или_заединицу="Общие трудозатраты",1,4)*IF(Пробивка="Стандартная пробивная",1,3.5)</f>
        <v>28</v>
      </c>
      <c r="AE317" s="47"/>
      <c r="AF317" s="47"/>
      <c r="AG317" s="47"/>
      <c r="AH317" s="47"/>
      <c r="AI317" s="47"/>
      <c r="AJ317" s="47"/>
      <c r="AK317" s="47"/>
      <c r="AL317" s="47"/>
      <c r="AM317" s="47"/>
      <c r="AN317" s="47"/>
      <c r="AO317" s="47"/>
      <c r="AP317" s="47"/>
      <c r="AQ317" s="47"/>
      <c r="AR317" s="47"/>
      <c r="AS317" s="47"/>
      <c r="AT317" s="47"/>
      <c r="AU317" s="47"/>
      <c r="AV317" s="47"/>
      <c r="AW317" s="47"/>
      <c r="AX317" s="47"/>
      <c r="AY317" s="47"/>
      <c r="AZ317" s="47"/>
      <c r="BA317" s="47"/>
      <c r="BB317" s="47"/>
      <c r="BC317" s="47"/>
    </row>
    <row r="318" spans="1:55" x14ac:dyDescent="0.25">
      <c r="A318" s="45" t="s">
        <v>994</v>
      </c>
      <c r="B318" s="46">
        <f t="shared" si="6"/>
        <v>5.7</v>
      </c>
      <c r="C318" s="47"/>
      <c r="D318" s="47"/>
      <c r="E318" s="47"/>
      <c r="F318" s="47"/>
      <c r="G318" s="47"/>
      <c r="H318" s="46">
        <f>10/IF(Общие_или_заединицу="Общие трудозатраты",1,5)</f>
        <v>2</v>
      </c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6">
        <f>18.5/IF(Общие_или_заединицу="Общие трудозатраты",1,5)</f>
        <v>3.7</v>
      </c>
      <c r="T318" s="47"/>
      <c r="U318" s="47"/>
      <c r="V318" s="47"/>
      <c r="W318" s="47"/>
      <c r="X318" s="47"/>
      <c r="Y318" s="47"/>
      <c r="Z318" s="47"/>
      <c r="AA318" s="47"/>
      <c r="AB318" s="47"/>
      <c r="AC318" s="47"/>
      <c r="AD318" s="47"/>
      <c r="AE318" s="47"/>
      <c r="AF318" s="47"/>
      <c r="AG318" s="47"/>
      <c r="AH318" s="47"/>
      <c r="AI318" s="47"/>
      <c r="AJ318" s="47"/>
      <c r="AK318" s="47"/>
      <c r="AL318" s="47"/>
      <c r="AM318" s="47"/>
      <c r="AN318" s="47"/>
      <c r="AO318" s="47"/>
      <c r="AP318" s="47"/>
      <c r="AQ318" s="47"/>
      <c r="AR318" s="47"/>
      <c r="AS318" s="47"/>
      <c r="AT318" s="47"/>
      <c r="AU318" s="47"/>
      <c r="AV318" s="47"/>
      <c r="AW318" s="47"/>
      <c r="AX318" s="47"/>
      <c r="AY318" s="47"/>
      <c r="AZ318" s="47"/>
      <c r="BA318" s="47"/>
      <c r="BB318" s="47"/>
      <c r="BC318" s="47"/>
    </row>
    <row r="319" spans="1:55" x14ac:dyDescent="0.25">
      <c r="A319" s="45" t="s">
        <v>995</v>
      </c>
      <c r="B319" s="46">
        <f t="shared" si="6"/>
        <v>5.7</v>
      </c>
      <c r="C319" s="47"/>
      <c r="D319" s="47"/>
      <c r="E319" s="47"/>
      <c r="F319" s="47"/>
      <c r="G319" s="47"/>
      <c r="H319" s="46">
        <f>10/IF(Общие_или_заединицу="Общие трудозатраты",1,5)</f>
        <v>2</v>
      </c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6">
        <f>18.5/IF(Общие_или_заединицу="Общие трудозатраты",1,5)</f>
        <v>3.7</v>
      </c>
      <c r="T319" s="47"/>
      <c r="U319" s="47"/>
      <c r="V319" s="47"/>
      <c r="W319" s="47"/>
      <c r="X319" s="47"/>
      <c r="Y319" s="47"/>
      <c r="Z319" s="47"/>
      <c r="AA319" s="47"/>
      <c r="AB319" s="47"/>
      <c r="AC319" s="47"/>
      <c r="AD319" s="47"/>
      <c r="AE319" s="47"/>
      <c r="AF319" s="47"/>
      <c r="AG319" s="47"/>
      <c r="AH319" s="47"/>
      <c r="AI319" s="47"/>
      <c r="AJ319" s="47"/>
      <c r="AK319" s="47"/>
      <c r="AL319" s="47"/>
      <c r="AM319" s="47"/>
      <c r="AN319" s="47"/>
      <c r="AO319" s="47"/>
      <c r="AP319" s="47"/>
      <c r="AQ319" s="47"/>
      <c r="AR319" s="47"/>
      <c r="AS319" s="47"/>
      <c r="AT319" s="47"/>
      <c r="AU319" s="47"/>
      <c r="AV319" s="47"/>
      <c r="AW319" s="47"/>
      <c r="AX319" s="47"/>
      <c r="AY319" s="47"/>
      <c r="AZ319" s="47"/>
      <c r="BA319" s="47"/>
      <c r="BB319" s="47"/>
      <c r="BC319" s="47"/>
    </row>
    <row r="320" spans="1:55" x14ac:dyDescent="0.25">
      <c r="A320" s="45" t="s">
        <v>996</v>
      </c>
      <c r="B320" s="46">
        <f t="shared" si="6"/>
        <v>10.5</v>
      </c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  <c r="AB320" s="47"/>
      <c r="AC320" s="47"/>
      <c r="AD320" s="46">
        <f>39/IF(Общие_или_заединицу="Общие трудозатраты",1,13)*IF(Пробивка="Стандартная пробивная",1,3.5)</f>
        <v>10.5</v>
      </c>
      <c r="AE320" s="47"/>
      <c r="AF320" s="47"/>
      <c r="AG320" s="47"/>
      <c r="AH320" s="47"/>
      <c r="AI320" s="47"/>
      <c r="AJ320" s="47"/>
      <c r="AK320" s="47"/>
      <c r="AL320" s="47"/>
      <c r="AM320" s="47"/>
      <c r="AN320" s="47"/>
      <c r="AO320" s="47"/>
      <c r="AP320" s="47"/>
      <c r="AQ320" s="47"/>
      <c r="AR320" s="47"/>
      <c r="AS320" s="47"/>
      <c r="AT320" s="47"/>
      <c r="AU320" s="47"/>
      <c r="AV320" s="47"/>
      <c r="AW320" s="47"/>
      <c r="AX320" s="47"/>
      <c r="AY320" s="47"/>
      <c r="AZ320" s="47"/>
      <c r="BA320" s="47"/>
      <c r="BB320" s="47"/>
      <c r="BC320" s="47"/>
    </row>
    <row r="321" spans="1:55" x14ac:dyDescent="0.25">
      <c r="A321" s="45" t="s">
        <v>997</v>
      </c>
      <c r="B321" s="46">
        <f t="shared" si="6"/>
        <v>11.6</v>
      </c>
      <c r="C321" s="47"/>
      <c r="D321" s="47"/>
      <c r="E321" s="47"/>
      <c r="F321" s="46">
        <f>5.5/IF(Общие_или_заединицу="Общие трудозатраты",1,5)</f>
        <v>1.1000000000000001</v>
      </c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  <c r="AB321" s="47"/>
      <c r="AC321" s="47"/>
      <c r="AD321" s="46">
        <f>15/IF(Общие_или_заединицу="Общие трудозатраты",1,5)*IF(Пробивка="Стандартная пробивная",1,3.5)</f>
        <v>10.5</v>
      </c>
      <c r="AE321" s="47"/>
      <c r="AF321" s="47"/>
      <c r="AG321" s="47"/>
      <c r="AH321" s="47"/>
      <c r="AI321" s="47"/>
      <c r="AJ321" s="47"/>
      <c r="AK321" s="47"/>
      <c r="AL321" s="47"/>
      <c r="AM321" s="47"/>
      <c r="AN321" s="47"/>
      <c r="AO321" s="47"/>
      <c r="AP321" s="47"/>
      <c r="AQ321" s="47"/>
      <c r="AR321" s="47"/>
      <c r="AS321" s="47"/>
      <c r="AT321" s="47"/>
      <c r="AU321" s="47"/>
      <c r="AV321" s="47"/>
      <c r="AW321" s="47"/>
      <c r="AX321" s="47"/>
      <c r="AY321" s="47"/>
      <c r="AZ321" s="47"/>
      <c r="BA321" s="47"/>
      <c r="BB321" s="47"/>
      <c r="BC321" s="47"/>
    </row>
    <row r="322" spans="1:55" x14ac:dyDescent="0.25">
      <c r="A322" s="45" t="s">
        <v>967</v>
      </c>
      <c r="B322" s="46">
        <f t="shared" si="6"/>
        <v>160</v>
      </c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  <c r="AC322" s="47"/>
      <c r="AD322" s="47"/>
      <c r="AE322" s="47"/>
      <c r="AF322" s="47"/>
      <c r="AG322" s="47"/>
      <c r="AH322" s="47"/>
      <c r="AI322" s="47"/>
      <c r="AJ322" s="46">
        <f>160/IF(Общие_или_заединицу="Общие трудозатраты",1,1)</f>
        <v>160</v>
      </c>
      <c r="AK322" s="47"/>
      <c r="AL322" s="47"/>
      <c r="AM322" s="47"/>
      <c r="AN322" s="47"/>
      <c r="AO322" s="47"/>
      <c r="AP322" s="47"/>
      <c r="AQ322" s="47"/>
      <c r="AR322" s="47"/>
      <c r="AS322" s="47"/>
      <c r="AT322" s="47"/>
      <c r="AU322" s="47"/>
      <c r="AV322" s="47"/>
      <c r="AW322" s="47"/>
      <c r="AX322" s="47"/>
      <c r="AY322" s="47"/>
      <c r="AZ322" s="47"/>
      <c r="BA322" s="47"/>
      <c r="BB322" s="47"/>
      <c r="BC322" s="47"/>
    </row>
    <row r="323" spans="1:55" x14ac:dyDescent="0.25">
      <c r="A323" s="45" t="s">
        <v>1005</v>
      </c>
      <c r="B323" s="46">
        <f t="shared" si="6"/>
        <v>50.5</v>
      </c>
      <c r="C323" s="47"/>
      <c r="D323" s="47"/>
      <c r="E323" s="47"/>
      <c r="F323" s="47"/>
      <c r="G323" s="47"/>
      <c r="H323" s="47"/>
      <c r="I323" s="47"/>
      <c r="J323" s="47"/>
      <c r="K323" s="46">
        <f>12/IF(Общие_или_заединицу="Общие трудозатраты",1,1)</f>
        <v>12</v>
      </c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  <c r="AB323" s="47"/>
      <c r="AC323" s="47"/>
      <c r="AD323" s="46">
        <f>11/IF(Общие_или_заединицу="Общие трудозатраты",1,1)*IF(Пробивка="Стандартная пробивная",1,3.5)</f>
        <v>38.5</v>
      </c>
      <c r="AE323" s="47"/>
      <c r="AF323" s="47"/>
      <c r="AG323" s="47"/>
      <c r="AH323" s="47"/>
      <c r="AI323" s="47"/>
      <c r="AJ323" s="47"/>
      <c r="AK323" s="47"/>
      <c r="AL323" s="47"/>
      <c r="AM323" s="47"/>
      <c r="AN323" s="47"/>
      <c r="AO323" s="47"/>
      <c r="AP323" s="47"/>
      <c r="AQ323" s="47"/>
      <c r="AR323" s="47"/>
      <c r="AS323" s="47"/>
      <c r="AT323" s="47"/>
      <c r="AU323" s="47"/>
      <c r="AV323" s="47"/>
      <c r="AW323" s="47"/>
      <c r="AX323" s="47"/>
      <c r="AY323" s="47"/>
      <c r="AZ323" s="47"/>
      <c r="BA323" s="47"/>
      <c r="BB323" s="47"/>
      <c r="BC323" s="47"/>
    </row>
    <row r="324" spans="1:55" x14ac:dyDescent="0.25">
      <c r="A324" s="45" t="s">
        <v>1006</v>
      </c>
      <c r="B324" s="46">
        <f t="shared" ref="B324:B387" si="7">SUM(C324:BC324)</f>
        <v>9</v>
      </c>
      <c r="C324" s="47"/>
      <c r="D324" s="47"/>
      <c r="E324" s="47"/>
      <c r="F324" s="46">
        <f>72/IF(Общие_или_заединицу="Общие трудозатраты",1,36)</f>
        <v>2</v>
      </c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  <c r="AB324" s="47"/>
      <c r="AC324" s="47"/>
      <c r="AD324" s="46">
        <f>72/IF(Общие_или_заединицу="Общие трудозатраты",1,36)*IF(Пробивка="Стандартная пробивная",1,3.5)</f>
        <v>7</v>
      </c>
      <c r="AE324" s="47"/>
      <c r="AF324" s="47"/>
      <c r="AG324" s="47"/>
      <c r="AH324" s="47"/>
      <c r="AI324" s="47"/>
      <c r="AJ324" s="47"/>
      <c r="AK324" s="47"/>
      <c r="AL324" s="47"/>
      <c r="AM324" s="47"/>
      <c r="AN324" s="47"/>
      <c r="AO324" s="47"/>
      <c r="AP324" s="47"/>
      <c r="AQ324" s="47"/>
      <c r="AR324" s="47"/>
      <c r="AS324" s="47"/>
      <c r="AT324" s="47"/>
      <c r="AU324" s="47"/>
      <c r="AV324" s="47"/>
      <c r="AW324" s="47"/>
      <c r="AX324" s="47"/>
      <c r="AY324" s="47"/>
      <c r="AZ324" s="47"/>
      <c r="BA324" s="47"/>
      <c r="BB324" s="47"/>
      <c r="BC324" s="47"/>
    </row>
    <row r="325" spans="1:55" x14ac:dyDescent="0.25">
      <c r="A325" s="45" t="s">
        <v>1007</v>
      </c>
      <c r="B325" s="46">
        <f t="shared" si="7"/>
        <v>12.3</v>
      </c>
      <c r="C325" s="47"/>
      <c r="D325" s="47"/>
      <c r="E325" s="47"/>
      <c r="F325" s="46">
        <f>12.1/IF(Общие_или_заединицу="Общие трудозатраты",1,11)</f>
        <v>1.0999999999999999</v>
      </c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  <c r="AB325" s="47"/>
      <c r="AC325" s="47"/>
      <c r="AD325" s="46">
        <f>35.2/IF(Общие_или_заединицу="Общие трудозатраты",1,11)*IF(Пробивка="Стандартная пробивная",1,3.5)</f>
        <v>11.200000000000001</v>
      </c>
      <c r="AE325" s="47"/>
      <c r="AF325" s="47"/>
      <c r="AG325" s="47"/>
      <c r="AH325" s="47"/>
      <c r="AI325" s="47"/>
      <c r="AJ325" s="47"/>
      <c r="AK325" s="47"/>
      <c r="AL325" s="47"/>
      <c r="AM325" s="47"/>
      <c r="AN325" s="47"/>
      <c r="AO325" s="47"/>
      <c r="AP325" s="47"/>
      <c r="AQ325" s="47"/>
      <c r="AR325" s="47"/>
      <c r="AS325" s="47"/>
      <c r="AT325" s="47"/>
      <c r="AU325" s="47"/>
      <c r="AV325" s="47"/>
      <c r="AW325" s="47"/>
      <c r="AX325" s="47"/>
      <c r="AY325" s="47"/>
      <c r="AZ325" s="47"/>
      <c r="BA325" s="47"/>
      <c r="BB325" s="47"/>
      <c r="BC325" s="47"/>
    </row>
    <row r="326" spans="1:55" ht="22.5" x14ac:dyDescent="0.25">
      <c r="A326" s="45" t="s">
        <v>1012</v>
      </c>
      <c r="B326" s="46">
        <f t="shared" si="7"/>
        <v>3.0999999999999996</v>
      </c>
      <c r="C326" s="47"/>
      <c r="D326" s="47"/>
      <c r="E326" s="47"/>
      <c r="F326" s="46">
        <f>6.6/IF(Общие_или_заединицу="Общие трудозатраты",1,6)</f>
        <v>1.0999999999999999</v>
      </c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6">
        <f>5.4/IF(Общие_или_заединицу="Общие трудозатраты",1,6)</f>
        <v>0.9</v>
      </c>
      <c r="T326" s="47"/>
      <c r="U326" s="47"/>
      <c r="V326" s="47"/>
      <c r="W326" s="47"/>
      <c r="X326" s="47"/>
      <c r="Y326" s="47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47"/>
      <c r="AN326" s="46">
        <f>6.6/IF(Общие_или_заединицу="Общие трудозатраты",1,6)</f>
        <v>1.0999999999999999</v>
      </c>
      <c r="AO326" s="47"/>
      <c r="AP326" s="47"/>
      <c r="AQ326" s="47"/>
      <c r="AR326" s="47"/>
      <c r="AS326" s="47"/>
      <c r="AT326" s="47"/>
      <c r="AU326" s="47"/>
      <c r="AV326" s="47"/>
      <c r="AW326" s="47"/>
      <c r="AX326" s="47"/>
      <c r="AY326" s="47"/>
      <c r="AZ326" s="47"/>
      <c r="BA326" s="47"/>
      <c r="BB326" s="47"/>
      <c r="BC326" s="47"/>
    </row>
    <row r="327" spans="1:55" x14ac:dyDescent="0.25">
      <c r="A327" s="45" t="s">
        <v>1008</v>
      </c>
      <c r="B327" s="46">
        <f t="shared" si="7"/>
        <v>4.5</v>
      </c>
      <c r="C327" s="47"/>
      <c r="D327" s="47"/>
      <c r="E327" s="47"/>
      <c r="F327" s="47"/>
      <c r="G327" s="47"/>
      <c r="H327" s="46">
        <f>64/IF(Общие_или_заединицу="Общие трудозатраты",1,16)</f>
        <v>4</v>
      </c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6">
        <f>8/IF(Общие_или_заединицу="Общие трудозатраты",1,16)</f>
        <v>0.5</v>
      </c>
      <c r="T327" s="47"/>
      <c r="U327" s="47"/>
      <c r="V327" s="47"/>
      <c r="W327" s="47"/>
      <c r="X327" s="47"/>
      <c r="Y327" s="47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47"/>
      <c r="AN327" s="47"/>
      <c r="AO327" s="47"/>
      <c r="AP327" s="47"/>
      <c r="AQ327" s="47"/>
      <c r="AR327" s="47"/>
      <c r="AS327" s="47"/>
      <c r="AT327" s="47"/>
      <c r="AU327" s="47"/>
      <c r="AV327" s="47"/>
      <c r="AW327" s="47"/>
      <c r="AX327" s="47"/>
      <c r="AY327" s="47"/>
      <c r="AZ327" s="47"/>
      <c r="BA327" s="47"/>
      <c r="BB327" s="47"/>
      <c r="BC327" s="47"/>
    </row>
    <row r="328" spans="1:55" x14ac:dyDescent="0.25">
      <c r="A328" s="45" t="s">
        <v>1004</v>
      </c>
      <c r="B328" s="46">
        <f t="shared" si="7"/>
        <v>10</v>
      </c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  <c r="AB328" s="47"/>
      <c r="AC328" s="47"/>
      <c r="AD328" s="47"/>
      <c r="AE328" s="47"/>
      <c r="AF328" s="47"/>
      <c r="AG328" s="47"/>
      <c r="AH328" s="47"/>
      <c r="AI328" s="46">
        <f>60/IF(Общие_или_заединицу="Общие трудозатраты",1,6)</f>
        <v>10</v>
      </c>
      <c r="AJ328" s="47"/>
      <c r="AK328" s="47"/>
      <c r="AL328" s="47"/>
      <c r="AM328" s="47"/>
      <c r="AN328" s="47"/>
      <c r="AO328" s="47"/>
      <c r="AP328" s="47"/>
      <c r="AQ328" s="47"/>
      <c r="AR328" s="47"/>
      <c r="AS328" s="47"/>
      <c r="AT328" s="47"/>
      <c r="AU328" s="47"/>
      <c r="AV328" s="47"/>
      <c r="AW328" s="47"/>
      <c r="AX328" s="47"/>
      <c r="AY328" s="47"/>
      <c r="AZ328" s="47"/>
      <c r="BA328" s="47"/>
      <c r="BB328" s="47"/>
      <c r="BC328" s="47"/>
    </row>
    <row r="329" spans="1:55" x14ac:dyDescent="0.25">
      <c r="A329" s="45" t="s">
        <v>1013</v>
      </c>
      <c r="B329" s="46">
        <f t="shared" si="7"/>
        <v>46.5</v>
      </c>
      <c r="C329" s="47"/>
      <c r="D329" s="47"/>
      <c r="E329" s="47"/>
      <c r="F329" s="47"/>
      <c r="G329" s="47"/>
      <c r="H329" s="46">
        <f>48/IF(Общие_или_заединицу="Общие трудозатраты",1,6)</f>
        <v>8</v>
      </c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  <c r="AB329" s="47"/>
      <c r="AC329" s="47"/>
      <c r="AD329" s="46">
        <f>66/IF(Общие_или_заединицу="Общие трудозатраты",1,6)*IF(Пробивка="Стандартная пробивная",1,3.5)</f>
        <v>38.5</v>
      </c>
      <c r="AE329" s="47"/>
      <c r="AF329" s="47"/>
      <c r="AG329" s="47"/>
      <c r="AH329" s="47"/>
      <c r="AI329" s="47"/>
      <c r="AJ329" s="47"/>
      <c r="AK329" s="47"/>
      <c r="AL329" s="47"/>
      <c r="AM329" s="47"/>
      <c r="AN329" s="47"/>
      <c r="AO329" s="47"/>
      <c r="AP329" s="47"/>
      <c r="AQ329" s="47"/>
      <c r="AR329" s="47"/>
      <c r="AS329" s="47"/>
      <c r="AT329" s="47"/>
      <c r="AU329" s="47"/>
      <c r="AV329" s="47"/>
      <c r="AW329" s="47"/>
      <c r="AX329" s="47"/>
      <c r="AY329" s="47"/>
      <c r="AZ329" s="47"/>
      <c r="BA329" s="47"/>
      <c r="BB329" s="47"/>
      <c r="BC329" s="47"/>
    </row>
    <row r="330" spans="1:55" x14ac:dyDescent="0.25">
      <c r="A330" s="45" t="s">
        <v>1014</v>
      </c>
      <c r="B330" s="46">
        <f t="shared" si="7"/>
        <v>3.5</v>
      </c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47"/>
      <c r="AN330" s="47"/>
      <c r="AO330" s="47"/>
      <c r="AP330" s="47"/>
      <c r="AQ330" s="47"/>
      <c r="AR330" s="47"/>
      <c r="AS330" s="47"/>
      <c r="AT330" s="47"/>
      <c r="AU330" s="47"/>
      <c r="AV330" s="47"/>
      <c r="AW330" s="47"/>
      <c r="AX330" s="47"/>
      <c r="AY330" s="47"/>
      <c r="AZ330" s="47"/>
      <c r="BA330" s="46">
        <f>28/IF(Общие_или_заединицу="Общие трудозатраты",1,8)</f>
        <v>3.5</v>
      </c>
      <c r="BB330" s="47"/>
      <c r="BC330" s="47"/>
    </row>
    <row r="331" spans="1:55" x14ac:dyDescent="0.25">
      <c r="A331" s="45" t="s">
        <v>1015</v>
      </c>
      <c r="B331" s="46">
        <f t="shared" si="7"/>
        <v>23.7</v>
      </c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6">
        <f>8.8/IF(Общие_или_заединицу="Общие трудозатраты",1,8)</f>
        <v>1.1000000000000001</v>
      </c>
      <c r="X331" s="47"/>
      <c r="Y331" s="47"/>
      <c r="Z331" s="47"/>
      <c r="AA331" s="46">
        <f>8.8/IF(Общие_или_заединицу="Общие трудозатраты",1,8)</f>
        <v>1.1000000000000001</v>
      </c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47"/>
      <c r="AN331" s="47"/>
      <c r="AO331" s="47"/>
      <c r="AP331" s="47"/>
      <c r="AQ331" s="46">
        <f>52/IF(Общие_или_заединицу="Общие трудозатраты",1,8)</f>
        <v>6.5</v>
      </c>
      <c r="AR331" s="47"/>
      <c r="AS331" s="47"/>
      <c r="AT331" s="47"/>
      <c r="AU331" s="47"/>
      <c r="AV331" s="47"/>
      <c r="AW331" s="46">
        <f>120/IF(Общие_или_заединицу="Общие трудозатраты",1,8)</f>
        <v>15</v>
      </c>
      <c r="AX331" s="47"/>
      <c r="AY331" s="47"/>
      <c r="AZ331" s="47"/>
      <c r="BA331" s="47"/>
      <c r="BB331" s="47"/>
      <c r="BC331" s="47"/>
    </row>
    <row r="332" spans="1:55" x14ac:dyDescent="0.25">
      <c r="A332" s="45" t="s">
        <v>969</v>
      </c>
      <c r="B332" s="46">
        <f t="shared" si="7"/>
        <v>10</v>
      </c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  <c r="AB332" s="47"/>
      <c r="AC332" s="47"/>
      <c r="AD332" s="47"/>
      <c r="AE332" s="47"/>
      <c r="AF332" s="47"/>
      <c r="AG332" s="47"/>
      <c r="AH332" s="47"/>
      <c r="AI332" s="46">
        <f>80/IF(Общие_или_заединицу="Общие трудозатраты",1,8)</f>
        <v>10</v>
      </c>
      <c r="AJ332" s="47"/>
      <c r="AK332" s="47"/>
      <c r="AL332" s="47"/>
      <c r="AM332" s="47"/>
      <c r="AN332" s="47"/>
      <c r="AO332" s="47"/>
      <c r="AP332" s="47"/>
      <c r="AQ332" s="47"/>
      <c r="AR332" s="47"/>
      <c r="AS332" s="47"/>
      <c r="AT332" s="47"/>
      <c r="AU332" s="47"/>
      <c r="AV332" s="47"/>
      <c r="AW332" s="47"/>
      <c r="AX332" s="47"/>
      <c r="AY332" s="47"/>
      <c r="AZ332" s="47"/>
      <c r="BA332" s="47"/>
      <c r="BB332" s="47"/>
      <c r="BC332" s="47"/>
    </row>
    <row r="333" spans="1:55" x14ac:dyDescent="0.25">
      <c r="A333" s="45" t="s">
        <v>1018</v>
      </c>
      <c r="B333" s="46">
        <f t="shared" si="7"/>
        <v>3.5</v>
      </c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6">
        <f>12/IF(Общие_или_заединицу="Общие трудозатраты",1,24)</f>
        <v>0.5</v>
      </c>
      <c r="T333" s="47"/>
      <c r="U333" s="47"/>
      <c r="V333" s="47"/>
      <c r="W333" s="47"/>
      <c r="X333" s="47"/>
      <c r="Y333" s="47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47"/>
      <c r="AN333" s="47"/>
      <c r="AO333" s="47"/>
      <c r="AP333" s="47"/>
      <c r="AQ333" s="47"/>
      <c r="AR333" s="47"/>
      <c r="AS333" s="46">
        <f>72/IF(Общие_или_заединицу="Общие трудозатраты",1,24)</f>
        <v>3</v>
      </c>
      <c r="AT333" s="47"/>
      <c r="AU333" s="47"/>
      <c r="AV333" s="47"/>
      <c r="AW333" s="47"/>
      <c r="AX333" s="47"/>
      <c r="AY333" s="47"/>
      <c r="AZ333" s="47"/>
      <c r="BA333" s="47"/>
      <c r="BB333" s="47"/>
      <c r="BC333" s="47"/>
    </row>
    <row r="334" spans="1:55" x14ac:dyDescent="0.25">
      <c r="A334" s="45" t="s">
        <v>1019</v>
      </c>
      <c r="B334" s="46">
        <f t="shared" si="7"/>
        <v>16</v>
      </c>
      <c r="C334" s="47"/>
      <c r="D334" s="47"/>
      <c r="E334" s="47"/>
      <c r="F334" s="47"/>
      <c r="G334" s="46">
        <f>16/IF(Общие_или_заединицу="Общие трудозатраты",1,8)</f>
        <v>2</v>
      </c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  <c r="AB334" s="47"/>
      <c r="AC334" s="47"/>
      <c r="AD334" s="46">
        <f>32/IF(Общие_или_заединицу="Общие трудозатраты",1,8)*IF(Пробивка="Стандартная пробивная",1,3.5)</f>
        <v>14</v>
      </c>
      <c r="AE334" s="47"/>
      <c r="AF334" s="47"/>
      <c r="AG334" s="47"/>
      <c r="AH334" s="47"/>
      <c r="AI334" s="47"/>
      <c r="AJ334" s="47"/>
      <c r="AK334" s="47"/>
      <c r="AL334" s="47"/>
      <c r="AM334" s="47"/>
      <c r="AN334" s="47"/>
      <c r="AO334" s="47"/>
      <c r="AP334" s="47"/>
      <c r="AQ334" s="47"/>
      <c r="AR334" s="47"/>
      <c r="AS334" s="47"/>
      <c r="AT334" s="47"/>
      <c r="AU334" s="47"/>
      <c r="AV334" s="47"/>
      <c r="AW334" s="47"/>
      <c r="AX334" s="47"/>
      <c r="AY334" s="47"/>
      <c r="AZ334" s="47"/>
      <c r="BA334" s="47"/>
      <c r="BB334" s="47"/>
      <c r="BC334" s="47"/>
    </row>
    <row r="335" spans="1:55" x14ac:dyDescent="0.25">
      <c r="A335" s="45" t="s">
        <v>1020</v>
      </c>
      <c r="B335" s="46">
        <f t="shared" si="7"/>
        <v>2.5</v>
      </c>
      <c r="C335" s="47"/>
      <c r="D335" s="47"/>
      <c r="E335" s="47"/>
      <c r="F335" s="46">
        <f>16/IF(Общие_или_заединицу="Общие трудозатраты",1,8)</f>
        <v>2</v>
      </c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6">
        <f>4/IF(Общие_или_заединицу="Общие трудозатраты",1,8)</f>
        <v>0.5</v>
      </c>
      <c r="T335" s="47"/>
      <c r="U335" s="47"/>
      <c r="V335" s="47"/>
      <c r="W335" s="47"/>
      <c r="X335" s="47"/>
      <c r="Y335" s="47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47"/>
      <c r="AN335" s="47"/>
      <c r="AO335" s="47"/>
      <c r="AP335" s="47"/>
      <c r="AQ335" s="47"/>
      <c r="AR335" s="47"/>
      <c r="AS335" s="47"/>
      <c r="AT335" s="47"/>
      <c r="AU335" s="47"/>
      <c r="AV335" s="47"/>
      <c r="AW335" s="47"/>
      <c r="AX335" s="47"/>
      <c r="AY335" s="47"/>
      <c r="AZ335" s="47"/>
      <c r="BA335" s="47"/>
      <c r="BB335" s="47"/>
      <c r="BC335" s="47"/>
    </row>
    <row r="336" spans="1:55" x14ac:dyDescent="0.25">
      <c r="A336" s="45" t="s">
        <v>970</v>
      </c>
      <c r="B336" s="46">
        <f t="shared" si="7"/>
        <v>6</v>
      </c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  <c r="AB336" s="47"/>
      <c r="AC336" s="47"/>
      <c r="AD336" s="47"/>
      <c r="AE336" s="47"/>
      <c r="AF336" s="47"/>
      <c r="AG336" s="47"/>
      <c r="AH336" s="47"/>
      <c r="AI336" s="46">
        <f>72/IF(Общие_или_заединицу="Общие трудозатраты",1,12)</f>
        <v>6</v>
      </c>
      <c r="AJ336" s="47"/>
      <c r="AK336" s="47"/>
      <c r="AL336" s="47"/>
      <c r="AM336" s="47"/>
      <c r="AN336" s="47"/>
      <c r="AO336" s="47"/>
      <c r="AP336" s="47"/>
      <c r="AQ336" s="47"/>
      <c r="AR336" s="47"/>
      <c r="AS336" s="47"/>
      <c r="AT336" s="47"/>
      <c r="AU336" s="47"/>
      <c r="AV336" s="47"/>
      <c r="AW336" s="47"/>
      <c r="AX336" s="47"/>
      <c r="AY336" s="47"/>
      <c r="AZ336" s="47"/>
      <c r="BA336" s="47"/>
      <c r="BB336" s="47"/>
      <c r="BC336" s="47"/>
    </row>
    <row r="337" spans="1:55" x14ac:dyDescent="0.25">
      <c r="A337" s="45" t="s">
        <v>1021</v>
      </c>
      <c r="B337" s="46">
        <f t="shared" si="7"/>
        <v>12.5</v>
      </c>
      <c r="C337" s="47"/>
      <c r="D337" s="47"/>
      <c r="E337" s="47"/>
      <c r="F337" s="47"/>
      <c r="G337" s="47"/>
      <c r="H337" s="46">
        <f>24/IF(Общие_или_заединицу="Общие трудозатраты",1,12)</f>
        <v>2</v>
      </c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  <c r="AB337" s="47"/>
      <c r="AC337" s="47"/>
      <c r="AD337" s="46">
        <f>36/IF(Общие_или_заединицу="Общие трудозатраты",1,12)*IF(Пробивка="Стандартная пробивная",1,3.5)</f>
        <v>10.5</v>
      </c>
      <c r="AE337" s="47"/>
      <c r="AF337" s="47"/>
      <c r="AG337" s="47"/>
      <c r="AH337" s="47"/>
      <c r="AI337" s="47"/>
      <c r="AJ337" s="47"/>
      <c r="AK337" s="47"/>
      <c r="AL337" s="47"/>
      <c r="AM337" s="47"/>
      <c r="AN337" s="47"/>
      <c r="AO337" s="47"/>
      <c r="AP337" s="47"/>
      <c r="AQ337" s="47"/>
      <c r="AR337" s="47"/>
      <c r="AS337" s="47"/>
      <c r="AT337" s="47"/>
      <c r="AU337" s="47"/>
      <c r="AV337" s="47"/>
      <c r="AW337" s="47"/>
      <c r="AX337" s="47"/>
      <c r="AY337" s="47"/>
      <c r="AZ337" s="47"/>
      <c r="BA337" s="47"/>
      <c r="BB337" s="47"/>
      <c r="BC337" s="47"/>
    </row>
    <row r="338" spans="1:55" x14ac:dyDescent="0.25">
      <c r="A338" s="45" t="s">
        <v>1023</v>
      </c>
      <c r="B338" s="46">
        <f t="shared" si="7"/>
        <v>70</v>
      </c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6">
        <f>40/IF(Общие_или_заединицу="Общие трудозатраты",1,4)</f>
        <v>10</v>
      </c>
      <c r="Q338" s="46">
        <f>240/IF(Общие_или_заединицу="Общие трудозатраты",1,4)</f>
        <v>60</v>
      </c>
      <c r="R338" s="47"/>
      <c r="S338" s="47"/>
      <c r="T338" s="47"/>
      <c r="U338" s="47"/>
      <c r="V338" s="47"/>
      <c r="W338" s="47"/>
      <c r="X338" s="47"/>
      <c r="Y338" s="47"/>
      <c r="Z338" s="47"/>
      <c r="AA338" s="47"/>
      <c r="AB338" s="47"/>
      <c r="AC338" s="47"/>
      <c r="AD338" s="47"/>
      <c r="AE338" s="47"/>
      <c r="AF338" s="47"/>
      <c r="AG338" s="47"/>
      <c r="AH338" s="47"/>
      <c r="AI338" s="47"/>
      <c r="AJ338" s="47"/>
      <c r="AK338" s="47"/>
      <c r="AL338" s="47"/>
      <c r="AM338" s="47"/>
      <c r="AN338" s="47"/>
      <c r="AO338" s="47"/>
      <c r="AP338" s="47"/>
      <c r="AQ338" s="47"/>
      <c r="AR338" s="47"/>
      <c r="AS338" s="47"/>
      <c r="AT338" s="47"/>
      <c r="AU338" s="47"/>
      <c r="AV338" s="47"/>
      <c r="AW338" s="47"/>
      <c r="AX338" s="47"/>
      <c r="AY338" s="47"/>
      <c r="AZ338" s="47"/>
      <c r="BA338" s="47"/>
      <c r="BB338" s="47"/>
      <c r="BC338" s="47"/>
    </row>
    <row r="339" spans="1:55" x14ac:dyDescent="0.25">
      <c r="A339" s="45" t="s">
        <v>1025</v>
      </c>
      <c r="B339" s="46">
        <f t="shared" si="7"/>
        <v>64.5</v>
      </c>
      <c r="C339" s="47"/>
      <c r="D339" s="47"/>
      <c r="E339" s="47"/>
      <c r="F339" s="47"/>
      <c r="G339" s="47"/>
      <c r="H339" s="47"/>
      <c r="I339" s="47"/>
      <c r="J339" s="47"/>
      <c r="K339" s="46">
        <f>60/IF(Общие_или_заединицу="Общие трудозатраты",1,5)</f>
        <v>12</v>
      </c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  <c r="AB339" s="47"/>
      <c r="AC339" s="47"/>
      <c r="AD339" s="46">
        <f>75/IF(Общие_или_заединицу="Общие трудозатраты",1,5)*IF(Пробивка="Стандартная пробивная",1,3.5)</f>
        <v>52.5</v>
      </c>
      <c r="AE339" s="47"/>
      <c r="AF339" s="47"/>
      <c r="AG339" s="47"/>
      <c r="AH339" s="47"/>
      <c r="AI339" s="47"/>
      <c r="AJ339" s="47"/>
      <c r="AK339" s="47"/>
      <c r="AL339" s="47"/>
      <c r="AM339" s="47"/>
      <c r="AN339" s="47"/>
      <c r="AO339" s="47"/>
      <c r="AP339" s="47"/>
      <c r="AQ339" s="47"/>
      <c r="AR339" s="47"/>
      <c r="AS339" s="47"/>
      <c r="AT339" s="47"/>
      <c r="AU339" s="47"/>
      <c r="AV339" s="47"/>
      <c r="AW339" s="47"/>
      <c r="AX339" s="47"/>
      <c r="AY339" s="47"/>
      <c r="AZ339" s="47"/>
      <c r="BA339" s="47"/>
      <c r="BB339" s="47"/>
      <c r="BC339" s="47"/>
    </row>
    <row r="340" spans="1:55" x14ac:dyDescent="0.25">
      <c r="A340" s="45" t="s">
        <v>1026</v>
      </c>
      <c r="B340" s="46">
        <f t="shared" si="7"/>
        <v>33.5</v>
      </c>
      <c r="C340" s="47"/>
      <c r="D340" s="47"/>
      <c r="E340" s="46">
        <f>8/IF(Общие_или_заединицу="Общие трудозатраты",1,4)</f>
        <v>2</v>
      </c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  <c r="AC340" s="47"/>
      <c r="AD340" s="46">
        <f>36/IF(Общие_или_заединицу="Общие трудозатраты",1,4)*IF(Пробивка="Стандартная пробивная",1,3.5)</f>
        <v>31.5</v>
      </c>
      <c r="AE340" s="47"/>
      <c r="AF340" s="47"/>
      <c r="AG340" s="47"/>
      <c r="AH340" s="47"/>
      <c r="AI340" s="47"/>
      <c r="AJ340" s="47"/>
      <c r="AK340" s="47"/>
      <c r="AL340" s="47"/>
      <c r="AM340" s="47"/>
      <c r="AN340" s="47"/>
      <c r="AO340" s="47"/>
      <c r="AP340" s="47"/>
      <c r="AQ340" s="47"/>
      <c r="AR340" s="47"/>
      <c r="AS340" s="47"/>
      <c r="AT340" s="47"/>
      <c r="AU340" s="47"/>
      <c r="AV340" s="47"/>
      <c r="AW340" s="47"/>
      <c r="AX340" s="47"/>
      <c r="AY340" s="47"/>
      <c r="AZ340" s="47"/>
      <c r="BA340" s="47"/>
      <c r="BB340" s="47"/>
      <c r="BC340" s="47"/>
    </row>
    <row r="341" spans="1:55" x14ac:dyDescent="0.25">
      <c r="A341" s="45" t="s">
        <v>1027</v>
      </c>
      <c r="B341" s="46">
        <f t="shared" si="7"/>
        <v>64.5</v>
      </c>
      <c r="C341" s="47"/>
      <c r="D341" s="47"/>
      <c r="E341" s="47"/>
      <c r="F341" s="47"/>
      <c r="G341" s="47"/>
      <c r="H341" s="47"/>
      <c r="I341" s="47"/>
      <c r="J341" s="47"/>
      <c r="K341" s="46">
        <f>60/IF(Общие_или_заединицу="Общие трудозатраты",1,5)</f>
        <v>12</v>
      </c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  <c r="AC341" s="47"/>
      <c r="AD341" s="46">
        <f>75/IF(Общие_или_заединицу="Общие трудозатраты",1,5)*IF(Пробивка="Стандартная пробивная",1,3.5)</f>
        <v>52.5</v>
      </c>
      <c r="AE341" s="47"/>
      <c r="AF341" s="47"/>
      <c r="AG341" s="47"/>
      <c r="AH341" s="47"/>
      <c r="AI341" s="47"/>
      <c r="AJ341" s="47"/>
      <c r="AK341" s="47"/>
      <c r="AL341" s="47"/>
      <c r="AM341" s="47"/>
      <c r="AN341" s="47"/>
      <c r="AO341" s="47"/>
      <c r="AP341" s="47"/>
      <c r="AQ341" s="47"/>
      <c r="AR341" s="47"/>
      <c r="AS341" s="47"/>
      <c r="AT341" s="47"/>
      <c r="AU341" s="47"/>
      <c r="AV341" s="47"/>
      <c r="AW341" s="47"/>
      <c r="AX341" s="47"/>
      <c r="AY341" s="47"/>
      <c r="AZ341" s="47"/>
      <c r="BA341" s="47"/>
      <c r="BB341" s="47"/>
      <c r="BC341" s="47"/>
    </row>
    <row r="342" spans="1:55" x14ac:dyDescent="0.25">
      <c r="A342" s="45" t="s">
        <v>1028</v>
      </c>
      <c r="B342" s="46">
        <f t="shared" si="7"/>
        <v>12.5</v>
      </c>
      <c r="C342" s="47"/>
      <c r="D342" s="47"/>
      <c r="E342" s="47"/>
      <c r="F342" s="47"/>
      <c r="G342" s="47"/>
      <c r="H342" s="47"/>
      <c r="I342" s="46">
        <f>10/IF(Общие_или_заединицу="Общие трудозатраты",1,5)</f>
        <v>2</v>
      </c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  <c r="AB342" s="47"/>
      <c r="AC342" s="47"/>
      <c r="AD342" s="46">
        <f>15/IF(Общие_или_заединицу="Общие трудозатраты",1,5)*IF(Пробивка="Стандартная пробивная",1,3.5)</f>
        <v>10.5</v>
      </c>
      <c r="AE342" s="47"/>
      <c r="AF342" s="47"/>
      <c r="AG342" s="47"/>
      <c r="AH342" s="47"/>
      <c r="AI342" s="47"/>
      <c r="AJ342" s="47"/>
      <c r="AK342" s="47"/>
      <c r="AL342" s="47"/>
      <c r="AM342" s="47"/>
      <c r="AN342" s="47"/>
      <c r="AO342" s="47"/>
      <c r="AP342" s="47"/>
      <c r="AQ342" s="47"/>
      <c r="AR342" s="47"/>
      <c r="AS342" s="47"/>
      <c r="AT342" s="47"/>
      <c r="AU342" s="47"/>
      <c r="AV342" s="47"/>
      <c r="AW342" s="47"/>
      <c r="AX342" s="47"/>
      <c r="AY342" s="47"/>
      <c r="AZ342" s="47"/>
      <c r="BA342" s="47"/>
      <c r="BB342" s="47"/>
      <c r="BC342" s="47"/>
    </row>
    <row r="343" spans="1:55" x14ac:dyDescent="0.25">
      <c r="A343" s="45" t="s">
        <v>1029</v>
      </c>
      <c r="B343" s="46">
        <f t="shared" si="7"/>
        <v>12.5</v>
      </c>
      <c r="C343" s="47"/>
      <c r="D343" s="47"/>
      <c r="E343" s="47"/>
      <c r="F343" s="47"/>
      <c r="G343" s="47"/>
      <c r="H343" s="47"/>
      <c r="I343" s="46">
        <f>10/IF(Общие_или_заединицу="Общие трудозатраты",1,5)</f>
        <v>2</v>
      </c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  <c r="AB343" s="47"/>
      <c r="AC343" s="47"/>
      <c r="AD343" s="46">
        <f>15/IF(Общие_или_заединицу="Общие трудозатраты",1,5)*IF(Пробивка="Стандартная пробивная",1,3.5)</f>
        <v>10.5</v>
      </c>
      <c r="AE343" s="47"/>
      <c r="AF343" s="47"/>
      <c r="AG343" s="47"/>
      <c r="AH343" s="47"/>
      <c r="AI343" s="47"/>
      <c r="AJ343" s="47"/>
      <c r="AK343" s="47"/>
      <c r="AL343" s="47"/>
      <c r="AM343" s="47"/>
      <c r="AN343" s="47"/>
      <c r="AO343" s="47"/>
      <c r="AP343" s="47"/>
      <c r="AQ343" s="47"/>
      <c r="AR343" s="47"/>
      <c r="AS343" s="47"/>
      <c r="AT343" s="47"/>
      <c r="AU343" s="47"/>
      <c r="AV343" s="47"/>
      <c r="AW343" s="47"/>
      <c r="AX343" s="47"/>
      <c r="AY343" s="47"/>
      <c r="AZ343" s="47"/>
      <c r="BA343" s="47"/>
      <c r="BB343" s="47"/>
      <c r="BC343" s="47"/>
    </row>
    <row r="344" spans="1:55" x14ac:dyDescent="0.25">
      <c r="A344" s="45" t="s">
        <v>1030</v>
      </c>
      <c r="B344" s="46">
        <f t="shared" si="7"/>
        <v>59.75</v>
      </c>
      <c r="C344" s="47"/>
      <c r="D344" s="47"/>
      <c r="E344" s="46">
        <f>8/IF(Общие_или_заединицу="Общие трудозатраты",1,4)</f>
        <v>2</v>
      </c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  <c r="AB344" s="47"/>
      <c r="AC344" s="47"/>
      <c r="AD344" s="46">
        <f>66/IF(Общие_или_заединицу="Общие трудозатраты",1,4)*IF(Пробивка="Стандартная пробивная",1,3.5)</f>
        <v>57.75</v>
      </c>
      <c r="AE344" s="47"/>
      <c r="AF344" s="47"/>
      <c r="AG344" s="47"/>
      <c r="AH344" s="47"/>
      <c r="AI344" s="47"/>
      <c r="AJ344" s="47"/>
      <c r="AK344" s="47"/>
      <c r="AL344" s="47"/>
      <c r="AM344" s="47"/>
      <c r="AN344" s="47"/>
      <c r="AO344" s="47"/>
      <c r="AP344" s="47"/>
      <c r="AQ344" s="47"/>
      <c r="AR344" s="47"/>
      <c r="AS344" s="47"/>
      <c r="AT344" s="47"/>
      <c r="AU344" s="47"/>
      <c r="AV344" s="47"/>
      <c r="AW344" s="47"/>
      <c r="AX344" s="47"/>
      <c r="AY344" s="47"/>
      <c r="AZ344" s="47"/>
      <c r="BA344" s="47"/>
      <c r="BB344" s="47"/>
      <c r="BC344" s="47"/>
    </row>
    <row r="345" spans="1:55" x14ac:dyDescent="0.25">
      <c r="A345" s="45" t="s">
        <v>1031</v>
      </c>
      <c r="B345" s="46">
        <f t="shared" si="7"/>
        <v>39</v>
      </c>
      <c r="C345" s="47"/>
      <c r="D345" s="47"/>
      <c r="E345" s="47"/>
      <c r="F345" s="47"/>
      <c r="G345" s="46">
        <f>20/IF(Общие_или_заединицу="Общие трудозатраты",1,5)</f>
        <v>4</v>
      </c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  <c r="AB345" s="47"/>
      <c r="AC345" s="47"/>
      <c r="AD345" s="46">
        <f>50/IF(Общие_или_заединицу="Общие трудозатраты",1,5)*IF(Пробивка="Стандартная пробивная",1,3.5)</f>
        <v>35</v>
      </c>
      <c r="AE345" s="47"/>
      <c r="AF345" s="47"/>
      <c r="AG345" s="47"/>
      <c r="AH345" s="47"/>
      <c r="AI345" s="47"/>
      <c r="AJ345" s="47"/>
      <c r="AK345" s="47"/>
      <c r="AL345" s="47"/>
      <c r="AM345" s="47"/>
      <c r="AN345" s="47"/>
      <c r="AO345" s="47"/>
      <c r="AP345" s="47"/>
      <c r="AQ345" s="47"/>
      <c r="AR345" s="47"/>
      <c r="AS345" s="47"/>
      <c r="AT345" s="47"/>
      <c r="AU345" s="47"/>
      <c r="AV345" s="47"/>
      <c r="AW345" s="47"/>
      <c r="AX345" s="47"/>
      <c r="AY345" s="47"/>
      <c r="AZ345" s="47"/>
      <c r="BA345" s="47"/>
      <c r="BB345" s="47"/>
      <c r="BC345" s="47"/>
    </row>
    <row r="346" spans="1:55" x14ac:dyDescent="0.25">
      <c r="A346" s="45" t="s">
        <v>1032</v>
      </c>
      <c r="B346" s="46">
        <f t="shared" si="7"/>
        <v>54</v>
      </c>
      <c r="C346" s="47"/>
      <c r="D346" s="47"/>
      <c r="E346" s="47"/>
      <c r="F346" s="47"/>
      <c r="G346" s="47"/>
      <c r="H346" s="47"/>
      <c r="I346" s="47"/>
      <c r="J346" s="46">
        <f>60/IF(Общие_или_заединицу="Общие трудозатраты",1,5)</f>
        <v>12</v>
      </c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  <c r="AB346" s="47"/>
      <c r="AC346" s="47"/>
      <c r="AD346" s="46">
        <f>60/IF(Общие_или_заединицу="Общие трудозатраты",1,5)*IF(Пробивка="Стандартная пробивная",1,3.5)</f>
        <v>42</v>
      </c>
      <c r="AE346" s="47"/>
      <c r="AF346" s="47"/>
      <c r="AG346" s="47"/>
      <c r="AH346" s="47"/>
      <c r="AI346" s="47"/>
      <c r="AJ346" s="47"/>
      <c r="AK346" s="47"/>
      <c r="AL346" s="47"/>
      <c r="AM346" s="47"/>
      <c r="AN346" s="47"/>
      <c r="AO346" s="47"/>
      <c r="AP346" s="47"/>
      <c r="AQ346" s="47"/>
      <c r="AR346" s="47"/>
      <c r="AS346" s="47"/>
      <c r="AT346" s="47"/>
      <c r="AU346" s="47"/>
      <c r="AV346" s="47"/>
      <c r="AW346" s="47"/>
      <c r="AX346" s="47"/>
      <c r="AY346" s="47"/>
      <c r="AZ346" s="47"/>
      <c r="BA346" s="47"/>
      <c r="BB346" s="47"/>
      <c r="BC346" s="47"/>
    </row>
    <row r="347" spans="1:55" x14ac:dyDescent="0.25">
      <c r="A347" s="45" t="s">
        <v>1033</v>
      </c>
      <c r="B347" s="46">
        <f t="shared" si="7"/>
        <v>54</v>
      </c>
      <c r="C347" s="47"/>
      <c r="D347" s="47"/>
      <c r="E347" s="47"/>
      <c r="F347" s="47"/>
      <c r="G347" s="47"/>
      <c r="H347" s="47"/>
      <c r="I347" s="47"/>
      <c r="J347" s="46">
        <f>60/IF(Общие_или_заединицу="Общие трудозатраты",1,5)</f>
        <v>12</v>
      </c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  <c r="AC347" s="47"/>
      <c r="AD347" s="46">
        <f>60/IF(Общие_или_заединицу="Общие трудозатраты",1,5)*IF(Пробивка="Стандартная пробивная",1,3.5)</f>
        <v>42</v>
      </c>
      <c r="AE347" s="47"/>
      <c r="AF347" s="47"/>
      <c r="AG347" s="47"/>
      <c r="AH347" s="47"/>
      <c r="AI347" s="47"/>
      <c r="AJ347" s="47"/>
      <c r="AK347" s="47"/>
      <c r="AL347" s="47"/>
      <c r="AM347" s="47"/>
      <c r="AN347" s="47"/>
      <c r="AO347" s="47"/>
      <c r="AP347" s="47"/>
      <c r="AQ347" s="47"/>
      <c r="AR347" s="47"/>
      <c r="AS347" s="47"/>
      <c r="AT347" s="47"/>
      <c r="AU347" s="47"/>
      <c r="AV347" s="47"/>
      <c r="AW347" s="47"/>
      <c r="AX347" s="47"/>
      <c r="AY347" s="47"/>
      <c r="AZ347" s="47"/>
      <c r="BA347" s="47"/>
      <c r="BB347" s="47"/>
      <c r="BC347" s="47"/>
    </row>
    <row r="348" spans="1:55" x14ac:dyDescent="0.25">
      <c r="A348" s="45" t="s">
        <v>632</v>
      </c>
      <c r="B348" s="48">
        <f t="shared" si="7"/>
        <v>95</v>
      </c>
      <c r="C348" s="47"/>
      <c r="D348" s="47"/>
      <c r="E348" s="46">
        <f>960/IF(Общие_или_заединицу="Общие трудозатраты",1,240)</f>
        <v>4</v>
      </c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  <c r="AB348" s="47"/>
      <c r="AC348" s="47"/>
      <c r="AD348" s="48">
        <f>6240/IF(Общие_или_заединицу="Общие трудозатраты",1,240)*IF(Пробивка="Стандартная пробивная",1,3.5)</f>
        <v>91</v>
      </c>
      <c r="AE348" s="47"/>
      <c r="AF348" s="47"/>
      <c r="AG348" s="47"/>
      <c r="AH348" s="47"/>
      <c r="AI348" s="47"/>
      <c r="AJ348" s="47"/>
      <c r="AK348" s="47"/>
      <c r="AL348" s="47"/>
      <c r="AM348" s="47"/>
      <c r="AN348" s="47"/>
      <c r="AO348" s="47"/>
      <c r="AP348" s="47"/>
      <c r="AQ348" s="47"/>
      <c r="AR348" s="47"/>
      <c r="AS348" s="47"/>
      <c r="AT348" s="47"/>
      <c r="AU348" s="47"/>
      <c r="AV348" s="47"/>
      <c r="AW348" s="47"/>
      <c r="AX348" s="47"/>
      <c r="AY348" s="47"/>
      <c r="AZ348" s="47"/>
      <c r="BA348" s="47"/>
      <c r="BB348" s="47"/>
      <c r="BC348" s="47"/>
    </row>
    <row r="349" spans="1:55" x14ac:dyDescent="0.25">
      <c r="A349" s="45" t="s">
        <v>1034</v>
      </c>
      <c r="B349" s="46">
        <f t="shared" si="7"/>
        <v>52</v>
      </c>
      <c r="C349" s="47"/>
      <c r="D349" s="47"/>
      <c r="E349" s="46">
        <f>144/IF(Общие_или_заединицу="Общие трудозатраты",1,48)</f>
        <v>3</v>
      </c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  <c r="AB349" s="47"/>
      <c r="AC349" s="47"/>
      <c r="AD349" s="46">
        <f>672/IF(Общие_или_заединицу="Общие трудозатраты",1,48)*IF(Пробивка="Стандартная пробивная",1,3.5)</f>
        <v>49</v>
      </c>
      <c r="AE349" s="47"/>
      <c r="AF349" s="47"/>
      <c r="AG349" s="47"/>
      <c r="AH349" s="47"/>
      <c r="AI349" s="47"/>
      <c r="AJ349" s="47"/>
      <c r="AK349" s="47"/>
      <c r="AL349" s="47"/>
      <c r="AM349" s="47"/>
      <c r="AN349" s="47"/>
      <c r="AO349" s="47"/>
      <c r="AP349" s="47"/>
      <c r="AQ349" s="47"/>
      <c r="AR349" s="47"/>
      <c r="AS349" s="47"/>
      <c r="AT349" s="47"/>
      <c r="AU349" s="47"/>
      <c r="AV349" s="47"/>
      <c r="AW349" s="47"/>
      <c r="AX349" s="47"/>
      <c r="AY349" s="47"/>
      <c r="AZ349" s="47"/>
      <c r="BA349" s="47"/>
      <c r="BB349" s="47"/>
      <c r="BC349" s="47"/>
    </row>
    <row r="350" spans="1:55" x14ac:dyDescent="0.25">
      <c r="A350" s="45" t="s">
        <v>1035</v>
      </c>
      <c r="B350" s="46">
        <f t="shared" si="7"/>
        <v>32</v>
      </c>
      <c r="C350" s="47"/>
      <c r="D350" s="47"/>
      <c r="E350" s="47"/>
      <c r="F350" s="47"/>
      <c r="G350" s="47"/>
      <c r="H350" s="47"/>
      <c r="I350" s="46">
        <f>100/IF(Общие_или_заединицу="Общие трудозатраты",1,25)</f>
        <v>4</v>
      </c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  <c r="AB350" s="47"/>
      <c r="AC350" s="47"/>
      <c r="AD350" s="46">
        <f>200/IF(Общие_или_заединицу="Общие трудозатраты",1,25)*IF(Пробивка="Стандартная пробивная",1,3.5)</f>
        <v>28</v>
      </c>
      <c r="AE350" s="47"/>
      <c r="AF350" s="47"/>
      <c r="AG350" s="47"/>
      <c r="AH350" s="47"/>
      <c r="AI350" s="47"/>
      <c r="AJ350" s="47"/>
      <c r="AK350" s="47"/>
      <c r="AL350" s="47"/>
      <c r="AM350" s="47"/>
      <c r="AN350" s="47"/>
      <c r="AO350" s="47"/>
      <c r="AP350" s="47"/>
      <c r="AQ350" s="47"/>
      <c r="AR350" s="47"/>
      <c r="AS350" s="47"/>
      <c r="AT350" s="47"/>
      <c r="AU350" s="47"/>
      <c r="AV350" s="47"/>
      <c r="AW350" s="47"/>
      <c r="AX350" s="47"/>
      <c r="AY350" s="47"/>
      <c r="AZ350" s="47"/>
      <c r="BA350" s="47"/>
      <c r="BB350" s="47"/>
      <c r="BC350" s="47"/>
    </row>
    <row r="351" spans="1:55" x14ac:dyDescent="0.25">
      <c r="A351" s="45" t="s">
        <v>1036</v>
      </c>
      <c r="B351" s="46">
        <f t="shared" si="7"/>
        <v>32</v>
      </c>
      <c r="C351" s="47"/>
      <c r="D351" s="47"/>
      <c r="E351" s="47"/>
      <c r="F351" s="47"/>
      <c r="G351" s="47"/>
      <c r="H351" s="47"/>
      <c r="I351" s="46">
        <f>100/IF(Общие_или_заединицу="Общие трудозатраты",1,25)</f>
        <v>4</v>
      </c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  <c r="AB351" s="47"/>
      <c r="AC351" s="47"/>
      <c r="AD351" s="46">
        <f>200/IF(Общие_или_заединицу="Общие трудозатраты",1,25)*IF(Пробивка="Стандартная пробивная",1,3.5)</f>
        <v>28</v>
      </c>
      <c r="AE351" s="47"/>
      <c r="AF351" s="47"/>
      <c r="AG351" s="47"/>
      <c r="AH351" s="47"/>
      <c r="AI351" s="47"/>
      <c r="AJ351" s="47"/>
      <c r="AK351" s="47"/>
      <c r="AL351" s="47"/>
      <c r="AM351" s="47"/>
      <c r="AN351" s="47"/>
      <c r="AO351" s="47"/>
      <c r="AP351" s="47"/>
      <c r="AQ351" s="47"/>
      <c r="AR351" s="47"/>
      <c r="AS351" s="47"/>
      <c r="AT351" s="47"/>
      <c r="AU351" s="47"/>
      <c r="AV351" s="47"/>
      <c r="AW351" s="47"/>
      <c r="AX351" s="47"/>
      <c r="AY351" s="47"/>
      <c r="AZ351" s="47"/>
      <c r="BA351" s="47"/>
      <c r="BB351" s="47"/>
      <c r="BC351" s="47"/>
    </row>
    <row r="352" spans="1:55" x14ac:dyDescent="0.25">
      <c r="A352" s="45" t="s">
        <v>1037</v>
      </c>
      <c r="B352" s="46">
        <f t="shared" si="7"/>
        <v>40.5</v>
      </c>
      <c r="C352" s="47"/>
      <c r="D352" s="47"/>
      <c r="E352" s="46">
        <f>16/IF(Общие_или_заединицу="Общие трудозатраты",1,8)</f>
        <v>2</v>
      </c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  <c r="AB352" s="47"/>
      <c r="AC352" s="47"/>
      <c r="AD352" s="46">
        <f>88/IF(Общие_или_заединицу="Общие трудозатраты",1,8)*IF(Пробивка="Стандартная пробивная",1,3.5)</f>
        <v>38.5</v>
      </c>
      <c r="AE352" s="47"/>
      <c r="AF352" s="47"/>
      <c r="AG352" s="47"/>
      <c r="AH352" s="47"/>
      <c r="AI352" s="47"/>
      <c r="AJ352" s="47"/>
      <c r="AK352" s="47"/>
      <c r="AL352" s="47"/>
      <c r="AM352" s="47"/>
      <c r="AN352" s="47"/>
      <c r="AO352" s="47"/>
      <c r="AP352" s="47"/>
      <c r="AQ352" s="47"/>
      <c r="AR352" s="47"/>
      <c r="AS352" s="47"/>
      <c r="AT352" s="47"/>
      <c r="AU352" s="47"/>
      <c r="AV352" s="47"/>
      <c r="AW352" s="47"/>
      <c r="AX352" s="47"/>
      <c r="AY352" s="47"/>
      <c r="AZ352" s="47"/>
      <c r="BA352" s="47"/>
      <c r="BB352" s="47"/>
      <c r="BC352" s="47"/>
    </row>
    <row r="353" spans="1:55" x14ac:dyDescent="0.25">
      <c r="A353" s="45" t="s">
        <v>1038</v>
      </c>
      <c r="B353" s="46">
        <f t="shared" si="7"/>
        <v>40.5</v>
      </c>
      <c r="C353" s="47"/>
      <c r="D353" s="47"/>
      <c r="E353" s="46">
        <f>16/IF(Общие_или_заединицу="Общие трудозатраты",1,8)</f>
        <v>2</v>
      </c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  <c r="AB353" s="47"/>
      <c r="AC353" s="47"/>
      <c r="AD353" s="46">
        <f>88/IF(Общие_или_заединицу="Общие трудозатраты",1,8)*IF(Пробивка="Стандартная пробивная",1,3.5)</f>
        <v>38.5</v>
      </c>
      <c r="AE353" s="47"/>
      <c r="AF353" s="47"/>
      <c r="AG353" s="47"/>
      <c r="AH353" s="47"/>
      <c r="AI353" s="47"/>
      <c r="AJ353" s="47"/>
      <c r="AK353" s="47"/>
      <c r="AL353" s="47"/>
      <c r="AM353" s="47"/>
      <c r="AN353" s="47"/>
      <c r="AO353" s="47"/>
      <c r="AP353" s="47"/>
      <c r="AQ353" s="47"/>
      <c r="AR353" s="47"/>
      <c r="AS353" s="47"/>
      <c r="AT353" s="47"/>
      <c r="AU353" s="47"/>
      <c r="AV353" s="47"/>
      <c r="AW353" s="47"/>
      <c r="AX353" s="47"/>
      <c r="AY353" s="47"/>
      <c r="AZ353" s="47"/>
      <c r="BA353" s="47"/>
      <c r="BB353" s="47"/>
      <c r="BC353" s="47"/>
    </row>
    <row r="354" spans="1:55" x14ac:dyDescent="0.25">
      <c r="A354" s="45" t="s">
        <v>1039</v>
      </c>
      <c r="B354" s="46">
        <f t="shared" si="7"/>
        <v>100</v>
      </c>
      <c r="C354" s="47"/>
      <c r="D354" s="47"/>
      <c r="E354" s="46">
        <f>64/IF(Общие_или_заединицу="Общие трудозатраты",1,4)</f>
        <v>16</v>
      </c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  <c r="AC354" s="47"/>
      <c r="AD354" s="46">
        <f>96/IF(Общие_или_заединицу="Общие трудозатраты",1,4)*IF(Пробивка="Стандартная пробивная",1,3.5)</f>
        <v>84</v>
      </c>
      <c r="AE354" s="47"/>
      <c r="AF354" s="47"/>
      <c r="AG354" s="47"/>
      <c r="AH354" s="47"/>
      <c r="AI354" s="47"/>
      <c r="AJ354" s="47"/>
      <c r="AK354" s="47"/>
      <c r="AL354" s="47"/>
      <c r="AM354" s="47"/>
      <c r="AN354" s="47"/>
      <c r="AO354" s="47"/>
      <c r="AP354" s="47"/>
      <c r="AQ354" s="47"/>
      <c r="AR354" s="47"/>
      <c r="AS354" s="47"/>
      <c r="AT354" s="47"/>
      <c r="AU354" s="47"/>
      <c r="AV354" s="47"/>
      <c r="AW354" s="47"/>
      <c r="AX354" s="47"/>
      <c r="AY354" s="47"/>
      <c r="AZ354" s="47"/>
      <c r="BA354" s="47"/>
      <c r="BB354" s="47"/>
      <c r="BC354" s="47"/>
    </row>
    <row r="355" spans="1:55" x14ac:dyDescent="0.25">
      <c r="A355" s="45" t="s">
        <v>1040</v>
      </c>
      <c r="B355" s="46">
        <f t="shared" si="7"/>
        <v>100</v>
      </c>
      <c r="C355" s="47"/>
      <c r="D355" s="47"/>
      <c r="E355" s="46">
        <f>64/IF(Общие_или_заединицу="Общие трудозатраты",1,4)</f>
        <v>16</v>
      </c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  <c r="AB355" s="47"/>
      <c r="AC355" s="47"/>
      <c r="AD355" s="46">
        <f>96/IF(Общие_или_заединицу="Общие трудозатраты",1,4)*IF(Пробивка="Стандартная пробивная",1,3.5)</f>
        <v>84</v>
      </c>
      <c r="AE355" s="47"/>
      <c r="AF355" s="47"/>
      <c r="AG355" s="47"/>
      <c r="AH355" s="47"/>
      <c r="AI355" s="47"/>
      <c r="AJ355" s="47"/>
      <c r="AK355" s="47"/>
      <c r="AL355" s="47"/>
      <c r="AM355" s="47"/>
      <c r="AN355" s="47"/>
      <c r="AO355" s="47"/>
      <c r="AP355" s="47"/>
      <c r="AQ355" s="47"/>
      <c r="AR355" s="47"/>
      <c r="AS355" s="47"/>
      <c r="AT355" s="47"/>
      <c r="AU355" s="47"/>
      <c r="AV355" s="47"/>
      <c r="AW355" s="47"/>
      <c r="AX355" s="47"/>
      <c r="AY355" s="47"/>
      <c r="AZ355" s="47"/>
      <c r="BA355" s="47"/>
      <c r="BB355" s="47"/>
      <c r="BC355" s="47"/>
    </row>
    <row r="356" spans="1:55" x14ac:dyDescent="0.25">
      <c r="A356" s="45" t="s">
        <v>1024</v>
      </c>
      <c r="B356" s="46">
        <f t="shared" si="7"/>
        <v>42</v>
      </c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6">
        <f>8/IF(Общие_или_заединицу="Общие трудозатраты",1,4)</f>
        <v>2</v>
      </c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  <c r="AB356" s="47"/>
      <c r="AC356" s="47"/>
      <c r="AD356" s="47"/>
      <c r="AE356" s="47"/>
      <c r="AF356" s="47"/>
      <c r="AG356" s="47"/>
      <c r="AH356" s="46">
        <f>160/IF(Общие_или_заединицу="Общие трудозатраты",1,4)</f>
        <v>40</v>
      </c>
      <c r="AI356" s="47"/>
      <c r="AJ356" s="47"/>
      <c r="AK356" s="47"/>
      <c r="AL356" s="47"/>
      <c r="AM356" s="47"/>
      <c r="AN356" s="47"/>
      <c r="AO356" s="47"/>
      <c r="AP356" s="47"/>
      <c r="AQ356" s="47"/>
      <c r="AR356" s="47"/>
      <c r="AS356" s="47"/>
      <c r="AT356" s="47"/>
      <c r="AU356" s="47"/>
      <c r="AV356" s="47"/>
      <c r="AW356" s="47"/>
      <c r="AX356" s="47"/>
      <c r="AY356" s="47"/>
      <c r="AZ356" s="47"/>
      <c r="BA356" s="47"/>
      <c r="BB356" s="47"/>
      <c r="BC356" s="47"/>
    </row>
    <row r="357" spans="1:55" x14ac:dyDescent="0.25">
      <c r="A357" s="45" t="s">
        <v>1041</v>
      </c>
      <c r="B357" s="46">
        <f t="shared" si="7"/>
        <v>8</v>
      </c>
      <c r="C357" s="47"/>
      <c r="D357" s="47"/>
      <c r="E357" s="46">
        <f>8/IF(Общие_или_заединицу="Общие трудозатраты",1,4)</f>
        <v>2</v>
      </c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6">
        <f>24/IF(Общие_или_заединицу="Общие трудозатраты",1,4)</f>
        <v>6</v>
      </c>
      <c r="T357" s="47"/>
      <c r="U357" s="47"/>
      <c r="V357" s="47"/>
      <c r="W357" s="47"/>
      <c r="X357" s="47"/>
      <c r="Y357" s="47"/>
      <c r="Z357" s="47"/>
      <c r="AA357" s="47"/>
      <c r="AB357" s="47"/>
      <c r="AC357" s="47"/>
      <c r="AD357" s="47"/>
      <c r="AE357" s="47"/>
      <c r="AF357" s="47"/>
      <c r="AG357" s="47"/>
      <c r="AH357" s="47"/>
      <c r="AI357" s="47"/>
      <c r="AJ357" s="47"/>
      <c r="AK357" s="47"/>
      <c r="AL357" s="47"/>
      <c r="AM357" s="47"/>
      <c r="AN357" s="47"/>
      <c r="AO357" s="47"/>
      <c r="AP357" s="47"/>
      <c r="AQ357" s="47"/>
      <c r="AR357" s="47"/>
      <c r="AS357" s="47"/>
      <c r="AT357" s="47"/>
      <c r="AU357" s="47"/>
      <c r="AV357" s="47"/>
      <c r="AW357" s="47"/>
      <c r="AX357" s="47"/>
      <c r="AY357" s="47"/>
      <c r="AZ357" s="47"/>
      <c r="BA357" s="47"/>
      <c r="BB357" s="47"/>
      <c r="BC357" s="47"/>
    </row>
    <row r="358" spans="1:55" x14ac:dyDescent="0.25">
      <c r="A358" s="45" t="s">
        <v>1042</v>
      </c>
      <c r="B358" s="46">
        <f t="shared" si="7"/>
        <v>270</v>
      </c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6">
        <f>30/IF(Общие_или_заединицу="Общие трудозатраты",1,1)</f>
        <v>30</v>
      </c>
      <c r="Q358" s="46">
        <f>240/IF(Общие_или_заединицу="Общие трудозатраты",1,1)</f>
        <v>240</v>
      </c>
      <c r="R358" s="47"/>
      <c r="S358" s="47"/>
      <c r="T358" s="47"/>
      <c r="U358" s="47"/>
      <c r="V358" s="47"/>
      <c r="W358" s="47"/>
      <c r="X358" s="47"/>
      <c r="Y358" s="47"/>
      <c r="Z358" s="47"/>
      <c r="AA358" s="47"/>
      <c r="AB358" s="47"/>
      <c r="AC358" s="47"/>
      <c r="AD358" s="47"/>
      <c r="AE358" s="47"/>
      <c r="AF358" s="47"/>
      <c r="AG358" s="47"/>
      <c r="AH358" s="47"/>
      <c r="AI358" s="47"/>
      <c r="AJ358" s="47"/>
      <c r="AK358" s="47"/>
      <c r="AL358" s="47"/>
      <c r="AM358" s="47"/>
      <c r="AN358" s="47"/>
      <c r="AO358" s="47"/>
      <c r="AP358" s="47"/>
      <c r="AQ358" s="47"/>
      <c r="AR358" s="47"/>
      <c r="AS358" s="47"/>
      <c r="AT358" s="47"/>
      <c r="AU358" s="47"/>
      <c r="AV358" s="47"/>
      <c r="AW358" s="47"/>
      <c r="AX358" s="47"/>
      <c r="AY358" s="47"/>
      <c r="AZ358" s="47"/>
      <c r="BA358" s="47"/>
      <c r="BB358" s="47"/>
      <c r="BC358" s="47"/>
    </row>
    <row r="359" spans="1:55" x14ac:dyDescent="0.25">
      <c r="A359" s="45" t="s">
        <v>1044</v>
      </c>
      <c r="B359" s="46">
        <f t="shared" si="7"/>
        <v>13.5</v>
      </c>
      <c r="C359" s="47"/>
      <c r="D359" s="47"/>
      <c r="E359" s="47"/>
      <c r="F359" s="47"/>
      <c r="G359" s="47"/>
      <c r="H359" s="47"/>
      <c r="I359" s="46">
        <f>6/IF(Общие_или_заединицу="Общие трудозатраты",1,2)</f>
        <v>3</v>
      </c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  <c r="AB359" s="47"/>
      <c r="AC359" s="47"/>
      <c r="AD359" s="46">
        <f>6/IF(Общие_или_заединицу="Общие трудозатраты",1,2)*IF(Пробивка="Стандартная пробивная",1,3.5)</f>
        <v>10.5</v>
      </c>
      <c r="AE359" s="47"/>
      <c r="AF359" s="47"/>
      <c r="AG359" s="47"/>
      <c r="AH359" s="47"/>
      <c r="AI359" s="47"/>
      <c r="AJ359" s="47"/>
      <c r="AK359" s="47"/>
      <c r="AL359" s="47"/>
      <c r="AM359" s="47"/>
      <c r="AN359" s="47"/>
      <c r="AO359" s="47"/>
      <c r="AP359" s="47"/>
      <c r="AQ359" s="47"/>
      <c r="AR359" s="47"/>
      <c r="AS359" s="47"/>
      <c r="AT359" s="47"/>
      <c r="AU359" s="47"/>
      <c r="AV359" s="47"/>
      <c r="AW359" s="47"/>
      <c r="AX359" s="47"/>
      <c r="AY359" s="47"/>
      <c r="AZ359" s="47"/>
      <c r="BA359" s="47"/>
      <c r="BB359" s="47"/>
      <c r="BC359" s="47"/>
    </row>
    <row r="360" spans="1:55" x14ac:dyDescent="0.25">
      <c r="A360" s="45" t="s">
        <v>1045</v>
      </c>
      <c r="B360" s="46">
        <f t="shared" si="7"/>
        <v>23.7</v>
      </c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6">
        <f>18/IF(Общие_или_заединицу="Общие трудозатраты",1,4)</f>
        <v>4.5</v>
      </c>
      <c r="N360" s="47"/>
      <c r="O360" s="47"/>
      <c r="P360" s="47"/>
      <c r="Q360" s="47"/>
      <c r="R360" s="47"/>
      <c r="S360" s="47"/>
      <c r="T360" s="47"/>
      <c r="U360" s="47"/>
      <c r="V360" s="47"/>
      <c r="W360" s="46">
        <f>20/IF(Общие_или_заединицу="Общие трудозатраты",1,4)</f>
        <v>5</v>
      </c>
      <c r="X360" s="47"/>
      <c r="Y360" s="47"/>
      <c r="Z360" s="47"/>
      <c r="AA360" s="46">
        <f>56.8/IF(Общие_или_заединицу="Общие трудозатраты",1,4)</f>
        <v>14.2</v>
      </c>
      <c r="AB360" s="47"/>
      <c r="AC360" s="47"/>
      <c r="AD360" s="47"/>
      <c r="AE360" s="47"/>
      <c r="AF360" s="47"/>
      <c r="AG360" s="47"/>
      <c r="AH360" s="47"/>
      <c r="AI360" s="47"/>
      <c r="AJ360" s="47"/>
      <c r="AK360" s="47"/>
      <c r="AL360" s="47"/>
      <c r="AM360" s="47"/>
      <c r="AN360" s="47"/>
      <c r="AO360" s="47"/>
      <c r="AP360" s="47"/>
      <c r="AQ360" s="47"/>
      <c r="AR360" s="47"/>
      <c r="AS360" s="47"/>
      <c r="AT360" s="47"/>
      <c r="AU360" s="47"/>
      <c r="AV360" s="47"/>
      <c r="AW360" s="47"/>
      <c r="AX360" s="47"/>
      <c r="AY360" s="47"/>
      <c r="AZ360" s="47"/>
      <c r="BA360" s="47"/>
      <c r="BB360" s="47"/>
      <c r="BC360" s="47"/>
    </row>
    <row r="361" spans="1:55" x14ac:dyDescent="0.25">
      <c r="A361" s="45" t="s">
        <v>1046</v>
      </c>
      <c r="B361" s="46">
        <f t="shared" si="7"/>
        <v>42</v>
      </c>
      <c r="C361" s="47"/>
      <c r="D361" s="47"/>
      <c r="E361" s="47"/>
      <c r="F361" s="47"/>
      <c r="G361" s="47"/>
      <c r="H361" s="47"/>
      <c r="I361" s="47"/>
      <c r="J361" s="47"/>
      <c r="K361" s="46">
        <f>56/IF(Общие_или_заединицу="Общие трудозатраты",1,4)</f>
        <v>14</v>
      </c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  <c r="AC361" s="47"/>
      <c r="AD361" s="46">
        <f>32/IF(Общие_или_заединицу="Общие трудозатраты",1,4)*IF(Пробивка="Стандартная пробивная",1,3.5)</f>
        <v>28</v>
      </c>
      <c r="AE361" s="47"/>
      <c r="AF361" s="47"/>
      <c r="AG361" s="47"/>
      <c r="AH361" s="47"/>
      <c r="AI361" s="47"/>
      <c r="AJ361" s="47"/>
      <c r="AK361" s="47"/>
      <c r="AL361" s="47"/>
      <c r="AM361" s="47"/>
      <c r="AN361" s="47"/>
      <c r="AO361" s="47"/>
      <c r="AP361" s="47"/>
      <c r="AQ361" s="47"/>
      <c r="AR361" s="47"/>
      <c r="AS361" s="47"/>
      <c r="AT361" s="47"/>
      <c r="AU361" s="47"/>
      <c r="AV361" s="47"/>
      <c r="AW361" s="47"/>
      <c r="AX361" s="47"/>
      <c r="AY361" s="47"/>
      <c r="AZ361" s="47"/>
      <c r="BA361" s="47"/>
      <c r="BB361" s="47"/>
      <c r="BC361" s="47"/>
    </row>
    <row r="362" spans="1:55" x14ac:dyDescent="0.25">
      <c r="A362" s="45" t="s">
        <v>1047</v>
      </c>
      <c r="B362" s="46">
        <f t="shared" si="7"/>
        <v>28</v>
      </c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  <c r="AB362" s="47"/>
      <c r="AC362" s="47"/>
      <c r="AD362" s="46">
        <f>96/IF(Общие_или_заединицу="Общие трудозатраты",1,12)*IF(Пробивка="Стандартная пробивная",1,3.5)</f>
        <v>28</v>
      </c>
      <c r="AE362" s="47"/>
      <c r="AF362" s="47"/>
      <c r="AG362" s="47"/>
      <c r="AH362" s="47"/>
      <c r="AI362" s="47"/>
      <c r="AJ362" s="47"/>
      <c r="AK362" s="47"/>
      <c r="AL362" s="47"/>
      <c r="AM362" s="47"/>
      <c r="AN362" s="47"/>
      <c r="AO362" s="47"/>
      <c r="AP362" s="47"/>
      <c r="AQ362" s="47"/>
      <c r="AR362" s="47"/>
      <c r="AS362" s="47"/>
      <c r="AT362" s="47"/>
      <c r="AU362" s="47"/>
      <c r="AV362" s="47"/>
      <c r="AW362" s="47"/>
      <c r="AX362" s="47"/>
      <c r="AY362" s="47"/>
      <c r="AZ362" s="47"/>
      <c r="BA362" s="47"/>
      <c r="BB362" s="47"/>
      <c r="BC362" s="47"/>
    </row>
    <row r="363" spans="1:55" x14ac:dyDescent="0.25">
      <c r="A363" s="45" t="s">
        <v>1048</v>
      </c>
      <c r="B363" s="46">
        <f t="shared" si="7"/>
        <v>3.8499999999999996</v>
      </c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  <c r="AB363" s="47"/>
      <c r="AC363" s="47"/>
      <c r="AD363" s="46">
        <f>13.2/IF(Общие_или_заединицу="Общие трудозатраты",1,12)*IF(Пробивка="Стандартная пробивная",1,3.5)</f>
        <v>3.8499999999999996</v>
      </c>
      <c r="AE363" s="47"/>
      <c r="AF363" s="47"/>
      <c r="AG363" s="47"/>
      <c r="AH363" s="47"/>
      <c r="AI363" s="47"/>
      <c r="AJ363" s="47"/>
      <c r="AK363" s="47"/>
      <c r="AL363" s="47"/>
      <c r="AM363" s="47"/>
      <c r="AN363" s="47"/>
      <c r="AO363" s="47"/>
      <c r="AP363" s="47"/>
      <c r="AQ363" s="47"/>
      <c r="AR363" s="47"/>
      <c r="AS363" s="47"/>
      <c r="AT363" s="47"/>
      <c r="AU363" s="47"/>
      <c r="AV363" s="47"/>
      <c r="AW363" s="47"/>
      <c r="AX363" s="47"/>
      <c r="AY363" s="47"/>
      <c r="AZ363" s="47"/>
      <c r="BA363" s="47"/>
      <c r="BB363" s="47"/>
      <c r="BC363" s="47"/>
    </row>
    <row r="364" spans="1:55" x14ac:dyDescent="0.25">
      <c r="A364" s="45" t="s">
        <v>1049</v>
      </c>
      <c r="B364" s="46">
        <f t="shared" si="7"/>
        <v>4.5</v>
      </c>
      <c r="C364" s="47"/>
      <c r="D364" s="47"/>
      <c r="E364" s="47"/>
      <c r="F364" s="47"/>
      <c r="G364" s="46">
        <f>16/IF(Общие_или_заединицу="Общие трудозатраты",1,8)</f>
        <v>2</v>
      </c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6">
        <f>8.8/IF(Общие_или_заединицу="Общие трудозатраты",1,8)</f>
        <v>1.1000000000000001</v>
      </c>
      <c r="X364" s="47"/>
      <c r="Y364" s="47"/>
      <c r="Z364" s="47"/>
      <c r="AA364" s="46">
        <f>11.2/IF(Общие_или_заединицу="Общие трудозатраты",1,8)</f>
        <v>1.4</v>
      </c>
      <c r="AB364" s="47"/>
      <c r="AC364" s="47"/>
      <c r="AD364" s="47"/>
      <c r="AE364" s="47"/>
      <c r="AF364" s="47"/>
      <c r="AG364" s="47"/>
      <c r="AH364" s="47"/>
      <c r="AI364" s="47"/>
      <c r="AJ364" s="47"/>
      <c r="AK364" s="47"/>
      <c r="AL364" s="47"/>
      <c r="AM364" s="47"/>
      <c r="AN364" s="47"/>
      <c r="AO364" s="47"/>
      <c r="AP364" s="47"/>
      <c r="AQ364" s="47"/>
      <c r="AR364" s="47"/>
      <c r="AS364" s="47"/>
      <c r="AT364" s="47"/>
      <c r="AU364" s="47"/>
      <c r="AV364" s="47"/>
      <c r="AW364" s="47"/>
      <c r="AX364" s="47"/>
      <c r="AY364" s="47"/>
      <c r="AZ364" s="47"/>
      <c r="BA364" s="47"/>
      <c r="BB364" s="47"/>
      <c r="BC364" s="47"/>
    </row>
    <row r="365" spans="1:55" x14ac:dyDescent="0.25">
      <c r="A365" s="45" t="s">
        <v>1050</v>
      </c>
      <c r="B365" s="46">
        <f t="shared" si="7"/>
        <v>24</v>
      </c>
      <c r="C365" s="47"/>
      <c r="D365" s="47"/>
      <c r="E365" s="47"/>
      <c r="F365" s="47"/>
      <c r="G365" s="47"/>
      <c r="H365" s="47"/>
      <c r="I365" s="47"/>
      <c r="J365" s="47"/>
      <c r="K365" s="46">
        <f>3/IF(Общие_или_заединицу="Общие трудозатраты",1,1)</f>
        <v>3</v>
      </c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  <c r="AB365" s="47"/>
      <c r="AC365" s="47"/>
      <c r="AD365" s="46">
        <f>6/IF(Общие_или_заединицу="Общие трудозатраты",1,1)*IF(Пробивка="Стандартная пробивная",1,3.5)</f>
        <v>21</v>
      </c>
      <c r="AE365" s="47"/>
      <c r="AF365" s="47"/>
      <c r="AG365" s="47"/>
      <c r="AH365" s="47"/>
      <c r="AI365" s="47"/>
      <c r="AJ365" s="47"/>
      <c r="AK365" s="47"/>
      <c r="AL365" s="47"/>
      <c r="AM365" s="47"/>
      <c r="AN365" s="47"/>
      <c r="AO365" s="47"/>
      <c r="AP365" s="47"/>
      <c r="AQ365" s="47"/>
      <c r="AR365" s="47"/>
      <c r="AS365" s="47"/>
      <c r="AT365" s="47"/>
      <c r="AU365" s="47"/>
      <c r="AV365" s="47"/>
      <c r="AW365" s="47"/>
      <c r="AX365" s="47"/>
      <c r="AY365" s="47"/>
      <c r="AZ365" s="47"/>
      <c r="BA365" s="47"/>
      <c r="BB365" s="47"/>
      <c r="BC365" s="47"/>
    </row>
    <row r="366" spans="1:55" x14ac:dyDescent="0.25">
      <c r="A366" s="45" t="s">
        <v>1043</v>
      </c>
      <c r="B366" s="46">
        <f t="shared" si="7"/>
        <v>125</v>
      </c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6">
        <f>5/IF(Общие_или_заединицу="Общие трудозатраты",1,1)</f>
        <v>5</v>
      </c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  <c r="AB366" s="47"/>
      <c r="AC366" s="47"/>
      <c r="AD366" s="47"/>
      <c r="AE366" s="47"/>
      <c r="AF366" s="47"/>
      <c r="AG366" s="47"/>
      <c r="AH366" s="47"/>
      <c r="AI366" s="46">
        <f>120/IF(Общие_или_заединицу="Общие трудозатраты",1,1)</f>
        <v>120</v>
      </c>
      <c r="AJ366" s="47"/>
      <c r="AK366" s="47"/>
      <c r="AL366" s="47"/>
      <c r="AM366" s="47"/>
      <c r="AN366" s="47"/>
      <c r="AO366" s="47"/>
      <c r="AP366" s="47"/>
      <c r="AQ366" s="47"/>
      <c r="AR366" s="47"/>
      <c r="AS366" s="47"/>
      <c r="AT366" s="47"/>
      <c r="AU366" s="47"/>
      <c r="AV366" s="47"/>
      <c r="AW366" s="47"/>
      <c r="AX366" s="47"/>
      <c r="AY366" s="47"/>
      <c r="AZ366" s="47"/>
      <c r="BA366" s="47"/>
      <c r="BB366" s="47"/>
      <c r="BC366" s="47"/>
    </row>
    <row r="367" spans="1:55" x14ac:dyDescent="0.25">
      <c r="A367" s="45" t="s">
        <v>1052</v>
      </c>
      <c r="B367" s="46">
        <f t="shared" si="7"/>
        <v>78.5</v>
      </c>
      <c r="C367" s="47"/>
      <c r="D367" s="47"/>
      <c r="E367" s="47"/>
      <c r="F367" s="47"/>
      <c r="G367" s="47"/>
      <c r="H367" s="47"/>
      <c r="I367" s="47"/>
      <c r="J367" s="47"/>
      <c r="K367" s="46">
        <f>26/IF(Общие_или_заединицу="Общие трудозатраты",1,1)</f>
        <v>26</v>
      </c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  <c r="AB367" s="47"/>
      <c r="AC367" s="47"/>
      <c r="AD367" s="46">
        <f>15/IF(Общие_или_заединицу="Общие трудозатраты",1,1)*IF(Пробивка="Стандартная пробивная",1,3.5)</f>
        <v>52.5</v>
      </c>
      <c r="AE367" s="47"/>
      <c r="AF367" s="47"/>
      <c r="AG367" s="47"/>
      <c r="AH367" s="47"/>
      <c r="AI367" s="47"/>
      <c r="AJ367" s="47"/>
      <c r="AK367" s="47"/>
      <c r="AL367" s="47"/>
      <c r="AM367" s="47"/>
      <c r="AN367" s="47"/>
      <c r="AO367" s="47"/>
      <c r="AP367" s="47"/>
      <c r="AQ367" s="47"/>
      <c r="AR367" s="47"/>
      <c r="AS367" s="47"/>
      <c r="AT367" s="47"/>
      <c r="AU367" s="47"/>
      <c r="AV367" s="47"/>
      <c r="AW367" s="47"/>
      <c r="AX367" s="47"/>
      <c r="AY367" s="47"/>
      <c r="AZ367" s="47"/>
      <c r="BA367" s="47"/>
      <c r="BB367" s="47"/>
      <c r="BC367" s="47"/>
    </row>
    <row r="368" spans="1:55" x14ac:dyDescent="0.25">
      <c r="A368" s="45" t="s">
        <v>1051</v>
      </c>
      <c r="B368" s="46">
        <f t="shared" si="7"/>
        <v>8</v>
      </c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  <c r="AC368" s="47"/>
      <c r="AD368" s="47"/>
      <c r="AE368" s="47"/>
      <c r="AF368" s="47"/>
      <c r="AG368" s="47"/>
      <c r="AH368" s="47"/>
      <c r="AI368" s="46">
        <f>16/IF(Общие_или_заединицу="Общие трудозатраты",1,2)</f>
        <v>8</v>
      </c>
      <c r="AJ368" s="47"/>
      <c r="AK368" s="47"/>
      <c r="AL368" s="47"/>
      <c r="AM368" s="47"/>
      <c r="AN368" s="47"/>
      <c r="AO368" s="47"/>
      <c r="AP368" s="47"/>
      <c r="AQ368" s="47"/>
      <c r="AR368" s="47"/>
      <c r="AS368" s="47"/>
      <c r="AT368" s="47"/>
      <c r="AU368" s="47"/>
      <c r="AV368" s="47"/>
      <c r="AW368" s="47"/>
      <c r="AX368" s="47"/>
      <c r="AY368" s="47"/>
      <c r="AZ368" s="47"/>
      <c r="BA368" s="47"/>
      <c r="BB368" s="47"/>
      <c r="BC368" s="47"/>
    </row>
    <row r="369" spans="1:55" x14ac:dyDescent="0.25">
      <c r="A369" s="45" t="s">
        <v>1054</v>
      </c>
      <c r="B369" s="46">
        <f t="shared" si="7"/>
        <v>32</v>
      </c>
      <c r="C369" s="47"/>
      <c r="D369" s="47"/>
      <c r="E369" s="47"/>
      <c r="F369" s="47"/>
      <c r="G369" s="46">
        <f>8/IF(Общие_или_заединицу="Общие трудозатраты",1,2)</f>
        <v>4</v>
      </c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  <c r="AB369" s="47"/>
      <c r="AC369" s="47"/>
      <c r="AD369" s="46">
        <f>16/IF(Общие_или_заединицу="Общие трудозатраты",1,2)*IF(Пробивка="Стандартная пробивная",1,3.5)</f>
        <v>28</v>
      </c>
      <c r="AE369" s="47"/>
      <c r="AF369" s="47"/>
      <c r="AG369" s="47"/>
      <c r="AH369" s="47"/>
      <c r="AI369" s="47"/>
      <c r="AJ369" s="47"/>
      <c r="AK369" s="47"/>
      <c r="AL369" s="47"/>
      <c r="AM369" s="47"/>
      <c r="AN369" s="47"/>
      <c r="AO369" s="47"/>
      <c r="AP369" s="47"/>
      <c r="AQ369" s="47"/>
      <c r="AR369" s="47"/>
      <c r="AS369" s="47"/>
      <c r="AT369" s="47"/>
      <c r="AU369" s="47"/>
      <c r="AV369" s="47"/>
      <c r="AW369" s="47"/>
      <c r="AX369" s="47"/>
      <c r="AY369" s="47"/>
      <c r="AZ369" s="47"/>
      <c r="BA369" s="47"/>
      <c r="BB369" s="47"/>
      <c r="BC369" s="47"/>
    </row>
    <row r="370" spans="1:55" x14ac:dyDescent="0.25">
      <c r="A370" s="45" t="s">
        <v>1056</v>
      </c>
      <c r="B370" s="46">
        <f t="shared" si="7"/>
        <v>132</v>
      </c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6">
        <f>12/IF(Общие_или_заединицу="Общие трудозатраты",1,1)</f>
        <v>12</v>
      </c>
      <c r="Q370" s="46">
        <f>120/IF(Общие_или_заединицу="Общие трудозатраты",1,1)</f>
        <v>120</v>
      </c>
      <c r="R370" s="47"/>
      <c r="S370" s="47"/>
      <c r="T370" s="47"/>
      <c r="U370" s="47"/>
      <c r="V370" s="47"/>
      <c r="W370" s="47"/>
      <c r="X370" s="47"/>
      <c r="Y370" s="47"/>
      <c r="Z370" s="47"/>
      <c r="AA370" s="47"/>
      <c r="AB370" s="47"/>
      <c r="AC370" s="47"/>
      <c r="AD370" s="47"/>
      <c r="AE370" s="47"/>
      <c r="AF370" s="47"/>
      <c r="AG370" s="47"/>
      <c r="AH370" s="47"/>
      <c r="AI370" s="47"/>
      <c r="AJ370" s="47"/>
      <c r="AK370" s="47"/>
      <c r="AL370" s="47"/>
      <c r="AM370" s="47"/>
      <c r="AN370" s="47"/>
      <c r="AO370" s="47"/>
      <c r="AP370" s="47"/>
      <c r="AQ370" s="47"/>
      <c r="AR370" s="47"/>
      <c r="AS370" s="47"/>
      <c r="AT370" s="47"/>
      <c r="AU370" s="47"/>
      <c r="AV370" s="47"/>
      <c r="AW370" s="47"/>
      <c r="AX370" s="47"/>
      <c r="AY370" s="47"/>
      <c r="AZ370" s="47"/>
      <c r="BA370" s="47"/>
      <c r="BB370" s="47"/>
      <c r="BC370" s="47"/>
    </row>
    <row r="371" spans="1:55" x14ac:dyDescent="0.25">
      <c r="A371" s="45" t="s">
        <v>1057</v>
      </c>
      <c r="B371" s="46">
        <f t="shared" si="7"/>
        <v>13</v>
      </c>
      <c r="C371" s="47"/>
      <c r="D371" s="47"/>
      <c r="E371" s="46">
        <f>12/IF(Общие_или_заединицу="Общие трудозатраты",1,2)</f>
        <v>6</v>
      </c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6">
        <f>14/IF(Общие_или_заединицу="Общие трудозатраты",1,2)</f>
        <v>7</v>
      </c>
      <c r="T371" s="47"/>
      <c r="U371" s="47"/>
      <c r="V371" s="47"/>
      <c r="W371" s="47"/>
      <c r="X371" s="47"/>
      <c r="Y371" s="47"/>
      <c r="Z371" s="47"/>
      <c r="AA371" s="47"/>
      <c r="AB371" s="47"/>
      <c r="AC371" s="47"/>
      <c r="AD371" s="47"/>
      <c r="AE371" s="47"/>
      <c r="AF371" s="47"/>
      <c r="AG371" s="47"/>
      <c r="AH371" s="47"/>
      <c r="AI371" s="47"/>
      <c r="AJ371" s="47"/>
      <c r="AK371" s="47"/>
      <c r="AL371" s="47"/>
      <c r="AM371" s="47"/>
      <c r="AN371" s="47"/>
      <c r="AO371" s="47"/>
      <c r="AP371" s="47"/>
      <c r="AQ371" s="47"/>
      <c r="AR371" s="47"/>
      <c r="AS371" s="47"/>
      <c r="AT371" s="47"/>
      <c r="AU371" s="47"/>
      <c r="AV371" s="47"/>
      <c r="AW371" s="47"/>
      <c r="AX371" s="47"/>
      <c r="AY371" s="47"/>
      <c r="AZ371" s="47"/>
      <c r="BA371" s="47"/>
      <c r="BB371" s="47"/>
      <c r="BC371" s="47"/>
    </row>
    <row r="372" spans="1:55" x14ac:dyDescent="0.25">
      <c r="A372" s="45" t="s">
        <v>1058</v>
      </c>
      <c r="B372" s="46">
        <f t="shared" si="7"/>
        <v>7.8500000000000005</v>
      </c>
      <c r="C372" s="47"/>
      <c r="D372" s="47"/>
      <c r="E372" s="46">
        <f>8/IF(Общие_или_заединицу="Общие трудозатраты",1,2)</f>
        <v>4</v>
      </c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  <c r="AC372" s="47"/>
      <c r="AD372" s="46">
        <f>2.2/IF(Общие_или_заединицу="Общие трудозатраты",1,2)*IF(Пробивка="Стандартная пробивная",1,3.5)</f>
        <v>3.8500000000000005</v>
      </c>
      <c r="AE372" s="47"/>
      <c r="AF372" s="47"/>
      <c r="AG372" s="47"/>
      <c r="AH372" s="47"/>
      <c r="AI372" s="47"/>
      <c r="AJ372" s="47"/>
      <c r="AK372" s="47"/>
      <c r="AL372" s="47"/>
      <c r="AM372" s="47"/>
      <c r="AN372" s="47"/>
      <c r="AO372" s="47"/>
      <c r="AP372" s="47"/>
      <c r="AQ372" s="47"/>
      <c r="AR372" s="47"/>
      <c r="AS372" s="47"/>
      <c r="AT372" s="47"/>
      <c r="AU372" s="47"/>
      <c r="AV372" s="47"/>
      <c r="AW372" s="47"/>
      <c r="AX372" s="47"/>
      <c r="AY372" s="47"/>
      <c r="AZ372" s="47"/>
      <c r="BA372" s="47"/>
      <c r="BB372" s="47"/>
      <c r="BC372" s="47"/>
    </row>
    <row r="373" spans="1:55" x14ac:dyDescent="0.25">
      <c r="A373" s="45" t="s">
        <v>1059</v>
      </c>
      <c r="B373" s="46">
        <f t="shared" si="7"/>
        <v>32.25</v>
      </c>
      <c r="C373" s="47"/>
      <c r="D373" s="47"/>
      <c r="E373" s="46">
        <f>18/IF(Общие_или_заединицу="Общие трудозатраты",1,3)</f>
        <v>6</v>
      </c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  <c r="AB373" s="47"/>
      <c r="AC373" s="47"/>
      <c r="AD373" s="46">
        <f>22.5/IF(Общие_или_заединицу="Общие трудозатраты",1,3)*IF(Пробивка="Стандартная пробивная",1,3.5)</f>
        <v>26.25</v>
      </c>
      <c r="AE373" s="47"/>
      <c r="AF373" s="47"/>
      <c r="AG373" s="47"/>
      <c r="AH373" s="47"/>
      <c r="AI373" s="47"/>
      <c r="AJ373" s="47"/>
      <c r="AK373" s="47"/>
      <c r="AL373" s="47"/>
      <c r="AM373" s="47"/>
      <c r="AN373" s="47"/>
      <c r="AO373" s="47"/>
      <c r="AP373" s="47"/>
      <c r="AQ373" s="47"/>
      <c r="AR373" s="47"/>
      <c r="AS373" s="47"/>
      <c r="AT373" s="47"/>
      <c r="AU373" s="47"/>
      <c r="AV373" s="47"/>
      <c r="AW373" s="47"/>
      <c r="AX373" s="47"/>
      <c r="AY373" s="47"/>
      <c r="AZ373" s="47"/>
      <c r="BA373" s="47"/>
      <c r="BB373" s="47"/>
      <c r="BC373" s="47"/>
    </row>
    <row r="374" spans="1:55" x14ac:dyDescent="0.25">
      <c r="A374" s="45" t="s">
        <v>1060</v>
      </c>
      <c r="B374" s="46">
        <f t="shared" si="7"/>
        <v>37.5</v>
      </c>
      <c r="C374" s="47"/>
      <c r="D374" s="47"/>
      <c r="E374" s="46">
        <f>36/IF(Общие_или_заединицу="Общие трудозатраты",1,6)</f>
        <v>6</v>
      </c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  <c r="AB374" s="47"/>
      <c r="AC374" s="47"/>
      <c r="AD374" s="46">
        <f>54/IF(Общие_или_заединицу="Общие трудозатраты",1,6)*IF(Пробивка="Стандартная пробивная",1,3.5)</f>
        <v>31.5</v>
      </c>
      <c r="AE374" s="47"/>
      <c r="AF374" s="47"/>
      <c r="AG374" s="47"/>
      <c r="AH374" s="47"/>
      <c r="AI374" s="47"/>
      <c r="AJ374" s="47"/>
      <c r="AK374" s="47"/>
      <c r="AL374" s="47"/>
      <c r="AM374" s="47"/>
      <c r="AN374" s="47"/>
      <c r="AO374" s="47"/>
      <c r="AP374" s="47"/>
      <c r="AQ374" s="47"/>
      <c r="AR374" s="47"/>
      <c r="AS374" s="47"/>
      <c r="AT374" s="47"/>
      <c r="AU374" s="47"/>
      <c r="AV374" s="47"/>
      <c r="AW374" s="47"/>
      <c r="AX374" s="47"/>
      <c r="AY374" s="47"/>
      <c r="AZ374" s="47"/>
      <c r="BA374" s="47"/>
      <c r="BB374" s="47"/>
      <c r="BC374" s="47"/>
    </row>
    <row r="375" spans="1:55" x14ac:dyDescent="0.25">
      <c r="A375" s="45" t="s">
        <v>1061</v>
      </c>
      <c r="B375" s="46">
        <f t="shared" si="7"/>
        <v>3.8499999999999996</v>
      </c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  <c r="AC375" s="47"/>
      <c r="AD375" s="46">
        <f>3.3/IF(Общие_или_заединицу="Общие трудозатраты",1,3)*IF(Пробивка="Стандартная пробивная",1,3.5)</f>
        <v>3.8499999999999996</v>
      </c>
      <c r="AE375" s="47"/>
      <c r="AF375" s="47"/>
      <c r="AG375" s="47"/>
      <c r="AH375" s="47"/>
      <c r="AI375" s="47"/>
      <c r="AJ375" s="47"/>
      <c r="AK375" s="47"/>
      <c r="AL375" s="47"/>
      <c r="AM375" s="47"/>
      <c r="AN375" s="47"/>
      <c r="AO375" s="47"/>
      <c r="AP375" s="47"/>
      <c r="AQ375" s="47"/>
      <c r="AR375" s="47"/>
      <c r="AS375" s="47"/>
      <c r="AT375" s="47"/>
      <c r="AU375" s="47"/>
      <c r="AV375" s="47"/>
      <c r="AW375" s="47"/>
      <c r="AX375" s="47"/>
      <c r="AY375" s="47"/>
      <c r="AZ375" s="47"/>
      <c r="BA375" s="47"/>
      <c r="BB375" s="47"/>
      <c r="BC375" s="47"/>
    </row>
    <row r="376" spans="1:55" x14ac:dyDescent="0.25">
      <c r="A376" s="45" t="s">
        <v>1062</v>
      </c>
      <c r="B376" s="46">
        <f t="shared" si="7"/>
        <v>16.5</v>
      </c>
      <c r="C376" s="47"/>
      <c r="D376" s="47"/>
      <c r="E376" s="46">
        <f>24/IF(Общие_или_заединицу="Общие трудозатраты",1,4)</f>
        <v>6</v>
      </c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  <c r="AB376" s="47"/>
      <c r="AC376" s="47"/>
      <c r="AD376" s="46">
        <f>12/IF(Общие_или_заединицу="Общие трудозатраты",1,4)*IF(Пробивка="Стандартная пробивная",1,3.5)</f>
        <v>10.5</v>
      </c>
      <c r="AE376" s="47"/>
      <c r="AF376" s="47"/>
      <c r="AG376" s="47"/>
      <c r="AH376" s="47"/>
      <c r="AI376" s="47"/>
      <c r="AJ376" s="47"/>
      <c r="AK376" s="47"/>
      <c r="AL376" s="47"/>
      <c r="AM376" s="47"/>
      <c r="AN376" s="47"/>
      <c r="AO376" s="47"/>
      <c r="AP376" s="47"/>
      <c r="AQ376" s="47"/>
      <c r="AR376" s="47"/>
      <c r="AS376" s="47"/>
      <c r="AT376" s="47"/>
      <c r="AU376" s="47"/>
      <c r="AV376" s="47"/>
      <c r="AW376" s="47"/>
      <c r="AX376" s="47"/>
      <c r="AY376" s="47"/>
      <c r="AZ376" s="47"/>
      <c r="BA376" s="47"/>
      <c r="BB376" s="47"/>
      <c r="BC376" s="47"/>
    </row>
    <row r="377" spans="1:55" x14ac:dyDescent="0.25">
      <c r="A377" s="45" t="s">
        <v>1063</v>
      </c>
      <c r="B377" s="46">
        <f t="shared" si="7"/>
        <v>2.5999999999999996</v>
      </c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6">
        <f>46.8/IF(Общие_или_заединицу="Общие трудозатраты",1,18)</f>
        <v>2.5999999999999996</v>
      </c>
      <c r="T377" s="47"/>
      <c r="U377" s="47"/>
      <c r="V377" s="47"/>
      <c r="W377" s="47"/>
      <c r="X377" s="47"/>
      <c r="Y377" s="47"/>
      <c r="Z377" s="47"/>
      <c r="AA377" s="47"/>
      <c r="AB377" s="47"/>
      <c r="AC377" s="47"/>
      <c r="AD377" s="47"/>
      <c r="AE377" s="47"/>
      <c r="AF377" s="47"/>
      <c r="AG377" s="47"/>
      <c r="AH377" s="47"/>
      <c r="AI377" s="47"/>
      <c r="AJ377" s="47"/>
      <c r="AK377" s="47"/>
      <c r="AL377" s="47"/>
      <c r="AM377" s="47"/>
      <c r="AN377" s="47"/>
      <c r="AO377" s="47"/>
      <c r="AP377" s="47"/>
      <c r="AQ377" s="47"/>
      <c r="AR377" s="47"/>
      <c r="AS377" s="47"/>
      <c r="AT377" s="47"/>
      <c r="AU377" s="47"/>
      <c r="AV377" s="47"/>
      <c r="AW377" s="47"/>
      <c r="AX377" s="47"/>
      <c r="AY377" s="47"/>
      <c r="AZ377" s="47"/>
      <c r="BA377" s="47"/>
      <c r="BB377" s="47"/>
      <c r="BC377" s="47"/>
    </row>
    <row r="378" spans="1:55" x14ac:dyDescent="0.25">
      <c r="A378" s="45" t="s">
        <v>1064</v>
      </c>
      <c r="B378" s="46">
        <f t="shared" si="7"/>
        <v>3.5</v>
      </c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6">
        <f>14/IF(Общие_или_заединицу="Общие трудозатраты",1,4)</f>
        <v>3.5</v>
      </c>
      <c r="T378" s="47"/>
      <c r="U378" s="47"/>
      <c r="V378" s="47"/>
      <c r="W378" s="47"/>
      <c r="X378" s="47"/>
      <c r="Y378" s="47"/>
      <c r="Z378" s="47"/>
      <c r="AA378" s="47"/>
      <c r="AB378" s="47"/>
      <c r="AC378" s="47"/>
      <c r="AD378" s="47"/>
      <c r="AE378" s="47"/>
      <c r="AF378" s="47"/>
      <c r="AG378" s="47"/>
      <c r="AH378" s="47"/>
      <c r="AI378" s="47"/>
      <c r="AJ378" s="47"/>
      <c r="AK378" s="47"/>
      <c r="AL378" s="47"/>
      <c r="AM378" s="47"/>
      <c r="AN378" s="47"/>
      <c r="AO378" s="47"/>
      <c r="AP378" s="47"/>
      <c r="AQ378" s="47"/>
      <c r="AR378" s="47"/>
      <c r="AS378" s="47"/>
      <c r="AT378" s="47"/>
      <c r="AU378" s="47"/>
      <c r="AV378" s="47"/>
      <c r="AW378" s="47"/>
      <c r="AX378" s="47"/>
      <c r="AY378" s="47"/>
      <c r="AZ378" s="47"/>
      <c r="BA378" s="47"/>
      <c r="BB378" s="47"/>
      <c r="BC378" s="47"/>
    </row>
    <row r="379" spans="1:55" x14ac:dyDescent="0.25">
      <c r="A379" s="45" t="s">
        <v>1065</v>
      </c>
      <c r="B379" s="46">
        <f t="shared" si="7"/>
        <v>11</v>
      </c>
      <c r="C379" s="47"/>
      <c r="D379" s="47"/>
      <c r="E379" s="46">
        <f>44/IF(Общие_или_заединицу="Общие трудозатраты",1,11)</f>
        <v>4</v>
      </c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  <c r="AB379" s="47"/>
      <c r="AC379" s="47"/>
      <c r="AD379" s="46">
        <f>22/IF(Общие_или_заединицу="Общие трудозатраты",1,11)*IF(Пробивка="Стандартная пробивная",1,3.5)</f>
        <v>7</v>
      </c>
      <c r="AE379" s="47"/>
      <c r="AF379" s="47"/>
      <c r="AG379" s="47"/>
      <c r="AH379" s="47"/>
      <c r="AI379" s="47"/>
      <c r="AJ379" s="47"/>
      <c r="AK379" s="47"/>
      <c r="AL379" s="47"/>
      <c r="AM379" s="47"/>
      <c r="AN379" s="47"/>
      <c r="AO379" s="47"/>
      <c r="AP379" s="47"/>
      <c r="AQ379" s="47"/>
      <c r="AR379" s="47"/>
      <c r="AS379" s="47"/>
      <c r="AT379" s="47"/>
      <c r="AU379" s="47"/>
      <c r="AV379" s="47"/>
      <c r="AW379" s="47"/>
      <c r="AX379" s="47"/>
      <c r="AY379" s="47"/>
      <c r="AZ379" s="47"/>
      <c r="BA379" s="47"/>
      <c r="BB379" s="47"/>
      <c r="BC379" s="47"/>
    </row>
    <row r="380" spans="1:55" x14ac:dyDescent="0.25">
      <c r="A380" s="45" t="s">
        <v>626</v>
      </c>
      <c r="B380" s="46">
        <f t="shared" si="7"/>
        <v>26.9</v>
      </c>
      <c r="C380" s="47"/>
      <c r="D380" s="47"/>
      <c r="E380" s="46">
        <f>48/IF(Общие_или_заединицу="Общие трудозатраты",1,6)</f>
        <v>8</v>
      </c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  <c r="AC380" s="47"/>
      <c r="AD380" s="46">
        <f>32.4/IF(Общие_или_заединицу="Общие трудозатраты",1,6)*IF(Пробивка="Стандартная пробивная",1,3.5)</f>
        <v>18.899999999999999</v>
      </c>
      <c r="AE380" s="47"/>
      <c r="AF380" s="47"/>
      <c r="AG380" s="47"/>
      <c r="AH380" s="47"/>
      <c r="AI380" s="47"/>
      <c r="AJ380" s="47"/>
      <c r="AK380" s="47"/>
      <c r="AL380" s="47"/>
      <c r="AM380" s="47"/>
      <c r="AN380" s="47"/>
      <c r="AO380" s="47"/>
      <c r="AP380" s="47"/>
      <c r="AQ380" s="47"/>
      <c r="AR380" s="47"/>
      <c r="AS380" s="47"/>
      <c r="AT380" s="47"/>
      <c r="AU380" s="47"/>
      <c r="AV380" s="47"/>
      <c r="AW380" s="47"/>
      <c r="AX380" s="47"/>
      <c r="AY380" s="47"/>
      <c r="AZ380" s="47"/>
      <c r="BA380" s="47"/>
      <c r="BB380" s="47"/>
      <c r="BC380" s="47"/>
    </row>
    <row r="381" spans="1:55" x14ac:dyDescent="0.25">
      <c r="A381" s="45" t="s">
        <v>628</v>
      </c>
      <c r="B381" s="46">
        <f t="shared" si="7"/>
        <v>57</v>
      </c>
      <c r="C381" s="47"/>
      <c r="D381" s="47"/>
      <c r="E381" s="46">
        <f>192/IF(Общие_или_заединицу="Общие трудозатраты",1,24)</f>
        <v>8</v>
      </c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  <c r="AC381" s="47"/>
      <c r="AD381" s="46">
        <f>336/IF(Общие_или_заединицу="Общие трудозатраты",1,24)*IF(Пробивка="Стандартная пробивная",1,3.5)</f>
        <v>49</v>
      </c>
      <c r="AE381" s="47"/>
      <c r="AF381" s="47"/>
      <c r="AG381" s="47"/>
      <c r="AH381" s="47"/>
      <c r="AI381" s="47"/>
      <c r="AJ381" s="47"/>
      <c r="AK381" s="47"/>
      <c r="AL381" s="47"/>
      <c r="AM381" s="47"/>
      <c r="AN381" s="47"/>
      <c r="AO381" s="47"/>
      <c r="AP381" s="47"/>
      <c r="AQ381" s="47"/>
      <c r="AR381" s="47"/>
      <c r="AS381" s="47"/>
      <c r="AT381" s="47"/>
      <c r="AU381" s="47"/>
      <c r="AV381" s="47"/>
      <c r="AW381" s="47"/>
      <c r="AX381" s="47"/>
      <c r="AY381" s="47"/>
      <c r="AZ381" s="47"/>
      <c r="BA381" s="47"/>
      <c r="BB381" s="47"/>
      <c r="BC381" s="47"/>
    </row>
    <row r="382" spans="1:55" x14ac:dyDescent="0.25">
      <c r="A382" s="45" t="s">
        <v>629</v>
      </c>
      <c r="B382" s="46">
        <f t="shared" si="7"/>
        <v>58.75</v>
      </c>
      <c r="C382" s="47"/>
      <c r="D382" s="47"/>
      <c r="E382" s="46">
        <f>192/IF(Общие_или_заединицу="Общие трудозатраты",1,24)</f>
        <v>8</v>
      </c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6">
        <f>348/IF(Общие_или_заединицу="Общие трудозатраты",1,24)*IF(Пробивка="Стандартная пробивная",1,3.5)</f>
        <v>50.75</v>
      </c>
      <c r="AE382" s="47"/>
      <c r="AF382" s="47"/>
      <c r="AG382" s="47"/>
      <c r="AH382" s="47"/>
      <c r="AI382" s="47"/>
      <c r="AJ382" s="47"/>
      <c r="AK382" s="47"/>
      <c r="AL382" s="47"/>
      <c r="AM382" s="47"/>
      <c r="AN382" s="47"/>
      <c r="AO382" s="47"/>
      <c r="AP382" s="47"/>
      <c r="AQ382" s="47"/>
      <c r="AR382" s="47"/>
      <c r="AS382" s="47"/>
      <c r="AT382" s="47"/>
      <c r="AU382" s="47"/>
      <c r="AV382" s="47"/>
      <c r="AW382" s="47"/>
      <c r="AX382" s="47"/>
      <c r="AY382" s="47"/>
      <c r="AZ382" s="47"/>
      <c r="BA382" s="47"/>
      <c r="BB382" s="47"/>
      <c r="BC382" s="47"/>
    </row>
    <row r="383" spans="1:55" x14ac:dyDescent="0.25">
      <c r="A383" s="45" t="s">
        <v>1055</v>
      </c>
      <c r="B383" s="46">
        <f t="shared" si="7"/>
        <v>15</v>
      </c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6">
        <f>15/IF(Общие_или_заединицу="Общие трудозатраты",1,1)</f>
        <v>15</v>
      </c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  <c r="AC383" s="47"/>
      <c r="AD383" s="47"/>
      <c r="AE383" s="47"/>
      <c r="AF383" s="47"/>
      <c r="AG383" s="47"/>
      <c r="AH383" s="47"/>
      <c r="AI383" s="47"/>
      <c r="AJ383" s="47"/>
      <c r="AK383" s="47"/>
      <c r="AL383" s="47"/>
      <c r="AM383" s="47"/>
      <c r="AN383" s="47"/>
      <c r="AO383" s="47"/>
      <c r="AP383" s="47"/>
      <c r="AQ383" s="47"/>
      <c r="AR383" s="47"/>
      <c r="AS383" s="47"/>
      <c r="AT383" s="47"/>
      <c r="AU383" s="47"/>
      <c r="AV383" s="47"/>
      <c r="AW383" s="47"/>
      <c r="AX383" s="47"/>
      <c r="AY383" s="47"/>
      <c r="AZ383" s="47"/>
      <c r="BA383" s="47"/>
      <c r="BB383" s="47"/>
      <c r="BC383" s="47"/>
    </row>
    <row r="384" spans="1:55" x14ac:dyDescent="0.25">
      <c r="A384" s="45" t="s">
        <v>1067</v>
      </c>
      <c r="B384" s="46">
        <f t="shared" si="7"/>
        <v>6.4</v>
      </c>
      <c r="C384" s="47"/>
      <c r="D384" s="47"/>
      <c r="E384" s="46">
        <f>35/IF(Общие_или_заединицу="Общие трудозатраты",1,7)</f>
        <v>5</v>
      </c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6">
        <f>9.8/IF(Общие_или_заединицу="Общие трудозатраты",1,7)</f>
        <v>1.4000000000000001</v>
      </c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  <c r="AG384" s="47"/>
      <c r="AH384" s="47"/>
      <c r="AI384" s="47"/>
      <c r="AJ384" s="47"/>
      <c r="AK384" s="47"/>
      <c r="AL384" s="47"/>
      <c r="AM384" s="47"/>
      <c r="AN384" s="47"/>
      <c r="AO384" s="47"/>
      <c r="AP384" s="47"/>
      <c r="AQ384" s="47"/>
      <c r="AR384" s="47"/>
      <c r="AS384" s="47"/>
      <c r="AT384" s="47"/>
      <c r="AU384" s="47"/>
      <c r="AV384" s="47"/>
      <c r="AW384" s="47"/>
      <c r="AX384" s="47"/>
      <c r="AY384" s="47"/>
      <c r="AZ384" s="47"/>
      <c r="BA384" s="47"/>
      <c r="BB384" s="47"/>
      <c r="BC384" s="47"/>
    </row>
    <row r="385" spans="1:55" x14ac:dyDescent="0.25">
      <c r="A385" s="45" t="s">
        <v>1068</v>
      </c>
      <c r="B385" s="46">
        <f t="shared" si="7"/>
        <v>6.1</v>
      </c>
      <c r="C385" s="47"/>
      <c r="D385" s="47"/>
      <c r="E385" s="46">
        <f>12/IF(Общие_или_заединицу="Общие трудозатраты",1,3)</f>
        <v>4</v>
      </c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  <c r="AC385" s="47"/>
      <c r="AD385" s="46">
        <f>1.8/IF(Общие_или_заединицу="Общие трудозатраты",1,3)*IF(Пробивка="Стандартная пробивная",1,3.5)</f>
        <v>2.1</v>
      </c>
      <c r="AE385" s="47"/>
      <c r="AF385" s="47"/>
      <c r="AG385" s="47"/>
      <c r="AH385" s="47"/>
      <c r="AI385" s="47"/>
      <c r="AJ385" s="47"/>
      <c r="AK385" s="47"/>
      <c r="AL385" s="47"/>
      <c r="AM385" s="47"/>
      <c r="AN385" s="47"/>
      <c r="AO385" s="47"/>
      <c r="AP385" s="47"/>
      <c r="AQ385" s="47"/>
      <c r="AR385" s="47"/>
      <c r="AS385" s="47"/>
      <c r="AT385" s="47"/>
      <c r="AU385" s="47"/>
      <c r="AV385" s="47"/>
      <c r="AW385" s="47"/>
      <c r="AX385" s="47"/>
      <c r="AY385" s="47"/>
      <c r="AZ385" s="47"/>
      <c r="BA385" s="47"/>
      <c r="BB385" s="47"/>
      <c r="BC385" s="47"/>
    </row>
    <row r="386" spans="1:55" x14ac:dyDescent="0.25">
      <c r="A386" s="45" t="s">
        <v>1069</v>
      </c>
      <c r="B386" s="46">
        <f t="shared" si="7"/>
        <v>7.7</v>
      </c>
      <c r="C386" s="47"/>
      <c r="D386" s="47"/>
      <c r="E386" s="46">
        <f>99/IF(Общие_или_заединицу="Общие трудозатраты",1,33)</f>
        <v>3</v>
      </c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6">
        <f>155.1/IF(Общие_или_заединицу="Общие трудозатраты",1,33)</f>
        <v>4.7</v>
      </c>
      <c r="T386" s="47"/>
      <c r="U386" s="47"/>
      <c r="V386" s="47"/>
      <c r="W386" s="47"/>
      <c r="X386" s="47"/>
      <c r="Y386" s="47"/>
      <c r="Z386" s="47"/>
      <c r="AA386" s="47"/>
      <c r="AB386" s="47"/>
      <c r="AC386" s="47"/>
      <c r="AD386" s="47"/>
      <c r="AE386" s="47"/>
      <c r="AF386" s="47"/>
      <c r="AG386" s="47"/>
      <c r="AH386" s="47"/>
      <c r="AI386" s="47"/>
      <c r="AJ386" s="47"/>
      <c r="AK386" s="47"/>
      <c r="AL386" s="47"/>
      <c r="AM386" s="47"/>
      <c r="AN386" s="47"/>
      <c r="AO386" s="47"/>
      <c r="AP386" s="47"/>
      <c r="AQ386" s="47"/>
      <c r="AR386" s="47"/>
      <c r="AS386" s="47"/>
      <c r="AT386" s="47"/>
      <c r="AU386" s="47"/>
      <c r="AV386" s="47"/>
      <c r="AW386" s="47"/>
      <c r="AX386" s="47"/>
      <c r="AY386" s="47"/>
      <c r="AZ386" s="47"/>
      <c r="BA386" s="47"/>
      <c r="BB386" s="47"/>
      <c r="BC386" s="47"/>
    </row>
    <row r="387" spans="1:55" x14ac:dyDescent="0.25">
      <c r="A387" s="45" t="s">
        <v>1070</v>
      </c>
      <c r="B387" s="46">
        <f t="shared" si="7"/>
        <v>9.6000000000000014</v>
      </c>
      <c r="C387" s="47"/>
      <c r="D387" s="47"/>
      <c r="E387" s="46">
        <f>20/IF(Общие_или_заединицу="Общие трудозатраты",1,5)</f>
        <v>4</v>
      </c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  <c r="AC387" s="47"/>
      <c r="AD387" s="46">
        <f>8/IF(Общие_или_заединицу="Общие трудозатраты",1,5)*IF(Пробивка="Стандартная пробивная",1,3.5)</f>
        <v>5.6000000000000005</v>
      </c>
      <c r="AE387" s="47"/>
      <c r="AF387" s="47"/>
      <c r="AG387" s="47"/>
      <c r="AH387" s="47"/>
      <c r="AI387" s="47"/>
      <c r="AJ387" s="47"/>
      <c r="AK387" s="47"/>
      <c r="AL387" s="47"/>
      <c r="AM387" s="47"/>
      <c r="AN387" s="47"/>
      <c r="AO387" s="47"/>
      <c r="AP387" s="47"/>
      <c r="AQ387" s="47"/>
      <c r="AR387" s="47"/>
      <c r="AS387" s="47"/>
      <c r="AT387" s="47"/>
      <c r="AU387" s="47"/>
      <c r="AV387" s="47"/>
      <c r="AW387" s="47"/>
      <c r="AX387" s="47"/>
      <c r="AY387" s="47"/>
      <c r="AZ387" s="47"/>
      <c r="BA387" s="47"/>
      <c r="BB387" s="47"/>
      <c r="BC387" s="47"/>
    </row>
    <row r="388" spans="1:55" x14ac:dyDescent="0.25">
      <c r="A388" s="45" t="s">
        <v>1071</v>
      </c>
      <c r="B388" s="46">
        <f t="shared" ref="B388:B451" si="8">SUM(C388:BC388)</f>
        <v>9.6000000000000014</v>
      </c>
      <c r="C388" s="47"/>
      <c r="D388" s="47"/>
      <c r="E388" s="46">
        <f>4/IF(Общие_или_заединицу="Общие трудозатраты",1,1)</f>
        <v>4</v>
      </c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  <c r="AC388" s="47"/>
      <c r="AD388" s="46">
        <f>1.6/IF(Общие_или_заединицу="Общие трудозатраты",1,1)*IF(Пробивка="Стандартная пробивная",1,3.5)</f>
        <v>5.6000000000000005</v>
      </c>
      <c r="AE388" s="47"/>
      <c r="AF388" s="47"/>
      <c r="AG388" s="47"/>
      <c r="AH388" s="47"/>
      <c r="AI388" s="47"/>
      <c r="AJ388" s="47"/>
      <c r="AK388" s="47"/>
      <c r="AL388" s="47"/>
      <c r="AM388" s="47"/>
      <c r="AN388" s="47"/>
      <c r="AO388" s="47"/>
      <c r="AP388" s="47"/>
      <c r="AQ388" s="47"/>
      <c r="AR388" s="47"/>
      <c r="AS388" s="47"/>
      <c r="AT388" s="47"/>
      <c r="AU388" s="47"/>
      <c r="AV388" s="47"/>
      <c r="AW388" s="47"/>
      <c r="AX388" s="47"/>
      <c r="AY388" s="47"/>
      <c r="AZ388" s="47"/>
      <c r="BA388" s="47"/>
      <c r="BB388" s="47"/>
      <c r="BC388" s="47"/>
    </row>
    <row r="389" spans="1:55" x14ac:dyDescent="0.25">
      <c r="A389" s="45" t="s">
        <v>1072</v>
      </c>
      <c r="B389" s="46">
        <f t="shared" si="8"/>
        <v>9.6000000000000014</v>
      </c>
      <c r="C389" s="47"/>
      <c r="D389" s="47"/>
      <c r="E389" s="46">
        <f>4/IF(Общие_или_заединицу="Общие трудозатраты",1,1)</f>
        <v>4</v>
      </c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6">
        <f>1.6/IF(Общие_или_заединицу="Общие трудозатраты",1,1)*IF(Пробивка="Стандартная пробивная",1,3.5)</f>
        <v>5.6000000000000005</v>
      </c>
      <c r="AE389" s="47"/>
      <c r="AF389" s="47"/>
      <c r="AG389" s="47"/>
      <c r="AH389" s="47"/>
      <c r="AI389" s="47"/>
      <c r="AJ389" s="47"/>
      <c r="AK389" s="47"/>
      <c r="AL389" s="47"/>
      <c r="AM389" s="47"/>
      <c r="AN389" s="47"/>
      <c r="AO389" s="47"/>
      <c r="AP389" s="47"/>
      <c r="AQ389" s="47"/>
      <c r="AR389" s="47"/>
      <c r="AS389" s="47"/>
      <c r="AT389" s="47"/>
      <c r="AU389" s="47"/>
      <c r="AV389" s="47"/>
      <c r="AW389" s="47"/>
      <c r="AX389" s="47"/>
      <c r="AY389" s="47"/>
      <c r="AZ389" s="47"/>
      <c r="BA389" s="47"/>
      <c r="BB389" s="47"/>
      <c r="BC389" s="47"/>
    </row>
    <row r="390" spans="1:55" x14ac:dyDescent="0.25">
      <c r="A390" s="45" t="s">
        <v>1073</v>
      </c>
      <c r="B390" s="46">
        <f t="shared" si="8"/>
        <v>11.6</v>
      </c>
      <c r="C390" s="47"/>
      <c r="D390" s="47"/>
      <c r="E390" s="46">
        <f>108.9/IF(Общие_или_заединицу="Общие трудозатраты",1,99)</f>
        <v>1.1000000000000001</v>
      </c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  <c r="AC390" s="47"/>
      <c r="AD390" s="46">
        <f>297/IF(Общие_или_заединицу="Общие трудозатраты",1,99)*IF(Пробивка="Стандартная пробивная",1,3.5)</f>
        <v>10.5</v>
      </c>
      <c r="AE390" s="47"/>
      <c r="AF390" s="47"/>
      <c r="AG390" s="47"/>
      <c r="AH390" s="47"/>
      <c r="AI390" s="47"/>
      <c r="AJ390" s="47"/>
      <c r="AK390" s="47"/>
      <c r="AL390" s="47"/>
      <c r="AM390" s="47"/>
      <c r="AN390" s="47"/>
      <c r="AO390" s="47"/>
      <c r="AP390" s="47"/>
      <c r="AQ390" s="47"/>
      <c r="AR390" s="47"/>
      <c r="AS390" s="47"/>
      <c r="AT390" s="47"/>
      <c r="AU390" s="47"/>
      <c r="AV390" s="47"/>
      <c r="AW390" s="47"/>
      <c r="AX390" s="47"/>
      <c r="AY390" s="47"/>
      <c r="AZ390" s="47"/>
      <c r="BA390" s="47"/>
      <c r="BB390" s="47"/>
      <c r="BC390" s="47"/>
    </row>
    <row r="391" spans="1:55" x14ac:dyDescent="0.25">
      <c r="A391" s="45" t="s">
        <v>1074</v>
      </c>
      <c r="B391" s="46">
        <f t="shared" si="8"/>
        <v>77.87</v>
      </c>
      <c r="C391" s="47"/>
      <c r="D391" s="47"/>
      <c r="E391" s="46">
        <f>36/IF(Общие_или_заединицу="Общие трудозатраты",1,3)</f>
        <v>12</v>
      </c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  <c r="AC391" s="47"/>
      <c r="AD391" s="46">
        <f>56.46/IF(Общие_или_заединицу="Общие трудозатраты",1,3)*IF(Пробивка="Стандартная пробивная",1,3.5)</f>
        <v>65.87</v>
      </c>
      <c r="AE391" s="47"/>
      <c r="AF391" s="47"/>
      <c r="AG391" s="47"/>
      <c r="AH391" s="47"/>
      <c r="AI391" s="47"/>
      <c r="AJ391" s="47"/>
      <c r="AK391" s="47"/>
      <c r="AL391" s="47"/>
      <c r="AM391" s="47"/>
      <c r="AN391" s="47"/>
      <c r="AO391" s="47"/>
      <c r="AP391" s="47"/>
      <c r="AQ391" s="47"/>
      <c r="AR391" s="47"/>
      <c r="AS391" s="47"/>
      <c r="AT391" s="47"/>
      <c r="AU391" s="47"/>
      <c r="AV391" s="47"/>
      <c r="AW391" s="47"/>
      <c r="AX391" s="47"/>
      <c r="AY391" s="47"/>
      <c r="AZ391" s="47"/>
      <c r="BA391" s="47"/>
      <c r="BB391" s="47"/>
      <c r="BC391" s="47"/>
    </row>
    <row r="392" spans="1:55" x14ac:dyDescent="0.25">
      <c r="A392" s="45" t="s">
        <v>1075</v>
      </c>
      <c r="B392" s="48">
        <f t="shared" si="8"/>
        <v>8.75</v>
      </c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  <c r="AC392" s="47"/>
      <c r="AD392" s="48">
        <f>1845/IF(Общие_или_заединицу="Общие трудозатраты",1,738)*IF(Пробивка="Стандартная пробивная",1,3.5)</f>
        <v>8.75</v>
      </c>
      <c r="AE392" s="47"/>
      <c r="AF392" s="47"/>
      <c r="AG392" s="47"/>
      <c r="AH392" s="47"/>
      <c r="AI392" s="47"/>
      <c r="AJ392" s="47"/>
      <c r="AK392" s="47"/>
      <c r="AL392" s="47"/>
      <c r="AM392" s="47"/>
      <c r="AN392" s="47"/>
      <c r="AO392" s="47"/>
      <c r="AP392" s="47"/>
      <c r="AQ392" s="47"/>
      <c r="AR392" s="47"/>
      <c r="AS392" s="47"/>
      <c r="AT392" s="47"/>
      <c r="AU392" s="47"/>
      <c r="AV392" s="47"/>
      <c r="AW392" s="47"/>
      <c r="AX392" s="47"/>
      <c r="AY392" s="47"/>
      <c r="AZ392" s="47"/>
      <c r="BA392" s="47"/>
      <c r="BB392" s="47"/>
      <c r="BC392" s="47"/>
    </row>
    <row r="393" spans="1:55" x14ac:dyDescent="0.25">
      <c r="A393" s="45" t="s">
        <v>1076</v>
      </c>
      <c r="B393" s="46">
        <f t="shared" si="8"/>
        <v>7.4499999999999993</v>
      </c>
      <c r="C393" s="47"/>
      <c r="D393" s="47"/>
      <c r="E393" s="46">
        <f>10/IF(Общие_или_заединицу="Общие трудозатраты",1,2)</f>
        <v>5</v>
      </c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  <c r="AC393" s="47"/>
      <c r="AD393" s="46">
        <f>1.4/IF(Общие_или_заединицу="Общие трудозатраты",1,2)*IF(Пробивка="Стандартная пробивная",1,3.5)</f>
        <v>2.4499999999999997</v>
      </c>
      <c r="AE393" s="47"/>
      <c r="AF393" s="47"/>
      <c r="AG393" s="47"/>
      <c r="AH393" s="47"/>
      <c r="AI393" s="47"/>
      <c r="AJ393" s="47"/>
      <c r="AK393" s="47"/>
      <c r="AL393" s="47"/>
      <c r="AM393" s="47"/>
      <c r="AN393" s="47"/>
      <c r="AO393" s="47"/>
      <c r="AP393" s="47"/>
      <c r="AQ393" s="47"/>
      <c r="AR393" s="47"/>
      <c r="AS393" s="47"/>
      <c r="AT393" s="47"/>
      <c r="AU393" s="47"/>
      <c r="AV393" s="47"/>
      <c r="AW393" s="47"/>
      <c r="AX393" s="47"/>
      <c r="AY393" s="47"/>
      <c r="AZ393" s="47"/>
      <c r="BA393" s="47"/>
      <c r="BB393" s="47"/>
      <c r="BC393" s="47"/>
    </row>
    <row r="394" spans="1:55" x14ac:dyDescent="0.25">
      <c r="A394" s="45" t="s">
        <v>1078</v>
      </c>
      <c r="B394" s="46">
        <f t="shared" si="8"/>
        <v>420</v>
      </c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6">
        <f>60/IF(Общие_или_заединицу="Общие трудозатраты",1,1)</f>
        <v>60</v>
      </c>
      <c r="Q394" s="46">
        <f>360/IF(Общие_или_заединицу="Общие трудозатраты",1,1)</f>
        <v>360</v>
      </c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  <c r="AC394" s="47"/>
      <c r="AD394" s="47"/>
      <c r="AE394" s="47"/>
      <c r="AF394" s="47"/>
      <c r="AG394" s="47"/>
      <c r="AH394" s="47"/>
      <c r="AI394" s="47"/>
      <c r="AJ394" s="47"/>
      <c r="AK394" s="47"/>
      <c r="AL394" s="47"/>
      <c r="AM394" s="47"/>
      <c r="AN394" s="47"/>
      <c r="AO394" s="47"/>
      <c r="AP394" s="47"/>
      <c r="AQ394" s="47"/>
      <c r="AR394" s="47"/>
      <c r="AS394" s="47"/>
      <c r="AT394" s="47"/>
      <c r="AU394" s="47"/>
      <c r="AV394" s="47"/>
      <c r="AW394" s="47"/>
      <c r="AX394" s="47"/>
      <c r="AY394" s="47"/>
      <c r="AZ394" s="47"/>
      <c r="BA394" s="47"/>
      <c r="BB394" s="47"/>
      <c r="BC394" s="47"/>
    </row>
    <row r="395" spans="1:55" x14ac:dyDescent="0.25">
      <c r="A395" s="45" t="s">
        <v>1087</v>
      </c>
      <c r="B395" s="46">
        <f t="shared" si="8"/>
        <v>19.5</v>
      </c>
      <c r="C395" s="47"/>
      <c r="D395" s="47"/>
      <c r="E395" s="46">
        <f>24/IF(Общие_или_заединицу="Общие трудозатраты",1,2)</f>
        <v>12</v>
      </c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6">
        <f>7/IF(Общие_или_заединицу="Общие трудозатраты",1,2)</f>
        <v>3.5</v>
      </c>
      <c r="X395" s="47"/>
      <c r="Y395" s="47"/>
      <c r="Z395" s="47"/>
      <c r="AA395" s="46">
        <f>8/IF(Общие_или_заединицу="Общие трудозатраты",1,2)</f>
        <v>4</v>
      </c>
      <c r="AB395" s="47"/>
      <c r="AC395" s="47"/>
      <c r="AD395" s="47"/>
      <c r="AE395" s="47"/>
      <c r="AF395" s="47"/>
      <c r="AG395" s="47"/>
      <c r="AH395" s="47"/>
      <c r="AI395" s="47"/>
      <c r="AJ395" s="47"/>
      <c r="AK395" s="47"/>
      <c r="AL395" s="47"/>
      <c r="AM395" s="47"/>
      <c r="AN395" s="47"/>
      <c r="AO395" s="47"/>
      <c r="AP395" s="47"/>
      <c r="AQ395" s="47"/>
      <c r="AR395" s="47"/>
      <c r="AS395" s="47"/>
      <c r="AT395" s="47"/>
      <c r="AU395" s="47"/>
      <c r="AV395" s="47"/>
      <c r="AW395" s="47"/>
      <c r="AX395" s="47"/>
      <c r="AY395" s="47"/>
      <c r="AZ395" s="47"/>
      <c r="BA395" s="47"/>
      <c r="BB395" s="47"/>
      <c r="BC395" s="47"/>
    </row>
    <row r="396" spans="1:55" x14ac:dyDescent="0.25">
      <c r="A396" s="45" t="s">
        <v>1088</v>
      </c>
      <c r="B396" s="46">
        <f t="shared" si="8"/>
        <v>17.5</v>
      </c>
      <c r="C396" s="47"/>
      <c r="D396" s="47"/>
      <c r="E396" s="46">
        <f>132/IF(Общие_или_заединицу="Общие трудозатраты",1,11)</f>
        <v>12</v>
      </c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6">
        <f>60.5/IF(Общие_или_заединицу="Общие трудозатраты",1,11)</f>
        <v>5.5</v>
      </c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/>
      <c r="AL396" s="47"/>
      <c r="AM396" s="47"/>
      <c r="AN396" s="47"/>
      <c r="AO396" s="47"/>
      <c r="AP396" s="47"/>
      <c r="AQ396" s="47"/>
      <c r="AR396" s="47"/>
      <c r="AS396" s="47"/>
      <c r="AT396" s="47"/>
      <c r="AU396" s="47"/>
      <c r="AV396" s="47"/>
      <c r="AW396" s="47"/>
      <c r="AX396" s="47"/>
      <c r="AY396" s="47"/>
      <c r="AZ396" s="47"/>
      <c r="BA396" s="47"/>
      <c r="BB396" s="47"/>
      <c r="BC396" s="47"/>
    </row>
    <row r="397" spans="1:55" x14ac:dyDescent="0.25">
      <c r="A397" s="45" t="s">
        <v>1089</v>
      </c>
      <c r="B397" s="46">
        <f t="shared" si="8"/>
        <v>11.25</v>
      </c>
      <c r="C397" s="47"/>
      <c r="D397" s="47"/>
      <c r="E397" s="46">
        <f>6/IF(Общие_или_заединицу="Общие трудозатраты",1,1)</f>
        <v>6</v>
      </c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6">
        <f>1.5/IF(Общие_или_заединицу="Общие трудозатраты",1,1)*IF(Пробивка="Стандартная пробивная",1,3.5)</f>
        <v>5.25</v>
      </c>
      <c r="AE397" s="47"/>
      <c r="AF397" s="47"/>
      <c r="AG397" s="47"/>
      <c r="AH397" s="47"/>
      <c r="AI397" s="47"/>
      <c r="AJ397" s="47"/>
      <c r="AK397" s="47"/>
      <c r="AL397" s="47"/>
      <c r="AM397" s="47"/>
      <c r="AN397" s="47"/>
      <c r="AO397" s="47"/>
      <c r="AP397" s="47"/>
      <c r="AQ397" s="47"/>
      <c r="AR397" s="47"/>
      <c r="AS397" s="47"/>
      <c r="AT397" s="47"/>
      <c r="AU397" s="47"/>
      <c r="AV397" s="47"/>
      <c r="AW397" s="47"/>
      <c r="AX397" s="47"/>
      <c r="AY397" s="47"/>
      <c r="AZ397" s="47"/>
      <c r="BA397" s="47"/>
      <c r="BB397" s="47"/>
      <c r="BC397" s="47"/>
    </row>
    <row r="398" spans="1:55" x14ac:dyDescent="0.25">
      <c r="A398" s="45" t="s">
        <v>1090</v>
      </c>
      <c r="B398" s="46">
        <f t="shared" si="8"/>
        <v>64</v>
      </c>
      <c r="C398" s="47"/>
      <c r="D398" s="47"/>
      <c r="E398" s="46">
        <f>8/IF(Общие_или_заединицу="Общие трудозатраты",1,1)</f>
        <v>8</v>
      </c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  <c r="AC398" s="47"/>
      <c r="AD398" s="46">
        <f>16/IF(Общие_или_заединицу="Общие трудозатраты",1,1)*IF(Пробивка="Стандартная пробивная",1,3.5)</f>
        <v>56</v>
      </c>
      <c r="AE398" s="47"/>
      <c r="AF398" s="47"/>
      <c r="AG398" s="47"/>
      <c r="AH398" s="47"/>
      <c r="AI398" s="47"/>
      <c r="AJ398" s="47"/>
      <c r="AK398" s="47"/>
      <c r="AL398" s="47"/>
      <c r="AM398" s="47"/>
      <c r="AN398" s="47"/>
      <c r="AO398" s="47"/>
      <c r="AP398" s="47"/>
      <c r="AQ398" s="47"/>
      <c r="AR398" s="47"/>
      <c r="AS398" s="47"/>
      <c r="AT398" s="47"/>
      <c r="AU398" s="47"/>
      <c r="AV398" s="47"/>
      <c r="AW398" s="47"/>
      <c r="AX398" s="47"/>
      <c r="AY398" s="47"/>
      <c r="AZ398" s="47"/>
      <c r="BA398" s="47"/>
      <c r="BB398" s="47"/>
      <c r="BC398" s="47"/>
    </row>
    <row r="399" spans="1:55" x14ac:dyDescent="0.25">
      <c r="A399" s="45" t="s">
        <v>1091</v>
      </c>
      <c r="B399" s="46">
        <f t="shared" si="8"/>
        <v>8.3000000000000007</v>
      </c>
      <c r="C399" s="47"/>
      <c r="D399" s="47"/>
      <c r="E399" s="46">
        <f>6/IF(Общие_или_заединицу="Общие трудозатраты",1,1)</f>
        <v>6</v>
      </c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6">
        <f>2.3/IF(Общие_или_заединицу="Общие трудозатраты",1,1)</f>
        <v>2.2999999999999998</v>
      </c>
      <c r="T399" s="47"/>
      <c r="U399" s="47"/>
      <c r="V399" s="47"/>
      <c r="W399" s="47"/>
      <c r="X399" s="47"/>
      <c r="Y399" s="47"/>
      <c r="Z399" s="47"/>
      <c r="AA399" s="47"/>
      <c r="AB399" s="47"/>
      <c r="AC399" s="47"/>
      <c r="AD399" s="47"/>
      <c r="AE399" s="47"/>
      <c r="AF399" s="47"/>
      <c r="AG399" s="47"/>
      <c r="AH399" s="47"/>
      <c r="AI399" s="47"/>
      <c r="AJ399" s="47"/>
      <c r="AK399" s="47"/>
      <c r="AL399" s="47"/>
      <c r="AM399" s="47"/>
      <c r="AN399" s="47"/>
      <c r="AO399" s="47"/>
      <c r="AP399" s="47"/>
      <c r="AQ399" s="47"/>
      <c r="AR399" s="47"/>
      <c r="AS399" s="47"/>
      <c r="AT399" s="47"/>
      <c r="AU399" s="47"/>
      <c r="AV399" s="47"/>
      <c r="AW399" s="47"/>
      <c r="AX399" s="47"/>
      <c r="AY399" s="47"/>
      <c r="AZ399" s="47"/>
      <c r="BA399" s="47"/>
      <c r="BB399" s="47"/>
      <c r="BC399" s="47"/>
    </row>
    <row r="400" spans="1:55" x14ac:dyDescent="0.25">
      <c r="A400" s="45" t="s">
        <v>1077</v>
      </c>
      <c r="B400" s="46">
        <f t="shared" si="8"/>
        <v>4</v>
      </c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  <c r="AC400" s="47"/>
      <c r="AD400" s="47"/>
      <c r="AE400" s="47"/>
      <c r="AF400" s="47"/>
      <c r="AG400" s="47"/>
      <c r="AH400" s="46">
        <f>4/IF(Общие_или_заединицу="Общие трудозатраты",1,1)</f>
        <v>4</v>
      </c>
      <c r="AI400" s="47"/>
      <c r="AJ400" s="47"/>
      <c r="AK400" s="47"/>
      <c r="AL400" s="47"/>
      <c r="AM400" s="47"/>
      <c r="AN400" s="47"/>
      <c r="AO400" s="47"/>
      <c r="AP400" s="47"/>
      <c r="AQ400" s="47"/>
      <c r="AR400" s="47"/>
      <c r="AS400" s="47"/>
      <c r="AT400" s="47"/>
      <c r="AU400" s="47"/>
      <c r="AV400" s="47"/>
      <c r="AW400" s="47"/>
      <c r="AX400" s="47"/>
      <c r="AY400" s="47"/>
      <c r="AZ400" s="47"/>
      <c r="BA400" s="47"/>
      <c r="BB400" s="47"/>
      <c r="BC400" s="47"/>
    </row>
    <row r="401" spans="1:55" x14ac:dyDescent="0.25">
      <c r="A401" s="45" t="s">
        <v>1079</v>
      </c>
      <c r="B401" s="46">
        <f t="shared" si="8"/>
        <v>4</v>
      </c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6">
        <f>4/IF(Общие_или_заединицу="Общие трудозатраты",1,1)</f>
        <v>4</v>
      </c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  <c r="BA401" s="47"/>
      <c r="BB401" s="47"/>
      <c r="BC401" s="47"/>
    </row>
    <row r="402" spans="1:55" x14ac:dyDescent="0.25">
      <c r="A402" s="45" t="s">
        <v>1104</v>
      </c>
      <c r="B402" s="46">
        <f t="shared" si="8"/>
        <v>29</v>
      </c>
      <c r="C402" s="47"/>
      <c r="D402" s="47"/>
      <c r="E402" s="46">
        <f>16/IF(Общие_или_заединицу="Общие трудозатраты",1,1)</f>
        <v>16</v>
      </c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6">
        <f>7/IF(Общие_или_заединицу="Общие трудозатраты",1,1)</f>
        <v>7</v>
      </c>
      <c r="X402" s="47"/>
      <c r="Y402" s="47"/>
      <c r="Z402" s="47"/>
      <c r="AA402" s="46">
        <f>6/IF(Общие_или_заединицу="Общие трудозатраты",1,1)</f>
        <v>6</v>
      </c>
      <c r="AB402" s="47"/>
      <c r="AC402" s="47"/>
      <c r="AD402" s="47"/>
      <c r="AE402" s="47"/>
      <c r="AF402" s="47"/>
      <c r="AG402" s="47"/>
      <c r="AH402" s="47"/>
      <c r="AI402" s="47"/>
      <c r="AJ402" s="47"/>
      <c r="AK402" s="47"/>
      <c r="AL402" s="47"/>
      <c r="AM402" s="47"/>
      <c r="AN402" s="47"/>
      <c r="AO402" s="47"/>
      <c r="AP402" s="47"/>
      <c r="AQ402" s="47"/>
      <c r="AR402" s="47"/>
      <c r="AS402" s="47"/>
      <c r="AT402" s="47"/>
      <c r="AU402" s="47"/>
      <c r="AV402" s="47"/>
      <c r="AW402" s="47"/>
      <c r="AX402" s="47"/>
      <c r="AY402" s="47"/>
      <c r="AZ402" s="47"/>
      <c r="BA402" s="47"/>
      <c r="BB402" s="47"/>
      <c r="BC402" s="47"/>
    </row>
    <row r="403" spans="1:55" x14ac:dyDescent="0.25">
      <c r="A403" s="45" t="s">
        <v>1106</v>
      </c>
      <c r="B403" s="46">
        <f t="shared" si="8"/>
        <v>29</v>
      </c>
      <c r="C403" s="47"/>
      <c r="D403" s="47"/>
      <c r="E403" s="46">
        <f>16/IF(Общие_или_заединицу="Общие трудозатраты",1,1)</f>
        <v>16</v>
      </c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6">
        <f>7/IF(Общие_или_заединицу="Общие трудозатраты",1,1)</f>
        <v>7</v>
      </c>
      <c r="X403" s="47"/>
      <c r="Y403" s="47"/>
      <c r="Z403" s="47"/>
      <c r="AA403" s="46">
        <f>6/IF(Общие_или_заединицу="Общие трудозатраты",1,1)</f>
        <v>6</v>
      </c>
      <c r="AB403" s="47"/>
      <c r="AC403" s="47"/>
      <c r="AD403" s="47"/>
      <c r="AE403" s="47"/>
      <c r="AF403" s="47"/>
      <c r="AG403" s="47"/>
      <c r="AH403" s="47"/>
      <c r="AI403" s="47"/>
      <c r="AJ403" s="47"/>
      <c r="AK403" s="47"/>
      <c r="AL403" s="47"/>
      <c r="AM403" s="47"/>
      <c r="AN403" s="47"/>
      <c r="AO403" s="47"/>
      <c r="AP403" s="47"/>
      <c r="AQ403" s="47"/>
      <c r="AR403" s="47"/>
      <c r="AS403" s="47"/>
      <c r="AT403" s="47"/>
      <c r="AU403" s="47"/>
      <c r="AV403" s="47"/>
      <c r="AW403" s="47"/>
      <c r="AX403" s="47"/>
      <c r="AY403" s="47"/>
      <c r="AZ403" s="47"/>
      <c r="BA403" s="47"/>
      <c r="BB403" s="47"/>
      <c r="BC403" s="47"/>
    </row>
    <row r="404" spans="1:55" x14ac:dyDescent="0.25">
      <c r="A404" s="45" t="s">
        <v>1092</v>
      </c>
      <c r="B404" s="46">
        <f t="shared" si="8"/>
        <v>11.15</v>
      </c>
      <c r="C404" s="47"/>
      <c r="D404" s="47"/>
      <c r="E404" s="46">
        <f>8/IF(Общие_или_заединицу="Общие трудозатраты",1,1)</f>
        <v>8</v>
      </c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  <c r="AC404" s="47"/>
      <c r="AD404" s="46">
        <f>0.9/IF(Общие_или_заединицу="Общие трудозатраты",1,1)*IF(Пробивка="Стандартная пробивная",1,3.5)</f>
        <v>3.15</v>
      </c>
      <c r="AE404" s="47"/>
      <c r="AF404" s="47"/>
      <c r="AG404" s="47"/>
      <c r="AH404" s="47"/>
      <c r="AI404" s="47"/>
      <c r="AJ404" s="47"/>
      <c r="AK404" s="47"/>
      <c r="AL404" s="47"/>
      <c r="AM404" s="47"/>
      <c r="AN404" s="47"/>
      <c r="AO404" s="47"/>
      <c r="AP404" s="47"/>
      <c r="AQ404" s="47"/>
      <c r="AR404" s="47"/>
      <c r="AS404" s="47"/>
      <c r="AT404" s="47"/>
      <c r="AU404" s="47"/>
      <c r="AV404" s="47"/>
      <c r="AW404" s="47"/>
      <c r="AX404" s="47"/>
      <c r="AY404" s="47"/>
      <c r="AZ404" s="47"/>
      <c r="BA404" s="47"/>
      <c r="BB404" s="47"/>
      <c r="BC404" s="47"/>
    </row>
    <row r="405" spans="1:55" x14ac:dyDescent="0.25">
      <c r="A405" s="45" t="s">
        <v>1105</v>
      </c>
      <c r="B405" s="46">
        <f t="shared" si="8"/>
        <v>10</v>
      </c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  <c r="AG405" s="47"/>
      <c r="AH405" s="47"/>
      <c r="AI405" s="47"/>
      <c r="AJ405" s="47"/>
      <c r="AK405" s="47"/>
      <c r="AL405" s="47"/>
      <c r="AM405" s="47"/>
      <c r="AN405" s="47"/>
      <c r="AO405" s="47"/>
      <c r="AP405" s="47"/>
      <c r="AQ405" s="47"/>
      <c r="AR405" s="47"/>
      <c r="AS405" s="47"/>
      <c r="AT405" s="47"/>
      <c r="AU405" s="47"/>
      <c r="AV405" s="47"/>
      <c r="AW405" s="47"/>
      <c r="AX405" s="47"/>
      <c r="AY405" s="47"/>
      <c r="AZ405" s="47"/>
      <c r="BA405" s="46">
        <f>20/IF(Общие_или_заединицу="Общие трудозатраты",1,2)</f>
        <v>10</v>
      </c>
      <c r="BB405" s="47"/>
      <c r="BC405" s="47"/>
    </row>
    <row r="406" spans="1:55" x14ac:dyDescent="0.25">
      <c r="A406" s="45" t="s">
        <v>1093</v>
      </c>
      <c r="B406" s="46">
        <f t="shared" si="8"/>
        <v>60.5</v>
      </c>
      <c r="C406" s="47"/>
      <c r="D406" s="47"/>
      <c r="E406" s="46">
        <f>8/IF(Общие_или_заединицу="Общие трудозатраты",1,1)</f>
        <v>8</v>
      </c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  <c r="AC406" s="47"/>
      <c r="AD406" s="46">
        <f>15/IF(Общие_или_заединицу="Общие трудозатраты",1,1)*IF(Пробивка="Стандартная пробивная",1,3.5)</f>
        <v>52.5</v>
      </c>
      <c r="AE406" s="47"/>
      <c r="AF406" s="47"/>
      <c r="AG406" s="47"/>
      <c r="AH406" s="47"/>
      <c r="AI406" s="47"/>
      <c r="AJ406" s="47"/>
      <c r="AK406" s="47"/>
      <c r="AL406" s="47"/>
      <c r="AM406" s="47"/>
      <c r="AN406" s="47"/>
      <c r="AO406" s="47"/>
      <c r="AP406" s="47"/>
      <c r="AQ406" s="47"/>
      <c r="AR406" s="47"/>
      <c r="AS406" s="47"/>
      <c r="AT406" s="47"/>
      <c r="AU406" s="47"/>
      <c r="AV406" s="47"/>
      <c r="AW406" s="47"/>
      <c r="AX406" s="47"/>
      <c r="AY406" s="47"/>
      <c r="AZ406" s="47"/>
      <c r="BA406" s="47"/>
      <c r="BB406" s="47"/>
      <c r="BC406" s="47"/>
    </row>
    <row r="407" spans="1:55" x14ac:dyDescent="0.25">
      <c r="A407" s="45" t="s">
        <v>1094</v>
      </c>
      <c r="B407" s="46">
        <f t="shared" si="8"/>
        <v>1.75</v>
      </c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  <c r="AC407" s="47"/>
      <c r="AD407" s="46">
        <f>2/IF(Общие_или_заединицу="Общие трудозатраты",1,4)*IF(Пробивка="Стандартная пробивная",1,3.5)</f>
        <v>1.75</v>
      </c>
      <c r="AE407" s="47"/>
      <c r="AF407" s="47"/>
      <c r="AG407" s="47"/>
      <c r="AH407" s="47"/>
      <c r="AI407" s="47"/>
      <c r="AJ407" s="47"/>
      <c r="AK407" s="47"/>
      <c r="AL407" s="47"/>
      <c r="AM407" s="47"/>
      <c r="AN407" s="47"/>
      <c r="AO407" s="47"/>
      <c r="AP407" s="47"/>
      <c r="AQ407" s="47"/>
      <c r="AR407" s="47"/>
      <c r="AS407" s="47"/>
      <c r="AT407" s="47"/>
      <c r="AU407" s="47"/>
      <c r="AV407" s="47"/>
      <c r="AW407" s="47"/>
      <c r="AX407" s="47"/>
      <c r="AY407" s="47"/>
      <c r="AZ407" s="47"/>
      <c r="BA407" s="47"/>
      <c r="BB407" s="47"/>
      <c r="BC407" s="47"/>
    </row>
    <row r="408" spans="1:55" x14ac:dyDescent="0.25">
      <c r="A408" s="45" t="s">
        <v>1095</v>
      </c>
      <c r="B408" s="46">
        <f t="shared" si="8"/>
        <v>9.3000000000000007</v>
      </c>
      <c r="C408" s="47"/>
      <c r="D408" s="47"/>
      <c r="E408" s="46">
        <f>12/IF(Общие_или_заединицу="Общие трудозатраты",1,2)</f>
        <v>6</v>
      </c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6">
        <f>2.6/IF(Общие_или_заединицу="Общие трудозатраты",1,2)</f>
        <v>1.3</v>
      </c>
      <c r="T408" s="47"/>
      <c r="U408" s="47"/>
      <c r="V408" s="47"/>
      <c r="W408" s="46">
        <f>4/IF(Общие_или_заединицу="Общие трудозатраты",1,2)</f>
        <v>2</v>
      </c>
      <c r="X408" s="47"/>
      <c r="Y408" s="47"/>
      <c r="Z408" s="47"/>
      <c r="AA408" s="47"/>
      <c r="AB408" s="47"/>
      <c r="AC408" s="47"/>
      <c r="AD408" s="47"/>
      <c r="AE408" s="47"/>
      <c r="AF408" s="47"/>
      <c r="AG408" s="47"/>
      <c r="AH408" s="47"/>
      <c r="AI408" s="47"/>
      <c r="AJ408" s="47"/>
      <c r="AK408" s="47"/>
      <c r="AL408" s="47"/>
      <c r="AM408" s="47"/>
      <c r="AN408" s="47"/>
      <c r="AO408" s="47"/>
      <c r="AP408" s="47"/>
      <c r="AQ408" s="47"/>
      <c r="AR408" s="47"/>
      <c r="AS408" s="47"/>
      <c r="AT408" s="47"/>
      <c r="AU408" s="47"/>
      <c r="AV408" s="47"/>
      <c r="AW408" s="47"/>
      <c r="AX408" s="47"/>
      <c r="AY408" s="47"/>
      <c r="AZ408" s="47"/>
      <c r="BA408" s="47"/>
      <c r="BB408" s="47"/>
      <c r="BC408" s="47"/>
    </row>
    <row r="409" spans="1:55" x14ac:dyDescent="0.25">
      <c r="A409" s="45" t="s">
        <v>1096</v>
      </c>
      <c r="B409" s="46">
        <f t="shared" si="8"/>
        <v>18</v>
      </c>
      <c r="C409" s="47"/>
      <c r="D409" s="47"/>
      <c r="E409" s="46">
        <f>8/IF(Общие_или_заединицу="Общие трудозатраты",1,1)</f>
        <v>8</v>
      </c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6">
        <f>10/IF(Общие_или_заединицу="Общие трудозатраты",1,1)</f>
        <v>10</v>
      </c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  <c r="AG409" s="47"/>
      <c r="AH409" s="47"/>
      <c r="AI409" s="47"/>
      <c r="AJ409" s="47"/>
      <c r="AK409" s="47"/>
      <c r="AL409" s="47"/>
      <c r="AM409" s="47"/>
      <c r="AN409" s="47"/>
      <c r="AO409" s="47"/>
      <c r="AP409" s="47"/>
      <c r="AQ409" s="47"/>
      <c r="AR409" s="47"/>
      <c r="AS409" s="47"/>
      <c r="AT409" s="47"/>
      <c r="AU409" s="47"/>
      <c r="AV409" s="47"/>
      <c r="AW409" s="47"/>
      <c r="AX409" s="47"/>
      <c r="AY409" s="47"/>
      <c r="AZ409" s="47"/>
      <c r="BA409" s="47"/>
      <c r="BB409" s="47"/>
      <c r="BC409" s="47"/>
    </row>
    <row r="410" spans="1:55" x14ac:dyDescent="0.25">
      <c r="A410" s="45" t="s">
        <v>1097</v>
      </c>
      <c r="B410" s="46">
        <f t="shared" si="8"/>
        <v>40.25</v>
      </c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6">
        <f>23/IF(Общие_или_заединицу="Общие трудозатраты",1,2)*IF(Пробивка="Стандартная пробивная",1,3.5)</f>
        <v>40.25</v>
      </c>
      <c r="AE410" s="47"/>
      <c r="AF410" s="47"/>
      <c r="AG410" s="47"/>
      <c r="AH410" s="47"/>
      <c r="AI410" s="47"/>
      <c r="AJ410" s="47"/>
      <c r="AK410" s="47"/>
      <c r="AL410" s="47"/>
      <c r="AM410" s="47"/>
      <c r="AN410" s="47"/>
      <c r="AO410" s="47"/>
      <c r="AP410" s="47"/>
      <c r="AQ410" s="47"/>
      <c r="AR410" s="47"/>
      <c r="AS410" s="47"/>
      <c r="AT410" s="47"/>
      <c r="AU410" s="47"/>
      <c r="AV410" s="47"/>
      <c r="AW410" s="47"/>
      <c r="AX410" s="47"/>
      <c r="AY410" s="47"/>
      <c r="AZ410" s="47"/>
      <c r="BA410" s="47"/>
      <c r="BB410" s="47"/>
      <c r="BC410" s="47"/>
    </row>
    <row r="411" spans="1:55" x14ac:dyDescent="0.25">
      <c r="A411" s="45" t="s">
        <v>1098</v>
      </c>
      <c r="B411" s="46">
        <f t="shared" si="8"/>
        <v>4.5999999999999996</v>
      </c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6">
        <f>4.4/IF(Общие_или_заединицу="Общие трудозатраты",1,4)</f>
        <v>1.1000000000000001</v>
      </c>
      <c r="X411" s="47"/>
      <c r="Y411" s="47"/>
      <c r="Z411" s="47"/>
      <c r="AA411" s="46">
        <f>14/IF(Общие_или_заединицу="Общие трудозатраты",1,4)</f>
        <v>3.5</v>
      </c>
      <c r="AB411" s="47"/>
      <c r="AC411" s="47"/>
      <c r="AD411" s="47"/>
      <c r="AE411" s="47"/>
      <c r="AF411" s="47"/>
      <c r="AG411" s="47"/>
      <c r="AH411" s="47"/>
      <c r="AI411" s="47"/>
      <c r="AJ411" s="47"/>
      <c r="AK411" s="47"/>
      <c r="AL411" s="47"/>
      <c r="AM411" s="47"/>
      <c r="AN411" s="47"/>
      <c r="AO411" s="47"/>
      <c r="AP411" s="47"/>
      <c r="AQ411" s="47"/>
      <c r="AR411" s="47"/>
      <c r="AS411" s="47"/>
      <c r="AT411" s="47"/>
      <c r="AU411" s="47"/>
      <c r="AV411" s="47"/>
      <c r="AW411" s="47"/>
      <c r="AX411" s="47"/>
      <c r="AY411" s="47"/>
      <c r="AZ411" s="47"/>
      <c r="BA411" s="47"/>
      <c r="BB411" s="47"/>
      <c r="BC411" s="47"/>
    </row>
    <row r="412" spans="1:55" x14ac:dyDescent="0.25">
      <c r="A412" s="45" t="s">
        <v>1099</v>
      </c>
      <c r="B412" s="46">
        <f t="shared" si="8"/>
        <v>93</v>
      </c>
      <c r="C412" s="47"/>
      <c r="D412" s="47"/>
      <c r="E412" s="46">
        <f>32/IF(Общие_или_заединицу="Общие трудозатраты",1,2)</f>
        <v>16</v>
      </c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  <c r="AC412" s="47"/>
      <c r="AD412" s="46">
        <f>44/IF(Общие_или_заединицу="Общие трудозатраты",1,2)*IF(Пробивка="Стандартная пробивная",1,3.5)</f>
        <v>77</v>
      </c>
      <c r="AE412" s="47"/>
      <c r="AF412" s="47"/>
      <c r="AG412" s="47"/>
      <c r="AH412" s="47"/>
      <c r="AI412" s="47"/>
      <c r="AJ412" s="47"/>
      <c r="AK412" s="47"/>
      <c r="AL412" s="47"/>
      <c r="AM412" s="47"/>
      <c r="AN412" s="47"/>
      <c r="AO412" s="47"/>
      <c r="AP412" s="47"/>
      <c r="AQ412" s="47"/>
      <c r="AR412" s="47"/>
      <c r="AS412" s="47"/>
      <c r="AT412" s="47"/>
      <c r="AU412" s="47"/>
      <c r="AV412" s="47"/>
      <c r="AW412" s="47"/>
      <c r="AX412" s="47"/>
      <c r="AY412" s="47"/>
      <c r="AZ412" s="47"/>
      <c r="BA412" s="47"/>
      <c r="BB412" s="47"/>
      <c r="BC412" s="47"/>
    </row>
    <row r="413" spans="1:55" x14ac:dyDescent="0.25">
      <c r="A413" s="45" t="s">
        <v>1080</v>
      </c>
      <c r="B413" s="46">
        <f t="shared" si="8"/>
        <v>10</v>
      </c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  <c r="AC413" s="47"/>
      <c r="AD413" s="47"/>
      <c r="AE413" s="47"/>
      <c r="AF413" s="47"/>
      <c r="AG413" s="47"/>
      <c r="AH413" s="46">
        <f>10/IF(Общие_или_заединицу="Общие трудозатраты",1,1)</f>
        <v>10</v>
      </c>
      <c r="AI413" s="47"/>
      <c r="AJ413" s="47"/>
      <c r="AK413" s="47"/>
      <c r="AL413" s="47"/>
      <c r="AM413" s="47"/>
      <c r="AN413" s="47"/>
      <c r="AO413" s="47"/>
      <c r="AP413" s="47"/>
      <c r="AQ413" s="47"/>
      <c r="AR413" s="47"/>
      <c r="AS413" s="47"/>
      <c r="AT413" s="47"/>
      <c r="AU413" s="47"/>
      <c r="AV413" s="47"/>
      <c r="AW413" s="47"/>
      <c r="AX413" s="47"/>
      <c r="AY413" s="47"/>
      <c r="AZ413" s="47"/>
      <c r="BA413" s="47"/>
      <c r="BB413" s="47"/>
      <c r="BC413" s="47"/>
    </row>
    <row r="414" spans="1:55" x14ac:dyDescent="0.25">
      <c r="A414" s="45" t="s">
        <v>1108</v>
      </c>
      <c r="B414" s="46">
        <f t="shared" si="8"/>
        <v>6.4</v>
      </c>
      <c r="C414" s="47"/>
      <c r="D414" s="47"/>
      <c r="E414" s="46">
        <f>4/IF(Общие_или_заединицу="Общие трудозатраты",1,1)</f>
        <v>4</v>
      </c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6">
        <f>1.9/IF(Общие_или_заединицу="Общие трудозатраты",1,1)</f>
        <v>1.9</v>
      </c>
      <c r="T414" s="47"/>
      <c r="U414" s="47"/>
      <c r="V414" s="47"/>
      <c r="W414" s="46">
        <f>0.5/IF(Общие_или_заединицу="Общие трудозатраты",1,1)</f>
        <v>0.5</v>
      </c>
      <c r="X414" s="47"/>
      <c r="Y414" s="47"/>
      <c r="Z414" s="47"/>
      <c r="AA414" s="47"/>
      <c r="AB414" s="47"/>
      <c r="AC414" s="47"/>
      <c r="AD414" s="47"/>
      <c r="AE414" s="47"/>
      <c r="AF414" s="47"/>
      <c r="AG414" s="47"/>
      <c r="AH414" s="47"/>
      <c r="AI414" s="47"/>
      <c r="AJ414" s="47"/>
      <c r="AK414" s="47"/>
      <c r="AL414" s="47"/>
      <c r="AM414" s="47"/>
      <c r="AN414" s="47"/>
      <c r="AO414" s="47"/>
      <c r="AP414" s="47"/>
      <c r="AQ414" s="47"/>
      <c r="AR414" s="47"/>
      <c r="AS414" s="47"/>
      <c r="AT414" s="47"/>
      <c r="AU414" s="47"/>
      <c r="AV414" s="47"/>
      <c r="AW414" s="47"/>
      <c r="AX414" s="47"/>
      <c r="AY414" s="47"/>
      <c r="AZ414" s="47"/>
      <c r="BA414" s="47"/>
      <c r="BB414" s="47"/>
      <c r="BC414" s="47"/>
    </row>
    <row r="415" spans="1:55" x14ac:dyDescent="0.25">
      <c r="A415" s="45" t="s">
        <v>1109</v>
      </c>
      <c r="B415" s="46">
        <f t="shared" si="8"/>
        <v>2.75</v>
      </c>
      <c r="C415" s="47"/>
      <c r="D415" s="47"/>
      <c r="E415" s="46">
        <f>2/IF(Общие_или_заединицу="Общие трудозатраты",1,1)</f>
        <v>2</v>
      </c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6">
        <f>0.5/IF(Общие_или_заединицу="Общие трудозатраты",1,1)</f>
        <v>0.5</v>
      </c>
      <c r="T415" s="47"/>
      <c r="U415" s="47"/>
      <c r="V415" s="47"/>
      <c r="W415" s="46">
        <f>0.25/IF(Общие_или_заединицу="Общие трудозатраты",1,1)</f>
        <v>0.25</v>
      </c>
      <c r="X415" s="47"/>
      <c r="Y415" s="47"/>
      <c r="Z415" s="47"/>
      <c r="AA415" s="47"/>
      <c r="AB415" s="47"/>
      <c r="AC415" s="47"/>
      <c r="AD415" s="47"/>
      <c r="AE415" s="47"/>
      <c r="AF415" s="47"/>
      <c r="AG415" s="47"/>
      <c r="AH415" s="47"/>
      <c r="AI415" s="47"/>
      <c r="AJ415" s="47"/>
      <c r="AK415" s="47"/>
      <c r="AL415" s="47"/>
      <c r="AM415" s="47"/>
      <c r="AN415" s="47"/>
      <c r="AO415" s="47"/>
      <c r="AP415" s="47"/>
      <c r="AQ415" s="47"/>
      <c r="AR415" s="47"/>
      <c r="AS415" s="47"/>
      <c r="AT415" s="47"/>
      <c r="AU415" s="47"/>
      <c r="AV415" s="47"/>
      <c r="AW415" s="47"/>
      <c r="AX415" s="47"/>
      <c r="AY415" s="47"/>
      <c r="AZ415" s="47"/>
      <c r="BA415" s="47"/>
      <c r="BB415" s="47"/>
      <c r="BC415" s="47"/>
    </row>
    <row r="416" spans="1:55" x14ac:dyDescent="0.25">
      <c r="A416" s="45" t="s">
        <v>1110</v>
      </c>
      <c r="B416" s="46">
        <f t="shared" si="8"/>
        <v>9.4</v>
      </c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6">
        <f>2.4/IF(Общие_или_заединицу="Общие трудозатраты",1,2)</f>
        <v>1.2</v>
      </c>
      <c r="U416" s="47"/>
      <c r="V416" s="47"/>
      <c r="W416" s="46">
        <f>0.4/IF(Общие_или_заединицу="Общие трудозатраты",1,2)</f>
        <v>0.2</v>
      </c>
      <c r="X416" s="47"/>
      <c r="Y416" s="47"/>
      <c r="Z416" s="47"/>
      <c r="AA416" s="47"/>
      <c r="AB416" s="47"/>
      <c r="AC416" s="47"/>
      <c r="AD416" s="47"/>
      <c r="AE416" s="47"/>
      <c r="AF416" s="47"/>
      <c r="AG416" s="47"/>
      <c r="AH416" s="47"/>
      <c r="AI416" s="47"/>
      <c r="AJ416" s="47"/>
      <c r="AK416" s="47"/>
      <c r="AL416" s="47"/>
      <c r="AM416" s="47"/>
      <c r="AN416" s="47"/>
      <c r="AO416" s="47"/>
      <c r="AP416" s="47"/>
      <c r="AQ416" s="47"/>
      <c r="AR416" s="47"/>
      <c r="AS416" s="47"/>
      <c r="AT416" s="47"/>
      <c r="AU416" s="46">
        <f>16/IF(Общие_или_заединицу="Общие трудозатраты",1,2)</f>
        <v>8</v>
      </c>
      <c r="AV416" s="47"/>
      <c r="AW416" s="47"/>
      <c r="AX416" s="47"/>
      <c r="AY416" s="47"/>
      <c r="AZ416" s="47"/>
      <c r="BA416" s="47"/>
      <c r="BB416" s="47"/>
      <c r="BC416" s="47"/>
    </row>
    <row r="417" spans="1:55" x14ac:dyDescent="0.25">
      <c r="A417" s="45" t="s">
        <v>1111</v>
      </c>
      <c r="B417" s="46">
        <f t="shared" si="8"/>
        <v>0.8</v>
      </c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6">
        <f>0.8/IF(Общие_или_заединицу="Общие трудозатраты",1,1)</f>
        <v>0.8</v>
      </c>
      <c r="T417" s="47"/>
      <c r="U417" s="47"/>
      <c r="V417" s="47"/>
      <c r="W417" s="47"/>
      <c r="X417" s="47"/>
      <c r="Y417" s="47"/>
      <c r="Z417" s="47"/>
      <c r="AA417" s="47"/>
      <c r="AB417" s="47"/>
      <c r="AC417" s="47"/>
      <c r="AD417" s="47"/>
      <c r="AE417" s="47"/>
      <c r="AF417" s="47"/>
      <c r="AG417" s="47"/>
      <c r="AH417" s="47"/>
      <c r="AI417" s="47"/>
      <c r="AJ417" s="47"/>
      <c r="AK417" s="47"/>
      <c r="AL417" s="47"/>
      <c r="AM417" s="47"/>
      <c r="AN417" s="47"/>
      <c r="AO417" s="47"/>
      <c r="AP417" s="47"/>
      <c r="AQ417" s="47"/>
      <c r="AR417" s="47"/>
      <c r="AS417" s="47"/>
      <c r="AT417" s="47"/>
      <c r="AU417" s="47"/>
      <c r="AV417" s="47"/>
      <c r="AW417" s="47"/>
      <c r="AX417" s="47"/>
      <c r="AY417" s="47"/>
      <c r="AZ417" s="47"/>
      <c r="BA417" s="47"/>
      <c r="BB417" s="47"/>
      <c r="BC417" s="47"/>
    </row>
    <row r="418" spans="1:55" x14ac:dyDescent="0.25">
      <c r="A418" s="45" t="s">
        <v>1112</v>
      </c>
      <c r="B418" s="46">
        <f t="shared" si="8"/>
        <v>1.4</v>
      </c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6">
        <f>1.4/IF(Общие_или_заединицу="Общие трудозатраты",1,1)</f>
        <v>1.4</v>
      </c>
      <c r="T418" s="47"/>
      <c r="U418" s="47"/>
      <c r="V418" s="47"/>
      <c r="W418" s="47"/>
      <c r="X418" s="47"/>
      <c r="Y418" s="47"/>
      <c r="Z418" s="47"/>
      <c r="AA418" s="47"/>
      <c r="AB418" s="47"/>
      <c r="AC418" s="47"/>
      <c r="AD418" s="47"/>
      <c r="AE418" s="47"/>
      <c r="AF418" s="47"/>
      <c r="AG418" s="47"/>
      <c r="AH418" s="47"/>
      <c r="AI418" s="47"/>
      <c r="AJ418" s="47"/>
      <c r="AK418" s="47"/>
      <c r="AL418" s="47"/>
      <c r="AM418" s="47"/>
      <c r="AN418" s="47"/>
      <c r="AO418" s="47"/>
      <c r="AP418" s="47"/>
      <c r="AQ418" s="47"/>
      <c r="AR418" s="47"/>
      <c r="AS418" s="47"/>
      <c r="AT418" s="47"/>
      <c r="AU418" s="47"/>
      <c r="AV418" s="47"/>
      <c r="AW418" s="47"/>
      <c r="AX418" s="47"/>
      <c r="AY418" s="47"/>
      <c r="AZ418" s="47"/>
      <c r="BA418" s="47"/>
      <c r="BB418" s="47"/>
      <c r="BC418" s="47"/>
    </row>
    <row r="419" spans="1:55" x14ac:dyDescent="0.25">
      <c r="A419" s="45" t="s">
        <v>1107</v>
      </c>
      <c r="B419" s="46">
        <f t="shared" si="8"/>
        <v>44.5</v>
      </c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6">
        <f>6.5/IF(Общие_или_заединицу="Общие трудозатраты",1,1)</f>
        <v>6.5</v>
      </c>
      <c r="X419" s="47"/>
      <c r="Y419" s="47"/>
      <c r="Z419" s="47"/>
      <c r="AA419" s="47"/>
      <c r="AB419" s="47"/>
      <c r="AC419" s="47"/>
      <c r="AD419" s="47"/>
      <c r="AE419" s="47"/>
      <c r="AF419" s="47"/>
      <c r="AG419" s="47"/>
      <c r="AH419" s="47"/>
      <c r="AI419" s="47"/>
      <c r="AJ419" s="47"/>
      <c r="AK419" s="47"/>
      <c r="AL419" s="47"/>
      <c r="AM419" s="47"/>
      <c r="AN419" s="47"/>
      <c r="AO419" s="46">
        <f>38/IF(Общие_или_заединицу="Общие трудозатраты",1,1)</f>
        <v>38</v>
      </c>
      <c r="AP419" s="47"/>
      <c r="AQ419" s="47"/>
      <c r="AR419" s="47"/>
      <c r="AS419" s="47"/>
      <c r="AT419" s="47"/>
      <c r="AU419" s="47"/>
      <c r="AV419" s="47"/>
      <c r="AW419" s="47"/>
      <c r="AX419" s="47"/>
      <c r="AY419" s="47"/>
      <c r="AZ419" s="47"/>
      <c r="BA419" s="47"/>
      <c r="BB419" s="47"/>
      <c r="BC419" s="47"/>
    </row>
    <row r="420" spans="1:55" x14ac:dyDescent="0.25">
      <c r="A420" s="45" t="s">
        <v>1115</v>
      </c>
      <c r="B420" s="46">
        <f t="shared" si="8"/>
        <v>22</v>
      </c>
      <c r="C420" s="47"/>
      <c r="D420" s="47"/>
      <c r="E420" s="46">
        <f>8/IF(Общие_или_заединицу="Общие трудозатраты",1,1)</f>
        <v>8</v>
      </c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  <c r="AC420" s="47"/>
      <c r="AD420" s="46">
        <f>4/IF(Общие_или_заединицу="Общие трудозатраты",1,1)*IF(Пробивка="Стандартная пробивная",1,3.5)</f>
        <v>14</v>
      </c>
      <c r="AE420" s="47"/>
      <c r="AF420" s="47"/>
      <c r="AG420" s="47"/>
      <c r="AH420" s="47"/>
      <c r="AI420" s="47"/>
      <c r="AJ420" s="47"/>
      <c r="AK420" s="47"/>
      <c r="AL420" s="47"/>
      <c r="AM420" s="47"/>
      <c r="AN420" s="47"/>
      <c r="AO420" s="47"/>
      <c r="AP420" s="47"/>
      <c r="AQ420" s="47"/>
      <c r="AR420" s="47"/>
      <c r="AS420" s="47"/>
      <c r="AT420" s="47"/>
      <c r="AU420" s="47"/>
      <c r="AV420" s="47"/>
      <c r="AW420" s="47"/>
      <c r="AX420" s="47"/>
      <c r="AY420" s="47"/>
      <c r="AZ420" s="47"/>
      <c r="BA420" s="47"/>
      <c r="BB420" s="47"/>
      <c r="BC420" s="47"/>
    </row>
    <row r="421" spans="1:55" x14ac:dyDescent="0.25">
      <c r="A421" s="45" t="s">
        <v>1116</v>
      </c>
      <c r="B421" s="46">
        <f t="shared" si="8"/>
        <v>9.25</v>
      </c>
      <c r="C421" s="47"/>
      <c r="D421" s="47"/>
      <c r="E421" s="46">
        <f>4/IF(Общие_или_заединицу="Общие трудозатраты",1,1)</f>
        <v>4</v>
      </c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  <c r="AC421" s="47"/>
      <c r="AD421" s="46">
        <f>1.5/IF(Общие_или_заединицу="Общие трудозатраты",1,1)*IF(Пробивка="Стандартная пробивная",1,3.5)</f>
        <v>5.25</v>
      </c>
      <c r="AE421" s="47"/>
      <c r="AF421" s="47"/>
      <c r="AG421" s="47"/>
      <c r="AH421" s="47"/>
      <c r="AI421" s="47"/>
      <c r="AJ421" s="47"/>
      <c r="AK421" s="47"/>
      <c r="AL421" s="47"/>
      <c r="AM421" s="47"/>
      <c r="AN421" s="47"/>
      <c r="AO421" s="47"/>
      <c r="AP421" s="47"/>
      <c r="AQ421" s="47"/>
      <c r="AR421" s="47"/>
      <c r="AS421" s="47"/>
      <c r="AT421" s="47"/>
      <c r="AU421" s="47"/>
      <c r="AV421" s="47"/>
      <c r="AW421" s="47"/>
      <c r="AX421" s="47"/>
      <c r="AY421" s="47"/>
      <c r="AZ421" s="47"/>
      <c r="BA421" s="47"/>
      <c r="BB421" s="47"/>
      <c r="BC421" s="47"/>
    </row>
    <row r="422" spans="1:55" x14ac:dyDescent="0.25">
      <c r="A422" s="45" t="s">
        <v>1113</v>
      </c>
      <c r="B422" s="46">
        <f t="shared" si="8"/>
        <v>6</v>
      </c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  <c r="AC422" s="47"/>
      <c r="AD422" s="47"/>
      <c r="AE422" s="47"/>
      <c r="AF422" s="47"/>
      <c r="AG422" s="47"/>
      <c r="AH422" s="47"/>
      <c r="AI422" s="47"/>
      <c r="AJ422" s="47"/>
      <c r="AK422" s="47"/>
      <c r="AL422" s="47"/>
      <c r="AM422" s="47"/>
      <c r="AN422" s="47"/>
      <c r="AO422" s="46">
        <f>6/IF(Общие_или_заединицу="Общие трудозатраты",1,1)</f>
        <v>6</v>
      </c>
      <c r="AP422" s="47"/>
      <c r="AQ422" s="47"/>
      <c r="AR422" s="47"/>
      <c r="AS422" s="47"/>
      <c r="AT422" s="47"/>
      <c r="AU422" s="47"/>
      <c r="AV422" s="47"/>
      <c r="AW422" s="47"/>
      <c r="AX422" s="47"/>
      <c r="AY422" s="47"/>
      <c r="AZ422" s="47"/>
      <c r="BA422" s="47"/>
      <c r="BB422" s="47"/>
      <c r="BC422" s="47"/>
    </row>
    <row r="423" spans="1:55" x14ac:dyDescent="0.25">
      <c r="A423" s="45" t="s">
        <v>1117</v>
      </c>
      <c r="B423" s="46">
        <f t="shared" si="8"/>
        <v>8</v>
      </c>
      <c r="C423" s="47"/>
      <c r="D423" s="47"/>
      <c r="E423" s="46">
        <f>6/IF(Общие_или_заединицу="Общие трудозатраты",1,1)</f>
        <v>6</v>
      </c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6">
        <f>2/IF(Общие_или_заединицу="Общие трудозатраты",1,1)</f>
        <v>2</v>
      </c>
      <c r="T423" s="47"/>
      <c r="U423" s="47"/>
      <c r="V423" s="47"/>
      <c r="W423" s="47"/>
      <c r="X423" s="47"/>
      <c r="Y423" s="47"/>
      <c r="Z423" s="47"/>
      <c r="AA423" s="47"/>
      <c r="AB423" s="47"/>
      <c r="AC423" s="47"/>
      <c r="AD423" s="47"/>
      <c r="AE423" s="47"/>
      <c r="AF423" s="47"/>
      <c r="AG423" s="47"/>
      <c r="AH423" s="47"/>
      <c r="AI423" s="47"/>
      <c r="AJ423" s="47"/>
      <c r="AK423" s="47"/>
      <c r="AL423" s="47"/>
      <c r="AM423" s="47"/>
      <c r="AN423" s="47"/>
      <c r="AO423" s="47"/>
      <c r="AP423" s="47"/>
      <c r="AQ423" s="47"/>
      <c r="AR423" s="47"/>
      <c r="AS423" s="47"/>
      <c r="AT423" s="47"/>
      <c r="AU423" s="47"/>
      <c r="AV423" s="47"/>
      <c r="AW423" s="47"/>
      <c r="AX423" s="47"/>
      <c r="AY423" s="47"/>
      <c r="AZ423" s="47"/>
      <c r="BA423" s="47"/>
      <c r="BB423" s="47"/>
      <c r="BC423" s="47"/>
    </row>
    <row r="424" spans="1:55" x14ac:dyDescent="0.25">
      <c r="A424" s="45" t="s">
        <v>1118</v>
      </c>
      <c r="B424" s="46">
        <f t="shared" si="8"/>
        <v>8.1</v>
      </c>
      <c r="C424" s="47"/>
      <c r="D424" s="47"/>
      <c r="E424" s="46">
        <f>6/IF(Общие_или_заединицу="Общие трудозатраты",1,1)</f>
        <v>6</v>
      </c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6">
        <f>2.1/IF(Общие_или_заединицу="Общие трудозатраты",1,1)</f>
        <v>2.1</v>
      </c>
      <c r="T424" s="47"/>
      <c r="U424" s="47"/>
      <c r="V424" s="47"/>
      <c r="W424" s="47"/>
      <c r="X424" s="47"/>
      <c r="Y424" s="47"/>
      <c r="Z424" s="47"/>
      <c r="AA424" s="47"/>
      <c r="AB424" s="47"/>
      <c r="AC424" s="47"/>
      <c r="AD424" s="47"/>
      <c r="AE424" s="47"/>
      <c r="AF424" s="47"/>
      <c r="AG424" s="47"/>
      <c r="AH424" s="47"/>
      <c r="AI424" s="47"/>
      <c r="AJ424" s="47"/>
      <c r="AK424" s="47"/>
      <c r="AL424" s="47"/>
      <c r="AM424" s="47"/>
      <c r="AN424" s="47"/>
      <c r="AO424" s="47"/>
      <c r="AP424" s="47"/>
      <c r="AQ424" s="47"/>
      <c r="AR424" s="47"/>
      <c r="AS424" s="47"/>
      <c r="AT424" s="47"/>
      <c r="AU424" s="47"/>
      <c r="AV424" s="47"/>
      <c r="AW424" s="47"/>
      <c r="AX424" s="47"/>
      <c r="AY424" s="47"/>
      <c r="AZ424" s="47"/>
      <c r="BA424" s="47"/>
      <c r="BB424" s="47"/>
      <c r="BC424" s="47"/>
    </row>
    <row r="425" spans="1:55" x14ac:dyDescent="0.25">
      <c r="A425" s="45" t="s">
        <v>1114</v>
      </c>
      <c r="B425" s="46">
        <f t="shared" si="8"/>
        <v>5.5</v>
      </c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6">
        <f>3/IF(Общие_или_заединицу="Общие трудозатраты",1,1)</f>
        <v>3</v>
      </c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  <c r="AC425" s="47"/>
      <c r="AD425" s="47"/>
      <c r="AE425" s="47"/>
      <c r="AF425" s="47"/>
      <c r="AG425" s="47"/>
      <c r="AH425" s="47"/>
      <c r="AI425" s="47"/>
      <c r="AJ425" s="47"/>
      <c r="AK425" s="47"/>
      <c r="AL425" s="47"/>
      <c r="AM425" s="47"/>
      <c r="AN425" s="47"/>
      <c r="AO425" s="46">
        <f>2.5/IF(Общие_или_заединицу="Общие трудозатраты",1,1)</f>
        <v>2.5</v>
      </c>
      <c r="AP425" s="47"/>
      <c r="AQ425" s="47"/>
      <c r="AR425" s="47"/>
      <c r="AS425" s="47"/>
      <c r="AT425" s="47"/>
      <c r="AU425" s="47"/>
      <c r="AV425" s="47"/>
      <c r="AW425" s="47"/>
      <c r="AX425" s="47"/>
      <c r="AY425" s="47"/>
      <c r="AZ425" s="47"/>
      <c r="BA425" s="47"/>
      <c r="BB425" s="47"/>
      <c r="BC425" s="47"/>
    </row>
    <row r="426" spans="1:55" x14ac:dyDescent="0.25">
      <c r="A426" s="45" t="s">
        <v>1119</v>
      </c>
      <c r="B426" s="46">
        <f t="shared" si="8"/>
        <v>7</v>
      </c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6">
        <f>20/IF(Общие_или_заединицу="Общие трудозатраты",1,4)</f>
        <v>5</v>
      </c>
      <c r="U426" s="47"/>
      <c r="V426" s="47"/>
      <c r="W426" s="47"/>
      <c r="X426" s="47"/>
      <c r="Y426" s="47"/>
      <c r="Z426" s="47"/>
      <c r="AA426" s="47"/>
      <c r="AB426" s="47"/>
      <c r="AC426" s="47"/>
      <c r="AD426" s="47"/>
      <c r="AE426" s="47"/>
      <c r="AF426" s="47"/>
      <c r="AG426" s="47"/>
      <c r="AH426" s="47"/>
      <c r="AI426" s="47"/>
      <c r="AJ426" s="47"/>
      <c r="AK426" s="47"/>
      <c r="AL426" s="47"/>
      <c r="AM426" s="47"/>
      <c r="AN426" s="47"/>
      <c r="AO426" s="47"/>
      <c r="AP426" s="46">
        <f>8/IF(Общие_или_заединицу="Общие трудозатраты",1,4)</f>
        <v>2</v>
      </c>
      <c r="AQ426" s="47"/>
      <c r="AR426" s="47"/>
      <c r="AS426" s="47"/>
      <c r="AT426" s="47"/>
      <c r="AU426" s="47"/>
      <c r="AV426" s="47"/>
      <c r="AW426" s="47"/>
      <c r="AX426" s="47"/>
      <c r="AY426" s="47"/>
      <c r="AZ426" s="47"/>
      <c r="BA426" s="47"/>
      <c r="BB426" s="47"/>
      <c r="BC426" s="47"/>
    </row>
    <row r="427" spans="1:55" x14ac:dyDescent="0.25">
      <c r="A427" s="45" t="s">
        <v>1081</v>
      </c>
      <c r="B427" s="46">
        <f t="shared" si="8"/>
        <v>7</v>
      </c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  <c r="AC427" s="47"/>
      <c r="AD427" s="47"/>
      <c r="AE427" s="47"/>
      <c r="AF427" s="47"/>
      <c r="AG427" s="47"/>
      <c r="AH427" s="47"/>
      <c r="AI427" s="46">
        <f>14/IF(Общие_или_заединицу="Общие трудозатраты",1,2)</f>
        <v>7</v>
      </c>
      <c r="AJ427" s="47"/>
      <c r="AK427" s="47"/>
      <c r="AL427" s="47"/>
      <c r="AM427" s="47"/>
      <c r="AN427" s="47"/>
      <c r="AO427" s="47"/>
      <c r="AP427" s="47"/>
      <c r="AQ427" s="47"/>
      <c r="AR427" s="47"/>
      <c r="AS427" s="47"/>
      <c r="AT427" s="47"/>
      <c r="AU427" s="47"/>
      <c r="AV427" s="47"/>
      <c r="AW427" s="47"/>
      <c r="AX427" s="47"/>
      <c r="AY427" s="47"/>
      <c r="AZ427" s="47"/>
      <c r="BA427" s="47"/>
      <c r="BB427" s="47"/>
      <c r="BC427" s="47"/>
    </row>
    <row r="428" spans="1:55" x14ac:dyDescent="0.25">
      <c r="A428" s="45" t="s">
        <v>1121</v>
      </c>
      <c r="B428" s="46">
        <f t="shared" si="8"/>
        <v>0.8</v>
      </c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6">
        <f>1.6/IF(Общие_или_заединицу="Общие трудозатраты",1,2)</f>
        <v>0.8</v>
      </c>
      <c r="T428" s="47"/>
      <c r="U428" s="47"/>
      <c r="V428" s="47"/>
      <c r="W428" s="47"/>
      <c r="X428" s="47"/>
      <c r="Y428" s="47"/>
      <c r="Z428" s="47"/>
      <c r="AA428" s="47"/>
      <c r="AB428" s="47"/>
      <c r="AC428" s="47"/>
      <c r="AD428" s="47"/>
      <c r="AE428" s="47"/>
      <c r="AF428" s="47"/>
      <c r="AG428" s="47"/>
      <c r="AH428" s="47"/>
      <c r="AI428" s="47"/>
      <c r="AJ428" s="47"/>
      <c r="AK428" s="47"/>
      <c r="AL428" s="47"/>
      <c r="AM428" s="47"/>
      <c r="AN428" s="47"/>
      <c r="AO428" s="47"/>
      <c r="AP428" s="47"/>
      <c r="AQ428" s="47"/>
      <c r="AR428" s="47"/>
      <c r="AS428" s="47"/>
      <c r="AT428" s="47"/>
      <c r="AU428" s="47"/>
      <c r="AV428" s="47"/>
      <c r="AW428" s="47"/>
      <c r="AX428" s="47"/>
      <c r="AY428" s="47"/>
      <c r="AZ428" s="47"/>
      <c r="BA428" s="47"/>
      <c r="BB428" s="47"/>
      <c r="BC428" s="47"/>
    </row>
    <row r="429" spans="1:55" x14ac:dyDescent="0.25">
      <c r="A429" s="45" t="s">
        <v>1120</v>
      </c>
      <c r="B429" s="46">
        <f t="shared" si="8"/>
        <v>40.5</v>
      </c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6">
        <f>13/IF(Общие_или_заединицу="Общие трудозатраты",1,2)</f>
        <v>6.5</v>
      </c>
      <c r="W429" s="46">
        <f>14/IF(Общие_или_заединицу="Общие трудозатраты",1,2)</f>
        <v>7</v>
      </c>
      <c r="X429" s="47"/>
      <c r="Y429" s="47"/>
      <c r="Z429" s="47"/>
      <c r="AA429" s="47"/>
      <c r="AB429" s="47"/>
      <c r="AC429" s="47"/>
      <c r="AD429" s="47"/>
      <c r="AE429" s="47"/>
      <c r="AF429" s="47"/>
      <c r="AG429" s="47"/>
      <c r="AH429" s="47"/>
      <c r="AI429" s="47"/>
      <c r="AJ429" s="47"/>
      <c r="AK429" s="47"/>
      <c r="AL429" s="47"/>
      <c r="AM429" s="46">
        <f>24/IF(Общие_или_заединицу="Общие трудозатраты",1,2)</f>
        <v>12</v>
      </c>
      <c r="AN429" s="47"/>
      <c r="AO429" s="46">
        <f>30/IF(Общие_или_заединицу="Общие трудозатраты",1,2)</f>
        <v>15</v>
      </c>
      <c r="AP429" s="47"/>
      <c r="AQ429" s="47"/>
      <c r="AR429" s="47"/>
      <c r="AS429" s="47"/>
      <c r="AT429" s="47"/>
      <c r="AU429" s="47"/>
      <c r="AV429" s="47"/>
      <c r="AW429" s="47"/>
      <c r="AX429" s="47"/>
      <c r="AY429" s="47"/>
      <c r="AZ429" s="47"/>
      <c r="BA429" s="47"/>
      <c r="BB429" s="47"/>
      <c r="BC429" s="47"/>
    </row>
    <row r="430" spans="1:55" x14ac:dyDescent="0.25">
      <c r="A430" s="45" t="s">
        <v>1122</v>
      </c>
      <c r="B430" s="46">
        <f t="shared" si="8"/>
        <v>11.3</v>
      </c>
      <c r="C430" s="47"/>
      <c r="D430" s="47"/>
      <c r="E430" s="47"/>
      <c r="F430" s="47"/>
      <c r="G430" s="47"/>
      <c r="H430" s="47"/>
      <c r="I430" s="47"/>
      <c r="J430" s="46">
        <f>16/IF(Общие_или_заединицу="Общие трудозатраты",1,2)</f>
        <v>8</v>
      </c>
      <c r="K430" s="47"/>
      <c r="L430" s="47"/>
      <c r="M430" s="47"/>
      <c r="N430" s="47"/>
      <c r="O430" s="47"/>
      <c r="P430" s="47"/>
      <c r="Q430" s="47"/>
      <c r="R430" s="47"/>
      <c r="S430" s="46">
        <f>6.6/IF(Общие_или_заединицу="Общие трудозатраты",1,2)</f>
        <v>3.3</v>
      </c>
      <c r="T430" s="47"/>
      <c r="U430" s="47"/>
      <c r="V430" s="47"/>
      <c r="W430" s="47"/>
      <c r="X430" s="47"/>
      <c r="Y430" s="47"/>
      <c r="Z430" s="47"/>
      <c r="AA430" s="47"/>
      <c r="AB430" s="47"/>
      <c r="AC430" s="47"/>
      <c r="AD430" s="47"/>
      <c r="AE430" s="47"/>
      <c r="AF430" s="47"/>
      <c r="AG430" s="47"/>
      <c r="AH430" s="47"/>
      <c r="AI430" s="47"/>
      <c r="AJ430" s="47"/>
      <c r="AK430" s="47"/>
      <c r="AL430" s="47"/>
      <c r="AM430" s="47"/>
      <c r="AN430" s="47"/>
      <c r="AO430" s="47"/>
      <c r="AP430" s="47"/>
      <c r="AQ430" s="47"/>
      <c r="AR430" s="47"/>
      <c r="AS430" s="47"/>
      <c r="AT430" s="47"/>
      <c r="AU430" s="47"/>
      <c r="AV430" s="47"/>
      <c r="AW430" s="47"/>
      <c r="AX430" s="47"/>
      <c r="AY430" s="47"/>
      <c r="AZ430" s="47"/>
      <c r="BA430" s="47"/>
      <c r="BB430" s="47"/>
      <c r="BC430" s="47"/>
    </row>
    <row r="431" spans="1:55" x14ac:dyDescent="0.25">
      <c r="A431" s="45" t="s">
        <v>1123</v>
      </c>
      <c r="B431" s="46">
        <f t="shared" si="8"/>
        <v>0.7</v>
      </c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6">
        <f>1.4/IF(Общие_или_заединицу="Общие трудозатраты",1,2)</f>
        <v>0.7</v>
      </c>
      <c r="AB431" s="47"/>
      <c r="AC431" s="47"/>
      <c r="AD431" s="47"/>
      <c r="AE431" s="47"/>
      <c r="AF431" s="47"/>
      <c r="AG431" s="47"/>
      <c r="AH431" s="47"/>
      <c r="AI431" s="47"/>
      <c r="AJ431" s="47"/>
      <c r="AK431" s="47"/>
      <c r="AL431" s="47"/>
      <c r="AM431" s="47"/>
      <c r="AN431" s="47"/>
      <c r="AO431" s="47"/>
      <c r="AP431" s="47"/>
      <c r="AQ431" s="47"/>
      <c r="AR431" s="47"/>
      <c r="AS431" s="47"/>
      <c r="AT431" s="47"/>
      <c r="AU431" s="47"/>
      <c r="AV431" s="47"/>
      <c r="AW431" s="47"/>
      <c r="AX431" s="47"/>
      <c r="AY431" s="47"/>
      <c r="AZ431" s="47"/>
      <c r="BA431" s="47"/>
      <c r="BB431" s="47"/>
      <c r="BC431" s="47"/>
    </row>
    <row r="432" spans="1:55" x14ac:dyDescent="0.25">
      <c r="A432" s="45" t="s">
        <v>1124</v>
      </c>
      <c r="B432" s="46">
        <f t="shared" si="8"/>
        <v>0.6</v>
      </c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6">
        <f>2.4/IF(Общие_или_заединицу="Общие трудозатраты",1,4)</f>
        <v>0.6</v>
      </c>
      <c r="AB432" s="47"/>
      <c r="AC432" s="47"/>
      <c r="AD432" s="47"/>
      <c r="AE432" s="47"/>
      <c r="AF432" s="47"/>
      <c r="AG432" s="47"/>
      <c r="AH432" s="47"/>
      <c r="AI432" s="47"/>
      <c r="AJ432" s="47"/>
      <c r="AK432" s="47"/>
      <c r="AL432" s="47"/>
      <c r="AM432" s="47"/>
      <c r="AN432" s="47"/>
      <c r="AO432" s="47"/>
      <c r="AP432" s="47"/>
      <c r="AQ432" s="47"/>
      <c r="AR432" s="47"/>
      <c r="AS432" s="47"/>
      <c r="AT432" s="47"/>
      <c r="AU432" s="47"/>
      <c r="AV432" s="47"/>
      <c r="AW432" s="47"/>
      <c r="AX432" s="47"/>
      <c r="AY432" s="47"/>
      <c r="AZ432" s="47"/>
      <c r="BA432" s="47"/>
      <c r="BB432" s="47"/>
      <c r="BC432" s="47"/>
    </row>
    <row r="433" spans="1:55" x14ac:dyDescent="0.25">
      <c r="A433" s="45" t="s">
        <v>1082</v>
      </c>
      <c r="B433" s="46">
        <f t="shared" si="8"/>
        <v>10</v>
      </c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  <c r="AC433" s="47"/>
      <c r="AD433" s="47"/>
      <c r="AE433" s="47"/>
      <c r="AF433" s="47"/>
      <c r="AG433" s="47"/>
      <c r="AH433" s="46">
        <f>20/IF(Общие_или_заединицу="Общие трудозатраты",1,2)</f>
        <v>10</v>
      </c>
      <c r="AI433" s="47"/>
      <c r="AJ433" s="47"/>
      <c r="AK433" s="47"/>
      <c r="AL433" s="47"/>
      <c r="AM433" s="47"/>
      <c r="AN433" s="47"/>
      <c r="AO433" s="47"/>
      <c r="AP433" s="47"/>
      <c r="AQ433" s="47"/>
      <c r="AR433" s="47"/>
      <c r="AS433" s="47"/>
      <c r="AT433" s="47"/>
      <c r="AU433" s="47"/>
      <c r="AV433" s="47"/>
      <c r="AW433" s="47"/>
      <c r="AX433" s="47"/>
      <c r="AY433" s="47"/>
      <c r="AZ433" s="47"/>
      <c r="BA433" s="47"/>
      <c r="BB433" s="47"/>
      <c r="BC433" s="47"/>
    </row>
    <row r="434" spans="1:55" x14ac:dyDescent="0.25">
      <c r="A434" s="45" t="s">
        <v>1126</v>
      </c>
      <c r="B434" s="46">
        <f t="shared" si="8"/>
        <v>2.8000000000000003</v>
      </c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6">
        <f>4.4/IF(Общие_или_заединицу="Общие трудозатраты",1,2)</f>
        <v>2.2000000000000002</v>
      </c>
      <c r="X434" s="47"/>
      <c r="Y434" s="47"/>
      <c r="Z434" s="47"/>
      <c r="AA434" s="46">
        <f>1.2/IF(Общие_или_заединицу="Общие трудозатраты",1,2)</f>
        <v>0.6</v>
      </c>
      <c r="AB434" s="47"/>
      <c r="AC434" s="47"/>
      <c r="AD434" s="47"/>
      <c r="AE434" s="47"/>
      <c r="AF434" s="47"/>
      <c r="AG434" s="47"/>
      <c r="AH434" s="47"/>
      <c r="AI434" s="47"/>
      <c r="AJ434" s="47"/>
      <c r="AK434" s="47"/>
      <c r="AL434" s="47"/>
      <c r="AM434" s="47"/>
      <c r="AN434" s="47"/>
      <c r="AO434" s="47"/>
      <c r="AP434" s="47"/>
      <c r="AQ434" s="47"/>
      <c r="AR434" s="47"/>
      <c r="AS434" s="47"/>
      <c r="AT434" s="47"/>
      <c r="AU434" s="47"/>
      <c r="AV434" s="47"/>
      <c r="AW434" s="47"/>
      <c r="AX434" s="47"/>
      <c r="AY434" s="47"/>
      <c r="AZ434" s="47"/>
      <c r="BA434" s="47"/>
      <c r="BB434" s="47"/>
      <c r="BC434" s="47"/>
    </row>
    <row r="435" spans="1:55" x14ac:dyDescent="0.25">
      <c r="A435" s="45" t="s">
        <v>1125</v>
      </c>
      <c r="B435" s="46">
        <f t="shared" si="8"/>
        <v>32.200000000000003</v>
      </c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6">
        <f>8.4/IF(Общие_или_заединицу="Общие трудозатраты",1,2)</f>
        <v>4.2</v>
      </c>
      <c r="X435" s="47"/>
      <c r="Y435" s="47"/>
      <c r="Z435" s="47"/>
      <c r="AA435" s="47"/>
      <c r="AB435" s="47"/>
      <c r="AC435" s="47"/>
      <c r="AD435" s="47"/>
      <c r="AE435" s="47"/>
      <c r="AF435" s="47"/>
      <c r="AG435" s="47"/>
      <c r="AH435" s="47"/>
      <c r="AI435" s="47"/>
      <c r="AJ435" s="47"/>
      <c r="AK435" s="47"/>
      <c r="AL435" s="47"/>
      <c r="AM435" s="46">
        <f>32/IF(Общие_или_заединицу="Общие трудозатраты",1,2)</f>
        <v>16</v>
      </c>
      <c r="AN435" s="47"/>
      <c r="AO435" s="46">
        <f>24/IF(Общие_или_заединицу="Общие трудозатраты",1,2)</f>
        <v>12</v>
      </c>
      <c r="AP435" s="47"/>
      <c r="AQ435" s="47"/>
      <c r="AR435" s="47"/>
      <c r="AS435" s="47"/>
      <c r="AT435" s="47"/>
      <c r="AU435" s="47"/>
      <c r="AV435" s="47"/>
      <c r="AW435" s="47"/>
      <c r="AX435" s="47"/>
      <c r="AY435" s="47"/>
      <c r="AZ435" s="47"/>
      <c r="BA435" s="47"/>
      <c r="BB435" s="47"/>
      <c r="BC435" s="47"/>
    </row>
    <row r="436" spans="1:55" x14ac:dyDescent="0.25">
      <c r="A436" s="45" t="s">
        <v>1128</v>
      </c>
      <c r="B436" s="46">
        <f t="shared" si="8"/>
        <v>7.3</v>
      </c>
      <c r="C436" s="47"/>
      <c r="D436" s="47"/>
      <c r="E436" s="47"/>
      <c r="F436" s="46">
        <f>12/IF(Общие_или_заединицу="Общие трудозатраты",1,2)</f>
        <v>6</v>
      </c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6">
        <f>2.6/IF(Общие_или_заединицу="Общие трудозатраты",1,2)</f>
        <v>1.3</v>
      </c>
      <c r="AB436" s="47"/>
      <c r="AC436" s="47"/>
      <c r="AD436" s="47"/>
      <c r="AE436" s="47"/>
      <c r="AF436" s="47"/>
      <c r="AG436" s="47"/>
      <c r="AH436" s="47"/>
      <c r="AI436" s="47"/>
      <c r="AJ436" s="47"/>
      <c r="AK436" s="47"/>
      <c r="AL436" s="47"/>
      <c r="AM436" s="47"/>
      <c r="AN436" s="47"/>
      <c r="AO436" s="47"/>
      <c r="AP436" s="47"/>
      <c r="AQ436" s="47"/>
      <c r="AR436" s="47"/>
      <c r="AS436" s="47"/>
      <c r="AT436" s="47"/>
      <c r="AU436" s="47"/>
      <c r="AV436" s="47"/>
      <c r="AW436" s="47"/>
      <c r="AX436" s="47"/>
      <c r="AY436" s="47"/>
      <c r="AZ436" s="47"/>
      <c r="BA436" s="47"/>
      <c r="BB436" s="47"/>
      <c r="BC436" s="47"/>
    </row>
    <row r="437" spans="1:55" x14ac:dyDescent="0.25">
      <c r="A437" s="45" t="s">
        <v>1129</v>
      </c>
      <c r="B437" s="46">
        <f t="shared" si="8"/>
        <v>1.1200000000000001</v>
      </c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6">
        <f>2.24/IF(Общие_или_заединицу="Общие трудозатраты",1,2)</f>
        <v>1.1200000000000001</v>
      </c>
      <c r="AB437" s="47"/>
      <c r="AC437" s="47"/>
      <c r="AD437" s="47"/>
      <c r="AE437" s="47"/>
      <c r="AF437" s="47"/>
      <c r="AG437" s="47"/>
      <c r="AH437" s="47"/>
      <c r="AI437" s="47"/>
      <c r="AJ437" s="47"/>
      <c r="AK437" s="47"/>
      <c r="AL437" s="47"/>
      <c r="AM437" s="47"/>
      <c r="AN437" s="47"/>
      <c r="AO437" s="47"/>
      <c r="AP437" s="47"/>
      <c r="AQ437" s="47"/>
      <c r="AR437" s="47"/>
      <c r="AS437" s="47"/>
      <c r="AT437" s="47"/>
      <c r="AU437" s="47"/>
      <c r="AV437" s="47"/>
      <c r="AW437" s="47"/>
      <c r="AX437" s="47"/>
      <c r="AY437" s="47"/>
      <c r="AZ437" s="47"/>
      <c r="BA437" s="47"/>
      <c r="BB437" s="47"/>
      <c r="BC437" s="47"/>
    </row>
    <row r="438" spans="1:55" x14ac:dyDescent="0.25">
      <c r="A438" s="45" t="s">
        <v>1130</v>
      </c>
      <c r="B438" s="46">
        <f t="shared" si="8"/>
        <v>2.5</v>
      </c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6">
        <f>2/IF(Общие_или_заединицу="Общие трудозатраты",1,4)</f>
        <v>0.5</v>
      </c>
      <c r="O438" s="47"/>
      <c r="P438" s="47"/>
      <c r="Q438" s="47"/>
      <c r="R438" s="47"/>
      <c r="S438" s="47"/>
      <c r="T438" s="46">
        <f>8/IF(Общие_или_заединицу="Общие трудозатраты",1,4)</f>
        <v>2</v>
      </c>
      <c r="U438" s="47"/>
      <c r="V438" s="47"/>
      <c r="W438" s="47"/>
      <c r="X438" s="47"/>
      <c r="Y438" s="47"/>
      <c r="Z438" s="47"/>
      <c r="AA438" s="47"/>
      <c r="AB438" s="47"/>
      <c r="AC438" s="47"/>
      <c r="AD438" s="47"/>
      <c r="AE438" s="47"/>
      <c r="AF438" s="47"/>
      <c r="AG438" s="47"/>
      <c r="AH438" s="47"/>
      <c r="AI438" s="47"/>
      <c r="AJ438" s="47"/>
      <c r="AK438" s="47"/>
      <c r="AL438" s="47"/>
      <c r="AM438" s="47"/>
      <c r="AN438" s="47"/>
      <c r="AO438" s="47"/>
      <c r="AP438" s="47"/>
      <c r="AQ438" s="47"/>
      <c r="AR438" s="47"/>
      <c r="AS438" s="47"/>
      <c r="AT438" s="47"/>
      <c r="AU438" s="47"/>
      <c r="AV438" s="47"/>
      <c r="AW438" s="47"/>
      <c r="AX438" s="47"/>
      <c r="AY438" s="47"/>
      <c r="AZ438" s="47"/>
      <c r="BA438" s="47"/>
      <c r="BB438" s="47"/>
      <c r="BC438" s="47"/>
    </row>
    <row r="439" spans="1:55" x14ac:dyDescent="0.25">
      <c r="A439" s="45" t="s">
        <v>1083</v>
      </c>
      <c r="B439" s="46">
        <f t="shared" si="8"/>
        <v>5</v>
      </c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  <c r="AC439" s="47"/>
      <c r="AD439" s="47"/>
      <c r="AE439" s="47"/>
      <c r="AF439" s="47"/>
      <c r="AG439" s="47"/>
      <c r="AH439" s="46">
        <f>5/IF(Общие_или_заединицу="Общие трудозатраты",1,1)</f>
        <v>5</v>
      </c>
      <c r="AI439" s="47"/>
      <c r="AJ439" s="47"/>
      <c r="AK439" s="47"/>
      <c r="AL439" s="47"/>
      <c r="AM439" s="47"/>
      <c r="AN439" s="47"/>
      <c r="AO439" s="47"/>
      <c r="AP439" s="47"/>
      <c r="AQ439" s="47"/>
      <c r="AR439" s="47"/>
      <c r="AS439" s="47"/>
      <c r="AT439" s="47"/>
      <c r="AU439" s="47"/>
      <c r="AV439" s="47"/>
      <c r="AW439" s="47"/>
      <c r="AX439" s="47"/>
      <c r="AY439" s="47"/>
      <c r="AZ439" s="47"/>
      <c r="BA439" s="47"/>
      <c r="BB439" s="47"/>
      <c r="BC439" s="47"/>
    </row>
    <row r="440" spans="1:55" x14ac:dyDescent="0.25">
      <c r="A440" s="45" t="s">
        <v>1132</v>
      </c>
      <c r="B440" s="46">
        <f t="shared" si="8"/>
        <v>3.6</v>
      </c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6">
        <f>1.1/IF(Общие_или_заединицу="Общие трудозатраты",1,1)</f>
        <v>1.1000000000000001</v>
      </c>
      <c r="X440" s="47"/>
      <c r="Y440" s="47"/>
      <c r="Z440" s="47"/>
      <c r="AA440" s="46">
        <f>2.5/IF(Общие_или_заединицу="Общие трудозатраты",1,1)</f>
        <v>2.5</v>
      </c>
      <c r="AB440" s="47"/>
      <c r="AC440" s="47"/>
      <c r="AD440" s="47"/>
      <c r="AE440" s="47"/>
      <c r="AF440" s="47"/>
      <c r="AG440" s="47"/>
      <c r="AH440" s="47"/>
      <c r="AI440" s="47"/>
      <c r="AJ440" s="47"/>
      <c r="AK440" s="47"/>
      <c r="AL440" s="47"/>
      <c r="AM440" s="47"/>
      <c r="AN440" s="47"/>
      <c r="AO440" s="47"/>
      <c r="AP440" s="47"/>
      <c r="AQ440" s="47"/>
      <c r="AR440" s="47"/>
      <c r="AS440" s="47"/>
      <c r="AT440" s="47"/>
      <c r="AU440" s="47"/>
      <c r="AV440" s="47"/>
      <c r="AW440" s="47"/>
      <c r="AX440" s="47"/>
      <c r="AY440" s="47"/>
      <c r="AZ440" s="47"/>
      <c r="BA440" s="47"/>
      <c r="BB440" s="47"/>
      <c r="BC440" s="47"/>
    </row>
    <row r="441" spans="1:55" x14ac:dyDescent="0.25">
      <c r="A441" s="45" t="s">
        <v>1131</v>
      </c>
      <c r="B441" s="46">
        <f t="shared" si="8"/>
        <v>25</v>
      </c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6">
        <f>5/IF(Общие_или_заединицу="Общие трудозатраты",1,1)</f>
        <v>5</v>
      </c>
      <c r="X441" s="47"/>
      <c r="Y441" s="47"/>
      <c r="Z441" s="47"/>
      <c r="AA441" s="47"/>
      <c r="AB441" s="47"/>
      <c r="AC441" s="47"/>
      <c r="AD441" s="47"/>
      <c r="AE441" s="47"/>
      <c r="AF441" s="47"/>
      <c r="AG441" s="47"/>
      <c r="AH441" s="47"/>
      <c r="AI441" s="47"/>
      <c r="AJ441" s="47"/>
      <c r="AK441" s="47"/>
      <c r="AL441" s="47"/>
      <c r="AM441" s="47"/>
      <c r="AN441" s="47"/>
      <c r="AO441" s="46">
        <f>20/IF(Общие_или_заединицу="Общие трудозатраты",1,1)</f>
        <v>20</v>
      </c>
      <c r="AP441" s="47"/>
      <c r="AQ441" s="47"/>
      <c r="AR441" s="47"/>
      <c r="AS441" s="47"/>
      <c r="AT441" s="47"/>
      <c r="AU441" s="47"/>
      <c r="AV441" s="47"/>
      <c r="AW441" s="47"/>
      <c r="AX441" s="47"/>
      <c r="AY441" s="47"/>
      <c r="AZ441" s="47"/>
      <c r="BA441" s="47"/>
      <c r="BB441" s="47"/>
      <c r="BC441" s="47"/>
    </row>
    <row r="442" spans="1:55" x14ac:dyDescent="0.25">
      <c r="A442" s="45" t="s">
        <v>1134</v>
      </c>
      <c r="B442" s="46">
        <f t="shared" si="8"/>
        <v>11</v>
      </c>
      <c r="C442" s="47"/>
      <c r="D442" s="47"/>
      <c r="E442" s="46">
        <f>8/IF(Общие_или_заединицу="Общие трудозатраты",1,1)</f>
        <v>8</v>
      </c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6">
        <f>3/IF(Общие_или_заединицу="Общие трудозатраты",1,1)</f>
        <v>3</v>
      </c>
      <c r="T442" s="47"/>
      <c r="U442" s="47"/>
      <c r="V442" s="47"/>
      <c r="W442" s="47"/>
      <c r="X442" s="47"/>
      <c r="Y442" s="47"/>
      <c r="Z442" s="47"/>
      <c r="AA442" s="47"/>
      <c r="AB442" s="47"/>
      <c r="AC442" s="47"/>
      <c r="AD442" s="47"/>
      <c r="AE442" s="47"/>
      <c r="AF442" s="47"/>
      <c r="AG442" s="47"/>
      <c r="AH442" s="47"/>
      <c r="AI442" s="47"/>
      <c r="AJ442" s="47"/>
      <c r="AK442" s="47"/>
      <c r="AL442" s="47"/>
      <c r="AM442" s="47"/>
      <c r="AN442" s="47"/>
      <c r="AO442" s="47"/>
      <c r="AP442" s="47"/>
      <c r="AQ442" s="47"/>
      <c r="AR442" s="47"/>
      <c r="AS442" s="47"/>
      <c r="AT442" s="47"/>
      <c r="AU442" s="47"/>
      <c r="AV442" s="47"/>
      <c r="AW442" s="47"/>
      <c r="AX442" s="47"/>
      <c r="AY442" s="47"/>
      <c r="AZ442" s="47"/>
      <c r="BA442" s="47"/>
      <c r="BB442" s="47"/>
      <c r="BC442" s="47"/>
    </row>
    <row r="443" spans="1:55" x14ac:dyDescent="0.25">
      <c r="A443" s="45" t="s">
        <v>1135</v>
      </c>
      <c r="B443" s="46">
        <f t="shared" si="8"/>
        <v>0.5</v>
      </c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6">
        <f>0.5/IF(Общие_или_заединицу="Общие трудозатраты",1,1)</f>
        <v>0.5</v>
      </c>
      <c r="AB443" s="47"/>
      <c r="AC443" s="47"/>
      <c r="AD443" s="47"/>
      <c r="AE443" s="47"/>
      <c r="AF443" s="47"/>
      <c r="AG443" s="47"/>
      <c r="AH443" s="47"/>
      <c r="AI443" s="47"/>
      <c r="AJ443" s="47"/>
      <c r="AK443" s="47"/>
      <c r="AL443" s="47"/>
      <c r="AM443" s="47"/>
      <c r="AN443" s="47"/>
      <c r="AO443" s="47"/>
      <c r="AP443" s="47"/>
      <c r="AQ443" s="47"/>
      <c r="AR443" s="47"/>
      <c r="AS443" s="47"/>
      <c r="AT443" s="47"/>
      <c r="AU443" s="47"/>
      <c r="AV443" s="47"/>
      <c r="AW443" s="47"/>
      <c r="AX443" s="47"/>
      <c r="AY443" s="47"/>
      <c r="AZ443" s="47"/>
      <c r="BA443" s="47"/>
      <c r="BB443" s="47"/>
      <c r="BC443" s="47"/>
    </row>
    <row r="444" spans="1:55" x14ac:dyDescent="0.25">
      <c r="A444" s="45" t="s">
        <v>1136</v>
      </c>
      <c r="B444" s="46">
        <f t="shared" si="8"/>
        <v>0.9</v>
      </c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6">
        <f>0.9/IF(Общие_или_заединицу="Общие трудозатраты",1,1)</f>
        <v>0.9</v>
      </c>
      <c r="AB444" s="47"/>
      <c r="AC444" s="47"/>
      <c r="AD444" s="47"/>
      <c r="AE444" s="47"/>
      <c r="AF444" s="47"/>
      <c r="AG444" s="47"/>
      <c r="AH444" s="47"/>
      <c r="AI444" s="47"/>
      <c r="AJ444" s="47"/>
      <c r="AK444" s="47"/>
      <c r="AL444" s="47"/>
      <c r="AM444" s="47"/>
      <c r="AN444" s="47"/>
      <c r="AO444" s="47"/>
      <c r="AP444" s="47"/>
      <c r="AQ444" s="47"/>
      <c r="AR444" s="47"/>
      <c r="AS444" s="47"/>
      <c r="AT444" s="47"/>
      <c r="AU444" s="47"/>
      <c r="AV444" s="47"/>
      <c r="AW444" s="47"/>
      <c r="AX444" s="47"/>
      <c r="AY444" s="47"/>
      <c r="AZ444" s="47"/>
      <c r="BA444" s="47"/>
      <c r="BB444" s="47"/>
      <c r="BC444" s="47"/>
    </row>
    <row r="445" spans="1:55" x14ac:dyDescent="0.25">
      <c r="A445" s="45" t="s">
        <v>1137</v>
      </c>
      <c r="B445" s="46">
        <f t="shared" si="8"/>
        <v>8.5</v>
      </c>
      <c r="C445" s="47"/>
      <c r="D445" s="47"/>
      <c r="E445" s="46">
        <f>6/IF(Общие_или_заединицу="Общие трудозатраты",1,1)</f>
        <v>6</v>
      </c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6">
        <f>2.5/IF(Общие_или_заединицу="Общие трудозатраты",1,1)</f>
        <v>2.5</v>
      </c>
      <c r="AB445" s="47"/>
      <c r="AC445" s="47"/>
      <c r="AD445" s="47"/>
      <c r="AE445" s="47"/>
      <c r="AF445" s="47"/>
      <c r="AG445" s="47"/>
      <c r="AH445" s="47"/>
      <c r="AI445" s="47"/>
      <c r="AJ445" s="47"/>
      <c r="AK445" s="47"/>
      <c r="AL445" s="47"/>
      <c r="AM445" s="47"/>
      <c r="AN445" s="47"/>
      <c r="AO445" s="47"/>
      <c r="AP445" s="47"/>
      <c r="AQ445" s="47"/>
      <c r="AR445" s="47"/>
      <c r="AS445" s="47"/>
      <c r="AT445" s="47"/>
      <c r="AU445" s="47"/>
      <c r="AV445" s="47"/>
      <c r="AW445" s="47"/>
      <c r="AX445" s="47"/>
      <c r="AY445" s="47"/>
      <c r="AZ445" s="47"/>
      <c r="BA445" s="47"/>
      <c r="BB445" s="47"/>
      <c r="BC445" s="47"/>
    </row>
    <row r="446" spans="1:55" x14ac:dyDescent="0.25">
      <c r="A446" s="45" t="s">
        <v>1138</v>
      </c>
      <c r="B446" s="46">
        <f t="shared" si="8"/>
        <v>6.5</v>
      </c>
      <c r="C446" s="47"/>
      <c r="D446" s="47"/>
      <c r="E446" s="46">
        <f>4/IF(Общие_или_заединицу="Общие трудозатраты",1,1)</f>
        <v>4</v>
      </c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6">
        <f>2.5/IF(Общие_или_заединицу="Общие трудозатраты",1,1)</f>
        <v>2.5</v>
      </c>
      <c r="T446" s="47"/>
      <c r="U446" s="47"/>
      <c r="V446" s="47"/>
      <c r="W446" s="47"/>
      <c r="X446" s="47"/>
      <c r="Y446" s="47"/>
      <c r="Z446" s="47"/>
      <c r="AA446" s="47"/>
      <c r="AB446" s="47"/>
      <c r="AC446" s="47"/>
      <c r="AD446" s="47"/>
      <c r="AE446" s="47"/>
      <c r="AF446" s="47"/>
      <c r="AG446" s="47"/>
      <c r="AH446" s="47"/>
      <c r="AI446" s="47"/>
      <c r="AJ446" s="47"/>
      <c r="AK446" s="47"/>
      <c r="AL446" s="47"/>
      <c r="AM446" s="47"/>
      <c r="AN446" s="47"/>
      <c r="AO446" s="47"/>
      <c r="AP446" s="47"/>
      <c r="AQ446" s="47"/>
      <c r="AR446" s="47"/>
      <c r="AS446" s="47"/>
      <c r="AT446" s="47"/>
      <c r="AU446" s="47"/>
      <c r="AV446" s="47"/>
      <c r="AW446" s="47"/>
      <c r="AX446" s="47"/>
      <c r="AY446" s="47"/>
      <c r="AZ446" s="47"/>
      <c r="BA446" s="47"/>
      <c r="BB446" s="47"/>
      <c r="BC446" s="47"/>
    </row>
    <row r="447" spans="1:55" x14ac:dyDescent="0.25">
      <c r="A447" s="45" t="s">
        <v>1084</v>
      </c>
      <c r="B447" s="46">
        <f t="shared" si="8"/>
        <v>25</v>
      </c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  <c r="AC447" s="47"/>
      <c r="AD447" s="47"/>
      <c r="AE447" s="47"/>
      <c r="AF447" s="47"/>
      <c r="AG447" s="47"/>
      <c r="AH447" s="46">
        <f>25/IF(Общие_или_заединицу="Общие трудозатраты",1,1)</f>
        <v>25</v>
      </c>
      <c r="AI447" s="47"/>
      <c r="AJ447" s="47"/>
      <c r="AK447" s="47"/>
      <c r="AL447" s="47"/>
      <c r="AM447" s="47"/>
      <c r="AN447" s="47"/>
      <c r="AO447" s="47"/>
      <c r="AP447" s="47"/>
      <c r="AQ447" s="47"/>
      <c r="AR447" s="47"/>
      <c r="AS447" s="47"/>
      <c r="AT447" s="47"/>
      <c r="AU447" s="47"/>
      <c r="AV447" s="47"/>
      <c r="AW447" s="47"/>
      <c r="AX447" s="47"/>
      <c r="AY447" s="47"/>
      <c r="AZ447" s="47"/>
      <c r="BA447" s="47"/>
      <c r="BB447" s="47"/>
      <c r="BC447" s="47"/>
    </row>
    <row r="448" spans="1:55" x14ac:dyDescent="0.25">
      <c r="A448" s="45" t="s">
        <v>1141</v>
      </c>
      <c r="B448" s="46">
        <f t="shared" si="8"/>
        <v>33</v>
      </c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6">
        <f>6/IF(Общие_или_заединицу="Общие трудозатраты",1,1)</f>
        <v>6</v>
      </c>
      <c r="U448" s="47"/>
      <c r="V448" s="47"/>
      <c r="W448" s="47"/>
      <c r="X448" s="46">
        <f>2/IF(Общие_или_заединицу="Общие трудозатраты",1,1)</f>
        <v>2</v>
      </c>
      <c r="Y448" s="47"/>
      <c r="Z448" s="47"/>
      <c r="AA448" s="47"/>
      <c r="AB448" s="47"/>
      <c r="AC448" s="47"/>
      <c r="AD448" s="47"/>
      <c r="AE448" s="47"/>
      <c r="AF448" s="47"/>
      <c r="AG448" s="47"/>
      <c r="AH448" s="47"/>
      <c r="AI448" s="47"/>
      <c r="AJ448" s="47"/>
      <c r="AK448" s="47"/>
      <c r="AL448" s="47"/>
      <c r="AM448" s="47"/>
      <c r="AN448" s="47"/>
      <c r="AO448" s="47"/>
      <c r="AP448" s="47"/>
      <c r="AQ448" s="47"/>
      <c r="AR448" s="47"/>
      <c r="AS448" s="47"/>
      <c r="AT448" s="47"/>
      <c r="AU448" s="47"/>
      <c r="AV448" s="47"/>
      <c r="AW448" s="46">
        <f>10/IF(Общие_или_заединицу="Общие трудозатраты",1,1)</f>
        <v>10</v>
      </c>
      <c r="AX448" s="47"/>
      <c r="AY448" s="46">
        <f>5/IF(Общие_или_заединицу="Общие трудозатраты",1,1)</f>
        <v>5</v>
      </c>
      <c r="AZ448" s="46">
        <f>10/IF(Общие_или_заединицу="Общие трудозатраты",1,1)</f>
        <v>10</v>
      </c>
      <c r="BA448" s="47"/>
      <c r="BB448" s="47"/>
      <c r="BC448" s="47"/>
    </row>
    <row r="449" spans="1:55" x14ac:dyDescent="0.25">
      <c r="A449" s="45" t="s">
        <v>1142</v>
      </c>
      <c r="B449" s="46">
        <f t="shared" si="8"/>
        <v>38</v>
      </c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6">
        <f>12/IF(Общие_или_заединицу="Общие трудозатраты",1,2)</f>
        <v>6</v>
      </c>
      <c r="U449" s="47"/>
      <c r="V449" s="47"/>
      <c r="W449" s="47"/>
      <c r="X449" s="46">
        <f>4/IF(Общие_или_заединицу="Общие трудозатраты",1,2)</f>
        <v>2</v>
      </c>
      <c r="Y449" s="47"/>
      <c r="Z449" s="47"/>
      <c r="AA449" s="47"/>
      <c r="AB449" s="47"/>
      <c r="AC449" s="47"/>
      <c r="AD449" s="47"/>
      <c r="AE449" s="47"/>
      <c r="AF449" s="47"/>
      <c r="AG449" s="47"/>
      <c r="AH449" s="47"/>
      <c r="AI449" s="47"/>
      <c r="AJ449" s="47"/>
      <c r="AK449" s="47"/>
      <c r="AL449" s="47"/>
      <c r="AM449" s="47"/>
      <c r="AN449" s="47"/>
      <c r="AO449" s="47"/>
      <c r="AP449" s="47"/>
      <c r="AQ449" s="47"/>
      <c r="AR449" s="47"/>
      <c r="AS449" s="47"/>
      <c r="AT449" s="47"/>
      <c r="AU449" s="47"/>
      <c r="AV449" s="47"/>
      <c r="AW449" s="46">
        <f>20/IF(Общие_или_заединицу="Общие трудозатраты",1,2)</f>
        <v>10</v>
      </c>
      <c r="AX449" s="47"/>
      <c r="AY449" s="47"/>
      <c r="AZ449" s="46">
        <f>40/IF(Общие_или_заединицу="Общие трудозатраты",1,2)</f>
        <v>20</v>
      </c>
      <c r="BA449" s="47"/>
      <c r="BB449" s="47"/>
      <c r="BC449" s="47"/>
    </row>
    <row r="450" spans="1:55" x14ac:dyDescent="0.25">
      <c r="A450" s="45" t="s">
        <v>1143</v>
      </c>
      <c r="B450" s="46">
        <f t="shared" si="8"/>
        <v>58</v>
      </c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6">
        <f>6/IF(Общие_или_заединицу="Общие трудозатраты",1,1)</f>
        <v>6</v>
      </c>
      <c r="U450" s="47"/>
      <c r="V450" s="47"/>
      <c r="W450" s="47"/>
      <c r="X450" s="46">
        <f>2/IF(Общие_или_заединицу="Общие трудозатраты",1,1)</f>
        <v>2</v>
      </c>
      <c r="Y450" s="47"/>
      <c r="Z450" s="47"/>
      <c r="AA450" s="47"/>
      <c r="AB450" s="47"/>
      <c r="AC450" s="47"/>
      <c r="AD450" s="47"/>
      <c r="AE450" s="47"/>
      <c r="AF450" s="47"/>
      <c r="AG450" s="47"/>
      <c r="AH450" s="47"/>
      <c r="AI450" s="47"/>
      <c r="AJ450" s="47"/>
      <c r="AK450" s="47"/>
      <c r="AL450" s="47"/>
      <c r="AM450" s="47"/>
      <c r="AN450" s="47"/>
      <c r="AO450" s="47"/>
      <c r="AP450" s="47"/>
      <c r="AQ450" s="47"/>
      <c r="AR450" s="47"/>
      <c r="AS450" s="47"/>
      <c r="AT450" s="47"/>
      <c r="AU450" s="47"/>
      <c r="AV450" s="46">
        <f>25/IF(Общие_или_заединицу="Общие трудозатраты",1,1)</f>
        <v>25</v>
      </c>
      <c r="AW450" s="46">
        <f>15/IF(Общие_или_заединицу="Общие трудозатраты",1,1)</f>
        <v>15</v>
      </c>
      <c r="AX450" s="47"/>
      <c r="AY450" s="47"/>
      <c r="AZ450" s="46">
        <f>10/IF(Общие_или_заединицу="Общие трудозатраты",1,1)</f>
        <v>10</v>
      </c>
      <c r="BA450" s="47"/>
      <c r="BB450" s="47"/>
      <c r="BC450" s="47"/>
    </row>
    <row r="451" spans="1:55" x14ac:dyDescent="0.25">
      <c r="A451" s="45" t="s">
        <v>1144</v>
      </c>
      <c r="B451" s="46">
        <f t="shared" si="8"/>
        <v>1.7999999999999998</v>
      </c>
      <c r="C451" s="47"/>
      <c r="D451" s="46">
        <f>12/IF(Общие_или_заединицу="Общие трудозатраты",1,24)</f>
        <v>0.5</v>
      </c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6">
        <f>4.8/IF(Общие_или_заединицу="Общие трудозатраты",1,24)</f>
        <v>0.19999999999999998</v>
      </c>
      <c r="T451" s="47"/>
      <c r="U451" s="47"/>
      <c r="V451" s="47"/>
      <c r="W451" s="46">
        <f>26.4/IF(Общие_или_заединицу="Общие трудозатраты",1,24)</f>
        <v>1.0999999999999999</v>
      </c>
      <c r="X451" s="47"/>
      <c r="Y451" s="47"/>
      <c r="Z451" s="47"/>
      <c r="AA451" s="47"/>
      <c r="AB451" s="47"/>
      <c r="AC451" s="47"/>
      <c r="AD451" s="47"/>
      <c r="AE451" s="47"/>
      <c r="AF451" s="47"/>
      <c r="AG451" s="47"/>
      <c r="AH451" s="47"/>
      <c r="AI451" s="47"/>
      <c r="AJ451" s="47"/>
      <c r="AK451" s="47"/>
      <c r="AL451" s="47"/>
      <c r="AM451" s="47"/>
      <c r="AN451" s="47"/>
      <c r="AO451" s="47"/>
      <c r="AP451" s="47"/>
      <c r="AQ451" s="47"/>
      <c r="AR451" s="47"/>
      <c r="AS451" s="47"/>
      <c r="AT451" s="47"/>
      <c r="AU451" s="47"/>
      <c r="AV451" s="47"/>
      <c r="AW451" s="47"/>
      <c r="AX451" s="47"/>
      <c r="AY451" s="47"/>
      <c r="AZ451" s="47"/>
      <c r="BA451" s="47"/>
      <c r="BB451" s="47"/>
      <c r="BC451" s="47"/>
    </row>
    <row r="452" spans="1:55" x14ac:dyDescent="0.25">
      <c r="A452" s="45" t="s">
        <v>1139</v>
      </c>
      <c r="B452" s="46">
        <f t="shared" ref="B452:B515" si="9">SUM(C452:BC452)</f>
        <v>37</v>
      </c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6">
        <f>24/IF(Общие_или_заединицу="Общие трудозатраты",1,2)</f>
        <v>12</v>
      </c>
      <c r="X452" s="47"/>
      <c r="Y452" s="47"/>
      <c r="Z452" s="47"/>
      <c r="AA452" s="47"/>
      <c r="AB452" s="47"/>
      <c r="AC452" s="47"/>
      <c r="AD452" s="47"/>
      <c r="AE452" s="47"/>
      <c r="AF452" s="47"/>
      <c r="AG452" s="47"/>
      <c r="AH452" s="47"/>
      <c r="AI452" s="47"/>
      <c r="AJ452" s="47"/>
      <c r="AK452" s="47"/>
      <c r="AL452" s="47"/>
      <c r="AM452" s="47"/>
      <c r="AN452" s="47"/>
      <c r="AO452" s="46">
        <f>50/IF(Общие_или_заединицу="Общие трудозатраты",1,2)</f>
        <v>25</v>
      </c>
      <c r="AP452" s="47"/>
      <c r="AQ452" s="47"/>
      <c r="AR452" s="47"/>
      <c r="AS452" s="47"/>
      <c r="AT452" s="47"/>
      <c r="AU452" s="47"/>
      <c r="AV452" s="47"/>
      <c r="AW452" s="47"/>
      <c r="AX452" s="47"/>
      <c r="AY452" s="47"/>
      <c r="AZ452" s="47"/>
      <c r="BA452" s="47"/>
      <c r="BB452" s="47"/>
      <c r="BC452" s="47"/>
    </row>
    <row r="453" spans="1:55" x14ac:dyDescent="0.25">
      <c r="A453" s="45" t="s">
        <v>1140</v>
      </c>
      <c r="B453" s="46">
        <f t="shared" si="9"/>
        <v>35.5</v>
      </c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6">
        <f>12/IF(Общие_или_заединицу="Общие трудозатраты",1,1)</f>
        <v>12</v>
      </c>
      <c r="X453" s="47"/>
      <c r="Y453" s="47"/>
      <c r="Z453" s="47"/>
      <c r="AA453" s="47"/>
      <c r="AB453" s="47"/>
      <c r="AC453" s="47"/>
      <c r="AD453" s="47"/>
      <c r="AE453" s="47"/>
      <c r="AF453" s="47"/>
      <c r="AG453" s="47"/>
      <c r="AH453" s="47"/>
      <c r="AI453" s="47"/>
      <c r="AJ453" s="47"/>
      <c r="AK453" s="47"/>
      <c r="AL453" s="47"/>
      <c r="AM453" s="47"/>
      <c r="AN453" s="47"/>
      <c r="AO453" s="46">
        <f>23.5/IF(Общие_или_заединицу="Общие трудозатраты",1,1)</f>
        <v>23.5</v>
      </c>
      <c r="AP453" s="47"/>
      <c r="AQ453" s="47"/>
      <c r="AR453" s="47"/>
      <c r="AS453" s="47"/>
      <c r="AT453" s="47"/>
      <c r="AU453" s="47"/>
      <c r="AV453" s="47"/>
      <c r="AW453" s="47"/>
      <c r="AX453" s="47"/>
      <c r="AY453" s="47"/>
      <c r="AZ453" s="47"/>
      <c r="BA453" s="47"/>
      <c r="BB453" s="47"/>
      <c r="BC453" s="47"/>
    </row>
    <row r="454" spans="1:55" x14ac:dyDescent="0.25">
      <c r="A454" s="45" t="s">
        <v>1148</v>
      </c>
      <c r="B454" s="46">
        <f t="shared" si="9"/>
        <v>0.3</v>
      </c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6">
        <f>1.8/IF(Общие_или_заединицу="Общие трудозатраты",1,6)</f>
        <v>0.3</v>
      </c>
      <c r="T454" s="47"/>
      <c r="U454" s="47"/>
      <c r="V454" s="47"/>
      <c r="W454" s="47"/>
      <c r="X454" s="47"/>
      <c r="Y454" s="47"/>
      <c r="Z454" s="47"/>
      <c r="AA454" s="47"/>
      <c r="AB454" s="47"/>
      <c r="AC454" s="47"/>
      <c r="AD454" s="47"/>
      <c r="AE454" s="47"/>
      <c r="AF454" s="47"/>
      <c r="AG454" s="47"/>
      <c r="AH454" s="47"/>
      <c r="AI454" s="47"/>
      <c r="AJ454" s="47"/>
      <c r="AK454" s="47"/>
      <c r="AL454" s="47"/>
      <c r="AM454" s="47"/>
      <c r="AN454" s="47"/>
      <c r="AO454" s="47"/>
      <c r="AP454" s="47"/>
      <c r="AQ454" s="47"/>
      <c r="AR454" s="47"/>
      <c r="AS454" s="47"/>
      <c r="AT454" s="47"/>
      <c r="AU454" s="47"/>
      <c r="AV454" s="47"/>
      <c r="AW454" s="47"/>
      <c r="AX454" s="47"/>
      <c r="AY454" s="47"/>
      <c r="AZ454" s="47"/>
      <c r="BA454" s="47"/>
      <c r="BB454" s="47"/>
      <c r="BC454" s="47"/>
    </row>
    <row r="455" spans="1:55" x14ac:dyDescent="0.25">
      <c r="A455" s="45" t="s">
        <v>1147</v>
      </c>
      <c r="B455" s="46">
        <f t="shared" si="9"/>
        <v>64</v>
      </c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  <c r="AC455" s="47"/>
      <c r="AD455" s="47"/>
      <c r="AE455" s="47"/>
      <c r="AF455" s="47"/>
      <c r="AG455" s="47"/>
      <c r="AH455" s="47"/>
      <c r="AI455" s="47"/>
      <c r="AJ455" s="47"/>
      <c r="AK455" s="47"/>
      <c r="AL455" s="47"/>
      <c r="AM455" s="47"/>
      <c r="AN455" s="47"/>
      <c r="AO455" s="46">
        <f>12/IF(Общие_или_заединицу="Общие трудозатраты",1,3)</f>
        <v>4</v>
      </c>
      <c r="AP455" s="47"/>
      <c r="AQ455" s="47"/>
      <c r="AR455" s="47"/>
      <c r="AS455" s="47"/>
      <c r="AT455" s="47"/>
      <c r="AU455" s="47"/>
      <c r="AV455" s="47"/>
      <c r="AW455" s="46">
        <f>15/IF(Общие_или_заединицу="Общие трудозатраты",1,3)</f>
        <v>5</v>
      </c>
      <c r="AX455" s="47"/>
      <c r="AY455" s="47"/>
      <c r="AZ455" s="46">
        <f>165/IF(Общие_или_заединицу="Общие трудозатраты",1,3)</f>
        <v>55</v>
      </c>
      <c r="BA455" s="47"/>
      <c r="BB455" s="47"/>
      <c r="BC455" s="47"/>
    </row>
    <row r="456" spans="1:55" x14ac:dyDescent="0.25">
      <c r="A456" s="45" t="s">
        <v>1149</v>
      </c>
      <c r="B456" s="46">
        <f t="shared" si="9"/>
        <v>20</v>
      </c>
      <c r="C456" s="47"/>
      <c r="D456" s="47"/>
      <c r="E456" s="47"/>
      <c r="F456" s="47"/>
      <c r="G456" s="47"/>
      <c r="H456" s="47"/>
      <c r="I456" s="47"/>
      <c r="J456" s="47"/>
      <c r="K456" s="47"/>
      <c r="L456" s="46">
        <f>24/IF(Общие_или_заединицу="Общие трудозатраты",1,3)</f>
        <v>8</v>
      </c>
      <c r="M456" s="47"/>
      <c r="N456" s="47"/>
      <c r="O456" s="47"/>
      <c r="P456" s="47"/>
      <c r="Q456" s="47"/>
      <c r="R456" s="47"/>
      <c r="S456" s="47"/>
      <c r="T456" s="46">
        <f>36/IF(Общие_или_заединицу="Общие трудозатраты",1,3)</f>
        <v>12</v>
      </c>
      <c r="U456" s="47"/>
      <c r="V456" s="47"/>
      <c r="W456" s="47"/>
      <c r="X456" s="47"/>
      <c r="Y456" s="47"/>
      <c r="Z456" s="47"/>
      <c r="AA456" s="47"/>
      <c r="AB456" s="47"/>
      <c r="AC456" s="47"/>
      <c r="AD456" s="47"/>
      <c r="AE456" s="47"/>
      <c r="AF456" s="47"/>
      <c r="AG456" s="47"/>
      <c r="AH456" s="47"/>
      <c r="AI456" s="47"/>
      <c r="AJ456" s="47"/>
      <c r="AK456" s="47"/>
      <c r="AL456" s="47"/>
      <c r="AM456" s="47"/>
      <c r="AN456" s="47"/>
      <c r="AO456" s="47"/>
      <c r="AP456" s="47"/>
      <c r="AQ456" s="47"/>
      <c r="AR456" s="47"/>
      <c r="AS456" s="47"/>
      <c r="AT456" s="47"/>
      <c r="AU456" s="47"/>
      <c r="AV456" s="47"/>
      <c r="AW456" s="47"/>
      <c r="AX456" s="47"/>
      <c r="AY456" s="47"/>
      <c r="AZ456" s="47"/>
      <c r="BA456" s="47"/>
      <c r="BB456" s="47"/>
      <c r="BC456" s="47"/>
    </row>
    <row r="457" spans="1:55" x14ac:dyDescent="0.25">
      <c r="A457" s="45" t="s">
        <v>1150</v>
      </c>
      <c r="B457" s="46">
        <f t="shared" si="9"/>
        <v>19</v>
      </c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6">
        <f>42/IF(Общие_или_заединицу="Общие трудозатраты",1,6)</f>
        <v>7</v>
      </c>
      <c r="U457" s="47"/>
      <c r="V457" s="47"/>
      <c r="W457" s="47"/>
      <c r="X457" s="47"/>
      <c r="Y457" s="47"/>
      <c r="Z457" s="47"/>
      <c r="AA457" s="47"/>
      <c r="AB457" s="47"/>
      <c r="AC457" s="47"/>
      <c r="AD457" s="47"/>
      <c r="AE457" s="47"/>
      <c r="AF457" s="47"/>
      <c r="AG457" s="47"/>
      <c r="AH457" s="47"/>
      <c r="AI457" s="47"/>
      <c r="AJ457" s="47"/>
      <c r="AK457" s="47"/>
      <c r="AL457" s="47"/>
      <c r="AM457" s="47"/>
      <c r="AN457" s="47"/>
      <c r="AO457" s="47"/>
      <c r="AP457" s="47"/>
      <c r="AQ457" s="47"/>
      <c r="AR457" s="47"/>
      <c r="AS457" s="47"/>
      <c r="AT457" s="47"/>
      <c r="AU457" s="47"/>
      <c r="AV457" s="47"/>
      <c r="AW457" s="46">
        <f>72/IF(Общие_или_заединицу="Общие трудозатраты",1,6)</f>
        <v>12</v>
      </c>
      <c r="AX457" s="47"/>
      <c r="AY457" s="47"/>
      <c r="AZ457" s="47"/>
      <c r="BA457" s="47"/>
      <c r="BB457" s="47"/>
      <c r="BC457" s="47"/>
    </row>
    <row r="458" spans="1:55" x14ac:dyDescent="0.25">
      <c r="A458" s="45" t="s">
        <v>1085</v>
      </c>
      <c r="B458" s="46">
        <f t="shared" si="9"/>
        <v>10</v>
      </c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  <c r="AC458" s="47"/>
      <c r="AD458" s="47"/>
      <c r="AE458" s="47"/>
      <c r="AF458" s="47"/>
      <c r="AG458" s="47"/>
      <c r="AH458" s="46">
        <f>10/IF(Общие_или_заединицу="Общие трудозатраты",1,1)</f>
        <v>10</v>
      </c>
      <c r="AI458" s="47"/>
      <c r="AJ458" s="47"/>
      <c r="AK458" s="47"/>
      <c r="AL458" s="47"/>
      <c r="AM458" s="47"/>
      <c r="AN458" s="47"/>
      <c r="AO458" s="47"/>
      <c r="AP458" s="47"/>
      <c r="AQ458" s="47"/>
      <c r="AR458" s="47"/>
      <c r="AS458" s="47"/>
      <c r="AT458" s="47"/>
      <c r="AU458" s="47"/>
      <c r="AV458" s="47"/>
      <c r="AW458" s="47"/>
      <c r="AX458" s="47"/>
      <c r="AY458" s="47"/>
      <c r="AZ458" s="47"/>
      <c r="BA458" s="47"/>
      <c r="BB458" s="47"/>
      <c r="BC458" s="47"/>
    </row>
    <row r="459" spans="1:55" x14ac:dyDescent="0.25">
      <c r="A459" s="45" t="s">
        <v>1151</v>
      </c>
      <c r="B459" s="46">
        <f t="shared" si="9"/>
        <v>19.399999999999999</v>
      </c>
      <c r="C459" s="47"/>
      <c r="D459" s="47"/>
      <c r="E459" s="46">
        <f>16/IF(Общие_или_заединицу="Общие трудозатраты",1,1)</f>
        <v>16</v>
      </c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6">
        <f>3.4/IF(Общие_или_заединицу="Общие трудозатраты",1,1)</f>
        <v>3.4</v>
      </c>
      <c r="T459" s="47"/>
      <c r="U459" s="47"/>
      <c r="V459" s="47"/>
      <c r="W459" s="47"/>
      <c r="X459" s="47"/>
      <c r="Y459" s="47"/>
      <c r="Z459" s="47"/>
      <c r="AA459" s="47"/>
      <c r="AB459" s="47"/>
      <c r="AC459" s="47"/>
      <c r="AD459" s="47"/>
      <c r="AE459" s="47"/>
      <c r="AF459" s="47"/>
      <c r="AG459" s="47"/>
      <c r="AH459" s="47"/>
      <c r="AI459" s="47"/>
      <c r="AJ459" s="47"/>
      <c r="AK459" s="47"/>
      <c r="AL459" s="47"/>
      <c r="AM459" s="47"/>
      <c r="AN459" s="47"/>
      <c r="AO459" s="47"/>
      <c r="AP459" s="47"/>
      <c r="AQ459" s="47"/>
      <c r="AR459" s="47"/>
      <c r="AS459" s="47"/>
      <c r="AT459" s="47"/>
      <c r="AU459" s="47"/>
      <c r="AV459" s="47"/>
      <c r="AW459" s="47"/>
      <c r="AX459" s="47"/>
      <c r="AY459" s="47"/>
      <c r="AZ459" s="47"/>
      <c r="BA459" s="47"/>
      <c r="BB459" s="47"/>
      <c r="BC459" s="47"/>
    </row>
    <row r="460" spans="1:55" x14ac:dyDescent="0.25">
      <c r="A460" s="45" t="s">
        <v>1152</v>
      </c>
      <c r="B460" s="46">
        <f t="shared" si="9"/>
        <v>19.700000000000003</v>
      </c>
      <c r="C460" s="47"/>
      <c r="D460" s="47"/>
      <c r="E460" s="46">
        <f>12/IF(Общие_или_заединицу="Общие трудозатраты",1,1)</f>
        <v>12</v>
      </c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  <c r="AC460" s="47"/>
      <c r="AD460" s="46">
        <f>2.2/IF(Общие_или_заединицу="Общие трудозатраты",1,1)*IF(Пробивка="Стандартная пробивная",1,3.5)</f>
        <v>7.7000000000000011</v>
      </c>
      <c r="AE460" s="47"/>
      <c r="AF460" s="47"/>
      <c r="AG460" s="47"/>
      <c r="AH460" s="47"/>
      <c r="AI460" s="47"/>
      <c r="AJ460" s="47"/>
      <c r="AK460" s="47"/>
      <c r="AL460" s="47"/>
      <c r="AM460" s="47"/>
      <c r="AN460" s="47"/>
      <c r="AO460" s="47"/>
      <c r="AP460" s="47"/>
      <c r="AQ460" s="47"/>
      <c r="AR460" s="47"/>
      <c r="AS460" s="47"/>
      <c r="AT460" s="47"/>
      <c r="AU460" s="47"/>
      <c r="AV460" s="47"/>
      <c r="AW460" s="47"/>
      <c r="AX460" s="47"/>
      <c r="AY460" s="47"/>
      <c r="AZ460" s="47"/>
      <c r="BA460" s="47"/>
      <c r="BB460" s="47"/>
      <c r="BC460" s="47"/>
    </row>
    <row r="461" spans="1:55" x14ac:dyDescent="0.25">
      <c r="A461" s="45" t="s">
        <v>1153</v>
      </c>
      <c r="B461" s="46">
        <f t="shared" si="9"/>
        <v>10</v>
      </c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  <c r="AC461" s="47"/>
      <c r="AD461" s="47"/>
      <c r="AE461" s="47"/>
      <c r="AF461" s="47"/>
      <c r="AG461" s="47"/>
      <c r="AH461" s="47"/>
      <c r="AI461" s="47"/>
      <c r="AJ461" s="47"/>
      <c r="AK461" s="47"/>
      <c r="AL461" s="47"/>
      <c r="AM461" s="47"/>
      <c r="AN461" s="47"/>
      <c r="AO461" s="47"/>
      <c r="AP461" s="47"/>
      <c r="AQ461" s="47"/>
      <c r="AR461" s="47"/>
      <c r="AS461" s="47"/>
      <c r="AT461" s="47"/>
      <c r="AU461" s="47"/>
      <c r="AV461" s="47"/>
      <c r="AW461" s="47"/>
      <c r="AX461" s="47"/>
      <c r="AY461" s="47"/>
      <c r="AZ461" s="47"/>
      <c r="BA461" s="46">
        <f>20/IF(Общие_или_заединицу="Общие трудозатраты",1,2)</f>
        <v>10</v>
      </c>
      <c r="BB461" s="47"/>
      <c r="BC461" s="47"/>
    </row>
    <row r="462" spans="1:55" x14ac:dyDescent="0.25">
      <c r="A462" s="45" t="s">
        <v>1086</v>
      </c>
      <c r="B462" s="46">
        <f t="shared" si="9"/>
        <v>5</v>
      </c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  <c r="AC462" s="47"/>
      <c r="AD462" s="47"/>
      <c r="AE462" s="47"/>
      <c r="AF462" s="47"/>
      <c r="AG462" s="47"/>
      <c r="AH462" s="46">
        <f>5/IF(Общие_или_заединицу="Общие трудозатраты",1,1)</f>
        <v>5</v>
      </c>
      <c r="AI462" s="47"/>
      <c r="AJ462" s="47"/>
      <c r="AK462" s="47"/>
      <c r="AL462" s="47"/>
      <c r="AM462" s="47"/>
      <c r="AN462" s="47"/>
      <c r="AO462" s="47"/>
      <c r="AP462" s="47"/>
      <c r="AQ462" s="47"/>
      <c r="AR462" s="47"/>
      <c r="AS462" s="47"/>
      <c r="AT462" s="47"/>
      <c r="AU462" s="47"/>
      <c r="AV462" s="47"/>
      <c r="AW462" s="47"/>
      <c r="AX462" s="47"/>
      <c r="AY462" s="47"/>
      <c r="AZ462" s="47"/>
      <c r="BA462" s="47"/>
      <c r="BB462" s="47"/>
      <c r="BC462" s="47"/>
    </row>
    <row r="463" spans="1:55" x14ac:dyDescent="0.25">
      <c r="A463" s="45" t="s">
        <v>1154</v>
      </c>
      <c r="B463" s="46">
        <f t="shared" si="9"/>
        <v>17.5</v>
      </c>
      <c r="C463" s="47"/>
      <c r="D463" s="47"/>
      <c r="E463" s="46">
        <f>12/IF(Общие_или_заединицу="Общие трудозатраты",1,1)</f>
        <v>12</v>
      </c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6">
        <f>5.5/IF(Общие_или_заединицу="Общие трудозатраты",1,1)</f>
        <v>5.5</v>
      </c>
      <c r="T463" s="47"/>
      <c r="U463" s="47"/>
      <c r="V463" s="47"/>
      <c r="W463" s="47"/>
      <c r="X463" s="47"/>
      <c r="Y463" s="47"/>
      <c r="Z463" s="47"/>
      <c r="AA463" s="47"/>
      <c r="AB463" s="47"/>
      <c r="AC463" s="47"/>
      <c r="AD463" s="47"/>
      <c r="AE463" s="47"/>
      <c r="AF463" s="47"/>
      <c r="AG463" s="47"/>
      <c r="AH463" s="47"/>
      <c r="AI463" s="47"/>
      <c r="AJ463" s="47"/>
      <c r="AK463" s="47"/>
      <c r="AL463" s="47"/>
      <c r="AM463" s="47"/>
      <c r="AN463" s="47"/>
      <c r="AO463" s="47"/>
      <c r="AP463" s="47"/>
      <c r="AQ463" s="47"/>
      <c r="AR463" s="47"/>
      <c r="AS463" s="47"/>
      <c r="AT463" s="47"/>
      <c r="AU463" s="47"/>
      <c r="AV463" s="47"/>
      <c r="AW463" s="47"/>
      <c r="AX463" s="47"/>
      <c r="AY463" s="47"/>
      <c r="AZ463" s="47"/>
      <c r="BA463" s="47"/>
      <c r="BB463" s="47"/>
      <c r="BC463" s="47"/>
    </row>
    <row r="464" spans="1:55" x14ac:dyDescent="0.25">
      <c r="A464" s="45" t="s">
        <v>1156</v>
      </c>
      <c r="B464" s="46">
        <f t="shared" si="9"/>
        <v>65</v>
      </c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6">
        <f>35/IF(Общие_или_заединицу="Общие трудозатраты",1,7)</f>
        <v>5</v>
      </c>
      <c r="Q464" s="46">
        <f>420/IF(Общие_или_заединицу="Общие трудозатраты",1,7)</f>
        <v>60</v>
      </c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  <c r="AC464" s="47"/>
      <c r="AD464" s="47"/>
      <c r="AE464" s="47"/>
      <c r="AF464" s="47"/>
      <c r="AG464" s="47"/>
      <c r="AH464" s="47"/>
      <c r="AI464" s="47"/>
      <c r="AJ464" s="47"/>
      <c r="AK464" s="47"/>
      <c r="AL464" s="47"/>
      <c r="AM464" s="47"/>
      <c r="AN464" s="47"/>
      <c r="AO464" s="47"/>
      <c r="AP464" s="47"/>
      <c r="AQ464" s="47"/>
      <c r="AR464" s="47"/>
      <c r="AS464" s="47"/>
      <c r="AT464" s="47"/>
      <c r="AU464" s="47"/>
      <c r="AV464" s="47"/>
      <c r="AW464" s="47"/>
      <c r="AX464" s="47"/>
      <c r="AY464" s="47"/>
      <c r="AZ464" s="47"/>
      <c r="BA464" s="47"/>
      <c r="BB464" s="47"/>
      <c r="BC464" s="47"/>
    </row>
    <row r="465" spans="1:55" x14ac:dyDescent="0.25">
      <c r="A465" s="45" t="s">
        <v>1157</v>
      </c>
      <c r="B465" s="46">
        <f t="shared" si="9"/>
        <v>29</v>
      </c>
      <c r="C465" s="47"/>
      <c r="D465" s="47"/>
      <c r="E465" s="46">
        <f t="shared" ref="E465:E470" si="10">56/IF(Общие_или_заединицу="Общие трудозатраты",1,7)</f>
        <v>8</v>
      </c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6">
        <f>42/IF(Общие_или_заединицу="Общие трудозатраты",1,7)*IF(Пробивка="Стандартная пробивная",1,3.5)</f>
        <v>21</v>
      </c>
      <c r="AE465" s="47"/>
      <c r="AF465" s="47"/>
      <c r="AG465" s="47"/>
      <c r="AH465" s="47"/>
      <c r="AI465" s="47"/>
      <c r="AJ465" s="47"/>
      <c r="AK465" s="47"/>
      <c r="AL465" s="47"/>
      <c r="AM465" s="47"/>
      <c r="AN465" s="47"/>
      <c r="AO465" s="47"/>
      <c r="AP465" s="47"/>
      <c r="AQ465" s="47"/>
      <c r="AR465" s="47"/>
      <c r="AS465" s="47"/>
      <c r="AT465" s="47"/>
      <c r="AU465" s="47"/>
      <c r="AV465" s="47"/>
      <c r="AW465" s="47"/>
      <c r="AX465" s="47"/>
      <c r="AY465" s="47"/>
      <c r="AZ465" s="47"/>
      <c r="BA465" s="47"/>
      <c r="BB465" s="47"/>
      <c r="BC465" s="47"/>
    </row>
    <row r="466" spans="1:55" x14ac:dyDescent="0.25">
      <c r="A466" s="45" t="s">
        <v>1158</v>
      </c>
      <c r="B466" s="46">
        <f t="shared" si="9"/>
        <v>25.5</v>
      </c>
      <c r="C466" s="47"/>
      <c r="D466" s="47"/>
      <c r="E466" s="46">
        <f t="shared" si="10"/>
        <v>8</v>
      </c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  <c r="AC466" s="47"/>
      <c r="AD466" s="46">
        <f>35/IF(Общие_или_заединицу="Общие трудозатраты",1,7)*IF(Пробивка="Стандартная пробивная",1,3.5)</f>
        <v>17.5</v>
      </c>
      <c r="AE466" s="47"/>
      <c r="AF466" s="47"/>
      <c r="AG466" s="47"/>
      <c r="AH466" s="47"/>
      <c r="AI466" s="47"/>
      <c r="AJ466" s="47"/>
      <c r="AK466" s="47"/>
      <c r="AL466" s="47"/>
      <c r="AM466" s="47"/>
      <c r="AN466" s="47"/>
      <c r="AO466" s="47"/>
      <c r="AP466" s="47"/>
      <c r="AQ466" s="47"/>
      <c r="AR466" s="47"/>
      <c r="AS466" s="47"/>
      <c r="AT466" s="47"/>
      <c r="AU466" s="47"/>
      <c r="AV466" s="47"/>
      <c r="AW466" s="47"/>
      <c r="AX466" s="47"/>
      <c r="AY466" s="47"/>
      <c r="AZ466" s="47"/>
      <c r="BA466" s="47"/>
      <c r="BB466" s="47"/>
      <c r="BC466" s="47"/>
    </row>
    <row r="467" spans="1:55" x14ac:dyDescent="0.25">
      <c r="A467" s="45" t="s">
        <v>1159</v>
      </c>
      <c r="B467" s="46">
        <f t="shared" si="9"/>
        <v>25.5</v>
      </c>
      <c r="C467" s="47"/>
      <c r="D467" s="47"/>
      <c r="E467" s="46">
        <f t="shared" si="10"/>
        <v>8</v>
      </c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  <c r="AC467" s="47"/>
      <c r="AD467" s="46">
        <f>35/IF(Общие_или_заединицу="Общие трудозатраты",1,7)*IF(Пробивка="Стандартная пробивная",1,3.5)</f>
        <v>17.5</v>
      </c>
      <c r="AE467" s="47"/>
      <c r="AF467" s="47"/>
      <c r="AG467" s="47"/>
      <c r="AH467" s="47"/>
      <c r="AI467" s="47"/>
      <c r="AJ467" s="47"/>
      <c r="AK467" s="47"/>
      <c r="AL467" s="47"/>
      <c r="AM467" s="47"/>
      <c r="AN467" s="47"/>
      <c r="AO467" s="47"/>
      <c r="AP467" s="47"/>
      <c r="AQ467" s="47"/>
      <c r="AR467" s="47"/>
      <c r="AS467" s="47"/>
      <c r="AT467" s="47"/>
      <c r="AU467" s="47"/>
      <c r="AV467" s="47"/>
      <c r="AW467" s="47"/>
      <c r="AX467" s="47"/>
      <c r="AY467" s="47"/>
      <c r="AZ467" s="47"/>
      <c r="BA467" s="47"/>
      <c r="BB467" s="47"/>
      <c r="BC467" s="47"/>
    </row>
    <row r="468" spans="1:55" x14ac:dyDescent="0.25">
      <c r="A468" s="45" t="s">
        <v>1160</v>
      </c>
      <c r="B468" s="46">
        <f t="shared" si="9"/>
        <v>25.5</v>
      </c>
      <c r="C468" s="47"/>
      <c r="D468" s="47"/>
      <c r="E468" s="46">
        <f t="shared" si="10"/>
        <v>8</v>
      </c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  <c r="AC468" s="47"/>
      <c r="AD468" s="46">
        <f>35/IF(Общие_или_заединицу="Общие трудозатраты",1,7)*IF(Пробивка="Стандартная пробивная",1,3.5)</f>
        <v>17.5</v>
      </c>
      <c r="AE468" s="47"/>
      <c r="AF468" s="47"/>
      <c r="AG468" s="47"/>
      <c r="AH468" s="47"/>
      <c r="AI468" s="47"/>
      <c r="AJ468" s="47"/>
      <c r="AK468" s="47"/>
      <c r="AL468" s="47"/>
      <c r="AM468" s="47"/>
      <c r="AN468" s="47"/>
      <c r="AO468" s="47"/>
      <c r="AP468" s="47"/>
      <c r="AQ468" s="47"/>
      <c r="AR468" s="47"/>
      <c r="AS468" s="47"/>
      <c r="AT468" s="47"/>
      <c r="AU468" s="47"/>
      <c r="AV468" s="47"/>
      <c r="AW468" s="47"/>
      <c r="AX468" s="47"/>
      <c r="AY468" s="47"/>
      <c r="AZ468" s="47"/>
      <c r="BA468" s="47"/>
      <c r="BB468" s="47"/>
      <c r="BC468" s="47"/>
    </row>
    <row r="469" spans="1:55" x14ac:dyDescent="0.25">
      <c r="A469" s="45" t="s">
        <v>1161</v>
      </c>
      <c r="B469" s="46">
        <f t="shared" si="9"/>
        <v>25.5</v>
      </c>
      <c r="C469" s="47"/>
      <c r="D469" s="47"/>
      <c r="E469" s="46">
        <f t="shared" si="10"/>
        <v>8</v>
      </c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  <c r="AC469" s="47"/>
      <c r="AD469" s="46">
        <f>35/IF(Общие_или_заединицу="Общие трудозатраты",1,7)*IF(Пробивка="Стандартная пробивная",1,3.5)</f>
        <v>17.5</v>
      </c>
      <c r="AE469" s="47"/>
      <c r="AF469" s="47"/>
      <c r="AG469" s="47"/>
      <c r="AH469" s="47"/>
      <c r="AI469" s="47"/>
      <c r="AJ469" s="47"/>
      <c r="AK469" s="47"/>
      <c r="AL469" s="47"/>
      <c r="AM469" s="47"/>
      <c r="AN469" s="47"/>
      <c r="AO469" s="47"/>
      <c r="AP469" s="47"/>
      <c r="AQ469" s="47"/>
      <c r="AR469" s="47"/>
      <c r="AS469" s="47"/>
      <c r="AT469" s="47"/>
      <c r="AU469" s="47"/>
      <c r="AV469" s="47"/>
      <c r="AW469" s="47"/>
      <c r="AX469" s="47"/>
      <c r="AY469" s="47"/>
      <c r="AZ469" s="47"/>
      <c r="BA469" s="47"/>
      <c r="BB469" s="47"/>
      <c r="BC469" s="47"/>
    </row>
    <row r="470" spans="1:55" x14ac:dyDescent="0.25">
      <c r="A470" s="45" t="s">
        <v>1162</v>
      </c>
      <c r="B470" s="46">
        <f t="shared" si="9"/>
        <v>25.5</v>
      </c>
      <c r="C470" s="47"/>
      <c r="D470" s="47"/>
      <c r="E470" s="46">
        <f t="shared" si="10"/>
        <v>8</v>
      </c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  <c r="AC470" s="47"/>
      <c r="AD470" s="46">
        <f>35/IF(Общие_или_заединицу="Общие трудозатраты",1,7)*IF(Пробивка="Стандартная пробивная",1,3.5)</f>
        <v>17.5</v>
      </c>
      <c r="AE470" s="47"/>
      <c r="AF470" s="47"/>
      <c r="AG470" s="47"/>
      <c r="AH470" s="47"/>
      <c r="AI470" s="47"/>
      <c r="AJ470" s="47"/>
      <c r="AK470" s="47"/>
      <c r="AL470" s="47"/>
      <c r="AM470" s="47"/>
      <c r="AN470" s="47"/>
      <c r="AO470" s="47"/>
      <c r="AP470" s="47"/>
      <c r="AQ470" s="47"/>
      <c r="AR470" s="47"/>
      <c r="AS470" s="47"/>
      <c r="AT470" s="47"/>
      <c r="AU470" s="47"/>
      <c r="AV470" s="47"/>
      <c r="AW470" s="47"/>
      <c r="AX470" s="47"/>
      <c r="AY470" s="47"/>
      <c r="AZ470" s="47"/>
      <c r="BA470" s="47"/>
      <c r="BB470" s="47"/>
      <c r="BC470" s="47"/>
    </row>
    <row r="471" spans="1:55" x14ac:dyDescent="0.25">
      <c r="A471" s="45" t="s">
        <v>1163</v>
      </c>
      <c r="B471" s="48">
        <f t="shared" si="9"/>
        <v>25.5</v>
      </c>
      <c r="C471" s="47"/>
      <c r="D471" s="47"/>
      <c r="E471" s="46">
        <f>896/IF(Общие_или_заединицу="Общие трудозатраты",1,112)</f>
        <v>8</v>
      </c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  <c r="AC471" s="47"/>
      <c r="AD471" s="46">
        <f>560/IF(Общие_или_заединицу="Общие трудозатраты",1,112)*IF(Пробивка="Стандартная пробивная",1,3.5)</f>
        <v>17.5</v>
      </c>
      <c r="AE471" s="47"/>
      <c r="AF471" s="47"/>
      <c r="AG471" s="47"/>
      <c r="AH471" s="47"/>
      <c r="AI471" s="47"/>
      <c r="AJ471" s="47"/>
      <c r="AK471" s="47"/>
      <c r="AL471" s="47"/>
      <c r="AM471" s="47"/>
      <c r="AN471" s="47"/>
      <c r="AO471" s="47"/>
      <c r="AP471" s="47"/>
      <c r="AQ471" s="47"/>
      <c r="AR471" s="47"/>
      <c r="AS471" s="47"/>
      <c r="AT471" s="47"/>
      <c r="AU471" s="47"/>
      <c r="AV471" s="47"/>
      <c r="AW471" s="47"/>
      <c r="AX471" s="47"/>
      <c r="AY471" s="47"/>
      <c r="AZ471" s="47"/>
      <c r="BA471" s="47"/>
      <c r="BB471" s="47"/>
      <c r="BC471" s="47"/>
    </row>
    <row r="472" spans="1:55" x14ac:dyDescent="0.25">
      <c r="A472" s="45" t="s">
        <v>1155</v>
      </c>
      <c r="B472" s="46">
        <f t="shared" si="9"/>
        <v>5</v>
      </c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  <c r="AC472" s="47"/>
      <c r="AD472" s="47"/>
      <c r="AE472" s="47"/>
      <c r="AF472" s="47"/>
      <c r="AG472" s="47"/>
      <c r="AH472" s="46">
        <f>35/IF(Общие_или_заединицу="Общие трудозатраты",1,7)</f>
        <v>5</v>
      </c>
      <c r="AI472" s="47"/>
      <c r="AJ472" s="47"/>
      <c r="AK472" s="47"/>
      <c r="AL472" s="47"/>
      <c r="AM472" s="47"/>
      <c r="AN472" s="47"/>
      <c r="AO472" s="47"/>
      <c r="AP472" s="47"/>
      <c r="AQ472" s="47"/>
      <c r="AR472" s="47"/>
      <c r="AS472" s="47"/>
      <c r="AT472" s="47"/>
      <c r="AU472" s="47"/>
      <c r="AV472" s="47"/>
      <c r="AW472" s="47"/>
      <c r="AX472" s="47"/>
      <c r="AY472" s="47"/>
      <c r="AZ472" s="47"/>
      <c r="BA472" s="47"/>
      <c r="BB472" s="47"/>
      <c r="BC472" s="47"/>
    </row>
    <row r="473" spans="1:55" x14ac:dyDescent="0.25">
      <c r="A473" s="45" t="s">
        <v>1164</v>
      </c>
      <c r="B473" s="46">
        <f t="shared" si="9"/>
        <v>5</v>
      </c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  <c r="AC473" s="47"/>
      <c r="AD473" s="47"/>
      <c r="AE473" s="47"/>
      <c r="AF473" s="47"/>
      <c r="AG473" s="47"/>
      <c r="AH473" s="46">
        <f>35/IF(Общие_или_заединицу="Общие трудозатраты",1,7)</f>
        <v>5</v>
      </c>
      <c r="AI473" s="47"/>
      <c r="AJ473" s="47"/>
      <c r="AK473" s="47"/>
      <c r="AL473" s="47"/>
      <c r="AM473" s="47"/>
      <c r="AN473" s="47"/>
      <c r="AO473" s="47"/>
      <c r="AP473" s="47"/>
      <c r="AQ473" s="47"/>
      <c r="AR473" s="47"/>
      <c r="AS473" s="47"/>
      <c r="AT473" s="47"/>
      <c r="AU473" s="47"/>
      <c r="AV473" s="47"/>
      <c r="AW473" s="47"/>
      <c r="AX473" s="47"/>
      <c r="AY473" s="47"/>
      <c r="AZ473" s="47"/>
      <c r="BA473" s="47"/>
      <c r="BB473" s="47"/>
      <c r="BC473" s="47"/>
    </row>
    <row r="474" spans="1:55" x14ac:dyDescent="0.25">
      <c r="A474" s="45" t="s">
        <v>1166</v>
      </c>
      <c r="B474" s="46">
        <f t="shared" si="9"/>
        <v>20.5</v>
      </c>
      <c r="C474" s="47"/>
      <c r="D474" s="47"/>
      <c r="E474" s="46">
        <f>140/IF(Общие_или_заединицу="Общие трудозатраты",1,14)</f>
        <v>10</v>
      </c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  <c r="AC474" s="47"/>
      <c r="AD474" s="46">
        <f>42/IF(Общие_или_заединицу="Общие трудозатраты",1,14)*IF(Пробивка="Стандартная пробивная",1,3.5)</f>
        <v>10.5</v>
      </c>
      <c r="AE474" s="47"/>
      <c r="AF474" s="47"/>
      <c r="AG474" s="47"/>
      <c r="AH474" s="47"/>
      <c r="AI474" s="47"/>
      <c r="AJ474" s="47"/>
      <c r="AK474" s="47"/>
      <c r="AL474" s="47"/>
      <c r="AM474" s="47"/>
      <c r="AN474" s="47"/>
      <c r="AO474" s="47"/>
      <c r="AP474" s="47"/>
      <c r="AQ474" s="47"/>
      <c r="AR474" s="47"/>
      <c r="AS474" s="47"/>
      <c r="AT474" s="47"/>
      <c r="AU474" s="47"/>
      <c r="AV474" s="47"/>
      <c r="AW474" s="47"/>
      <c r="AX474" s="47"/>
      <c r="AY474" s="47"/>
      <c r="AZ474" s="47"/>
      <c r="BA474" s="47"/>
      <c r="BB474" s="47"/>
      <c r="BC474" s="47"/>
    </row>
    <row r="475" spans="1:55" x14ac:dyDescent="0.25">
      <c r="A475" s="45" t="s">
        <v>1167</v>
      </c>
      <c r="B475" s="46">
        <f t="shared" si="9"/>
        <v>10</v>
      </c>
      <c r="C475" s="47"/>
      <c r="D475" s="47"/>
      <c r="E475" s="46">
        <f>42/IF(Общие_или_заединицу="Общие трудозатраты",1,14)</f>
        <v>3</v>
      </c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  <c r="AC475" s="47"/>
      <c r="AD475" s="46">
        <f>28/IF(Общие_или_заединицу="Общие трудозатраты",1,14)*IF(Пробивка="Стандартная пробивная",1,3.5)</f>
        <v>7</v>
      </c>
      <c r="AE475" s="47"/>
      <c r="AF475" s="47"/>
      <c r="AG475" s="47"/>
      <c r="AH475" s="47"/>
      <c r="AI475" s="47"/>
      <c r="AJ475" s="47"/>
      <c r="AK475" s="47"/>
      <c r="AL475" s="47"/>
      <c r="AM475" s="47"/>
      <c r="AN475" s="47"/>
      <c r="AO475" s="47"/>
      <c r="AP475" s="47"/>
      <c r="AQ475" s="47"/>
      <c r="AR475" s="47"/>
      <c r="AS475" s="47"/>
      <c r="AT475" s="47"/>
      <c r="AU475" s="47"/>
      <c r="AV475" s="47"/>
      <c r="AW475" s="47"/>
      <c r="AX475" s="47"/>
      <c r="AY475" s="47"/>
      <c r="AZ475" s="47"/>
      <c r="BA475" s="47"/>
      <c r="BB475" s="47"/>
      <c r="BC475" s="47"/>
    </row>
    <row r="476" spans="1:55" x14ac:dyDescent="0.25">
      <c r="A476" s="45" t="s">
        <v>1165</v>
      </c>
      <c r="B476" s="46">
        <f t="shared" si="9"/>
        <v>4</v>
      </c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  <c r="AC476" s="47"/>
      <c r="AD476" s="47"/>
      <c r="AE476" s="47"/>
      <c r="AF476" s="47"/>
      <c r="AG476" s="47"/>
      <c r="AH476" s="46">
        <f>28/IF(Общие_или_заединицу="Общие трудозатраты",1,7)</f>
        <v>4</v>
      </c>
      <c r="AI476" s="47"/>
      <c r="AJ476" s="47"/>
      <c r="AK476" s="47"/>
      <c r="AL476" s="47"/>
      <c r="AM476" s="47"/>
      <c r="AN476" s="47"/>
      <c r="AO476" s="47"/>
      <c r="AP476" s="47"/>
      <c r="AQ476" s="47"/>
      <c r="AR476" s="47"/>
      <c r="AS476" s="47"/>
      <c r="AT476" s="47"/>
      <c r="AU476" s="47"/>
      <c r="AV476" s="47"/>
      <c r="AW476" s="47"/>
      <c r="AX476" s="47"/>
      <c r="AY476" s="47"/>
      <c r="AZ476" s="47"/>
      <c r="BA476" s="47"/>
      <c r="BB476" s="47"/>
      <c r="BC476" s="47"/>
    </row>
    <row r="477" spans="1:55" x14ac:dyDescent="0.25">
      <c r="A477" s="45" t="s">
        <v>1170</v>
      </c>
      <c r="B477" s="46">
        <f t="shared" si="9"/>
        <v>25.5</v>
      </c>
      <c r="C477" s="47"/>
      <c r="D477" s="47"/>
      <c r="E477" s="46">
        <f>56/IF(Общие_или_заединицу="Общие трудозатраты",1,7)</f>
        <v>8</v>
      </c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  <c r="AC477" s="47"/>
      <c r="AD477" s="46">
        <f>35/IF(Общие_или_заединицу="Общие трудозатраты",1,7)*IF(Пробивка="Стандартная пробивная",1,3.5)</f>
        <v>17.5</v>
      </c>
      <c r="AE477" s="47"/>
      <c r="AF477" s="47"/>
      <c r="AG477" s="47"/>
      <c r="AH477" s="47"/>
      <c r="AI477" s="47"/>
      <c r="AJ477" s="47"/>
      <c r="AK477" s="47"/>
      <c r="AL477" s="47"/>
      <c r="AM477" s="47"/>
      <c r="AN477" s="47"/>
      <c r="AO477" s="47"/>
      <c r="AP477" s="47"/>
      <c r="AQ477" s="47"/>
      <c r="AR477" s="47"/>
      <c r="AS477" s="47"/>
      <c r="AT477" s="47"/>
      <c r="AU477" s="47"/>
      <c r="AV477" s="47"/>
      <c r="AW477" s="47"/>
      <c r="AX477" s="47"/>
      <c r="AY477" s="47"/>
      <c r="AZ477" s="47"/>
      <c r="BA477" s="47"/>
      <c r="BB477" s="47"/>
      <c r="BC477" s="47"/>
    </row>
    <row r="478" spans="1:55" x14ac:dyDescent="0.25">
      <c r="A478" s="45" t="s">
        <v>1169</v>
      </c>
      <c r="B478" s="46">
        <f t="shared" si="9"/>
        <v>3.6</v>
      </c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6">
        <f>35/IF(Общие_или_заединицу="Общие трудозатраты",1,14)</f>
        <v>2.5</v>
      </c>
      <c r="X478" s="47"/>
      <c r="Y478" s="47"/>
      <c r="Z478" s="47"/>
      <c r="AA478" s="47"/>
      <c r="AB478" s="47"/>
      <c r="AC478" s="47"/>
      <c r="AD478" s="47"/>
      <c r="AE478" s="47"/>
      <c r="AF478" s="47"/>
      <c r="AG478" s="47"/>
      <c r="AH478" s="47"/>
      <c r="AI478" s="47"/>
      <c r="AJ478" s="47"/>
      <c r="AK478" s="47"/>
      <c r="AL478" s="47"/>
      <c r="AM478" s="47"/>
      <c r="AN478" s="47"/>
      <c r="AO478" s="46">
        <f>15.4/IF(Общие_или_заединицу="Общие трудозатраты",1,14)</f>
        <v>1.1000000000000001</v>
      </c>
      <c r="AP478" s="47"/>
      <c r="AQ478" s="47"/>
      <c r="AR478" s="47"/>
      <c r="AS478" s="47"/>
      <c r="AT478" s="47"/>
      <c r="AU478" s="47"/>
      <c r="AV478" s="47"/>
      <c r="AW478" s="47"/>
      <c r="AX478" s="47"/>
      <c r="AY478" s="47"/>
      <c r="AZ478" s="47"/>
      <c r="BA478" s="47"/>
      <c r="BB478" s="47"/>
      <c r="BC478" s="47"/>
    </row>
    <row r="479" spans="1:55" x14ac:dyDescent="0.25">
      <c r="A479" s="45" t="s">
        <v>1172</v>
      </c>
      <c r="B479" s="46">
        <f t="shared" si="9"/>
        <v>7.5</v>
      </c>
      <c r="C479" s="47"/>
      <c r="D479" s="47"/>
      <c r="E479" s="46">
        <f>56/IF(Общие_или_заединицу="Общие трудозатраты",1,14)</f>
        <v>4</v>
      </c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6">
        <f>21/IF(Общие_или_заединицу="Общие трудозатраты",1,14)</f>
        <v>1.5</v>
      </c>
      <c r="U479" s="47"/>
      <c r="V479" s="47"/>
      <c r="W479" s="47"/>
      <c r="X479" s="47"/>
      <c r="Y479" s="47"/>
      <c r="Z479" s="47"/>
      <c r="AA479" s="47"/>
      <c r="AB479" s="47"/>
      <c r="AC479" s="47"/>
      <c r="AD479" s="47"/>
      <c r="AE479" s="47"/>
      <c r="AF479" s="47"/>
      <c r="AG479" s="47"/>
      <c r="AH479" s="47"/>
      <c r="AI479" s="47"/>
      <c r="AJ479" s="47"/>
      <c r="AK479" s="47"/>
      <c r="AL479" s="47"/>
      <c r="AM479" s="47"/>
      <c r="AN479" s="47"/>
      <c r="AO479" s="47"/>
      <c r="AP479" s="46">
        <f>28/IF(Общие_или_заединицу="Общие трудозатраты",1,14)</f>
        <v>2</v>
      </c>
      <c r="AQ479" s="47"/>
      <c r="AR479" s="47"/>
      <c r="AS479" s="47"/>
      <c r="AT479" s="47"/>
      <c r="AU479" s="47"/>
      <c r="AV479" s="47"/>
      <c r="AW479" s="47"/>
      <c r="AX479" s="47"/>
      <c r="AY479" s="47"/>
      <c r="AZ479" s="47"/>
      <c r="BA479" s="47"/>
      <c r="BB479" s="47"/>
      <c r="BC479" s="47"/>
    </row>
    <row r="480" spans="1:55" x14ac:dyDescent="0.25">
      <c r="A480" s="45" t="s">
        <v>1173</v>
      </c>
      <c r="B480" s="46">
        <f t="shared" si="9"/>
        <v>0.5</v>
      </c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6">
        <f>7/IF(Общие_или_заединицу="Общие трудозатраты",1,14)</f>
        <v>0.5</v>
      </c>
      <c r="T480" s="47"/>
      <c r="U480" s="47"/>
      <c r="V480" s="47"/>
      <c r="W480" s="47"/>
      <c r="X480" s="47"/>
      <c r="Y480" s="47"/>
      <c r="Z480" s="47"/>
      <c r="AA480" s="47"/>
      <c r="AB480" s="47"/>
      <c r="AC480" s="47"/>
      <c r="AD480" s="47"/>
      <c r="AE480" s="47"/>
      <c r="AF480" s="47"/>
      <c r="AG480" s="47"/>
      <c r="AH480" s="47"/>
      <c r="AI480" s="47"/>
      <c r="AJ480" s="47"/>
      <c r="AK480" s="47"/>
      <c r="AL480" s="47"/>
      <c r="AM480" s="47"/>
      <c r="AN480" s="47"/>
      <c r="AO480" s="47"/>
      <c r="AP480" s="47"/>
      <c r="AQ480" s="47"/>
      <c r="AR480" s="47"/>
      <c r="AS480" s="47"/>
      <c r="AT480" s="47"/>
      <c r="AU480" s="47"/>
      <c r="AV480" s="47"/>
      <c r="AW480" s="47"/>
      <c r="AX480" s="47"/>
      <c r="AY480" s="47"/>
      <c r="AZ480" s="47"/>
      <c r="BA480" s="47"/>
      <c r="BB480" s="47"/>
      <c r="BC480" s="47"/>
    </row>
    <row r="481" spans="1:55" x14ac:dyDescent="0.25">
      <c r="A481" s="45" t="s">
        <v>1174</v>
      </c>
      <c r="B481" s="46">
        <f t="shared" si="9"/>
        <v>21.35</v>
      </c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6">
        <f>21.6/IF(Общие_или_заединицу="Общие трудозатраты",1,16)</f>
        <v>1.35</v>
      </c>
      <c r="U481" s="47"/>
      <c r="V481" s="47"/>
      <c r="W481" s="47"/>
      <c r="X481" s="47"/>
      <c r="Y481" s="47"/>
      <c r="Z481" s="47"/>
      <c r="AA481" s="47"/>
      <c r="AB481" s="47"/>
      <c r="AC481" s="47"/>
      <c r="AD481" s="47"/>
      <c r="AE481" s="47"/>
      <c r="AF481" s="47"/>
      <c r="AG481" s="47"/>
      <c r="AH481" s="47"/>
      <c r="AI481" s="47"/>
      <c r="AJ481" s="47"/>
      <c r="AK481" s="47"/>
      <c r="AL481" s="47"/>
      <c r="AM481" s="47"/>
      <c r="AN481" s="47"/>
      <c r="AO481" s="47"/>
      <c r="AP481" s="47"/>
      <c r="AQ481" s="47"/>
      <c r="AR481" s="47"/>
      <c r="AS481" s="47"/>
      <c r="AT481" s="47"/>
      <c r="AU481" s="47"/>
      <c r="AV481" s="46">
        <f>128/IF(Общие_или_заединицу="Общие трудозатраты",1,16)</f>
        <v>8</v>
      </c>
      <c r="AW481" s="47"/>
      <c r="AX481" s="47"/>
      <c r="AY481" s="46">
        <f>192/IF(Общие_или_заединицу="Общие трудозатраты",1,16)</f>
        <v>12</v>
      </c>
      <c r="AZ481" s="47"/>
      <c r="BA481" s="47"/>
      <c r="BB481" s="47"/>
      <c r="BC481" s="47"/>
    </row>
    <row r="482" spans="1:55" ht="22.5" x14ac:dyDescent="0.25">
      <c r="A482" s="45" t="s">
        <v>615</v>
      </c>
      <c r="B482" s="46">
        <f t="shared" si="9"/>
        <v>3</v>
      </c>
      <c r="C482" s="47"/>
      <c r="D482" s="47"/>
      <c r="E482" s="47"/>
      <c r="F482" s="46">
        <f>22/IF(Общие_или_заединицу="Общие трудозатраты",1,20)</f>
        <v>1.1000000000000001</v>
      </c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6">
        <f>24/IF(Общие_или_заединицу="Общие трудозатраты",1,20)</f>
        <v>1.2</v>
      </c>
      <c r="X482" s="47"/>
      <c r="Y482" s="47"/>
      <c r="Z482" s="47"/>
      <c r="AA482" s="46">
        <f>14/IF(Общие_или_заединицу="Общие трудозатраты",1,20)</f>
        <v>0.7</v>
      </c>
      <c r="AB482" s="47"/>
      <c r="AC482" s="47"/>
      <c r="AD482" s="47"/>
      <c r="AE482" s="47"/>
      <c r="AF482" s="47"/>
      <c r="AG482" s="47"/>
      <c r="AH482" s="47"/>
      <c r="AI482" s="47"/>
      <c r="AJ482" s="47"/>
      <c r="AK482" s="47"/>
      <c r="AL482" s="47"/>
      <c r="AM482" s="47"/>
      <c r="AN482" s="47"/>
      <c r="AO482" s="47"/>
      <c r="AP482" s="47"/>
      <c r="AQ482" s="47"/>
      <c r="AR482" s="47"/>
      <c r="AS482" s="47"/>
      <c r="AT482" s="47"/>
      <c r="AU482" s="47"/>
      <c r="AV482" s="47"/>
      <c r="AW482" s="47"/>
      <c r="AX482" s="47"/>
      <c r="AY482" s="47"/>
      <c r="AZ482" s="47"/>
      <c r="BA482" s="47"/>
      <c r="BB482" s="47"/>
      <c r="BC482" s="47"/>
    </row>
    <row r="483" spans="1:55" x14ac:dyDescent="0.25">
      <c r="A483" s="45" t="s">
        <v>616</v>
      </c>
      <c r="B483" s="46">
        <f t="shared" si="9"/>
        <v>10.3</v>
      </c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6">
        <f>10/IF(Общие_или_заединицу="Общие трудозатраты",1,20)</f>
        <v>0.5</v>
      </c>
      <c r="U483" s="47"/>
      <c r="V483" s="47"/>
      <c r="W483" s="46">
        <f>36/IF(Общие_или_заединицу="Общие трудозатраты",1,20)</f>
        <v>1.8</v>
      </c>
      <c r="X483" s="47"/>
      <c r="Y483" s="47"/>
      <c r="Z483" s="47"/>
      <c r="AA483" s="47"/>
      <c r="AB483" s="47"/>
      <c r="AC483" s="47"/>
      <c r="AD483" s="47"/>
      <c r="AE483" s="47"/>
      <c r="AF483" s="47"/>
      <c r="AG483" s="47"/>
      <c r="AH483" s="47"/>
      <c r="AI483" s="47"/>
      <c r="AJ483" s="47"/>
      <c r="AK483" s="47"/>
      <c r="AL483" s="47"/>
      <c r="AM483" s="47"/>
      <c r="AN483" s="47"/>
      <c r="AO483" s="47"/>
      <c r="AP483" s="47"/>
      <c r="AQ483" s="47"/>
      <c r="AR483" s="47"/>
      <c r="AS483" s="46">
        <f>40/IF(Общие_или_заединицу="Общие трудозатраты",1,20)</f>
        <v>2</v>
      </c>
      <c r="AT483" s="47"/>
      <c r="AU483" s="47"/>
      <c r="AV483" s="47"/>
      <c r="AW483" s="46">
        <f>120/IF(Общие_или_заединицу="Общие трудозатраты",1,20)</f>
        <v>6</v>
      </c>
      <c r="AX483" s="47"/>
      <c r="AY483" s="47"/>
      <c r="AZ483" s="47"/>
      <c r="BA483" s="47"/>
      <c r="BB483" s="47"/>
      <c r="BC483" s="47"/>
    </row>
    <row r="484" spans="1:55" x14ac:dyDescent="0.25">
      <c r="A484" s="45" t="s">
        <v>617</v>
      </c>
      <c r="B484" s="46">
        <f t="shared" si="9"/>
        <v>91</v>
      </c>
      <c r="C484" s="47"/>
      <c r="D484" s="47"/>
      <c r="E484" s="46">
        <f>6/IF(Общие_или_заединицу="Общие трудозатраты",1,1)</f>
        <v>6</v>
      </c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6">
        <f>10/IF(Общие_или_заединицу="Общие трудозатраты",1,1)</f>
        <v>10</v>
      </c>
      <c r="W484" s="46">
        <f>12/IF(Общие_или_заединицу="Общие трудозатраты",1,1)</f>
        <v>12</v>
      </c>
      <c r="X484" s="47"/>
      <c r="Y484" s="47"/>
      <c r="Z484" s="47"/>
      <c r="AA484" s="47"/>
      <c r="AB484" s="47"/>
      <c r="AC484" s="47"/>
      <c r="AD484" s="46">
        <f>18/IF(Общие_или_заединицу="Общие трудозатраты",1,1)*IF(Пробивка="Стандартная пробивная",1,3.5)</f>
        <v>63</v>
      </c>
      <c r="AE484" s="47"/>
      <c r="AF484" s="47"/>
      <c r="AG484" s="47"/>
      <c r="AH484" s="47"/>
      <c r="AI484" s="47"/>
      <c r="AJ484" s="47"/>
      <c r="AK484" s="47"/>
      <c r="AL484" s="47"/>
      <c r="AM484" s="47"/>
      <c r="AN484" s="47"/>
      <c r="AO484" s="47"/>
      <c r="AP484" s="47"/>
      <c r="AQ484" s="47"/>
      <c r="AR484" s="47"/>
      <c r="AS484" s="47"/>
      <c r="AT484" s="47"/>
      <c r="AU484" s="47"/>
      <c r="AV484" s="47"/>
      <c r="AW484" s="47"/>
      <c r="AX484" s="47"/>
      <c r="AY484" s="47"/>
      <c r="AZ484" s="47"/>
      <c r="BA484" s="47"/>
      <c r="BB484" s="47"/>
      <c r="BC484" s="47"/>
    </row>
    <row r="485" spans="1:55" x14ac:dyDescent="0.25">
      <c r="A485" s="45" t="s">
        <v>618</v>
      </c>
      <c r="B485" s="46">
        <f t="shared" si="9"/>
        <v>1.8</v>
      </c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6">
        <f>1.8/IF(Общие_или_заединицу="Общие трудозатраты",1,1)</f>
        <v>1.8</v>
      </c>
      <c r="T485" s="47"/>
      <c r="U485" s="47"/>
      <c r="V485" s="47"/>
      <c r="W485" s="47"/>
      <c r="X485" s="47"/>
      <c r="Y485" s="47"/>
      <c r="Z485" s="47"/>
      <c r="AA485" s="47"/>
      <c r="AB485" s="47"/>
      <c r="AC485" s="47"/>
      <c r="AD485" s="47"/>
      <c r="AE485" s="47"/>
      <c r="AF485" s="47"/>
      <c r="AG485" s="47"/>
      <c r="AH485" s="47"/>
      <c r="AI485" s="47"/>
      <c r="AJ485" s="47"/>
      <c r="AK485" s="47"/>
      <c r="AL485" s="47"/>
      <c r="AM485" s="47"/>
      <c r="AN485" s="47"/>
      <c r="AO485" s="47"/>
      <c r="AP485" s="47"/>
      <c r="AQ485" s="47"/>
      <c r="AR485" s="47"/>
      <c r="AS485" s="47"/>
      <c r="AT485" s="47"/>
      <c r="AU485" s="47"/>
      <c r="AV485" s="47"/>
      <c r="AW485" s="47"/>
      <c r="AX485" s="47"/>
      <c r="AY485" s="47"/>
      <c r="AZ485" s="47"/>
      <c r="BA485" s="47"/>
      <c r="BB485" s="47"/>
      <c r="BC485" s="47"/>
    </row>
    <row r="486" spans="1:55" ht="22.5" x14ac:dyDescent="0.25">
      <c r="A486" s="45" t="s">
        <v>619</v>
      </c>
      <c r="B486" s="46">
        <f t="shared" si="9"/>
        <v>3.8</v>
      </c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6">
        <f>3.8/IF(Общие_или_заединицу="Общие трудозатраты",1,1)</f>
        <v>3.8</v>
      </c>
      <c r="T486" s="47"/>
      <c r="U486" s="47"/>
      <c r="V486" s="47"/>
      <c r="W486" s="47"/>
      <c r="X486" s="47"/>
      <c r="Y486" s="47"/>
      <c r="Z486" s="47"/>
      <c r="AA486" s="47"/>
      <c r="AB486" s="47"/>
      <c r="AC486" s="47"/>
      <c r="AD486" s="47"/>
      <c r="AE486" s="47"/>
      <c r="AF486" s="47"/>
      <c r="AG486" s="47"/>
      <c r="AH486" s="47"/>
      <c r="AI486" s="47"/>
      <c r="AJ486" s="47"/>
      <c r="AK486" s="47"/>
      <c r="AL486" s="47"/>
      <c r="AM486" s="47"/>
      <c r="AN486" s="47"/>
      <c r="AO486" s="47"/>
      <c r="AP486" s="47"/>
      <c r="AQ486" s="47"/>
      <c r="AR486" s="47"/>
      <c r="AS486" s="47"/>
      <c r="AT486" s="47"/>
      <c r="AU486" s="47"/>
      <c r="AV486" s="47"/>
      <c r="AW486" s="47"/>
      <c r="AX486" s="47"/>
      <c r="AY486" s="47"/>
      <c r="AZ486" s="47"/>
      <c r="BA486" s="47"/>
      <c r="BB486" s="47"/>
      <c r="BC486" s="47"/>
    </row>
    <row r="487" spans="1:55" x14ac:dyDescent="0.25">
      <c r="A487" s="45" t="s">
        <v>1177</v>
      </c>
      <c r="B487" s="46">
        <f t="shared" si="9"/>
        <v>460</v>
      </c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  <c r="AC487" s="47"/>
      <c r="AD487" s="47"/>
      <c r="AE487" s="47"/>
      <c r="AF487" s="47"/>
      <c r="AG487" s="47"/>
      <c r="AH487" s="47"/>
      <c r="AI487" s="47"/>
      <c r="AJ487" s="46">
        <f>920/IF(Общие_или_заединицу="Общие трудозатраты",1,2)</f>
        <v>460</v>
      </c>
      <c r="AK487" s="47"/>
      <c r="AL487" s="47"/>
      <c r="AM487" s="47"/>
      <c r="AN487" s="47"/>
      <c r="AO487" s="47"/>
      <c r="AP487" s="47"/>
      <c r="AQ487" s="47"/>
      <c r="AR487" s="47"/>
      <c r="AS487" s="47"/>
      <c r="AT487" s="47"/>
      <c r="AU487" s="47"/>
      <c r="AV487" s="47"/>
      <c r="AW487" s="47"/>
      <c r="AX487" s="47"/>
      <c r="AY487" s="47"/>
      <c r="AZ487" s="47"/>
      <c r="BA487" s="47"/>
      <c r="BB487" s="47"/>
      <c r="BC487" s="47"/>
    </row>
    <row r="488" spans="1:55" ht="22.5" x14ac:dyDescent="0.25">
      <c r="A488" s="45" t="s">
        <v>1203</v>
      </c>
      <c r="B488" s="46">
        <f t="shared" si="9"/>
        <v>60</v>
      </c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  <c r="AC488" s="47"/>
      <c r="AD488" s="47"/>
      <c r="AE488" s="47"/>
      <c r="AF488" s="47"/>
      <c r="AG488" s="47"/>
      <c r="AH488" s="46">
        <f>120/IF(Общие_или_заединицу="Общие трудозатраты",1,2)</f>
        <v>60</v>
      </c>
      <c r="AI488" s="47"/>
      <c r="AJ488" s="47"/>
      <c r="AK488" s="47"/>
      <c r="AL488" s="47"/>
      <c r="AM488" s="47"/>
      <c r="AN488" s="47"/>
      <c r="AO488" s="47"/>
      <c r="AP488" s="47"/>
      <c r="AQ488" s="47"/>
      <c r="AR488" s="47"/>
      <c r="AS488" s="47"/>
      <c r="AT488" s="47"/>
      <c r="AU488" s="47"/>
      <c r="AV488" s="47"/>
      <c r="AW488" s="47"/>
      <c r="AX488" s="47"/>
      <c r="AY488" s="47"/>
      <c r="AZ488" s="47"/>
      <c r="BA488" s="47"/>
      <c r="BB488" s="47"/>
      <c r="BC488" s="47"/>
    </row>
    <row r="489" spans="1:55" x14ac:dyDescent="0.25">
      <c r="A489" s="45" t="s">
        <v>1188</v>
      </c>
      <c r="B489" s="46">
        <f t="shared" si="9"/>
        <v>0.8</v>
      </c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6">
        <f>12.8/IF(Общие_или_заединицу="Общие трудозатраты",1,16)</f>
        <v>0.8</v>
      </c>
      <c r="T489" s="47"/>
      <c r="U489" s="47"/>
      <c r="V489" s="47"/>
      <c r="W489" s="47"/>
      <c r="X489" s="47"/>
      <c r="Y489" s="47"/>
      <c r="Z489" s="47"/>
      <c r="AA489" s="47"/>
      <c r="AB489" s="47"/>
      <c r="AC489" s="47"/>
      <c r="AD489" s="47"/>
      <c r="AE489" s="47"/>
      <c r="AF489" s="47"/>
      <c r="AG489" s="47"/>
      <c r="AH489" s="47"/>
      <c r="AI489" s="47"/>
      <c r="AJ489" s="47"/>
      <c r="AK489" s="47"/>
      <c r="AL489" s="47"/>
      <c r="AM489" s="47"/>
      <c r="AN489" s="47"/>
      <c r="AO489" s="47"/>
      <c r="AP489" s="47"/>
      <c r="AQ489" s="47"/>
      <c r="AR489" s="47"/>
      <c r="AS489" s="47"/>
      <c r="AT489" s="47"/>
      <c r="AU489" s="47"/>
      <c r="AV489" s="47"/>
      <c r="AW489" s="47"/>
      <c r="AX489" s="47"/>
      <c r="AY489" s="47"/>
      <c r="AZ489" s="47"/>
      <c r="BA489" s="47"/>
      <c r="BB489" s="47"/>
      <c r="BC489" s="47"/>
    </row>
    <row r="490" spans="1:55" x14ac:dyDescent="0.25">
      <c r="A490" s="45" t="s">
        <v>1189</v>
      </c>
      <c r="B490" s="46">
        <f t="shared" si="9"/>
        <v>3</v>
      </c>
      <c r="C490" s="47"/>
      <c r="D490" s="47"/>
      <c r="E490" s="47"/>
      <c r="F490" s="46">
        <f>17.6/IF(Общие_или_заединицу="Общие трудозатраты",1,16)</f>
        <v>1.1000000000000001</v>
      </c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6">
        <f>12.8/IF(Общие_или_заединицу="Общие трудозатраты",1,16)</f>
        <v>0.8</v>
      </c>
      <c r="T490" s="47"/>
      <c r="U490" s="47"/>
      <c r="V490" s="47"/>
      <c r="W490" s="46">
        <f>17.6/IF(Общие_или_заединицу="Общие трудозатраты",1,16)</f>
        <v>1.1000000000000001</v>
      </c>
      <c r="X490" s="47"/>
      <c r="Y490" s="47"/>
      <c r="Z490" s="47"/>
      <c r="AA490" s="47"/>
      <c r="AB490" s="47"/>
      <c r="AC490" s="47"/>
      <c r="AD490" s="47"/>
      <c r="AE490" s="47"/>
      <c r="AF490" s="47"/>
      <c r="AG490" s="47"/>
      <c r="AH490" s="47"/>
      <c r="AI490" s="47"/>
      <c r="AJ490" s="47"/>
      <c r="AK490" s="47"/>
      <c r="AL490" s="47"/>
      <c r="AM490" s="47"/>
      <c r="AN490" s="47"/>
      <c r="AO490" s="47"/>
      <c r="AP490" s="47"/>
      <c r="AQ490" s="47"/>
      <c r="AR490" s="47"/>
      <c r="AS490" s="47"/>
      <c r="AT490" s="47"/>
      <c r="AU490" s="47"/>
      <c r="AV490" s="47"/>
      <c r="AW490" s="47"/>
      <c r="AX490" s="47"/>
      <c r="AY490" s="47"/>
      <c r="AZ490" s="47"/>
      <c r="BA490" s="47"/>
      <c r="BB490" s="47"/>
      <c r="BC490" s="47"/>
    </row>
    <row r="491" spans="1:55" x14ac:dyDescent="0.25">
      <c r="A491" s="45" t="s">
        <v>1190</v>
      </c>
      <c r="B491" s="46">
        <f t="shared" si="9"/>
        <v>3.1</v>
      </c>
      <c r="C491" s="47"/>
      <c r="D491" s="47"/>
      <c r="E491" s="47"/>
      <c r="F491" s="47"/>
      <c r="G491" s="46">
        <f>4/IF(Общие_или_заединицу="Общие трудозатраты",1,2)</f>
        <v>2</v>
      </c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6">
        <f>2.2/IF(Общие_или_заединицу="Общие трудозатраты",1,2)</f>
        <v>1.1000000000000001</v>
      </c>
      <c r="T491" s="47"/>
      <c r="U491" s="47"/>
      <c r="V491" s="47"/>
      <c r="W491" s="47"/>
      <c r="X491" s="47"/>
      <c r="Y491" s="47"/>
      <c r="Z491" s="47"/>
      <c r="AA491" s="47"/>
      <c r="AB491" s="47"/>
      <c r="AC491" s="47"/>
      <c r="AD491" s="47"/>
      <c r="AE491" s="47"/>
      <c r="AF491" s="47"/>
      <c r="AG491" s="47"/>
      <c r="AH491" s="47"/>
      <c r="AI491" s="47"/>
      <c r="AJ491" s="47"/>
      <c r="AK491" s="47"/>
      <c r="AL491" s="47"/>
      <c r="AM491" s="47"/>
      <c r="AN491" s="47"/>
      <c r="AO491" s="47"/>
      <c r="AP491" s="47"/>
      <c r="AQ491" s="47"/>
      <c r="AR491" s="47"/>
      <c r="AS491" s="47"/>
      <c r="AT491" s="47"/>
      <c r="AU491" s="47"/>
      <c r="AV491" s="47"/>
      <c r="AW491" s="47"/>
      <c r="AX491" s="47"/>
      <c r="AY491" s="47"/>
      <c r="AZ491" s="47"/>
      <c r="BA491" s="47"/>
      <c r="BB491" s="47"/>
      <c r="BC491" s="47"/>
    </row>
    <row r="492" spans="1:55" x14ac:dyDescent="0.25">
      <c r="A492" s="45" t="s">
        <v>1191</v>
      </c>
      <c r="B492" s="46">
        <f t="shared" si="9"/>
        <v>47.7</v>
      </c>
      <c r="C492" s="47"/>
      <c r="D492" s="47"/>
      <c r="E492" s="47"/>
      <c r="F492" s="47"/>
      <c r="G492" s="47"/>
      <c r="H492" s="47"/>
      <c r="I492" s="47"/>
      <c r="J492" s="46">
        <f>8/IF(Общие_или_заединицу="Общие трудозатраты",1,2)</f>
        <v>4</v>
      </c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6">
        <f>18.4/IF(Общие_или_заединицу="Общие трудозатраты",1,2)</f>
        <v>9.1999999999999993</v>
      </c>
      <c r="W492" s="46">
        <f>13/IF(Общие_или_заединицу="Общие трудозатраты",1,2)</f>
        <v>6.5</v>
      </c>
      <c r="X492" s="47"/>
      <c r="Y492" s="47"/>
      <c r="Z492" s="47"/>
      <c r="AA492" s="47"/>
      <c r="AB492" s="47"/>
      <c r="AC492" s="47"/>
      <c r="AD492" s="46">
        <f>16/IF(Общие_или_заединицу="Общие трудозатраты",1,2)*IF(Пробивка="Стандартная пробивная",1,3.5)</f>
        <v>28</v>
      </c>
      <c r="AE492" s="47"/>
      <c r="AF492" s="47"/>
      <c r="AG492" s="47"/>
      <c r="AH492" s="47"/>
      <c r="AI492" s="47"/>
      <c r="AJ492" s="47"/>
      <c r="AK492" s="47"/>
      <c r="AL492" s="47"/>
      <c r="AM492" s="47"/>
      <c r="AN492" s="47"/>
      <c r="AO492" s="47"/>
      <c r="AP492" s="47"/>
      <c r="AQ492" s="47"/>
      <c r="AR492" s="47"/>
      <c r="AS492" s="47"/>
      <c r="AT492" s="47"/>
      <c r="AU492" s="47"/>
      <c r="AV492" s="47"/>
      <c r="AW492" s="47"/>
      <c r="AX492" s="47"/>
      <c r="AY492" s="47"/>
      <c r="AZ492" s="47"/>
      <c r="BA492" s="47"/>
      <c r="BB492" s="47"/>
      <c r="BC492" s="47"/>
    </row>
    <row r="493" spans="1:55" x14ac:dyDescent="0.25">
      <c r="A493" s="45" t="s">
        <v>1192</v>
      </c>
      <c r="B493" s="46">
        <f t="shared" si="9"/>
        <v>2.5</v>
      </c>
      <c r="C493" s="47"/>
      <c r="D493" s="47"/>
      <c r="E493" s="47"/>
      <c r="F493" s="47"/>
      <c r="G493" s="46">
        <f>32/IF(Общие_или_заединицу="Общие трудозатраты",1,16)</f>
        <v>2</v>
      </c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6">
        <f>8/IF(Общие_или_заединицу="Общие трудозатраты",1,16)</f>
        <v>0.5</v>
      </c>
      <c r="T493" s="47"/>
      <c r="U493" s="47"/>
      <c r="V493" s="47"/>
      <c r="W493" s="47"/>
      <c r="X493" s="47"/>
      <c r="Y493" s="47"/>
      <c r="Z493" s="47"/>
      <c r="AA493" s="47"/>
      <c r="AB493" s="47"/>
      <c r="AC493" s="47"/>
      <c r="AD493" s="47"/>
      <c r="AE493" s="47"/>
      <c r="AF493" s="47"/>
      <c r="AG493" s="47"/>
      <c r="AH493" s="47"/>
      <c r="AI493" s="47"/>
      <c r="AJ493" s="47"/>
      <c r="AK493" s="47"/>
      <c r="AL493" s="47"/>
      <c r="AM493" s="47"/>
      <c r="AN493" s="47"/>
      <c r="AO493" s="47"/>
      <c r="AP493" s="47"/>
      <c r="AQ493" s="47"/>
      <c r="AR493" s="47"/>
      <c r="AS493" s="47"/>
      <c r="AT493" s="47"/>
      <c r="AU493" s="47"/>
      <c r="AV493" s="47"/>
      <c r="AW493" s="47"/>
      <c r="AX493" s="47"/>
      <c r="AY493" s="47"/>
      <c r="AZ493" s="47"/>
      <c r="BA493" s="47"/>
      <c r="BB493" s="47"/>
      <c r="BC493" s="47"/>
    </row>
    <row r="494" spans="1:55" x14ac:dyDescent="0.25">
      <c r="A494" s="45" t="s">
        <v>1193</v>
      </c>
      <c r="B494" s="46">
        <f t="shared" si="9"/>
        <v>43.5</v>
      </c>
      <c r="C494" s="47"/>
      <c r="D494" s="47"/>
      <c r="E494" s="47"/>
      <c r="F494" s="47"/>
      <c r="G494" s="47"/>
      <c r="H494" s="47"/>
      <c r="I494" s="47"/>
      <c r="J494" s="46">
        <f>64/IF(Общие_или_заединицу="Общие трудозатраты",1,8)</f>
        <v>8</v>
      </c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6">
        <f>68/IF(Общие_или_заединицу="Общие трудозатраты",1,8)</f>
        <v>8.5</v>
      </c>
      <c r="W494" s="46">
        <f>48/IF(Общие_или_заединицу="Общие трудозатраты",1,8)</f>
        <v>6</v>
      </c>
      <c r="X494" s="47"/>
      <c r="Y494" s="47"/>
      <c r="Z494" s="47"/>
      <c r="AA494" s="47"/>
      <c r="AB494" s="47"/>
      <c r="AC494" s="47"/>
      <c r="AD494" s="46">
        <f>48/IF(Общие_или_заединицу="Общие трудозатраты",1,8)*IF(Пробивка="Стандартная пробивная",1,3.5)</f>
        <v>21</v>
      </c>
      <c r="AE494" s="47"/>
      <c r="AF494" s="47"/>
      <c r="AG494" s="47"/>
      <c r="AH494" s="47"/>
      <c r="AI494" s="47"/>
      <c r="AJ494" s="47"/>
      <c r="AK494" s="47"/>
      <c r="AL494" s="47"/>
      <c r="AM494" s="47"/>
      <c r="AN494" s="47"/>
      <c r="AO494" s="47"/>
      <c r="AP494" s="47"/>
      <c r="AQ494" s="47"/>
      <c r="AR494" s="47"/>
      <c r="AS494" s="47"/>
      <c r="AT494" s="47"/>
      <c r="AU494" s="47"/>
      <c r="AV494" s="47"/>
      <c r="AW494" s="47"/>
      <c r="AX494" s="47"/>
      <c r="AY494" s="47"/>
      <c r="AZ494" s="47"/>
      <c r="BA494" s="47"/>
      <c r="BB494" s="47"/>
      <c r="BC494" s="47"/>
    </row>
    <row r="495" spans="1:55" x14ac:dyDescent="0.25">
      <c r="A495" s="45" t="s">
        <v>1194</v>
      </c>
      <c r="B495" s="46">
        <f t="shared" si="9"/>
        <v>1.9000000000000001</v>
      </c>
      <c r="C495" s="47"/>
      <c r="D495" s="47"/>
      <c r="E495" s="47"/>
      <c r="F495" s="46">
        <f>17.6/IF(Общие_или_заединицу="Общие трудозатраты",1,16)</f>
        <v>1.1000000000000001</v>
      </c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6">
        <f>12.8/IF(Общие_или_заединицу="Общие трудозатраты",1,16)</f>
        <v>0.8</v>
      </c>
      <c r="T495" s="47"/>
      <c r="U495" s="47"/>
      <c r="V495" s="47"/>
      <c r="W495" s="47"/>
      <c r="X495" s="47"/>
      <c r="Y495" s="47"/>
      <c r="Z495" s="47"/>
      <c r="AA495" s="47"/>
      <c r="AB495" s="47"/>
      <c r="AC495" s="47"/>
      <c r="AD495" s="47"/>
      <c r="AE495" s="47"/>
      <c r="AF495" s="47"/>
      <c r="AG495" s="47"/>
      <c r="AH495" s="47"/>
      <c r="AI495" s="47"/>
      <c r="AJ495" s="47"/>
      <c r="AK495" s="47"/>
      <c r="AL495" s="47"/>
      <c r="AM495" s="47"/>
      <c r="AN495" s="47"/>
      <c r="AO495" s="47"/>
      <c r="AP495" s="47"/>
      <c r="AQ495" s="47"/>
      <c r="AR495" s="47"/>
      <c r="AS495" s="47"/>
      <c r="AT495" s="47"/>
      <c r="AU495" s="47"/>
      <c r="AV495" s="47"/>
      <c r="AW495" s="47"/>
      <c r="AX495" s="47"/>
      <c r="AY495" s="47"/>
      <c r="AZ495" s="47"/>
      <c r="BA495" s="47"/>
      <c r="BB495" s="47"/>
      <c r="BC495" s="47"/>
    </row>
    <row r="496" spans="1:55" x14ac:dyDescent="0.25">
      <c r="A496" s="45" t="s">
        <v>1195</v>
      </c>
      <c r="B496" s="46">
        <f t="shared" si="9"/>
        <v>7.9</v>
      </c>
      <c r="C496" s="47"/>
      <c r="D496" s="47"/>
      <c r="E496" s="47"/>
      <c r="F496" s="47"/>
      <c r="G496" s="46">
        <f>96/IF(Общие_или_заединицу="Общие трудозатраты",1,16)</f>
        <v>6</v>
      </c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6">
        <f>12.8/IF(Общие_или_заединицу="Общие трудозатраты",1,16)</f>
        <v>0.8</v>
      </c>
      <c r="T496" s="47"/>
      <c r="U496" s="47"/>
      <c r="V496" s="47"/>
      <c r="W496" s="46">
        <f>17.6/IF(Общие_или_заединицу="Общие трудозатраты",1,16)</f>
        <v>1.1000000000000001</v>
      </c>
      <c r="X496" s="47"/>
      <c r="Y496" s="47"/>
      <c r="Z496" s="47"/>
      <c r="AA496" s="47"/>
      <c r="AB496" s="47"/>
      <c r="AC496" s="47"/>
      <c r="AD496" s="47"/>
      <c r="AE496" s="47"/>
      <c r="AF496" s="47"/>
      <c r="AG496" s="47"/>
      <c r="AH496" s="47"/>
      <c r="AI496" s="47"/>
      <c r="AJ496" s="47"/>
      <c r="AK496" s="47"/>
      <c r="AL496" s="47"/>
      <c r="AM496" s="47"/>
      <c r="AN496" s="47"/>
      <c r="AO496" s="47"/>
      <c r="AP496" s="47"/>
      <c r="AQ496" s="47"/>
      <c r="AR496" s="47"/>
      <c r="AS496" s="47"/>
      <c r="AT496" s="47"/>
      <c r="AU496" s="47"/>
      <c r="AV496" s="47"/>
      <c r="AW496" s="47"/>
      <c r="AX496" s="47"/>
      <c r="AY496" s="47"/>
      <c r="AZ496" s="47"/>
      <c r="BA496" s="47"/>
      <c r="BB496" s="47"/>
      <c r="BC496" s="47"/>
    </row>
    <row r="497" spans="1:55" x14ac:dyDescent="0.25">
      <c r="A497" s="45" t="s">
        <v>1196</v>
      </c>
      <c r="B497" s="46">
        <f t="shared" si="9"/>
        <v>9.1</v>
      </c>
      <c r="C497" s="47"/>
      <c r="D497" s="47"/>
      <c r="E497" s="47"/>
      <c r="F497" s="47"/>
      <c r="G497" s="47"/>
      <c r="H497" s="46">
        <f>24/IF(Общие_или_заединицу="Общие трудозатраты",1,8)</f>
        <v>3</v>
      </c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6">
        <f>12/IF(Общие_или_заединицу="Общие трудозатраты",1,8)</f>
        <v>1.5</v>
      </c>
      <c r="T497" s="47"/>
      <c r="U497" s="47"/>
      <c r="V497" s="46">
        <f>28/IF(Общие_или_заединицу="Общие трудозатраты",1,8)</f>
        <v>3.5</v>
      </c>
      <c r="W497" s="46">
        <f>8.8/IF(Общие_или_заединицу="Общие трудозатраты",1,8)</f>
        <v>1.1000000000000001</v>
      </c>
      <c r="X497" s="47"/>
      <c r="Y497" s="47"/>
      <c r="Z497" s="47"/>
      <c r="AA497" s="47"/>
      <c r="AB497" s="47"/>
      <c r="AC497" s="47"/>
      <c r="AD497" s="47"/>
      <c r="AE497" s="47"/>
      <c r="AF497" s="47"/>
      <c r="AG497" s="47"/>
      <c r="AH497" s="47"/>
      <c r="AI497" s="47"/>
      <c r="AJ497" s="47"/>
      <c r="AK497" s="47"/>
      <c r="AL497" s="47"/>
      <c r="AM497" s="47"/>
      <c r="AN497" s="47"/>
      <c r="AO497" s="47"/>
      <c r="AP497" s="47"/>
      <c r="AQ497" s="47"/>
      <c r="AR497" s="47"/>
      <c r="AS497" s="47"/>
      <c r="AT497" s="47"/>
      <c r="AU497" s="47"/>
      <c r="AV497" s="47"/>
      <c r="AW497" s="47"/>
      <c r="AX497" s="47"/>
      <c r="AY497" s="47"/>
      <c r="AZ497" s="47"/>
      <c r="BA497" s="47"/>
      <c r="BB497" s="47"/>
      <c r="BC497" s="47"/>
    </row>
    <row r="498" spans="1:55" x14ac:dyDescent="0.25">
      <c r="A498" s="45" t="s">
        <v>1197</v>
      </c>
      <c r="B498" s="46">
        <f t="shared" si="9"/>
        <v>1.9000000000000001</v>
      </c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6">
        <f>12.8/IF(Общие_или_заединицу="Общие трудозатраты",1,16)</f>
        <v>0.8</v>
      </c>
      <c r="T498" s="47"/>
      <c r="U498" s="47"/>
      <c r="V498" s="47"/>
      <c r="W498" s="46">
        <f>17.6/IF(Общие_или_заединицу="Общие трудозатраты",1,16)</f>
        <v>1.1000000000000001</v>
      </c>
      <c r="X498" s="47"/>
      <c r="Y498" s="47"/>
      <c r="Z498" s="47"/>
      <c r="AA498" s="47"/>
      <c r="AB498" s="47"/>
      <c r="AC498" s="47"/>
      <c r="AD498" s="47"/>
      <c r="AE498" s="47"/>
      <c r="AF498" s="47"/>
      <c r="AG498" s="47"/>
      <c r="AH498" s="47"/>
      <c r="AI498" s="47"/>
      <c r="AJ498" s="47"/>
      <c r="AK498" s="47"/>
      <c r="AL498" s="47"/>
      <c r="AM498" s="47"/>
      <c r="AN498" s="47"/>
      <c r="AO498" s="47"/>
      <c r="AP498" s="47"/>
      <c r="AQ498" s="47"/>
      <c r="AR498" s="47"/>
      <c r="AS498" s="47"/>
      <c r="AT498" s="47"/>
      <c r="AU498" s="47"/>
      <c r="AV498" s="47"/>
      <c r="AW498" s="47"/>
      <c r="AX498" s="47"/>
      <c r="AY498" s="47"/>
      <c r="AZ498" s="47"/>
      <c r="BA498" s="47"/>
      <c r="BB498" s="47"/>
      <c r="BC498" s="47"/>
    </row>
    <row r="499" spans="1:55" x14ac:dyDescent="0.25">
      <c r="A499" s="45" t="s">
        <v>1176</v>
      </c>
      <c r="B499" s="46">
        <f t="shared" si="9"/>
        <v>10</v>
      </c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  <c r="AC499" s="47"/>
      <c r="AD499" s="47"/>
      <c r="AE499" s="47"/>
      <c r="AF499" s="47"/>
      <c r="AG499" s="47"/>
      <c r="AH499" s="47"/>
      <c r="AI499" s="46">
        <f>80/IF(Общие_или_заединицу="Общие трудозатраты",1,8)</f>
        <v>10</v>
      </c>
      <c r="AJ499" s="47"/>
      <c r="AK499" s="47"/>
      <c r="AL499" s="47"/>
      <c r="AM499" s="47"/>
      <c r="AN499" s="47"/>
      <c r="AO499" s="47"/>
      <c r="AP499" s="47"/>
      <c r="AQ499" s="47"/>
      <c r="AR499" s="47"/>
      <c r="AS499" s="47"/>
      <c r="AT499" s="47"/>
      <c r="AU499" s="47"/>
      <c r="AV499" s="47"/>
      <c r="AW499" s="47"/>
      <c r="AX499" s="47"/>
      <c r="AY499" s="47"/>
      <c r="AZ499" s="47"/>
      <c r="BA499" s="47"/>
      <c r="BB499" s="47"/>
      <c r="BC499" s="47"/>
    </row>
    <row r="500" spans="1:55" x14ac:dyDescent="0.25">
      <c r="A500" s="45" t="s">
        <v>1205</v>
      </c>
      <c r="B500" s="46">
        <f t="shared" si="9"/>
        <v>7.8</v>
      </c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6">
        <f>15.2/IF(Общие_или_заединицу="Общие трудозатраты",1,8)</f>
        <v>1.9</v>
      </c>
      <c r="T500" s="47"/>
      <c r="U500" s="47"/>
      <c r="V500" s="46">
        <f>31.2/IF(Общие_или_заединицу="Общие трудозатраты",1,8)</f>
        <v>3.9</v>
      </c>
      <c r="W500" s="46">
        <f>16/IF(Общие_или_заединицу="Общие трудозатраты",1,8)</f>
        <v>2</v>
      </c>
      <c r="X500" s="47"/>
      <c r="Y500" s="47"/>
      <c r="Z500" s="47"/>
      <c r="AA500" s="47"/>
      <c r="AB500" s="47"/>
      <c r="AC500" s="47"/>
      <c r="AD500" s="47"/>
      <c r="AE500" s="47"/>
      <c r="AF500" s="47"/>
      <c r="AG500" s="47"/>
      <c r="AH500" s="47"/>
      <c r="AI500" s="47"/>
      <c r="AJ500" s="47"/>
      <c r="AK500" s="47"/>
      <c r="AL500" s="47"/>
      <c r="AM500" s="47"/>
      <c r="AN500" s="47"/>
      <c r="AO500" s="47"/>
      <c r="AP500" s="47"/>
      <c r="AQ500" s="47"/>
      <c r="AR500" s="47"/>
      <c r="AS500" s="47"/>
      <c r="AT500" s="47"/>
      <c r="AU500" s="47"/>
      <c r="AV500" s="47"/>
      <c r="AW500" s="47"/>
      <c r="AX500" s="47"/>
      <c r="AY500" s="47"/>
      <c r="AZ500" s="47"/>
      <c r="BA500" s="47"/>
      <c r="BB500" s="47"/>
      <c r="BC500" s="47"/>
    </row>
    <row r="501" spans="1:55" x14ac:dyDescent="0.25">
      <c r="A501" s="45" t="s">
        <v>1206</v>
      </c>
      <c r="B501" s="46">
        <f t="shared" si="9"/>
        <v>3.5</v>
      </c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  <c r="AB501" s="47"/>
      <c r="AC501" s="47"/>
      <c r="AD501" s="47"/>
      <c r="AE501" s="47"/>
      <c r="AF501" s="47"/>
      <c r="AG501" s="47"/>
      <c r="AH501" s="47"/>
      <c r="AI501" s="47"/>
      <c r="AJ501" s="47"/>
      <c r="AK501" s="47"/>
      <c r="AL501" s="47"/>
      <c r="AM501" s="47"/>
      <c r="AN501" s="47"/>
      <c r="AO501" s="47"/>
      <c r="AP501" s="47"/>
      <c r="AQ501" s="47"/>
      <c r="AR501" s="47"/>
      <c r="AS501" s="47"/>
      <c r="AT501" s="47"/>
      <c r="AU501" s="47"/>
      <c r="AV501" s="47"/>
      <c r="AW501" s="47"/>
      <c r="AX501" s="47"/>
      <c r="AY501" s="47"/>
      <c r="AZ501" s="47"/>
      <c r="BA501" s="46">
        <f>28/IF(Общие_или_заединицу="Общие трудозатраты",1,8)</f>
        <v>3.5</v>
      </c>
      <c r="BB501" s="47"/>
      <c r="BC501" s="47"/>
    </row>
    <row r="502" spans="1:55" x14ac:dyDescent="0.25">
      <c r="A502" s="45" t="s">
        <v>1178</v>
      </c>
      <c r="B502" s="48">
        <f t="shared" si="9"/>
        <v>516</v>
      </c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6">
        <f>140/IF(Общие_или_заединицу="Общие трудозатраты",1,2)</f>
        <v>70</v>
      </c>
      <c r="W502" s="46">
        <f>214/IF(Общие_или_заединицу="Общие трудозатраты",1,2)</f>
        <v>107</v>
      </c>
      <c r="X502" s="47"/>
      <c r="Y502" s="47"/>
      <c r="Z502" s="47"/>
      <c r="AA502" s="47"/>
      <c r="AB502" s="47"/>
      <c r="AC502" s="47"/>
      <c r="AD502" s="47"/>
      <c r="AE502" s="47"/>
      <c r="AF502" s="47"/>
      <c r="AG502" s="47"/>
      <c r="AH502" s="47"/>
      <c r="AI502" s="46">
        <f>30/IF(Общие_или_заединицу="Общие трудозатраты",1,2)</f>
        <v>15</v>
      </c>
      <c r="AJ502" s="47"/>
      <c r="AK502" s="47"/>
      <c r="AL502" s="47"/>
      <c r="AM502" s="46">
        <f>288/IF(Общие_или_заединицу="Общие трудозатраты",1,2)</f>
        <v>144</v>
      </c>
      <c r="AN502" s="47"/>
      <c r="AO502" s="46">
        <f>360/IF(Общие_или_заединицу="Общие трудозатраты",1,2)</f>
        <v>180</v>
      </c>
      <c r="AP502" s="47"/>
      <c r="AQ502" s="47"/>
      <c r="AR502" s="47"/>
      <c r="AS502" s="47"/>
      <c r="AT502" s="47"/>
      <c r="AU502" s="47"/>
      <c r="AV502" s="47"/>
      <c r="AW502" s="47"/>
      <c r="AX502" s="47"/>
      <c r="AY502" s="47"/>
      <c r="AZ502" s="47"/>
      <c r="BA502" s="47"/>
      <c r="BB502" s="47"/>
      <c r="BC502" s="47"/>
    </row>
    <row r="503" spans="1:55" x14ac:dyDescent="0.25">
      <c r="A503" s="45" t="s">
        <v>1210</v>
      </c>
      <c r="B503" s="46">
        <f t="shared" si="9"/>
        <v>28.5</v>
      </c>
      <c r="C503" s="47"/>
      <c r="D503" s="47"/>
      <c r="E503" s="47"/>
      <c r="F503" s="47"/>
      <c r="G503" s="47"/>
      <c r="H503" s="47"/>
      <c r="I503" s="47"/>
      <c r="J503" s="47"/>
      <c r="K503" s="46">
        <f>36/IF(Общие_или_заединицу="Общие трудозатраты",1,2)</f>
        <v>18</v>
      </c>
      <c r="L503" s="47"/>
      <c r="M503" s="47"/>
      <c r="N503" s="47"/>
      <c r="O503" s="47"/>
      <c r="P503" s="47"/>
      <c r="Q503" s="47"/>
      <c r="R503" s="47"/>
      <c r="S503" s="46">
        <f>21/IF(Общие_или_заединицу="Общие трудозатраты",1,2)</f>
        <v>10.5</v>
      </c>
      <c r="T503" s="47"/>
      <c r="U503" s="47"/>
      <c r="V503" s="47"/>
      <c r="W503" s="47"/>
      <c r="X503" s="47"/>
      <c r="Y503" s="47"/>
      <c r="Z503" s="47"/>
      <c r="AA503" s="47"/>
      <c r="AB503" s="47"/>
      <c r="AC503" s="47"/>
      <c r="AD503" s="47"/>
      <c r="AE503" s="47"/>
      <c r="AF503" s="47"/>
      <c r="AG503" s="47"/>
      <c r="AH503" s="47"/>
      <c r="AI503" s="47"/>
      <c r="AJ503" s="47"/>
      <c r="AK503" s="47"/>
      <c r="AL503" s="47"/>
      <c r="AM503" s="47"/>
      <c r="AN503" s="47"/>
      <c r="AO503" s="47"/>
      <c r="AP503" s="47"/>
      <c r="AQ503" s="47"/>
      <c r="AR503" s="47"/>
      <c r="AS503" s="47"/>
      <c r="AT503" s="47"/>
      <c r="AU503" s="47"/>
      <c r="AV503" s="47"/>
      <c r="AW503" s="47"/>
      <c r="AX503" s="47"/>
      <c r="AY503" s="47"/>
      <c r="AZ503" s="47"/>
      <c r="BA503" s="47"/>
      <c r="BB503" s="47"/>
      <c r="BC503" s="47"/>
    </row>
    <row r="504" spans="1:55" x14ac:dyDescent="0.25">
      <c r="A504" s="45" t="s">
        <v>1211</v>
      </c>
      <c r="B504" s="46">
        <f t="shared" si="9"/>
        <v>28.5</v>
      </c>
      <c r="C504" s="47"/>
      <c r="D504" s="47"/>
      <c r="E504" s="47"/>
      <c r="F504" s="47"/>
      <c r="G504" s="47"/>
      <c r="H504" s="47"/>
      <c r="I504" s="47"/>
      <c r="J504" s="47"/>
      <c r="K504" s="46">
        <f>36/IF(Общие_или_заединицу="Общие трудозатраты",1,2)</f>
        <v>18</v>
      </c>
      <c r="L504" s="47"/>
      <c r="M504" s="47"/>
      <c r="N504" s="47"/>
      <c r="O504" s="47"/>
      <c r="P504" s="47"/>
      <c r="Q504" s="47"/>
      <c r="R504" s="47"/>
      <c r="S504" s="46">
        <f>21/IF(Общие_или_заединицу="Общие трудозатраты",1,2)</f>
        <v>10.5</v>
      </c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  <c r="AG504" s="47"/>
      <c r="AH504" s="47"/>
      <c r="AI504" s="47"/>
      <c r="AJ504" s="47"/>
      <c r="AK504" s="47"/>
      <c r="AL504" s="47"/>
      <c r="AM504" s="47"/>
      <c r="AN504" s="47"/>
      <c r="AO504" s="47"/>
      <c r="AP504" s="47"/>
      <c r="AQ504" s="47"/>
      <c r="AR504" s="47"/>
      <c r="AS504" s="47"/>
      <c r="AT504" s="47"/>
      <c r="AU504" s="47"/>
      <c r="AV504" s="47"/>
      <c r="AW504" s="47"/>
      <c r="AX504" s="47"/>
      <c r="AY504" s="47"/>
      <c r="AZ504" s="47"/>
      <c r="BA504" s="47"/>
      <c r="BB504" s="47"/>
      <c r="BC504" s="47"/>
    </row>
    <row r="505" spans="1:55" x14ac:dyDescent="0.25">
      <c r="A505" s="45" t="s">
        <v>1212</v>
      </c>
      <c r="B505" s="46">
        <f t="shared" si="9"/>
        <v>50.5</v>
      </c>
      <c r="C505" s="47"/>
      <c r="D505" s="46">
        <f>88/IF(Общие_или_заединицу="Общие трудозатраты",1,8)</f>
        <v>11</v>
      </c>
      <c r="E505" s="47"/>
      <c r="F505" s="47"/>
      <c r="G505" s="47"/>
      <c r="H505" s="47"/>
      <c r="I505" s="47"/>
      <c r="J505" s="46">
        <f>64/IF(Общие_или_заединицу="Общие трудозатраты",1,8)</f>
        <v>8</v>
      </c>
      <c r="K505" s="47"/>
      <c r="L505" s="47"/>
      <c r="M505" s="47"/>
      <c r="N505" s="47"/>
      <c r="O505" s="47"/>
      <c r="P505" s="47"/>
      <c r="Q505" s="47"/>
      <c r="R505" s="47"/>
      <c r="S505" s="46">
        <f>156/IF(Общие_или_заединицу="Общие трудозатраты",1,8)</f>
        <v>19.5</v>
      </c>
      <c r="T505" s="47"/>
      <c r="U505" s="47"/>
      <c r="V505" s="47"/>
      <c r="W505" s="47"/>
      <c r="X505" s="47"/>
      <c r="Y505" s="47"/>
      <c r="Z505" s="47"/>
      <c r="AA505" s="47"/>
      <c r="AB505" s="47"/>
      <c r="AC505" s="47"/>
      <c r="AD505" s="47"/>
      <c r="AE505" s="47"/>
      <c r="AF505" s="47"/>
      <c r="AG505" s="47"/>
      <c r="AH505" s="47"/>
      <c r="AI505" s="47"/>
      <c r="AJ505" s="47"/>
      <c r="AK505" s="47"/>
      <c r="AL505" s="47"/>
      <c r="AM505" s="47"/>
      <c r="AN505" s="47"/>
      <c r="AO505" s="46">
        <f>96/IF(Общие_или_заединицу="Общие трудозатраты",1,8)</f>
        <v>12</v>
      </c>
      <c r="AP505" s="47"/>
      <c r="AQ505" s="47"/>
      <c r="AR505" s="47"/>
      <c r="AS505" s="47"/>
      <c r="AT505" s="47"/>
      <c r="AU505" s="47"/>
      <c r="AV505" s="47"/>
      <c r="AW505" s="47"/>
      <c r="AX505" s="47"/>
      <c r="AY505" s="47"/>
      <c r="AZ505" s="47"/>
      <c r="BA505" s="47"/>
      <c r="BB505" s="47"/>
      <c r="BC505" s="47"/>
    </row>
    <row r="506" spans="1:55" x14ac:dyDescent="0.25">
      <c r="A506" s="45" t="s">
        <v>1213</v>
      </c>
      <c r="B506" s="46">
        <f t="shared" si="9"/>
        <v>0.5</v>
      </c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6">
        <f>16/IF(Общие_или_заединицу="Общие трудозатраты",1,32)</f>
        <v>0.5</v>
      </c>
      <c r="T506" s="47"/>
      <c r="U506" s="47"/>
      <c r="V506" s="47"/>
      <c r="W506" s="47"/>
      <c r="X506" s="47"/>
      <c r="Y506" s="47"/>
      <c r="Z506" s="47"/>
      <c r="AA506" s="47"/>
      <c r="AB506" s="47"/>
      <c r="AC506" s="47"/>
      <c r="AD506" s="47"/>
      <c r="AE506" s="47"/>
      <c r="AF506" s="47"/>
      <c r="AG506" s="47"/>
      <c r="AH506" s="47"/>
      <c r="AI506" s="47"/>
      <c r="AJ506" s="47"/>
      <c r="AK506" s="47"/>
      <c r="AL506" s="47"/>
      <c r="AM506" s="47"/>
      <c r="AN506" s="47"/>
      <c r="AO506" s="47"/>
      <c r="AP506" s="47"/>
      <c r="AQ506" s="47"/>
      <c r="AR506" s="47"/>
      <c r="AS506" s="47"/>
      <c r="AT506" s="47"/>
      <c r="AU506" s="47"/>
      <c r="AV506" s="47"/>
      <c r="AW506" s="47"/>
      <c r="AX506" s="47"/>
      <c r="AY506" s="47"/>
      <c r="AZ506" s="47"/>
      <c r="BA506" s="47"/>
      <c r="BB506" s="47"/>
      <c r="BC506" s="47"/>
    </row>
    <row r="507" spans="1:55" x14ac:dyDescent="0.25">
      <c r="A507" s="45" t="s">
        <v>1208</v>
      </c>
      <c r="B507" s="46">
        <f t="shared" si="9"/>
        <v>37.200000000000003</v>
      </c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6">
        <f>65.6/IF(Общие_или_заединицу="Общие трудозатраты",1,8)</f>
        <v>8.1999999999999993</v>
      </c>
      <c r="W507" s="46">
        <f>88/IF(Общие_или_заединицу="Общие трудозатраты",1,8)</f>
        <v>11</v>
      </c>
      <c r="X507" s="47"/>
      <c r="Y507" s="47"/>
      <c r="Z507" s="47"/>
      <c r="AA507" s="47"/>
      <c r="AB507" s="47"/>
      <c r="AC507" s="47"/>
      <c r="AD507" s="47"/>
      <c r="AE507" s="47"/>
      <c r="AF507" s="47"/>
      <c r="AG507" s="47"/>
      <c r="AH507" s="47"/>
      <c r="AI507" s="47"/>
      <c r="AJ507" s="47"/>
      <c r="AK507" s="47"/>
      <c r="AL507" s="46">
        <f>64/IF(Общие_или_заединицу="Общие трудозатраты",1,8)</f>
        <v>8</v>
      </c>
      <c r="AM507" s="47"/>
      <c r="AN507" s="47"/>
      <c r="AO507" s="46">
        <f>80/IF(Общие_или_заединицу="Общие трудозатраты",1,8)</f>
        <v>10</v>
      </c>
      <c r="AP507" s="47"/>
      <c r="AQ507" s="47"/>
      <c r="AR507" s="47"/>
      <c r="AS507" s="47"/>
      <c r="AT507" s="47"/>
      <c r="AU507" s="47"/>
      <c r="AV507" s="47"/>
      <c r="AW507" s="47"/>
      <c r="AX507" s="47"/>
      <c r="AY507" s="47"/>
      <c r="AZ507" s="47"/>
      <c r="BA507" s="47"/>
      <c r="BB507" s="47"/>
      <c r="BC507" s="47"/>
    </row>
    <row r="508" spans="1:55" x14ac:dyDescent="0.25">
      <c r="A508" s="45" t="s">
        <v>1215</v>
      </c>
      <c r="B508" s="46">
        <f t="shared" si="9"/>
        <v>8.5</v>
      </c>
      <c r="C508" s="47"/>
      <c r="D508" s="47"/>
      <c r="E508" s="47"/>
      <c r="F508" s="47"/>
      <c r="G508" s="47"/>
      <c r="H508" s="46">
        <f>40/IF(Общие_или_заединицу="Общие трудозатраты",1,8)</f>
        <v>5</v>
      </c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6">
        <f>28/IF(Общие_или_заединицу="Общие трудозатраты",1,8)</f>
        <v>3.5</v>
      </c>
      <c r="T508" s="47"/>
      <c r="U508" s="47"/>
      <c r="V508" s="47"/>
      <c r="W508" s="47"/>
      <c r="X508" s="47"/>
      <c r="Y508" s="47"/>
      <c r="Z508" s="47"/>
      <c r="AA508" s="47"/>
      <c r="AB508" s="47"/>
      <c r="AC508" s="47"/>
      <c r="AD508" s="47"/>
      <c r="AE508" s="47"/>
      <c r="AF508" s="47"/>
      <c r="AG508" s="47"/>
      <c r="AH508" s="47"/>
      <c r="AI508" s="47"/>
      <c r="AJ508" s="47"/>
      <c r="AK508" s="47"/>
      <c r="AL508" s="47"/>
      <c r="AM508" s="47"/>
      <c r="AN508" s="47"/>
      <c r="AO508" s="47"/>
      <c r="AP508" s="47"/>
      <c r="AQ508" s="47"/>
      <c r="AR508" s="47"/>
      <c r="AS508" s="47"/>
      <c r="AT508" s="47"/>
      <c r="AU508" s="47"/>
      <c r="AV508" s="47"/>
      <c r="AW508" s="47"/>
      <c r="AX508" s="47"/>
      <c r="AY508" s="47"/>
      <c r="AZ508" s="47"/>
      <c r="BA508" s="47"/>
      <c r="BB508" s="47"/>
      <c r="BC508" s="47"/>
    </row>
    <row r="509" spans="1:55" x14ac:dyDescent="0.25">
      <c r="A509" s="45" t="s">
        <v>1216</v>
      </c>
      <c r="B509" s="46">
        <f t="shared" si="9"/>
        <v>2.2999999999999998</v>
      </c>
      <c r="C509" s="47"/>
      <c r="D509" s="47"/>
      <c r="E509" s="47"/>
      <c r="F509" s="46">
        <f>8.8/IF(Общие_или_заединицу="Общие трудозатраты",1,8)</f>
        <v>1.1000000000000001</v>
      </c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6">
        <f>9.6/IF(Общие_или_заединицу="Общие трудозатраты",1,8)</f>
        <v>1.2</v>
      </c>
      <c r="T509" s="47"/>
      <c r="U509" s="47"/>
      <c r="V509" s="47"/>
      <c r="W509" s="47"/>
      <c r="X509" s="47"/>
      <c r="Y509" s="47"/>
      <c r="Z509" s="47"/>
      <c r="AA509" s="47"/>
      <c r="AB509" s="47"/>
      <c r="AC509" s="47"/>
      <c r="AD509" s="47"/>
      <c r="AE509" s="47"/>
      <c r="AF509" s="47"/>
      <c r="AG509" s="47"/>
      <c r="AH509" s="47"/>
      <c r="AI509" s="47"/>
      <c r="AJ509" s="47"/>
      <c r="AK509" s="47"/>
      <c r="AL509" s="47"/>
      <c r="AM509" s="47"/>
      <c r="AN509" s="47"/>
      <c r="AO509" s="47"/>
      <c r="AP509" s="47"/>
      <c r="AQ509" s="47"/>
      <c r="AR509" s="47"/>
      <c r="AS509" s="47"/>
      <c r="AT509" s="47"/>
      <c r="AU509" s="47"/>
      <c r="AV509" s="47"/>
      <c r="AW509" s="47"/>
      <c r="AX509" s="47"/>
      <c r="AY509" s="47"/>
      <c r="AZ509" s="47"/>
      <c r="BA509" s="47"/>
      <c r="BB509" s="47"/>
      <c r="BC509" s="47"/>
    </row>
    <row r="510" spans="1:55" x14ac:dyDescent="0.25">
      <c r="A510" s="45" t="s">
        <v>1209</v>
      </c>
      <c r="B510" s="46">
        <f t="shared" si="9"/>
        <v>6</v>
      </c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  <c r="AB510" s="47"/>
      <c r="AC510" s="47"/>
      <c r="AD510" s="47"/>
      <c r="AE510" s="47"/>
      <c r="AF510" s="47"/>
      <c r="AG510" s="47"/>
      <c r="AH510" s="47"/>
      <c r="AI510" s="47"/>
      <c r="AJ510" s="47"/>
      <c r="AK510" s="47"/>
      <c r="AL510" s="47"/>
      <c r="AM510" s="47"/>
      <c r="AN510" s="47"/>
      <c r="AO510" s="46">
        <f>48/IF(Общие_или_заединицу="Общие трудозатраты",1,8)</f>
        <v>6</v>
      </c>
      <c r="AP510" s="47"/>
      <c r="AQ510" s="47"/>
      <c r="AR510" s="47"/>
      <c r="AS510" s="47"/>
      <c r="AT510" s="47"/>
      <c r="AU510" s="47"/>
      <c r="AV510" s="47"/>
      <c r="AW510" s="47"/>
      <c r="AX510" s="47"/>
      <c r="AY510" s="47"/>
      <c r="AZ510" s="47"/>
      <c r="BA510" s="47"/>
      <c r="BB510" s="47"/>
      <c r="BC510" s="47"/>
    </row>
    <row r="511" spans="1:55" x14ac:dyDescent="0.25">
      <c r="A511" s="45" t="s">
        <v>1217</v>
      </c>
      <c r="B511" s="46">
        <f t="shared" si="9"/>
        <v>8.6999999999999993</v>
      </c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6">
        <f>16/IF(Общие_или_заединицу="Общие трудозатраты",1,8)</f>
        <v>2</v>
      </c>
      <c r="N511" s="47"/>
      <c r="O511" s="47"/>
      <c r="P511" s="47"/>
      <c r="Q511" s="47"/>
      <c r="R511" s="47"/>
      <c r="S511" s="47"/>
      <c r="T511" s="46">
        <f>12/IF(Общие_или_заединицу="Общие трудозатраты",1,8)</f>
        <v>1.5</v>
      </c>
      <c r="U511" s="47"/>
      <c r="V511" s="47"/>
      <c r="W511" s="47"/>
      <c r="X511" s="47"/>
      <c r="Y511" s="47"/>
      <c r="Z511" s="47"/>
      <c r="AA511" s="47"/>
      <c r="AB511" s="47"/>
      <c r="AC511" s="47"/>
      <c r="AD511" s="47"/>
      <c r="AE511" s="47"/>
      <c r="AF511" s="47"/>
      <c r="AG511" s="47"/>
      <c r="AH511" s="47"/>
      <c r="AI511" s="47"/>
      <c r="AJ511" s="47"/>
      <c r="AK511" s="47"/>
      <c r="AL511" s="47"/>
      <c r="AM511" s="47"/>
      <c r="AN511" s="47"/>
      <c r="AO511" s="47"/>
      <c r="AP511" s="47"/>
      <c r="AQ511" s="47"/>
      <c r="AR511" s="46">
        <f>41.6/IF(Общие_или_заединицу="Общие трудозатраты",1,8)</f>
        <v>5.2</v>
      </c>
      <c r="AS511" s="47"/>
      <c r="AT511" s="47"/>
      <c r="AU511" s="47"/>
      <c r="AV511" s="47"/>
      <c r="AW511" s="47"/>
      <c r="AX511" s="47"/>
      <c r="AY511" s="47"/>
      <c r="AZ511" s="47"/>
      <c r="BA511" s="47"/>
      <c r="BB511" s="47"/>
      <c r="BC511" s="47"/>
    </row>
    <row r="512" spans="1:55" x14ac:dyDescent="0.25">
      <c r="A512" s="45" t="s">
        <v>1179</v>
      </c>
      <c r="B512" s="46">
        <f t="shared" si="9"/>
        <v>8</v>
      </c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  <c r="AB512" s="47"/>
      <c r="AC512" s="47"/>
      <c r="AD512" s="47"/>
      <c r="AE512" s="47"/>
      <c r="AF512" s="47"/>
      <c r="AG512" s="47"/>
      <c r="AH512" s="47"/>
      <c r="AI512" s="46">
        <f>16/IF(Общие_или_заединицу="Общие трудозатраты",1,2)</f>
        <v>8</v>
      </c>
      <c r="AJ512" s="47"/>
      <c r="AK512" s="47"/>
      <c r="AL512" s="47"/>
      <c r="AM512" s="47"/>
      <c r="AN512" s="47"/>
      <c r="AO512" s="47"/>
      <c r="AP512" s="47"/>
      <c r="AQ512" s="47"/>
      <c r="AR512" s="47"/>
      <c r="AS512" s="47"/>
      <c r="AT512" s="47"/>
      <c r="AU512" s="47"/>
      <c r="AV512" s="47"/>
      <c r="AW512" s="47"/>
      <c r="AX512" s="47"/>
      <c r="AY512" s="47"/>
      <c r="AZ512" s="47"/>
      <c r="BA512" s="47"/>
      <c r="BB512" s="47"/>
      <c r="BC512" s="47"/>
    </row>
    <row r="513" spans="1:55" x14ac:dyDescent="0.25">
      <c r="A513" s="45" t="s">
        <v>1220</v>
      </c>
      <c r="B513" s="46">
        <f t="shared" si="9"/>
        <v>7.4</v>
      </c>
      <c r="C513" s="47"/>
      <c r="D513" s="47"/>
      <c r="E513" s="46">
        <f>16/IF(Общие_или_заединицу="Общие трудозатраты",1,8)</f>
        <v>2</v>
      </c>
      <c r="F513" s="47"/>
      <c r="G513" s="47"/>
      <c r="H513" s="47"/>
      <c r="I513" s="47"/>
      <c r="J513" s="47"/>
      <c r="K513" s="47"/>
      <c r="L513" s="47"/>
      <c r="M513" s="46">
        <f>8.8/IF(Общие_или_заединицу="Общие трудозатраты",1,8)</f>
        <v>1.1000000000000001</v>
      </c>
      <c r="N513" s="47"/>
      <c r="O513" s="47"/>
      <c r="P513" s="47"/>
      <c r="Q513" s="47"/>
      <c r="R513" s="47"/>
      <c r="S513" s="47"/>
      <c r="T513" s="47"/>
      <c r="U513" s="47"/>
      <c r="V513" s="47"/>
      <c r="W513" s="46">
        <f>8.8/IF(Общие_или_заединицу="Общие трудозатраты",1,8)</f>
        <v>1.1000000000000001</v>
      </c>
      <c r="X513" s="47"/>
      <c r="Y513" s="47"/>
      <c r="Z513" s="47"/>
      <c r="AA513" s="46">
        <f>25.6/IF(Общие_или_заединицу="Общие трудозатраты",1,8)</f>
        <v>3.2</v>
      </c>
      <c r="AB513" s="47"/>
      <c r="AC513" s="47"/>
      <c r="AD513" s="47"/>
      <c r="AE513" s="47"/>
      <c r="AF513" s="47"/>
      <c r="AG513" s="47"/>
      <c r="AH513" s="47"/>
      <c r="AI513" s="47"/>
      <c r="AJ513" s="47"/>
      <c r="AK513" s="47"/>
      <c r="AL513" s="47"/>
      <c r="AM513" s="47"/>
      <c r="AN513" s="47"/>
      <c r="AO513" s="47"/>
      <c r="AP513" s="47"/>
      <c r="AQ513" s="47"/>
      <c r="AR513" s="47"/>
      <c r="AS513" s="47"/>
      <c r="AT513" s="47"/>
      <c r="AU513" s="47"/>
      <c r="AV513" s="47"/>
      <c r="AW513" s="47"/>
      <c r="AX513" s="47"/>
      <c r="AY513" s="47"/>
      <c r="AZ513" s="47"/>
      <c r="BA513" s="47"/>
      <c r="BB513" s="47"/>
      <c r="BC513" s="47"/>
    </row>
    <row r="514" spans="1:55" x14ac:dyDescent="0.25">
      <c r="A514" s="45" t="s">
        <v>1218</v>
      </c>
      <c r="B514" s="46">
        <f t="shared" si="9"/>
        <v>36.5</v>
      </c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6">
        <f>40/IF(Общие_или_заединицу="Общие трудозатраты",1,8)</f>
        <v>5</v>
      </c>
      <c r="N514" s="47"/>
      <c r="O514" s="47"/>
      <c r="P514" s="47"/>
      <c r="Q514" s="47"/>
      <c r="R514" s="47"/>
      <c r="S514" s="47"/>
      <c r="T514" s="47"/>
      <c r="U514" s="47"/>
      <c r="V514" s="47"/>
      <c r="W514" s="46">
        <f>44/IF(Общие_или_заединицу="Общие трудозатраты",1,8)</f>
        <v>5.5</v>
      </c>
      <c r="X514" s="47"/>
      <c r="Y514" s="47"/>
      <c r="Z514" s="47"/>
      <c r="AA514" s="47"/>
      <c r="AB514" s="47"/>
      <c r="AC514" s="47"/>
      <c r="AD514" s="47"/>
      <c r="AE514" s="47"/>
      <c r="AF514" s="47"/>
      <c r="AG514" s="47"/>
      <c r="AH514" s="47"/>
      <c r="AI514" s="47"/>
      <c r="AJ514" s="47"/>
      <c r="AK514" s="47"/>
      <c r="AL514" s="47"/>
      <c r="AM514" s="46">
        <f>96/IF(Общие_или_заединицу="Общие трудозатраты",1,8)</f>
        <v>12</v>
      </c>
      <c r="AN514" s="47"/>
      <c r="AO514" s="46">
        <f>112/IF(Общие_или_заединицу="Общие трудозатраты",1,8)</f>
        <v>14</v>
      </c>
      <c r="AP514" s="47"/>
      <c r="AQ514" s="47"/>
      <c r="AR514" s="47"/>
      <c r="AS514" s="47"/>
      <c r="AT514" s="47"/>
      <c r="AU514" s="47"/>
      <c r="AV514" s="47"/>
      <c r="AW514" s="47"/>
      <c r="AX514" s="47"/>
      <c r="AY514" s="47"/>
      <c r="AZ514" s="47"/>
      <c r="BA514" s="47"/>
      <c r="BB514" s="47"/>
      <c r="BC514" s="47"/>
    </row>
    <row r="515" spans="1:55" x14ac:dyDescent="0.25">
      <c r="A515" s="45" t="s">
        <v>1222</v>
      </c>
      <c r="B515" s="46">
        <f t="shared" si="9"/>
        <v>9.9</v>
      </c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6">
        <f>316.8/IF(Общие_или_заединицу="Общие трудозатраты",1,32)</f>
        <v>9.9</v>
      </c>
      <c r="AB515" s="47"/>
      <c r="AC515" s="47"/>
      <c r="AD515" s="47"/>
      <c r="AE515" s="47"/>
      <c r="AF515" s="47"/>
      <c r="AG515" s="47"/>
      <c r="AH515" s="47"/>
      <c r="AI515" s="47"/>
      <c r="AJ515" s="47"/>
      <c r="AK515" s="47"/>
      <c r="AL515" s="47"/>
      <c r="AM515" s="47"/>
      <c r="AN515" s="47"/>
      <c r="AO515" s="47"/>
      <c r="AP515" s="47"/>
      <c r="AQ515" s="47"/>
      <c r="AR515" s="47"/>
      <c r="AS515" s="47"/>
      <c r="AT515" s="47"/>
      <c r="AU515" s="47"/>
      <c r="AV515" s="47"/>
      <c r="AW515" s="47"/>
      <c r="AX515" s="47"/>
      <c r="AY515" s="47"/>
      <c r="AZ515" s="47"/>
      <c r="BA515" s="47"/>
      <c r="BB515" s="47"/>
      <c r="BC515" s="47"/>
    </row>
    <row r="516" spans="1:55" x14ac:dyDescent="0.25">
      <c r="A516" s="45" t="s">
        <v>1223</v>
      </c>
      <c r="B516" s="46">
        <f t="shared" ref="B516:B579" si="11">SUM(C516:BC516)</f>
        <v>2</v>
      </c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6">
        <f>64/IF(Общие_или_заединицу="Общие трудозатраты",1,32)</f>
        <v>2</v>
      </c>
      <c r="AB516" s="47"/>
      <c r="AC516" s="47"/>
      <c r="AD516" s="47"/>
      <c r="AE516" s="47"/>
      <c r="AF516" s="47"/>
      <c r="AG516" s="47"/>
      <c r="AH516" s="47"/>
      <c r="AI516" s="47"/>
      <c r="AJ516" s="47"/>
      <c r="AK516" s="47"/>
      <c r="AL516" s="47"/>
      <c r="AM516" s="47"/>
      <c r="AN516" s="47"/>
      <c r="AO516" s="47"/>
      <c r="AP516" s="47"/>
      <c r="AQ516" s="47"/>
      <c r="AR516" s="47"/>
      <c r="AS516" s="47"/>
      <c r="AT516" s="47"/>
      <c r="AU516" s="47"/>
      <c r="AV516" s="47"/>
      <c r="AW516" s="47"/>
      <c r="AX516" s="47"/>
      <c r="AY516" s="47"/>
      <c r="AZ516" s="47"/>
      <c r="BA516" s="47"/>
      <c r="BB516" s="47"/>
      <c r="BC516" s="47"/>
    </row>
    <row r="517" spans="1:55" x14ac:dyDescent="0.25">
      <c r="A517" s="45" t="s">
        <v>1224</v>
      </c>
      <c r="B517" s="46">
        <f t="shared" si="11"/>
        <v>0.8</v>
      </c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6">
        <f>51.2/IF(Общие_или_заединицу="Общие трудозатраты",1,64)</f>
        <v>0.8</v>
      </c>
      <c r="AB517" s="47"/>
      <c r="AC517" s="47"/>
      <c r="AD517" s="47"/>
      <c r="AE517" s="47"/>
      <c r="AF517" s="47"/>
      <c r="AG517" s="47"/>
      <c r="AH517" s="47"/>
      <c r="AI517" s="47"/>
      <c r="AJ517" s="47"/>
      <c r="AK517" s="47"/>
      <c r="AL517" s="47"/>
      <c r="AM517" s="47"/>
      <c r="AN517" s="47"/>
      <c r="AO517" s="47"/>
      <c r="AP517" s="47"/>
      <c r="AQ517" s="47"/>
      <c r="AR517" s="47"/>
      <c r="AS517" s="47"/>
      <c r="AT517" s="47"/>
      <c r="AU517" s="47"/>
      <c r="AV517" s="47"/>
      <c r="AW517" s="47"/>
      <c r="AX517" s="47"/>
      <c r="AY517" s="47"/>
      <c r="AZ517" s="47"/>
      <c r="BA517" s="47"/>
      <c r="BB517" s="47"/>
      <c r="BC517" s="47"/>
    </row>
    <row r="518" spans="1:55" x14ac:dyDescent="0.25">
      <c r="A518" s="45" t="s">
        <v>1219</v>
      </c>
      <c r="B518" s="46">
        <f t="shared" si="11"/>
        <v>16.100000000000001</v>
      </c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6">
        <f>16/IF(Общие_или_заединицу="Общие трудозатраты",1,8)</f>
        <v>2</v>
      </c>
      <c r="N518" s="47"/>
      <c r="O518" s="47"/>
      <c r="P518" s="47"/>
      <c r="Q518" s="47"/>
      <c r="R518" s="47"/>
      <c r="S518" s="47"/>
      <c r="T518" s="47"/>
      <c r="U518" s="47"/>
      <c r="V518" s="47"/>
      <c r="W518" s="46">
        <f>8.8/IF(Общие_или_заединицу="Общие трудозатраты",1,8)</f>
        <v>1.1000000000000001</v>
      </c>
      <c r="X518" s="47"/>
      <c r="Y518" s="47"/>
      <c r="Z518" s="47"/>
      <c r="AA518" s="47"/>
      <c r="AB518" s="47"/>
      <c r="AC518" s="47"/>
      <c r="AD518" s="47"/>
      <c r="AE518" s="47"/>
      <c r="AF518" s="47"/>
      <c r="AG518" s="47"/>
      <c r="AH518" s="47"/>
      <c r="AI518" s="47"/>
      <c r="AJ518" s="47"/>
      <c r="AK518" s="47"/>
      <c r="AL518" s="47"/>
      <c r="AM518" s="46">
        <f>48/IF(Общие_или_заединицу="Общие трудозатраты",1,8)</f>
        <v>6</v>
      </c>
      <c r="AN518" s="47"/>
      <c r="AO518" s="46">
        <f>56/IF(Общие_или_заединицу="Общие трудозатраты",1,8)</f>
        <v>7</v>
      </c>
      <c r="AP518" s="47"/>
      <c r="AQ518" s="47"/>
      <c r="AR518" s="47"/>
      <c r="AS518" s="47"/>
      <c r="AT518" s="47"/>
      <c r="AU518" s="47"/>
      <c r="AV518" s="47"/>
      <c r="AW518" s="47"/>
      <c r="AX518" s="47"/>
      <c r="AY518" s="47"/>
      <c r="AZ518" s="47"/>
      <c r="BA518" s="47"/>
      <c r="BB518" s="47"/>
      <c r="BC518" s="47"/>
    </row>
    <row r="519" spans="1:55" x14ac:dyDescent="0.25">
      <c r="A519" s="45" t="s">
        <v>1225</v>
      </c>
      <c r="B519" s="46">
        <f t="shared" si="11"/>
        <v>3.8</v>
      </c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6">
        <f>60.8/IF(Общие_или_заединицу="Общие трудозатраты",1,16)</f>
        <v>3.8</v>
      </c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47"/>
      <c r="BB519" s="47"/>
      <c r="BC519" s="47"/>
    </row>
    <row r="520" spans="1:55" x14ac:dyDescent="0.25">
      <c r="A520" s="45" t="s">
        <v>1226</v>
      </c>
      <c r="B520" s="46">
        <f t="shared" si="11"/>
        <v>1.1000000000000001</v>
      </c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6">
        <f>8.8/IF(Общие_или_заединицу="Общие трудозатраты",1,8)</f>
        <v>1.1000000000000001</v>
      </c>
      <c r="AB520" s="47"/>
      <c r="AC520" s="47"/>
      <c r="AD520" s="47"/>
      <c r="AE520" s="47"/>
      <c r="AF520" s="47"/>
      <c r="AG520" s="47"/>
      <c r="AH520" s="47"/>
      <c r="AI520" s="47"/>
      <c r="AJ520" s="47"/>
      <c r="AK520" s="47"/>
      <c r="AL520" s="47"/>
      <c r="AM520" s="47"/>
      <c r="AN520" s="47"/>
      <c r="AO520" s="47"/>
      <c r="AP520" s="47"/>
      <c r="AQ520" s="47"/>
      <c r="AR520" s="47"/>
      <c r="AS520" s="47"/>
      <c r="AT520" s="47"/>
      <c r="AU520" s="47"/>
      <c r="AV520" s="47"/>
      <c r="AW520" s="47"/>
      <c r="AX520" s="47"/>
      <c r="AY520" s="47"/>
      <c r="AZ520" s="47"/>
      <c r="BA520" s="47"/>
      <c r="BB520" s="47"/>
      <c r="BC520" s="47"/>
    </row>
    <row r="521" spans="1:55" x14ac:dyDescent="0.25">
      <c r="A521" s="45" t="s">
        <v>1227</v>
      </c>
      <c r="B521" s="46">
        <f t="shared" si="11"/>
        <v>0.6</v>
      </c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6">
        <f>9.6/IF(Общие_или_заединицу="Общие трудозатраты",1,16)</f>
        <v>0.6</v>
      </c>
      <c r="AB521" s="47"/>
      <c r="AC521" s="47"/>
      <c r="AD521" s="47"/>
      <c r="AE521" s="47"/>
      <c r="AF521" s="47"/>
      <c r="AG521" s="47"/>
      <c r="AH521" s="47"/>
      <c r="AI521" s="47"/>
      <c r="AJ521" s="47"/>
      <c r="AK521" s="47"/>
      <c r="AL521" s="47"/>
      <c r="AM521" s="47"/>
      <c r="AN521" s="47"/>
      <c r="AO521" s="47"/>
      <c r="AP521" s="47"/>
      <c r="AQ521" s="47"/>
      <c r="AR521" s="47"/>
      <c r="AS521" s="47"/>
      <c r="AT521" s="47"/>
      <c r="AU521" s="47"/>
      <c r="AV521" s="47"/>
      <c r="AW521" s="47"/>
      <c r="AX521" s="47"/>
      <c r="AY521" s="47"/>
      <c r="AZ521" s="47"/>
      <c r="BA521" s="47"/>
      <c r="BB521" s="47"/>
      <c r="BC521" s="47"/>
    </row>
    <row r="522" spans="1:55" x14ac:dyDescent="0.25">
      <c r="A522" s="45" t="s">
        <v>1180</v>
      </c>
      <c r="B522" s="46">
        <f t="shared" si="11"/>
        <v>8</v>
      </c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  <c r="AB522" s="47"/>
      <c r="AC522" s="47"/>
      <c r="AD522" s="47"/>
      <c r="AE522" s="47"/>
      <c r="AF522" s="47"/>
      <c r="AG522" s="47"/>
      <c r="AH522" s="47"/>
      <c r="AI522" s="46">
        <f>16/IF(Общие_или_заединицу="Общие трудозатраты",1,2)</f>
        <v>8</v>
      </c>
      <c r="AJ522" s="47"/>
      <c r="AK522" s="47"/>
      <c r="AL522" s="47"/>
      <c r="AM522" s="47"/>
      <c r="AN522" s="47"/>
      <c r="AO522" s="47"/>
      <c r="AP522" s="47"/>
      <c r="AQ522" s="47"/>
      <c r="AR522" s="47"/>
      <c r="AS522" s="47"/>
      <c r="AT522" s="47"/>
      <c r="AU522" s="47"/>
      <c r="AV522" s="47"/>
      <c r="AW522" s="47"/>
      <c r="AX522" s="47"/>
      <c r="AY522" s="47"/>
      <c r="AZ522" s="47"/>
      <c r="BA522" s="47"/>
      <c r="BB522" s="47"/>
      <c r="BC522" s="47"/>
    </row>
    <row r="523" spans="1:55" x14ac:dyDescent="0.25">
      <c r="A523" s="45" t="s">
        <v>1231</v>
      </c>
      <c r="B523" s="46">
        <f t="shared" si="11"/>
        <v>27</v>
      </c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  <c r="AB523" s="47"/>
      <c r="AC523" s="47"/>
      <c r="AD523" s="47"/>
      <c r="AE523" s="47"/>
      <c r="AF523" s="47"/>
      <c r="AG523" s="47"/>
      <c r="AH523" s="47"/>
      <c r="AI523" s="47"/>
      <c r="AJ523" s="47"/>
      <c r="AK523" s="47"/>
      <c r="AL523" s="47"/>
      <c r="AM523" s="46">
        <f>96/IF(Общие_или_заединицу="Общие трудозатраты",1,8)</f>
        <v>12</v>
      </c>
      <c r="AN523" s="47"/>
      <c r="AO523" s="46">
        <f>120/IF(Общие_или_заединицу="Общие трудозатраты",1,8)</f>
        <v>15</v>
      </c>
      <c r="AP523" s="47"/>
      <c r="AQ523" s="47"/>
      <c r="AR523" s="47"/>
      <c r="AS523" s="47"/>
      <c r="AT523" s="47"/>
      <c r="AU523" s="47"/>
      <c r="AV523" s="47"/>
      <c r="AW523" s="47"/>
      <c r="AX523" s="47"/>
      <c r="AY523" s="47"/>
      <c r="AZ523" s="47"/>
      <c r="BA523" s="47"/>
      <c r="BB523" s="47"/>
      <c r="BC523" s="47"/>
    </row>
    <row r="524" spans="1:55" x14ac:dyDescent="0.25">
      <c r="A524" s="45" t="s">
        <v>1228</v>
      </c>
      <c r="B524" s="46">
        <f t="shared" si="11"/>
        <v>22</v>
      </c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6">
        <f>16/IF(Общие_или_заединицу="Общие трудозатраты",1,8)</f>
        <v>2</v>
      </c>
      <c r="N524" s="47"/>
      <c r="O524" s="47"/>
      <c r="P524" s="47"/>
      <c r="Q524" s="47"/>
      <c r="R524" s="47"/>
      <c r="S524" s="47"/>
      <c r="T524" s="47"/>
      <c r="U524" s="47"/>
      <c r="V524" s="47"/>
      <c r="W524" s="46">
        <f>16/IF(Общие_или_заединицу="Общие трудозатраты",1,8)</f>
        <v>2</v>
      </c>
      <c r="X524" s="47"/>
      <c r="Y524" s="47"/>
      <c r="Z524" s="47"/>
      <c r="AA524" s="47"/>
      <c r="AB524" s="47"/>
      <c r="AC524" s="47"/>
      <c r="AD524" s="47"/>
      <c r="AE524" s="47"/>
      <c r="AF524" s="47"/>
      <c r="AG524" s="47"/>
      <c r="AH524" s="47"/>
      <c r="AI524" s="47"/>
      <c r="AJ524" s="47"/>
      <c r="AK524" s="47"/>
      <c r="AL524" s="47"/>
      <c r="AM524" s="46">
        <f>64/IF(Общие_или_заединицу="Общие трудозатраты",1,8)</f>
        <v>8</v>
      </c>
      <c r="AN524" s="47"/>
      <c r="AO524" s="46">
        <f>80/IF(Общие_или_заединицу="Общие трудозатраты",1,8)</f>
        <v>10</v>
      </c>
      <c r="AP524" s="47"/>
      <c r="AQ524" s="47"/>
      <c r="AR524" s="47"/>
      <c r="AS524" s="47"/>
      <c r="AT524" s="47"/>
      <c r="AU524" s="47"/>
      <c r="AV524" s="47"/>
      <c r="AW524" s="47"/>
      <c r="AX524" s="47"/>
      <c r="AY524" s="47"/>
      <c r="AZ524" s="47"/>
      <c r="BA524" s="47"/>
      <c r="BB524" s="47"/>
      <c r="BC524" s="47"/>
    </row>
    <row r="525" spans="1:55" x14ac:dyDescent="0.25">
      <c r="A525" s="45" t="s">
        <v>1232</v>
      </c>
      <c r="B525" s="46">
        <f t="shared" si="11"/>
        <v>1.9</v>
      </c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6">
        <f>15.2/IF(Общие_или_заединицу="Общие трудозатраты",1,8)</f>
        <v>1.9</v>
      </c>
      <c r="AB525" s="47"/>
      <c r="AC525" s="47"/>
      <c r="AD525" s="47"/>
      <c r="AE525" s="47"/>
      <c r="AF525" s="47"/>
      <c r="AG525" s="47"/>
      <c r="AH525" s="47"/>
      <c r="AI525" s="47"/>
      <c r="AJ525" s="47"/>
      <c r="AK525" s="47"/>
      <c r="AL525" s="47"/>
      <c r="AM525" s="47"/>
      <c r="AN525" s="47"/>
      <c r="AO525" s="47"/>
      <c r="AP525" s="47"/>
      <c r="AQ525" s="47"/>
      <c r="AR525" s="47"/>
      <c r="AS525" s="47"/>
      <c r="AT525" s="47"/>
      <c r="AU525" s="47"/>
      <c r="AV525" s="47"/>
      <c r="AW525" s="47"/>
      <c r="AX525" s="47"/>
      <c r="AY525" s="47"/>
      <c r="AZ525" s="47"/>
      <c r="BA525" s="47"/>
      <c r="BB525" s="47"/>
      <c r="BC525" s="47"/>
    </row>
    <row r="526" spans="1:55" x14ac:dyDescent="0.25">
      <c r="A526" s="45" t="s">
        <v>1233</v>
      </c>
      <c r="B526" s="46">
        <f t="shared" si="11"/>
        <v>1.3</v>
      </c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6">
        <f>20.8/IF(Общие_или_заединицу="Общие трудозатраты",1,16)</f>
        <v>1.3</v>
      </c>
      <c r="AB526" s="47"/>
      <c r="AC526" s="47"/>
      <c r="AD526" s="47"/>
      <c r="AE526" s="47"/>
      <c r="AF526" s="47"/>
      <c r="AG526" s="47"/>
      <c r="AH526" s="47"/>
      <c r="AI526" s="47"/>
      <c r="AJ526" s="47"/>
      <c r="AK526" s="47"/>
      <c r="AL526" s="47"/>
      <c r="AM526" s="47"/>
      <c r="AN526" s="47"/>
      <c r="AO526" s="47"/>
      <c r="AP526" s="47"/>
      <c r="AQ526" s="47"/>
      <c r="AR526" s="47"/>
      <c r="AS526" s="47"/>
      <c r="AT526" s="47"/>
      <c r="AU526" s="47"/>
      <c r="AV526" s="47"/>
      <c r="AW526" s="47"/>
      <c r="AX526" s="47"/>
      <c r="AY526" s="47"/>
      <c r="AZ526" s="47"/>
      <c r="BA526" s="47"/>
      <c r="BB526" s="47"/>
      <c r="BC526" s="47"/>
    </row>
    <row r="527" spans="1:55" x14ac:dyDescent="0.25">
      <c r="A527" s="45" t="s">
        <v>1229</v>
      </c>
      <c r="B527" s="46">
        <f t="shared" si="11"/>
        <v>80.5</v>
      </c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6">
        <f>25/IF(Общие_или_заединицу="Общие трудозатраты",1,2)</f>
        <v>12.5</v>
      </c>
      <c r="N527" s="47"/>
      <c r="O527" s="47"/>
      <c r="P527" s="47"/>
      <c r="Q527" s="47"/>
      <c r="R527" s="47"/>
      <c r="S527" s="47"/>
      <c r="T527" s="47"/>
      <c r="U527" s="47"/>
      <c r="V527" s="47"/>
      <c r="W527" s="46">
        <f>28/IF(Общие_или_заединицу="Общие трудозатраты",1,2)</f>
        <v>14</v>
      </c>
      <c r="X527" s="47"/>
      <c r="Y527" s="47"/>
      <c r="Z527" s="47"/>
      <c r="AA527" s="47"/>
      <c r="AB527" s="47"/>
      <c r="AC527" s="47"/>
      <c r="AD527" s="47"/>
      <c r="AE527" s="47"/>
      <c r="AF527" s="47"/>
      <c r="AG527" s="47"/>
      <c r="AH527" s="47"/>
      <c r="AI527" s="47"/>
      <c r="AJ527" s="47"/>
      <c r="AK527" s="47"/>
      <c r="AL527" s="47"/>
      <c r="AM527" s="46">
        <f>48/IF(Общие_или_заединицу="Общие трудозатраты",1,2)</f>
        <v>24</v>
      </c>
      <c r="AN527" s="47"/>
      <c r="AO527" s="46">
        <f>60/IF(Общие_или_заединицу="Общие трудозатраты",1,2)</f>
        <v>30</v>
      </c>
      <c r="AP527" s="47"/>
      <c r="AQ527" s="47"/>
      <c r="AR527" s="47"/>
      <c r="AS527" s="47"/>
      <c r="AT527" s="47"/>
      <c r="AU527" s="47"/>
      <c r="AV527" s="47"/>
      <c r="AW527" s="47"/>
      <c r="AX527" s="47"/>
      <c r="AY527" s="47"/>
      <c r="AZ527" s="47"/>
      <c r="BA527" s="47"/>
      <c r="BB527" s="47"/>
      <c r="BC527" s="47"/>
    </row>
    <row r="528" spans="1:55" x14ac:dyDescent="0.25">
      <c r="A528" s="45" t="s">
        <v>1234</v>
      </c>
      <c r="B528" s="46">
        <f t="shared" si="11"/>
        <v>10.7</v>
      </c>
      <c r="C528" s="47"/>
      <c r="D528" s="47"/>
      <c r="E528" s="46">
        <f>16/IF(Общие_или_заединицу="Общие трудозатраты",1,2)</f>
        <v>8</v>
      </c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  <c r="AA528" s="46">
        <f>5.4/IF(Общие_или_заединицу="Общие трудозатраты",1,2)</f>
        <v>2.7</v>
      </c>
      <c r="AB528" s="47"/>
      <c r="AC528" s="47"/>
      <c r="AD528" s="47"/>
      <c r="AE528" s="47"/>
      <c r="AF528" s="47"/>
      <c r="AG528" s="47"/>
      <c r="AH528" s="47"/>
      <c r="AI528" s="47"/>
      <c r="AJ528" s="47"/>
      <c r="AK528" s="47"/>
      <c r="AL528" s="47"/>
      <c r="AM528" s="47"/>
      <c r="AN528" s="47"/>
      <c r="AO528" s="47"/>
      <c r="AP528" s="47"/>
      <c r="AQ528" s="47"/>
      <c r="AR528" s="47"/>
      <c r="AS528" s="47"/>
      <c r="AT528" s="47"/>
      <c r="AU528" s="47"/>
      <c r="AV528" s="47"/>
      <c r="AW528" s="47"/>
      <c r="AX528" s="47"/>
      <c r="AY528" s="47"/>
      <c r="AZ528" s="47"/>
      <c r="BA528" s="47"/>
      <c r="BB528" s="47"/>
      <c r="BC528" s="47"/>
    </row>
    <row r="529" spans="1:55" x14ac:dyDescent="0.25">
      <c r="A529" s="45" t="s">
        <v>1235</v>
      </c>
      <c r="B529" s="46">
        <f t="shared" si="11"/>
        <v>22</v>
      </c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6">
        <f>64/IF(Общие_или_заединицу="Общие трудозатраты",1,16)</f>
        <v>4</v>
      </c>
      <c r="U529" s="47"/>
      <c r="V529" s="47"/>
      <c r="W529" s="47"/>
      <c r="X529" s="47"/>
      <c r="Y529" s="47"/>
      <c r="Z529" s="47"/>
      <c r="AA529" s="47"/>
      <c r="AB529" s="47"/>
      <c r="AC529" s="47"/>
      <c r="AD529" s="47"/>
      <c r="AE529" s="47"/>
      <c r="AF529" s="47"/>
      <c r="AG529" s="47"/>
      <c r="AH529" s="47"/>
      <c r="AI529" s="47"/>
      <c r="AJ529" s="47"/>
      <c r="AK529" s="47"/>
      <c r="AL529" s="47"/>
      <c r="AM529" s="47"/>
      <c r="AN529" s="47"/>
      <c r="AO529" s="47"/>
      <c r="AP529" s="47"/>
      <c r="AQ529" s="47"/>
      <c r="AR529" s="47"/>
      <c r="AS529" s="47"/>
      <c r="AT529" s="47"/>
      <c r="AU529" s="47"/>
      <c r="AV529" s="47"/>
      <c r="AW529" s="47"/>
      <c r="AX529" s="47"/>
      <c r="AY529" s="46">
        <f>288/IF(Общие_или_заединицу="Общие трудозатраты",1,16)</f>
        <v>18</v>
      </c>
      <c r="AZ529" s="47"/>
      <c r="BA529" s="47"/>
      <c r="BB529" s="47"/>
      <c r="BC529" s="47"/>
    </row>
    <row r="530" spans="1:55" x14ac:dyDescent="0.25">
      <c r="A530" s="45" t="s">
        <v>1236</v>
      </c>
      <c r="B530" s="46">
        <f t="shared" si="11"/>
        <v>4</v>
      </c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6">
        <f>15.2/IF(Общие_или_заединицу="Общие трудозатраты",1,8)</f>
        <v>1.9</v>
      </c>
      <c r="U530" s="47"/>
      <c r="V530" s="47"/>
      <c r="W530" s="47"/>
      <c r="X530" s="47"/>
      <c r="Y530" s="47"/>
      <c r="Z530" s="47"/>
      <c r="AA530" s="47"/>
      <c r="AB530" s="47"/>
      <c r="AC530" s="47"/>
      <c r="AD530" s="47"/>
      <c r="AE530" s="47"/>
      <c r="AF530" s="47"/>
      <c r="AG530" s="47"/>
      <c r="AH530" s="47"/>
      <c r="AI530" s="47"/>
      <c r="AJ530" s="47"/>
      <c r="AK530" s="47"/>
      <c r="AL530" s="47"/>
      <c r="AM530" s="47"/>
      <c r="AN530" s="47"/>
      <c r="AO530" s="47"/>
      <c r="AP530" s="47"/>
      <c r="AQ530" s="47"/>
      <c r="AR530" s="46">
        <f>16.8/IF(Общие_или_заединицу="Общие трудозатраты",1,8)</f>
        <v>2.1</v>
      </c>
      <c r="AS530" s="47"/>
      <c r="AT530" s="47"/>
      <c r="AU530" s="47"/>
      <c r="AV530" s="47"/>
      <c r="AW530" s="47"/>
      <c r="AX530" s="47"/>
      <c r="AY530" s="47"/>
      <c r="AZ530" s="47"/>
      <c r="BA530" s="47"/>
      <c r="BB530" s="47"/>
      <c r="BC530" s="47"/>
    </row>
    <row r="531" spans="1:55" x14ac:dyDescent="0.25">
      <c r="A531" s="45" t="s">
        <v>1237</v>
      </c>
      <c r="B531" s="46">
        <f t="shared" si="11"/>
        <v>1.3</v>
      </c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  <c r="AA531" s="46">
        <f>2.6/IF(Общие_или_заединицу="Общие трудозатраты",1,2)</f>
        <v>1.3</v>
      </c>
      <c r="AB531" s="47"/>
      <c r="AC531" s="47"/>
      <c r="AD531" s="47"/>
      <c r="AE531" s="47"/>
      <c r="AF531" s="47"/>
      <c r="AG531" s="47"/>
      <c r="AH531" s="47"/>
      <c r="AI531" s="47"/>
      <c r="AJ531" s="47"/>
      <c r="AK531" s="47"/>
      <c r="AL531" s="47"/>
      <c r="AM531" s="47"/>
      <c r="AN531" s="47"/>
      <c r="AO531" s="47"/>
      <c r="AP531" s="47"/>
      <c r="AQ531" s="47"/>
      <c r="AR531" s="47"/>
      <c r="AS531" s="47"/>
      <c r="AT531" s="47"/>
      <c r="AU531" s="47"/>
      <c r="AV531" s="47"/>
      <c r="AW531" s="47"/>
      <c r="AX531" s="47"/>
      <c r="AY531" s="47"/>
      <c r="AZ531" s="47"/>
      <c r="BA531" s="47"/>
      <c r="BB531" s="47"/>
      <c r="BC531" s="47"/>
    </row>
    <row r="532" spans="1:55" x14ac:dyDescent="0.25">
      <c r="A532" s="45" t="s">
        <v>1238</v>
      </c>
      <c r="B532" s="46">
        <f t="shared" si="11"/>
        <v>1.4</v>
      </c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  <c r="AA532" s="46">
        <f>11.2/IF(Общие_или_заединицу="Общие трудозатраты",1,8)</f>
        <v>1.4</v>
      </c>
      <c r="AB532" s="47"/>
      <c r="AC532" s="47"/>
      <c r="AD532" s="47"/>
      <c r="AE532" s="47"/>
      <c r="AF532" s="47"/>
      <c r="AG532" s="47"/>
      <c r="AH532" s="47"/>
      <c r="AI532" s="47"/>
      <c r="AJ532" s="47"/>
      <c r="AK532" s="47"/>
      <c r="AL532" s="47"/>
      <c r="AM532" s="47"/>
      <c r="AN532" s="47"/>
      <c r="AO532" s="47"/>
      <c r="AP532" s="47"/>
      <c r="AQ532" s="47"/>
      <c r="AR532" s="47"/>
      <c r="AS532" s="47"/>
      <c r="AT532" s="47"/>
      <c r="AU532" s="47"/>
      <c r="AV532" s="47"/>
      <c r="AW532" s="47"/>
      <c r="AX532" s="47"/>
      <c r="AY532" s="47"/>
      <c r="AZ532" s="47"/>
      <c r="BA532" s="47"/>
      <c r="BB532" s="47"/>
      <c r="BC532" s="47"/>
    </row>
    <row r="533" spans="1:55" x14ac:dyDescent="0.25">
      <c r="A533" s="45" t="s">
        <v>1181</v>
      </c>
      <c r="B533" s="46">
        <f t="shared" si="11"/>
        <v>302</v>
      </c>
      <c r="C533" s="46">
        <f>420/IF(Общие_или_заединицу="Общие трудозатраты",1,2)</f>
        <v>210</v>
      </c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6">
        <f>54/IF(Общие_или_заединицу="Общие трудозатраты",1,2)</f>
        <v>27</v>
      </c>
      <c r="W533" s="46">
        <f>40/IF(Общие_или_заединицу="Общие трудозатраты",1,2)</f>
        <v>20</v>
      </c>
      <c r="X533" s="47"/>
      <c r="Y533" s="47"/>
      <c r="Z533" s="47"/>
      <c r="AA533" s="47"/>
      <c r="AB533" s="47"/>
      <c r="AC533" s="47"/>
      <c r="AD533" s="47"/>
      <c r="AE533" s="47"/>
      <c r="AF533" s="47"/>
      <c r="AG533" s="47"/>
      <c r="AH533" s="47"/>
      <c r="AI533" s="47"/>
      <c r="AJ533" s="46">
        <f>90/IF(Общие_или_заединицу="Общие трудозатраты",1,2)</f>
        <v>45</v>
      </c>
      <c r="AK533" s="47"/>
      <c r="AL533" s="47"/>
      <c r="AM533" s="47"/>
      <c r="AN533" s="47"/>
      <c r="AO533" s="47"/>
      <c r="AP533" s="47"/>
      <c r="AQ533" s="47"/>
      <c r="AR533" s="47"/>
      <c r="AS533" s="47"/>
      <c r="AT533" s="47"/>
      <c r="AU533" s="47"/>
      <c r="AV533" s="47"/>
      <c r="AW533" s="47"/>
      <c r="AX533" s="47"/>
      <c r="AY533" s="47"/>
      <c r="AZ533" s="47"/>
      <c r="BA533" s="47"/>
      <c r="BB533" s="47"/>
      <c r="BC533" s="47"/>
    </row>
    <row r="534" spans="1:55" x14ac:dyDescent="0.25">
      <c r="A534" s="45" t="s">
        <v>1242</v>
      </c>
      <c r="B534" s="46">
        <f t="shared" si="11"/>
        <v>75</v>
      </c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  <c r="AA534" s="47"/>
      <c r="AB534" s="47"/>
      <c r="AC534" s="47"/>
      <c r="AD534" s="47"/>
      <c r="AE534" s="47"/>
      <c r="AF534" s="47"/>
      <c r="AG534" s="47"/>
      <c r="AH534" s="47"/>
      <c r="AI534" s="47"/>
      <c r="AJ534" s="47"/>
      <c r="AK534" s="47"/>
      <c r="AL534" s="46">
        <f>50/IF(Общие_или_заединицу="Общие трудозатраты",1,2)</f>
        <v>25</v>
      </c>
      <c r="AM534" s="47"/>
      <c r="AN534" s="47"/>
      <c r="AO534" s="46">
        <f>100/IF(Общие_или_заединицу="Общие трудозатраты",1,2)</f>
        <v>50</v>
      </c>
      <c r="AP534" s="47"/>
      <c r="AQ534" s="47"/>
      <c r="AR534" s="47"/>
      <c r="AS534" s="47"/>
      <c r="AT534" s="47"/>
      <c r="AU534" s="47"/>
      <c r="AV534" s="47"/>
      <c r="AW534" s="47"/>
      <c r="AX534" s="47"/>
      <c r="AY534" s="47"/>
      <c r="AZ534" s="47"/>
      <c r="BA534" s="47"/>
      <c r="BB534" s="47"/>
      <c r="BC534" s="47"/>
    </row>
    <row r="535" spans="1:55" x14ac:dyDescent="0.25">
      <c r="A535" s="45" t="s">
        <v>1246</v>
      </c>
      <c r="B535" s="46">
        <f t="shared" si="11"/>
        <v>75</v>
      </c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  <c r="AA535" s="47"/>
      <c r="AB535" s="47"/>
      <c r="AC535" s="47"/>
      <c r="AD535" s="47"/>
      <c r="AE535" s="47"/>
      <c r="AF535" s="47"/>
      <c r="AG535" s="47"/>
      <c r="AH535" s="47"/>
      <c r="AI535" s="47"/>
      <c r="AJ535" s="47"/>
      <c r="AK535" s="47"/>
      <c r="AL535" s="46">
        <f>50/IF(Общие_или_заединицу="Общие трудозатраты",1,2)</f>
        <v>25</v>
      </c>
      <c r="AM535" s="47"/>
      <c r="AN535" s="47"/>
      <c r="AO535" s="46">
        <f>100/IF(Общие_или_заединицу="Общие трудозатраты",1,2)</f>
        <v>50</v>
      </c>
      <c r="AP535" s="47"/>
      <c r="AQ535" s="47"/>
      <c r="AR535" s="47"/>
      <c r="AS535" s="47"/>
      <c r="AT535" s="47"/>
      <c r="AU535" s="47"/>
      <c r="AV535" s="47"/>
      <c r="AW535" s="47"/>
      <c r="AX535" s="47"/>
      <c r="AY535" s="47"/>
      <c r="AZ535" s="47"/>
      <c r="BA535" s="47"/>
      <c r="BB535" s="47"/>
      <c r="BC535" s="47"/>
    </row>
    <row r="536" spans="1:55" x14ac:dyDescent="0.25">
      <c r="A536" s="45" t="s">
        <v>1241</v>
      </c>
      <c r="B536" s="46">
        <f t="shared" si="11"/>
        <v>41.7</v>
      </c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6">
        <f>75.2/IF(Общие_или_заединицу="Общие трудозатраты",1,16)</f>
        <v>4.7</v>
      </c>
      <c r="T536" s="47"/>
      <c r="U536" s="47"/>
      <c r="V536" s="47"/>
      <c r="W536" s="47"/>
      <c r="X536" s="47"/>
      <c r="Y536" s="47"/>
      <c r="Z536" s="47"/>
      <c r="AA536" s="47"/>
      <c r="AB536" s="47"/>
      <c r="AC536" s="47"/>
      <c r="AD536" s="47"/>
      <c r="AE536" s="47"/>
      <c r="AF536" s="47"/>
      <c r="AG536" s="46">
        <f>240/IF(Общие_или_заединицу="Общие трудозатраты",1,16)</f>
        <v>15</v>
      </c>
      <c r="AH536" s="47"/>
      <c r="AI536" s="47"/>
      <c r="AJ536" s="47"/>
      <c r="AK536" s="47"/>
      <c r="AL536" s="47"/>
      <c r="AM536" s="47"/>
      <c r="AN536" s="47"/>
      <c r="AO536" s="47"/>
      <c r="AP536" s="47"/>
      <c r="AQ536" s="47"/>
      <c r="AR536" s="47"/>
      <c r="AS536" s="47"/>
      <c r="AT536" s="47"/>
      <c r="AU536" s="47"/>
      <c r="AV536" s="47"/>
      <c r="AW536" s="46">
        <f>352/IF(Общие_или_заединицу="Общие трудозатраты",1,16)</f>
        <v>22</v>
      </c>
      <c r="AX536" s="47"/>
      <c r="AY536" s="47"/>
      <c r="AZ536" s="47"/>
      <c r="BA536" s="47"/>
      <c r="BB536" s="47"/>
      <c r="BC536" s="47"/>
    </row>
    <row r="537" spans="1:55" x14ac:dyDescent="0.25">
      <c r="A537" s="45" t="s">
        <v>1243</v>
      </c>
      <c r="B537" s="46">
        <f t="shared" si="11"/>
        <v>19.7</v>
      </c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6">
        <f>75.2/IF(Общие_или_заединицу="Общие трудозатраты",1,16)</f>
        <v>4.7</v>
      </c>
      <c r="T537" s="47"/>
      <c r="U537" s="47"/>
      <c r="V537" s="47"/>
      <c r="W537" s="47"/>
      <c r="X537" s="47"/>
      <c r="Y537" s="47"/>
      <c r="Z537" s="47"/>
      <c r="AA537" s="47"/>
      <c r="AB537" s="47"/>
      <c r="AC537" s="47"/>
      <c r="AD537" s="47"/>
      <c r="AE537" s="47"/>
      <c r="AF537" s="47"/>
      <c r="AG537" s="46">
        <f>240/IF(Общие_или_заединицу="Общие трудозатраты",1,16)</f>
        <v>15</v>
      </c>
      <c r="AH537" s="47"/>
      <c r="AI537" s="47"/>
      <c r="AJ537" s="47"/>
      <c r="AK537" s="47"/>
      <c r="AL537" s="47"/>
      <c r="AM537" s="47"/>
      <c r="AN537" s="47"/>
      <c r="AO537" s="47"/>
      <c r="AP537" s="47"/>
      <c r="AQ537" s="47"/>
      <c r="AR537" s="47"/>
      <c r="AS537" s="47"/>
      <c r="AT537" s="47"/>
      <c r="AU537" s="47"/>
      <c r="AV537" s="47"/>
      <c r="AW537" s="47"/>
      <c r="AX537" s="47"/>
      <c r="AY537" s="47"/>
      <c r="AZ537" s="47"/>
      <c r="BA537" s="47"/>
      <c r="BB537" s="47"/>
      <c r="BC537" s="47"/>
    </row>
    <row r="538" spans="1:55" x14ac:dyDescent="0.25">
      <c r="A538" s="45" t="s">
        <v>1244</v>
      </c>
      <c r="B538" s="46">
        <f t="shared" si="11"/>
        <v>17.8</v>
      </c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6">
        <f>38.4/IF(Общие_или_заединицу="Общие трудозатраты",1,48)</f>
        <v>0.79999999999999993</v>
      </c>
      <c r="T538" s="47"/>
      <c r="U538" s="47"/>
      <c r="V538" s="47"/>
      <c r="W538" s="47"/>
      <c r="X538" s="47"/>
      <c r="Y538" s="47"/>
      <c r="Z538" s="47"/>
      <c r="AA538" s="47"/>
      <c r="AB538" s="47"/>
      <c r="AC538" s="46">
        <f>240/IF(Общие_или_заединицу="Общие трудозатраты",1,48)</f>
        <v>5</v>
      </c>
      <c r="AD538" s="47"/>
      <c r="AE538" s="47"/>
      <c r="AF538" s="47"/>
      <c r="AG538" s="47"/>
      <c r="AH538" s="47"/>
      <c r="AI538" s="47"/>
      <c r="AJ538" s="47"/>
      <c r="AK538" s="47"/>
      <c r="AL538" s="47"/>
      <c r="AM538" s="47"/>
      <c r="AN538" s="47"/>
      <c r="AO538" s="47"/>
      <c r="AP538" s="47"/>
      <c r="AQ538" s="47"/>
      <c r="AR538" s="47"/>
      <c r="AS538" s="47"/>
      <c r="AT538" s="47"/>
      <c r="AU538" s="47"/>
      <c r="AV538" s="47"/>
      <c r="AW538" s="47"/>
      <c r="AX538" s="47"/>
      <c r="AY538" s="46">
        <f>576/IF(Общие_или_заединицу="Общие трудозатраты",1,48)</f>
        <v>12</v>
      </c>
      <c r="AZ538" s="47"/>
      <c r="BA538" s="47"/>
      <c r="BB538" s="47"/>
      <c r="BC538" s="47"/>
    </row>
    <row r="539" spans="1:55" x14ac:dyDescent="0.25">
      <c r="A539" s="45" t="s">
        <v>1245</v>
      </c>
      <c r="B539" s="46">
        <f t="shared" si="11"/>
        <v>12.8</v>
      </c>
      <c r="C539" s="47"/>
      <c r="D539" s="46">
        <f>160/IF(Общие_или_заединицу="Общие трудозатраты",1,16)</f>
        <v>10</v>
      </c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6">
        <f>44.8/IF(Общие_или_заединицу="Общие трудозатраты",1,16)</f>
        <v>2.8</v>
      </c>
      <c r="T539" s="47"/>
      <c r="U539" s="47"/>
      <c r="V539" s="47"/>
      <c r="W539" s="47"/>
      <c r="X539" s="47"/>
      <c r="Y539" s="47"/>
      <c r="Z539" s="47"/>
      <c r="AA539" s="47"/>
      <c r="AB539" s="47"/>
      <c r="AC539" s="47"/>
      <c r="AD539" s="47"/>
      <c r="AE539" s="47"/>
      <c r="AF539" s="47"/>
      <c r="AG539" s="47"/>
      <c r="AH539" s="47"/>
      <c r="AI539" s="47"/>
      <c r="AJ539" s="47"/>
      <c r="AK539" s="47"/>
      <c r="AL539" s="47"/>
      <c r="AM539" s="47"/>
      <c r="AN539" s="47"/>
      <c r="AO539" s="47"/>
      <c r="AP539" s="47"/>
      <c r="AQ539" s="47"/>
      <c r="AR539" s="47"/>
      <c r="AS539" s="47"/>
      <c r="AT539" s="47"/>
      <c r="AU539" s="47"/>
      <c r="AV539" s="47"/>
      <c r="AW539" s="47"/>
      <c r="AX539" s="47"/>
      <c r="AY539" s="47"/>
      <c r="AZ539" s="47"/>
      <c r="BA539" s="47"/>
      <c r="BB539" s="47"/>
      <c r="BC539" s="47"/>
    </row>
    <row r="540" spans="1:55" x14ac:dyDescent="0.25">
      <c r="A540" s="45" t="s">
        <v>1248</v>
      </c>
      <c r="B540" s="46">
        <f t="shared" si="11"/>
        <v>10</v>
      </c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  <c r="AA540" s="47"/>
      <c r="AB540" s="47"/>
      <c r="AC540" s="47"/>
      <c r="AD540" s="47"/>
      <c r="AE540" s="47"/>
      <c r="AF540" s="47"/>
      <c r="AG540" s="47"/>
      <c r="AH540" s="47"/>
      <c r="AI540" s="47"/>
      <c r="AJ540" s="47"/>
      <c r="AK540" s="47"/>
      <c r="AL540" s="47"/>
      <c r="AM540" s="47"/>
      <c r="AN540" s="47"/>
      <c r="AO540" s="46">
        <f>160/IF(Общие_или_заединицу="Общие трудозатраты",1,16)</f>
        <v>10</v>
      </c>
      <c r="AP540" s="47"/>
      <c r="AQ540" s="47"/>
      <c r="AR540" s="47"/>
      <c r="AS540" s="47"/>
      <c r="AT540" s="47"/>
      <c r="AU540" s="47"/>
      <c r="AV540" s="47"/>
      <c r="AW540" s="47"/>
      <c r="AX540" s="47"/>
      <c r="AY540" s="47"/>
      <c r="AZ540" s="47"/>
      <c r="BA540" s="47"/>
      <c r="BB540" s="47"/>
      <c r="BC540" s="47"/>
    </row>
    <row r="541" spans="1:55" x14ac:dyDescent="0.25">
      <c r="A541" s="45" t="s">
        <v>1247</v>
      </c>
      <c r="B541" s="48">
        <f t="shared" si="11"/>
        <v>79</v>
      </c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6">
        <f>192/IF(Общие_или_заединицу="Общие трудозатраты",1,16)</f>
        <v>12</v>
      </c>
      <c r="U541" s="47"/>
      <c r="V541" s="47"/>
      <c r="W541" s="47"/>
      <c r="X541" s="47"/>
      <c r="Y541" s="47"/>
      <c r="Z541" s="47"/>
      <c r="AA541" s="47"/>
      <c r="AB541" s="47"/>
      <c r="AC541" s="47"/>
      <c r="AD541" s="47"/>
      <c r="AE541" s="47"/>
      <c r="AF541" s="47"/>
      <c r="AG541" s="47"/>
      <c r="AH541" s="47"/>
      <c r="AI541" s="47"/>
      <c r="AJ541" s="47"/>
      <c r="AK541" s="47"/>
      <c r="AL541" s="47"/>
      <c r="AM541" s="47"/>
      <c r="AN541" s="47"/>
      <c r="AO541" s="47"/>
      <c r="AP541" s="47"/>
      <c r="AQ541" s="47"/>
      <c r="AR541" s="47"/>
      <c r="AS541" s="47"/>
      <c r="AT541" s="47"/>
      <c r="AU541" s="47"/>
      <c r="AV541" s="46">
        <f>720/IF(Общие_или_заединицу="Общие трудозатраты",1,16)</f>
        <v>45</v>
      </c>
      <c r="AW541" s="47"/>
      <c r="AX541" s="47"/>
      <c r="AY541" s="47"/>
      <c r="AZ541" s="46">
        <f>352/IF(Общие_или_заединицу="Общие трудозатраты",1,16)</f>
        <v>22</v>
      </c>
      <c r="BA541" s="47"/>
      <c r="BB541" s="47"/>
      <c r="BC541" s="47"/>
    </row>
    <row r="542" spans="1:55" x14ac:dyDescent="0.25">
      <c r="A542" s="45" t="s">
        <v>1249</v>
      </c>
      <c r="B542" s="46">
        <f t="shared" si="11"/>
        <v>26.85</v>
      </c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  <c r="AA542" s="46">
        <f>77.6/IF(Общие_или_заединицу="Общие трудозатраты",1,16)</f>
        <v>4.8499999999999996</v>
      </c>
      <c r="AB542" s="47"/>
      <c r="AC542" s="47"/>
      <c r="AD542" s="47"/>
      <c r="AE542" s="47"/>
      <c r="AF542" s="47"/>
      <c r="AG542" s="47"/>
      <c r="AH542" s="47"/>
      <c r="AI542" s="47"/>
      <c r="AJ542" s="47"/>
      <c r="AK542" s="47"/>
      <c r="AL542" s="47"/>
      <c r="AM542" s="47"/>
      <c r="AN542" s="47"/>
      <c r="AO542" s="47"/>
      <c r="AP542" s="47"/>
      <c r="AQ542" s="47"/>
      <c r="AR542" s="47"/>
      <c r="AS542" s="47"/>
      <c r="AT542" s="47"/>
      <c r="AU542" s="47"/>
      <c r="AV542" s="47"/>
      <c r="AW542" s="46">
        <f>352/IF(Общие_или_заединицу="Общие трудозатраты",1,16)</f>
        <v>22</v>
      </c>
      <c r="AX542" s="47"/>
      <c r="AY542" s="47"/>
      <c r="AZ542" s="47"/>
      <c r="BA542" s="47"/>
      <c r="BB542" s="47"/>
      <c r="BC542" s="47"/>
    </row>
    <row r="543" spans="1:55" x14ac:dyDescent="0.25">
      <c r="A543" s="45" t="s">
        <v>1239</v>
      </c>
      <c r="B543" s="46">
        <f t="shared" si="11"/>
        <v>142</v>
      </c>
      <c r="C543" s="46">
        <f>90/IF(Общие_или_заединицу="Общие трудозатраты",1,2)</f>
        <v>45</v>
      </c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  <c r="AA543" s="47"/>
      <c r="AB543" s="47"/>
      <c r="AC543" s="47"/>
      <c r="AD543" s="47"/>
      <c r="AE543" s="47"/>
      <c r="AF543" s="47"/>
      <c r="AG543" s="47"/>
      <c r="AH543" s="46">
        <f>90/IF(Общие_или_заединицу="Общие трудозатраты",1,2)</f>
        <v>45</v>
      </c>
      <c r="AI543" s="47"/>
      <c r="AJ543" s="46">
        <f>56/IF(Общие_или_заединицу="Общие трудозатраты",1,2)</f>
        <v>28</v>
      </c>
      <c r="AK543" s="47"/>
      <c r="AL543" s="47"/>
      <c r="AM543" s="47"/>
      <c r="AN543" s="47"/>
      <c r="AO543" s="46">
        <f>48/IF(Общие_или_заединицу="Общие трудозатраты",1,2)</f>
        <v>24</v>
      </c>
      <c r="AP543" s="47"/>
      <c r="AQ543" s="47"/>
      <c r="AR543" s="47"/>
      <c r="AS543" s="47"/>
      <c r="AT543" s="47"/>
      <c r="AU543" s="47"/>
      <c r="AV543" s="47"/>
      <c r="AW543" s="47"/>
      <c r="AX543" s="47"/>
      <c r="AY543" s="47"/>
      <c r="AZ543" s="47"/>
      <c r="BA543" s="47"/>
      <c r="BB543" s="47"/>
      <c r="BC543" s="47"/>
    </row>
    <row r="544" spans="1:55" x14ac:dyDescent="0.25">
      <c r="A544" s="45" t="s">
        <v>1250</v>
      </c>
      <c r="B544" s="46">
        <f t="shared" si="11"/>
        <v>73</v>
      </c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6">
        <f>6/IF(Общие_или_заединицу="Общие трудозатраты",1,2)</f>
        <v>3</v>
      </c>
      <c r="U544" s="47"/>
      <c r="V544" s="47"/>
      <c r="W544" s="47"/>
      <c r="X544" s="47"/>
      <c r="Y544" s="47"/>
      <c r="Z544" s="47"/>
      <c r="AA544" s="47"/>
      <c r="AB544" s="47"/>
      <c r="AC544" s="47"/>
      <c r="AD544" s="47"/>
      <c r="AE544" s="47"/>
      <c r="AF544" s="47"/>
      <c r="AG544" s="47"/>
      <c r="AH544" s="47"/>
      <c r="AI544" s="47"/>
      <c r="AJ544" s="47"/>
      <c r="AK544" s="47"/>
      <c r="AL544" s="47"/>
      <c r="AM544" s="47"/>
      <c r="AN544" s="47"/>
      <c r="AO544" s="47"/>
      <c r="AP544" s="47"/>
      <c r="AQ544" s="47"/>
      <c r="AR544" s="47"/>
      <c r="AS544" s="47"/>
      <c r="AT544" s="47"/>
      <c r="AU544" s="47"/>
      <c r="AV544" s="46">
        <f>60/IF(Общие_или_заединицу="Общие трудозатраты",1,2)</f>
        <v>30</v>
      </c>
      <c r="AW544" s="46">
        <f>30/IF(Общие_или_заединицу="Общие трудозатраты",1,2)</f>
        <v>15</v>
      </c>
      <c r="AX544" s="47"/>
      <c r="AY544" s="46">
        <f>50/IF(Общие_или_заединицу="Общие трудозатраты",1,2)</f>
        <v>25</v>
      </c>
      <c r="AZ544" s="47"/>
      <c r="BA544" s="47"/>
      <c r="BB544" s="47"/>
      <c r="BC544" s="47"/>
    </row>
    <row r="545" spans="1:55" x14ac:dyDescent="0.25">
      <c r="A545" s="45" t="s">
        <v>1251</v>
      </c>
      <c r="B545" s="48">
        <f t="shared" si="11"/>
        <v>110</v>
      </c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6">
        <f>192/IF(Общие_или_заединицу="Общие трудозатраты",1,16)</f>
        <v>12</v>
      </c>
      <c r="U545" s="47"/>
      <c r="V545" s="47"/>
      <c r="W545" s="47"/>
      <c r="X545" s="47"/>
      <c r="Y545" s="47"/>
      <c r="Z545" s="47"/>
      <c r="AA545" s="47"/>
      <c r="AB545" s="47"/>
      <c r="AC545" s="47"/>
      <c r="AD545" s="47"/>
      <c r="AE545" s="46">
        <f>160/IF(Общие_или_заединицу="Общие трудозатраты",1,16)</f>
        <v>10</v>
      </c>
      <c r="AF545" s="47"/>
      <c r="AG545" s="47"/>
      <c r="AH545" s="47"/>
      <c r="AI545" s="47"/>
      <c r="AJ545" s="47"/>
      <c r="AK545" s="47"/>
      <c r="AL545" s="47"/>
      <c r="AM545" s="47"/>
      <c r="AN545" s="47"/>
      <c r="AO545" s="47"/>
      <c r="AP545" s="47"/>
      <c r="AQ545" s="47"/>
      <c r="AR545" s="47"/>
      <c r="AS545" s="47"/>
      <c r="AT545" s="47"/>
      <c r="AU545" s="47"/>
      <c r="AV545" s="46">
        <f>640/IF(Общие_или_заединицу="Общие трудозатраты",1,16)</f>
        <v>40</v>
      </c>
      <c r="AW545" s="47"/>
      <c r="AX545" s="47"/>
      <c r="AY545" s="46">
        <f>288/IF(Общие_или_заединицу="Общие трудозатраты",1,16)</f>
        <v>18</v>
      </c>
      <c r="AZ545" s="46">
        <f>480/IF(Общие_или_заединицу="Общие трудозатраты",1,16)</f>
        <v>30</v>
      </c>
      <c r="BA545" s="47"/>
      <c r="BB545" s="47"/>
      <c r="BC545" s="47"/>
    </row>
    <row r="546" spans="1:55" x14ac:dyDescent="0.25">
      <c r="A546" s="45" t="s">
        <v>1182</v>
      </c>
      <c r="B546" s="46">
        <f t="shared" si="11"/>
        <v>9</v>
      </c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6">
        <f>6/IF(Общие_или_заединицу="Общие трудозатраты",1,2)</f>
        <v>3</v>
      </c>
      <c r="X546" s="47"/>
      <c r="Y546" s="47"/>
      <c r="Z546" s="47"/>
      <c r="AA546" s="47"/>
      <c r="AB546" s="47"/>
      <c r="AC546" s="47"/>
      <c r="AD546" s="47"/>
      <c r="AE546" s="47"/>
      <c r="AF546" s="47"/>
      <c r="AG546" s="47"/>
      <c r="AH546" s="47"/>
      <c r="AI546" s="47"/>
      <c r="AJ546" s="47"/>
      <c r="AK546" s="47"/>
      <c r="AL546" s="47"/>
      <c r="AM546" s="47"/>
      <c r="AN546" s="47"/>
      <c r="AO546" s="46">
        <f>12/IF(Общие_или_заединицу="Общие трудозатраты",1,2)</f>
        <v>6</v>
      </c>
      <c r="AP546" s="47"/>
      <c r="AQ546" s="47"/>
      <c r="AR546" s="47"/>
      <c r="AS546" s="47"/>
      <c r="AT546" s="47"/>
      <c r="AU546" s="47"/>
      <c r="AV546" s="47"/>
      <c r="AW546" s="47"/>
      <c r="AX546" s="47"/>
      <c r="AY546" s="47"/>
      <c r="AZ546" s="47"/>
      <c r="BA546" s="47"/>
      <c r="BB546" s="47"/>
      <c r="BC546" s="47"/>
    </row>
    <row r="547" spans="1:55" x14ac:dyDescent="0.25">
      <c r="A547" s="45" t="s">
        <v>1252</v>
      </c>
      <c r="B547" s="46">
        <f t="shared" si="11"/>
        <v>7.6</v>
      </c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6">
        <f>6/IF(Общие_или_заединицу="Общие трудозатраты",1,2)</f>
        <v>3</v>
      </c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  <c r="AA547" s="46">
        <f>9.2/IF(Общие_или_заединицу="Общие трудозатраты",1,2)</f>
        <v>4.5999999999999996</v>
      </c>
      <c r="AB547" s="47"/>
      <c r="AC547" s="47"/>
      <c r="AD547" s="47"/>
      <c r="AE547" s="47"/>
      <c r="AF547" s="47"/>
      <c r="AG547" s="47"/>
      <c r="AH547" s="47"/>
      <c r="AI547" s="47"/>
      <c r="AJ547" s="47"/>
      <c r="AK547" s="47"/>
      <c r="AL547" s="47"/>
      <c r="AM547" s="47"/>
      <c r="AN547" s="47"/>
      <c r="AO547" s="47"/>
      <c r="AP547" s="47"/>
      <c r="AQ547" s="47"/>
      <c r="AR547" s="47"/>
      <c r="AS547" s="47"/>
      <c r="AT547" s="47"/>
      <c r="AU547" s="47"/>
      <c r="AV547" s="47"/>
      <c r="AW547" s="47"/>
      <c r="AX547" s="47"/>
      <c r="AY547" s="47"/>
      <c r="AZ547" s="47"/>
      <c r="BA547" s="47"/>
      <c r="BB547" s="47"/>
      <c r="BC547" s="47"/>
    </row>
    <row r="548" spans="1:55" x14ac:dyDescent="0.25">
      <c r="A548" s="45" t="s">
        <v>1253</v>
      </c>
      <c r="B548" s="46">
        <f t="shared" si="11"/>
        <v>4</v>
      </c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6">
        <f>16/IF(Общие_или_заединицу="Общие трудозатраты",1,8)</f>
        <v>2</v>
      </c>
      <c r="U548" s="47"/>
      <c r="V548" s="47"/>
      <c r="W548" s="47"/>
      <c r="X548" s="47"/>
      <c r="Y548" s="47"/>
      <c r="Z548" s="47"/>
      <c r="AA548" s="47"/>
      <c r="AB548" s="47"/>
      <c r="AC548" s="47"/>
      <c r="AD548" s="47"/>
      <c r="AE548" s="47"/>
      <c r="AF548" s="47"/>
      <c r="AG548" s="47"/>
      <c r="AH548" s="47"/>
      <c r="AI548" s="47"/>
      <c r="AJ548" s="47"/>
      <c r="AK548" s="47"/>
      <c r="AL548" s="47"/>
      <c r="AM548" s="47"/>
      <c r="AN548" s="47"/>
      <c r="AO548" s="47"/>
      <c r="AP548" s="47"/>
      <c r="AQ548" s="47"/>
      <c r="AR548" s="47"/>
      <c r="AS548" s="47"/>
      <c r="AT548" s="47"/>
      <c r="AU548" s="47"/>
      <c r="AV548" s="47"/>
      <c r="AW548" s="46">
        <f>16/IF(Общие_или_заединицу="Общие трудозатраты",1,8)</f>
        <v>2</v>
      </c>
      <c r="AX548" s="47"/>
      <c r="AY548" s="47"/>
      <c r="AZ548" s="47"/>
      <c r="BA548" s="47"/>
      <c r="BB548" s="47"/>
      <c r="BC548" s="47"/>
    </row>
    <row r="549" spans="1:55" x14ac:dyDescent="0.25">
      <c r="A549" s="45" t="s">
        <v>1183</v>
      </c>
      <c r="B549" s="46">
        <f t="shared" si="11"/>
        <v>38</v>
      </c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6">
        <f>24/IF(Общие_или_заединицу="Общие трудозатраты",1,8)</f>
        <v>3</v>
      </c>
      <c r="X549" s="47"/>
      <c r="Y549" s="47"/>
      <c r="Z549" s="47"/>
      <c r="AA549" s="47"/>
      <c r="AB549" s="47"/>
      <c r="AC549" s="47"/>
      <c r="AD549" s="47"/>
      <c r="AE549" s="47"/>
      <c r="AF549" s="47"/>
      <c r="AG549" s="47"/>
      <c r="AH549" s="47"/>
      <c r="AI549" s="47"/>
      <c r="AJ549" s="47"/>
      <c r="AK549" s="47"/>
      <c r="AL549" s="46">
        <f>96/IF(Общие_или_заединицу="Общие трудозатраты",1,8)</f>
        <v>12</v>
      </c>
      <c r="AM549" s="47"/>
      <c r="AN549" s="47"/>
      <c r="AO549" s="46">
        <f>120/IF(Общие_или_заединицу="Общие трудозатраты",1,8)</f>
        <v>15</v>
      </c>
      <c r="AP549" s="47"/>
      <c r="AQ549" s="47"/>
      <c r="AR549" s="47"/>
      <c r="AS549" s="46">
        <f>64/IF(Общие_или_заединицу="Общие трудозатраты",1,8)</f>
        <v>8</v>
      </c>
      <c r="AT549" s="47"/>
      <c r="AU549" s="47"/>
      <c r="AV549" s="47"/>
      <c r="AW549" s="47"/>
      <c r="AX549" s="47"/>
      <c r="AY549" s="47"/>
      <c r="AZ549" s="47"/>
      <c r="BA549" s="47"/>
      <c r="BB549" s="47"/>
      <c r="BC549" s="47"/>
    </row>
    <row r="550" spans="1:55" x14ac:dyDescent="0.25">
      <c r="A550" s="45" t="s">
        <v>1255</v>
      </c>
      <c r="B550" s="46">
        <f t="shared" si="11"/>
        <v>0.7</v>
      </c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6">
        <f>5.6/IF(Общие_или_заединицу="Общие трудозатраты",1,8)</f>
        <v>0.7</v>
      </c>
      <c r="T550" s="47"/>
      <c r="U550" s="47"/>
      <c r="V550" s="47"/>
      <c r="W550" s="47"/>
      <c r="X550" s="47"/>
      <c r="Y550" s="47"/>
      <c r="Z550" s="47"/>
      <c r="AA550" s="47"/>
      <c r="AB550" s="47"/>
      <c r="AC550" s="47"/>
      <c r="AD550" s="47"/>
      <c r="AE550" s="47"/>
      <c r="AF550" s="47"/>
      <c r="AG550" s="47"/>
      <c r="AH550" s="47"/>
      <c r="AI550" s="47"/>
      <c r="AJ550" s="47"/>
      <c r="AK550" s="47"/>
      <c r="AL550" s="47"/>
      <c r="AM550" s="47"/>
      <c r="AN550" s="47"/>
      <c r="AO550" s="47"/>
      <c r="AP550" s="47"/>
      <c r="AQ550" s="47"/>
      <c r="AR550" s="47"/>
      <c r="AS550" s="47"/>
      <c r="AT550" s="47"/>
      <c r="AU550" s="47"/>
      <c r="AV550" s="47"/>
      <c r="AW550" s="47"/>
      <c r="AX550" s="47"/>
      <c r="AY550" s="47"/>
      <c r="AZ550" s="47"/>
      <c r="BA550" s="47"/>
      <c r="BB550" s="47"/>
      <c r="BC550" s="47"/>
    </row>
    <row r="551" spans="1:55" x14ac:dyDescent="0.25">
      <c r="A551" s="45" t="s">
        <v>1256</v>
      </c>
      <c r="B551" s="46">
        <f t="shared" si="11"/>
        <v>9.8000000000000007</v>
      </c>
      <c r="C551" s="47"/>
      <c r="D551" s="47"/>
      <c r="E551" s="47"/>
      <c r="F551" s="47"/>
      <c r="G551" s="47"/>
      <c r="H551" s="46">
        <f>96/IF(Общие_или_заединицу="Общие трудозатраты",1,24)</f>
        <v>4</v>
      </c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6">
        <f>19.2/IF(Общие_или_заединицу="Общие трудозатраты",1,24)</f>
        <v>0.79999999999999993</v>
      </c>
      <c r="AA551" s="47"/>
      <c r="AB551" s="47"/>
      <c r="AC551" s="47"/>
      <c r="AD551" s="47"/>
      <c r="AE551" s="47"/>
      <c r="AF551" s="46">
        <f>120/IF(Общие_или_заединицу="Общие трудозатраты",1,24)</f>
        <v>5</v>
      </c>
      <c r="AG551" s="47"/>
      <c r="AH551" s="47"/>
      <c r="AI551" s="47"/>
      <c r="AJ551" s="47"/>
      <c r="AK551" s="47"/>
      <c r="AL551" s="47"/>
      <c r="AM551" s="47"/>
      <c r="AN551" s="47"/>
      <c r="AO551" s="47"/>
      <c r="AP551" s="47"/>
      <c r="AQ551" s="47"/>
      <c r="AR551" s="47"/>
      <c r="AS551" s="47"/>
      <c r="AT551" s="47"/>
      <c r="AU551" s="47"/>
      <c r="AV551" s="47"/>
      <c r="AW551" s="47"/>
      <c r="AX551" s="47"/>
      <c r="AY551" s="47"/>
      <c r="AZ551" s="47"/>
      <c r="BA551" s="47"/>
      <c r="BB551" s="47"/>
      <c r="BC551" s="47"/>
    </row>
    <row r="552" spans="1:55" x14ac:dyDescent="0.25">
      <c r="A552" s="45" t="s">
        <v>1257</v>
      </c>
      <c r="B552" s="46">
        <f t="shared" si="11"/>
        <v>8.8000000000000007</v>
      </c>
      <c r="C552" s="47"/>
      <c r="D552" s="47"/>
      <c r="E552" s="47"/>
      <c r="F552" s="46">
        <f>48/IF(Общие_или_заединицу="Общие трудозатраты",1,16)</f>
        <v>3</v>
      </c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6">
        <f>12.8/IF(Общие_или_заединицу="Общие трудозатраты",1,16)</f>
        <v>0.8</v>
      </c>
      <c r="AA552" s="47"/>
      <c r="AB552" s="47"/>
      <c r="AC552" s="47"/>
      <c r="AD552" s="47"/>
      <c r="AE552" s="47"/>
      <c r="AF552" s="46">
        <f>80/IF(Общие_или_заединицу="Общие трудозатраты",1,16)</f>
        <v>5</v>
      </c>
      <c r="AG552" s="47"/>
      <c r="AH552" s="47"/>
      <c r="AI552" s="47"/>
      <c r="AJ552" s="47"/>
      <c r="AK552" s="47"/>
      <c r="AL552" s="47"/>
      <c r="AM552" s="47"/>
      <c r="AN552" s="47"/>
      <c r="AO552" s="47"/>
      <c r="AP552" s="47"/>
      <c r="AQ552" s="47"/>
      <c r="AR552" s="47"/>
      <c r="AS552" s="47"/>
      <c r="AT552" s="47"/>
      <c r="AU552" s="47"/>
      <c r="AV552" s="47"/>
      <c r="AW552" s="47"/>
      <c r="AX552" s="47"/>
      <c r="AY552" s="47"/>
      <c r="AZ552" s="47"/>
      <c r="BA552" s="47"/>
      <c r="BB552" s="47"/>
      <c r="BC552" s="47"/>
    </row>
    <row r="553" spans="1:55" x14ac:dyDescent="0.25">
      <c r="A553" s="45" t="s">
        <v>1258</v>
      </c>
      <c r="B553" s="46">
        <f t="shared" si="11"/>
        <v>8.8000000000000007</v>
      </c>
      <c r="C553" s="47"/>
      <c r="D553" s="47"/>
      <c r="E553" s="47"/>
      <c r="F553" s="47"/>
      <c r="G553" s="47"/>
      <c r="H553" s="46">
        <f>24/IF(Общие_или_заединицу="Общие трудозатраты",1,8)</f>
        <v>3</v>
      </c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6">
        <f>6.4/IF(Общие_или_заединицу="Общие трудозатраты",1,8)</f>
        <v>0.8</v>
      </c>
      <c r="AA553" s="47"/>
      <c r="AB553" s="47"/>
      <c r="AC553" s="47"/>
      <c r="AD553" s="47"/>
      <c r="AE553" s="47"/>
      <c r="AF553" s="46">
        <f>40/IF(Общие_или_заединицу="Общие трудозатраты",1,8)</f>
        <v>5</v>
      </c>
      <c r="AG553" s="47"/>
      <c r="AH553" s="47"/>
      <c r="AI553" s="47"/>
      <c r="AJ553" s="47"/>
      <c r="AK553" s="47"/>
      <c r="AL553" s="47"/>
      <c r="AM553" s="47"/>
      <c r="AN553" s="47"/>
      <c r="AO553" s="47"/>
      <c r="AP553" s="47"/>
      <c r="AQ553" s="47"/>
      <c r="AR553" s="47"/>
      <c r="AS553" s="47"/>
      <c r="AT553" s="47"/>
      <c r="AU553" s="47"/>
      <c r="AV553" s="47"/>
      <c r="AW553" s="47"/>
      <c r="AX553" s="47"/>
      <c r="AY553" s="47"/>
      <c r="AZ553" s="47"/>
      <c r="BA553" s="47"/>
      <c r="BB553" s="47"/>
      <c r="BC553" s="47"/>
    </row>
    <row r="554" spans="1:55" x14ac:dyDescent="0.25">
      <c r="A554" s="45" t="s">
        <v>1259</v>
      </c>
      <c r="B554" s="46">
        <f t="shared" si="11"/>
        <v>8.8000000000000007</v>
      </c>
      <c r="C554" s="47"/>
      <c r="D554" s="47"/>
      <c r="E554" s="47"/>
      <c r="F554" s="46">
        <f>120/IF(Общие_или_заединицу="Общие трудозатраты",1,40)</f>
        <v>3</v>
      </c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6">
        <f>32/IF(Общие_или_заединицу="Общие трудозатраты",1,40)</f>
        <v>0.8</v>
      </c>
      <c r="AA554" s="47"/>
      <c r="AB554" s="47"/>
      <c r="AC554" s="47"/>
      <c r="AD554" s="47"/>
      <c r="AE554" s="47"/>
      <c r="AF554" s="46">
        <f>200/IF(Общие_или_заединицу="Общие трудозатраты",1,40)</f>
        <v>5</v>
      </c>
      <c r="AG554" s="47"/>
      <c r="AH554" s="47"/>
      <c r="AI554" s="47"/>
      <c r="AJ554" s="47"/>
      <c r="AK554" s="47"/>
      <c r="AL554" s="47"/>
      <c r="AM554" s="47"/>
      <c r="AN554" s="47"/>
      <c r="AO554" s="47"/>
      <c r="AP554" s="47"/>
      <c r="AQ554" s="47"/>
      <c r="AR554" s="47"/>
      <c r="AS554" s="47"/>
      <c r="AT554" s="47"/>
      <c r="AU554" s="47"/>
      <c r="AV554" s="47"/>
      <c r="AW554" s="47"/>
      <c r="AX554" s="47"/>
      <c r="AY554" s="47"/>
      <c r="AZ554" s="47"/>
      <c r="BA554" s="47"/>
      <c r="BB554" s="47"/>
      <c r="BC554" s="47"/>
    </row>
    <row r="555" spans="1:55" x14ac:dyDescent="0.25">
      <c r="A555" s="45" t="s">
        <v>1260</v>
      </c>
      <c r="B555" s="46">
        <f t="shared" si="11"/>
        <v>15.7</v>
      </c>
      <c r="C555" s="47"/>
      <c r="D555" s="46">
        <f>43.2/IF(Общие_или_заединицу="Общие трудозатраты",1,8)</f>
        <v>5.4</v>
      </c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6">
        <f t="shared" ref="Z555:Z565" si="12">6.4/IF(Общие_или_заединицу="Общие трудозатраты",1,8)</f>
        <v>0.8</v>
      </c>
      <c r="AA555" s="47"/>
      <c r="AB555" s="47"/>
      <c r="AC555" s="47"/>
      <c r="AD555" s="47"/>
      <c r="AE555" s="47"/>
      <c r="AF555" s="46">
        <f>36/IF(Общие_или_заединицу="Общие трудозатраты",1,8)</f>
        <v>4.5</v>
      </c>
      <c r="AG555" s="47"/>
      <c r="AH555" s="47"/>
      <c r="AI555" s="47"/>
      <c r="AJ555" s="47"/>
      <c r="AK555" s="47"/>
      <c r="AL555" s="47"/>
      <c r="AM555" s="47"/>
      <c r="AN555" s="47"/>
      <c r="AO555" s="46">
        <f t="shared" ref="AO555:AO565" si="13">24/IF(Общие_или_заединицу="Общие трудозатраты",1,8)</f>
        <v>3</v>
      </c>
      <c r="AP555" s="47"/>
      <c r="AQ555" s="47"/>
      <c r="AR555" s="47"/>
      <c r="AS555" s="46">
        <f t="shared" ref="AS555:AS565" si="14">16/IF(Общие_или_заединицу="Общие трудозатраты",1,8)</f>
        <v>2</v>
      </c>
      <c r="AT555" s="47"/>
      <c r="AU555" s="47"/>
      <c r="AV555" s="47"/>
      <c r="AW555" s="47"/>
      <c r="AX555" s="47"/>
      <c r="AY555" s="47"/>
      <c r="AZ555" s="47"/>
      <c r="BA555" s="47"/>
      <c r="BB555" s="47"/>
      <c r="BC555" s="47"/>
    </row>
    <row r="556" spans="1:55" x14ac:dyDescent="0.25">
      <c r="A556" s="45" t="s">
        <v>1261</v>
      </c>
      <c r="B556" s="46">
        <f t="shared" si="11"/>
        <v>15.7</v>
      </c>
      <c r="C556" s="47"/>
      <c r="D556" s="46">
        <f>43.2/IF(Общие_или_заединицу="Общие трудозатраты",1,8)</f>
        <v>5.4</v>
      </c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6">
        <f t="shared" si="12"/>
        <v>0.8</v>
      </c>
      <c r="AA556" s="47"/>
      <c r="AB556" s="47"/>
      <c r="AC556" s="47"/>
      <c r="AD556" s="47"/>
      <c r="AE556" s="47"/>
      <c r="AF556" s="46">
        <f>36/IF(Общие_или_заединицу="Общие трудозатраты",1,8)</f>
        <v>4.5</v>
      </c>
      <c r="AG556" s="47"/>
      <c r="AH556" s="47"/>
      <c r="AI556" s="47"/>
      <c r="AJ556" s="47"/>
      <c r="AK556" s="47"/>
      <c r="AL556" s="47"/>
      <c r="AM556" s="47"/>
      <c r="AN556" s="47"/>
      <c r="AO556" s="46">
        <f t="shared" si="13"/>
        <v>3</v>
      </c>
      <c r="AP556" s="47"/>
      <c r="AQ556" s="47"/>
      <c r="AR556" s="47"/>
      <c r="AS556" s="46">
        <f t="shared" si="14"/>
        <v>2</v>
      </c>
      <c r="AT556" s="47"/>
      <c r="AU556" s="47"/>
      <c r="AV556" s="47"/>
      <c r="AW556" s="47"/>
      <c r="AX556" s="47"/>
      <c r="AY556" s="47"/>
      <c r="AZ556" s="47"/>
      <c r="BA556" s="47"/>
      <c r="BB556" s="47"/>
      <c r="BC556" s="47"/>
    </row>
    <row r="557" spans="1:55" x14ac:dyDescent="0.25">
      <c r="A557" s="45" t="s">
        <v>1262</v>
      </c>
      <c r="B557" s="46">
        <f t="shared" si="11"/>
        <v>15.7</v>
      </c>
      <c r="C557" s="47"/>
      <c r="D557" s="46">
        <f>43.2/IF(Общие_или_заединицу="Общие трудозатраты",1,8)</f>
        <v>5.4</v>
      </c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6">
        <f t="shared" si="12"/>
        <v>0.8</v>
      </c>
      <c r="AA557" s="47"/>
      <c r="AB557" s="47"/>
      <c r="AC557" s="47"/>
      <c r="AD557" s="47"/>
      <c r="AE557" s="47"/>
      <c r="AF557" s="46">
        <f>36/IF(Общие_или_заединицу="Общие трудозатраты",1,8)</f>
        <v>4.5</v>
      </c>
      <c r="AG557" s="47"/>
      <c r="AH557" s="47"/>
      <c r="AI557" s="47"/>
      <c r="AJ557" s="47"/>
      <c r="AK557" s="47"/>
      <c r="AL557" s="47"/>
      <c r="AM557" s="47"/>
      <c r="AN557" s="47"/>
      <c r="AO557" s="46">
        <f t="shared" si="13"/>
        <v>3</v>
      </c>
      <c r="AP557" s="47"/>
      <c r="AQ557" s="47"/>
      <c r="AR557" s="47"/>
      <c r="AS557" s="46">
        <f t="shared" si="14"/>
        <v>2</v>
      </c>
      <c r="AT557" s="47"/>
      <c r="AU557" s="47"/>
      <c r="AV557" s="47"/>
      <c r="AW557" s="47"/>
      <c r="AX557" s="47"/>
      <c r="AY557" s="47"/>
      <c r="AZ557" s="47"/>
      <c r="BA557" s="47"/>
      <c r="BB557" s="47"/>
      <c r="BC557" s="47"/>
    </row>
    <row r="558" spans="1:55" x14ac:dyDescent="0.25">
      <c r="A558" s="45" t="s">
        <v>1263</v>
      </c>
      <c r="B558" s="46">
        <f t="shared" si="11"/>
        <v>16.399999999999999</v>
      </c>
      <c r="C558" s="47"/>
      <c r="D558" s="46">
        <f>44.8/IF(Общие_или_заединицу="Общие трудозатраты",1,8)</f>
        <v>5.6</v>
      </c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6">
        <f t="shared" si="12"/>
        <v>0.8</v>
      </c>
      <c r="AA558" s="47"/>
      <c r="AB558" s="47"/>
      <c r="AC558" s="47"/>
      <c r="AD558" s="47"/>
      <c r="AE558" s="47"/>
      <c r="AF558" s="46">
        <f t="shared" ref="AF558:AF565" si="15">40/IF(Общие_или_заединицу="Общие трудозатраты",1,8)</f>
        <v>5</v>
      </c>
      <c r="AG558" s="47"/>
      <c r="AH558" s="47"/>
      <c r="AI558" s="47"/>
      <c r="AJ558" s="47"/>
      <c r="AK558" s="47"/>
      <c r="AL558" s="47"/>
      <c r="AM558" s="47"/>
      <c r="AN558" s="47"/>
      <c r="AO558" s="46">
        <f t="shared" si="13"/>
        <v>3</v>
      </c>
      <c r="AP558" s="47"/>
      <c r="AQ558" s="47"/>
      <c r="AR558" s="47"/>
      <c r="AS558" s="46">
        <f t="shared" si="14"/>
        <v>2</v>
      </c>
      <c r="AT558" s="47"/>
      <c r="AU558" s="47"/>
      <c r="AV558" s="47"/>
      <c r="AW558" s="47"/>
      <c r="AX558" s="47"/>
      <c r="AY558" s="47"/>
      <c r="AZ558" s="47"/>
      <c r="BA558" s="47"/>
      <c r="BB558" s="47"/>
      <c r="BC558" s="47"/>
    </row>
    <row r="559" spans="1:55" x14ac:dyDescent="0.25">
      <c r="A559" s="45" t="s">
        <v>1264</v>
      </c>
      <c r="B559" s="46">
        <f t="shared" si="11"/>
        <v>16.600000000000001</v>
      </c>
      <c r="C559" s="47"/>
      <c r="D559" s="46">
        <f>46.4/IF(Общие_или_заединицу="Общие трудозатраты",1,8)</f>
        <v>5.8</v>
      </c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6">
        <f t="shared" si="12"/>
        <v>0.8</v>
      </c>
      <c r="AA559" s="47"/>
      <c r="AB559" s="47"/>
      <c r="AC559" s="47"/>
      <c r="AD559" s="47"/>
      <c r="AE559" s="47"/>
      <c r="AF559" s="46">
        <f t="shared" si="15"/>
        <v>5</v>
      </c>
      <c r="AG559" s="47"/>
      <c r="AH559" s="47"/>
      <c r="AI559" s="47"/>
      <c r="AJ559" s="47"/>
      <c r="AK559" s="47"/>
      <c r="AL559" s="47"/>
      <c r="AM559" s="47"/>
      <c r="AN559" s="47"/>
      <c r="AO559" s="46">
        <f t="shared" si="13"/>
        <v>3</v>
      </c>
      <c r="AP559" s="47"/>
      <c r="AQ559" s="47"/>
      <c r="AR559" s="47"/>
      <c r="AS559" s="46">
        <f t="shared" si="14"/>
        <v>2</v>
      </c>
      <c r="AT559" s="47"/>
      <c r="AU559" s="47"/>
      <c r="AV559" s="47"/>
      <c r="AW559" s="47"/>
      <c r="AX559" s="47"/>
      <c r="AY559" s="47"/>
      <c r="AZ559" s="47"/>
      <c r="BA559" s="47"/>
      <c r="BB559" s="47"/>
      <c r="BC559" s="47"/>
    </row>
    <row r="560" spans="1:55" x14ac:dyDescent="0.25">
      <c r="A560" s="45" t="s">
        <v>1265</v>
      </c>
      <c r="B560" s="46">
        <f t="shared" si="11"/>
        <v>16.600000000000001</v>
      </c>
      <c r="C560" s="47"/>
      <c r="D560" s="46">
        <f>46.4/IF(Общие_или_заединицу="Общие трудозатраты",1,8)</f>
        <v>5.8</v>
      </c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6">
        <f t="shared" si="12"/>
        <v>0.8</v>
      </c>
      <c r="AA560" s="47"/>
      <c r="AB560" s="47"/>
      <c r="AC560" s="47"/>
      <c r="AD560" s="47"/>
      <c r="AE560" s="47"/>
      <c r="AF560" s="46">
        <f t="shared" si="15"/>
        <v>5</v>
      </c>
      <c r="AG560" s="47"/>
      <c r="AH560" s="47"/>
      <c r="AI560" s="47"/>
      <c r="AJ560" s="47"/>
      <c r="AK560" s="47"/>
      <c r="AL560" s="47"/>
      <c r="AM560" s="47"/>
      <c r="AN560" s="47"/>
      <c r="AO560" s="46">
        <f t="shared" si="13"/>
        <v>3</v>
      </c>
      <c r="AP560" s="47"/>
      <c r="AQ560" s="47"/>
      <c r="AR560" s="47"/>
      <c r="AS560" s="46">
        <f t="shared" si="14"/>
        <v>2</v>
      </c>
      <c r="AT560" s="47"/>
      <c r="AU560" s="47"/>
      <c r="AV560" s="47"/>
      <c r="AW560" s="47"/>
      <c r="AX560" s="47"/>
      <c r="AY560" s="47"/>
      <c r="AZ560" s="47"/>
      <c r="BA560" s="47"/>
      <c r="BB560" s="47"/>
      <c r="BC560" s="47"/>
    </row>
    <row r="561" spans="1:55" x14ac:dyDescent="0.25">
      <c r="A561" s="45" t="s">
        <v>1266</v>
      </c>
      <c r="B561" s="46">
        <f t="shared" si="11"/>
        <v>16.8</v>
      </c>
      <c r="C561" s="47"/>
      <c r="D561" s="46">
        <f>48/IF(Общие_или_заединицу="Общие трудозатраты",1,8)</f>
        <v>6</v>
      </c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6">
        <f t="shared" si="12"/>
        <v>0.8</v>
      </c>
      <c r="AA561" s="47"/>
      <c r="AB561" s="47"/>
      <c r="AC561" s="47"/>
      <c r="AD561" s="47"/>
      <c r="AE561" s="47"/>
      <c r="AF561" s="46">
        <f t="shared" si="15"/>
        <v>5</v>
      </c>
      <c r="AG561" s="47"/>
      <c r="AH561" s="47"/>
      <c r="AI561" s="47"/>
      <c r="AJ561" s="47"/>
      <c r="AK561" s="47"/>
      <c r="AL561" s="47"/>
      <c r="AM561" s="47"/>
      <c r="AN561" s="47"/>
      <c r="AO561" s="46">
        <f t="shared" si="13"/>
        <v>3</v>
      </c>
      <c r="AP561" s="47"/>
      <c r="AQ561" s="47"/>
      <c r="AR561" s="47"/>
      <c r="AS561" s="46">
        <f t="shared" si="14"/>
        <v>2</v>
      </c>
      <c r="AT561" s="47"/>
      <c r="AU561" s="47"/>
      <c r="AV561" s="47"/>
      <c r="AW561" s="47"/>
      <c r="AX561" s="47"/>
      <c r="AY561" s="47"/>
      <c r="AZ561" s="47"/>
      <c r="BA561" s="47"/>
      <c r="BB561" s="47"/>
      <c r="BC561" s="47"/>
    </row>
    <row r="562" spans="1:55" x14ac:dyDescent="0.25">
      <c r="A562" s="45" t="s">
        <v>1267</v>
      </c>
      <c r="B562" s="46">
        <f t="shared" si="11"/>
        <v>16.8</v>
      </c>
      <c r="C562" s="47"/>
      <c r="D562" s="46">
        <f>48/IF(Общие_или_заединицу="Общие трудозатраты",1,8)</f>
        <v>6</v>
      </c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6">
        <f t="shared" si="12"/>
        <v>0.8</v>
      </c>
      <c r="AA562" s="47"/>
      <c r="AB562" s="47"/>
      <c r="AC562" s="47"/>
      <c r="AD562" s="47"/>
      <c r="AE562" s="47"/>
      <c r="AF562" s="46">
        <f t="shared" si="15"/>
        <v>5</v>
      </c>
      <c r="AG562" s="47"/>
      <c r="AH562" s="47"/>
      <c r="AI562" s="47"/>
      <c r="AJ562" s="47"/>
      <c r="AK562" s="47"/>
      <c r="AL562" s="47"/>
      <c r="AM562" s="47"/>
      <c r="AN562" s="47"/>
      <c r="AO562" s="46">
        <f t="shared" si="13"/>
        <v>3</v>
      </c>
      <c r="AP562" s="47"/>
      <c r="AQ562" s="47"/>
      <c r="AR562" s="47"/>
      <c r="AS562" s="46">
        <f t="shared" si="14"/>
        <v>2</v>
      </c>
      <c r="AT562" s="47"/>
      <c r="AU562" s="47"/>
      <c r="AV562" s="47"/>
      <c r="AW562" s="47"/>
      <c r="AX562" s="47"/>
      <c r="AY562" s="47"/>
      <c r="AZ562" s="47"/>
      <c r="BA562" s="47"/>
      <c r="BB562" s="47"/>
      <c r="BC562" s="47"/>
    </row>
    <row r="563" spans="1:55" x14ac:dyDescent="0.25">
      <c r="A563" s="45" t="s">
        <v>1268</v>
      </c>
      <c r="B563" s="46">
        <f t="shared" si="11"/>
        <v>16.8</v>
      </c>
      <c r="C563" s="47"/>
      <c r="D563" s="46">
        <f>48/IF(Общие_или_заединицу="Общие трудозатраты",1,8)</f>
        <v>6</v>
      </c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6">
        <f t="shared" si="12"/>
        <v>0.8</v>
      </c>
      <c r="AA563" s="47"/>
      <c r="AB563" s="47"/>
      <c r="AC563" s="47"/>
      <c r="AD563" s="47"/>
      <c r="AE563" s="47"/>
      <c r="AF563" s="46">
        <f t="shared" si="15"/>
        <v>5</v>
      </c>
      <c r="AG563" s="47"/>
      <c r="AH563" s="47"/>
      <c r="AI563" s="47"/>
      <c r="AJ563" s="47"/>
      <c r="AK563" s="47"/>
      <c r="AL563" s="47"/>
      <c r="AM563" s="47"/>
      <c r="AN563" s="47"/>
      <c r="AO563" s="46">
        <f t="shared" si="13"/>
        <v>3</v>
      </c>
      <c r="AP563" s="47"/>
      <c r="AQ563" s="47"/>
      <c r="AR563" s="47"/>
      <c r="AS563" s="46">
        <f t="shared" si="14"/>
        <v>2</v>
      </c>
      <c r="AT563" s="47"/>
      <c r="AU563" s="47"/>
      <c r="AV563" s="47"/>
      <c r="AW563" s="47"/>
      <c r="AX563" s="47"/>
      <c r="AY563" s="47"/>
      <c r="AZ563" s="47"/>
      <c r="BA563" s="47"/>
      <c r="BB563" s="47"/>
      <c r="BC563" s="47"/>
    </row>
    <row r="564" spans="1:55" x14ac:dyDescent="0.25">
      <c r="A564" s="45" t="s">
        <v>1269</v>
      </c>
      <c r="B564" s="46">
        <f t="shared" si="11"/>
        <v>17</v>
      </c>
      <c r="C564" s="47"/>
      <c r="D564" s="46">
        <f>49.6/IF(Общие_или_заединицу="Общие трудозатраты",1,8)</f>
        <v>6.2</v>
      </c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6">
        <f t="shared" si="12"/>
        <v>0.8</v>
      </c>
      <c r="AA564" s="47"/>
      <c r="AB564" s="47"/>
      <c r="AC564" s="47"/>
      <c r="AD564" s="47"/>
      <c r="AE564" s="47"/>
      <c r="AF564" s="46">
        <f t="shared" si="15"/>
        <v>5</v>
      </c>
      <c r="AG564" s="47"/>
      <c r="AH564" s="47"/>
      <c r="AI564" s="47"/>
      <c r="AJ564" s="47"/>
      <c r="AK564" s="47"/>
      <c r="AL564" s="47"/>
      <c r="AM564" s="47"/>
      <c r="AN564" s="47"/>
      <c r="AO564" s="46">
        <f t="shared" si="13"/>
        <v>3</v>
      </c>
      <c r="AP564" s="47"/>
      <c r="AQ564" s="47"/>
      <c r="AR564" s="47"/>
      <c r="AS564" s="46">
        <f t="shared" si="14"/>
        <v>2</v>
      </c>
      <c r="AT564" s="47"/>
      <c r="AU564" s="47"/>
      <c r="AV564" s="47"/>
      <c r="AW564" s="47"/>
      <c r="AX564" s="47"/>
      <c r="AY564" s="47"/>
      <c r="AZ564" s="47"/>
      <c r="BA564" s="47"/>
      <c r="BB564" s="47"/>
      <c r="BC564" s="47"/>
    </row>
    <row r="565" spans="1:55" x14ac:dyDescent="0.25">
      <c r="A565" s="45" t="s">
        <v>1270</v>
      </c>
      <c r="B565" s="46">
        <f t="shared" si="11"/>
        <v>17.600000000000001</v>
      </c>
      <c r="C565" s="47"/>
      <c r="D565" s="46">
        <f>54.4/IF(Общие_или_заединицу="Общие трудозатраты",1,8)</f>
        <v>6.8</v>
      </c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6">
        <f t="shared" si="12"/>
        <v>0.8</v>
      </c>
      <c r="AA565" s="47"/>
      <c r="AB565" s="47"/>
      <c r="AC565" s="47"/>
      <c r="AD565" s="47"/>
      <c r="AE565" s="47"/>
      <c r="AF565" s="46">
        <f t="shared" si="15"/>
        <v>5</v>
      </c>
      <c r="AG565" s="47"/>
      <c r="AH565" s="47"/>
      <c r="AI565" s="47"/>
      <c r="AJ565" s="47"/>
      <c r="AK565" s="47"/>
      <c r="AL565" s="47"/>
      <c r="AM565" s="47"/>
      <c r="AN565" s="47"/>
      <c r="AO565" s="46">
        <f t="shared" si="13"/>
        <v>3</v>
      </c>
      <c r="AP565" s="47"/>
      <c r="AQ565" s="47"/>
      <c r="AR565" s="47"/>
      <c r="AS565" s="46">
        <f t="shared" si="14"/>
        <v>2</v>
      </c>
      <c r="AT565" s="47"/>
      <c r="AU565" s="47"/>
      <c r="AV565" s="47"/>
      <c r="AW565" s="47"/>
      <c r="AX565" s="47"/>
      <c r="AY565" s="47"/>
      <c r="AZ565" s="47"/>
      <c r="BA565" s="47"/>
      <c r="BB565" s="47"/>
      <c r="BC565" s="47"/>
    </row>
    <row r="566" spans="1:55" x14ac:dyDescent="0.25">
      <c r="A566" s="45" t="s">
        <v>1271</v>
      </c>
      <c r="B566" s="46">
        <f t="shared" si="11"/>
        <v>9.8000000000000007</v>
      </c>
      <c r="C566" s="47"/>
      <c r="D566" s="47"/>
      <c r="E566" s="47"/>
      <c r="F566" s="47"/>
      <c r="G566" s="47"/>
      <c r="H566" s="46">
        <f>64/IF(Общие_или_заединицу="Общие трудозатраты",1,16)</f>
        <v>4</v>
      </c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6">
        <f>12.8/IF(Общие_или_заединицу="Общие трудозатраты",1,16)</f>
        <v>0.8</v>
      </c>
      <c r="AA566" s="47"/>
      <c r="AB566" s="47"/>
      <c r="AC566" s="47"/>
      <c r="AD566" s="47"/>
      <c r="AE566" s="47"/>
      <c r="AF566" s="46">
        <f>80/IF(Общие_или_заединицу="Общие трудозатраты",1,16)</f>
        <v>5</v>
      </c>
      <c r="AG566" s="47"/>
      <c r="AH566" s="47"/>
      <c r="AI566" s="47"/>
      <c r="AJ566" s="47"/>
      <c r="AK566" s="47"/>
      <c r="AL566" s="47"/>
      <c r="AM566" s="47"/>
      <c r="AN566" s="47"/>
      <c r="AO566" s="47"/>
      <c r="AP566" s="47"/>
      <c r="AQ566" s="47"/>
      <c r="AR566" s="47"/>
      <c r="AS566" s="47"/>
      <c r="AT566" s="47"/>
      <c r="AU566" s="47"/>
      <c r="AV566" s="47"/>
      <c r="AW566" s="47"/>
      <c r="AX566" s="47"/>
      <c r="AY566" s="47"/>
      <c r="AZ566" s="47"/>
      <c r="BA566" s="47"/>
      <c r="BB566" s="47"/>
      <c r="BC566" s="47"/>
    </row>
    <row r="567" spans="1:55" x14ac:dyDescent="0.25">
      <c r="A567" s="45" t="s">
        <v>1272</v>
      </c>
      <c r="B567" s="46">
        <f t="shared" si="11"/>
        <v>9.8000000000000007</v>
      </c>
      <c r="C567" s="47"/>
      <c r="D567" s="47"/>
      <c r="E567" s="47"/>
      <c r="F567" s="47"/>
      <c r="G567" s="47"/>
      <c r="H567" s="46">
        <f>64/IF(Общие_или_заединицу="Общие трудозатраты",1,16)</f>
        <v>4</v>
      </c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6">
        <f>12.8/IF(Общие_или_заединицу="Общие трудозатраты",1,16)</f>
        <v>0.8</v>
      </c>
      <c r="AA567" s="47"/>
      <c r="AB567" s="47"/>
      <c r="AC567" s="47"/>
      <c r="AD567" s="47"/>
      <c r="AE567" s="47"/>
      <c r="AF567" s="46">
        <f>80/IF(Общие_или_заединицу="Общие трудозатраты",1,16)</f>
        <v>5</v>
      </c>
      <c r="AG567" s="47"/>
      <c r="AH567" s="47"/>
      <c r="AI567" s="47"/>
      <c r="AJ567" s="47"/>
      <c r="AK567" s="47"/>
      <c r="AL567" s="47"/>
      <c r="AM567" s="47"/>
      <c r="AN567" s="47"/>
      <c r="AO567" s="47"/>
      <c r="AP567" s="47"/>
      <c r="AQ567" s="47"/>
      <c r="AR567" s="47"/>
      <c r="AS567" s="47"/>
      <c r="AT567" s="47"/>
      <c r="AU567" s="47"/>
      <c r="AV567" s="47"/>
      <c r="AW567" s="47"/>
      <c r="AX567" s="47"/>
      <c r="AY567" s="47"/>
      <c r="AZ567" s="47"/>
      <c r="BA567" s="47"/>
      <c r="BB567" s="47"/>
      <c r="BC567" s="47"/>
    </row>
    <row r="568" spans="1:55" x14ac:dyDescent="0.25">
      <c r="A568" s="45" t="s">
        <v>1184</v>
      </c>
      <c r="B568" s="46">
        <f t="shared" si="11"/>
        <v>28.95</v>
      </c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6">
        <f>20/IF(Общие_или_заединицу="Общие трудозатраты",1,2)</f>
        <v>10</v>
      </c>
      <c r="W568" s="46">
        <f>36/IF(Общие_или_заединицу="Общие трудозатраты",1,2)</f>
        <v>18</v>
      </c>
      <c r="X568" s="47"/>
      <c r="Y568" s="47"/>
      <c r="Z568" s="47"/>
      <c r="AA568" s="47"/>
      <c r="AB568" s="47"/>
      <c r="AC568" s="47"/>
      <c r="AD568" s="47"/>
      <c r="AE568" s="47"/>
      <c r="AF568" s="47"/>
      <c r="AG568" s="47"/>
      <c r="AH568" s="47"/>
      <c r="AI568" s="47"/>
      <c r="AJ568" s="47"/>
      <c r="AK568" s="47"/>
      <c r="AL568" s="47"/>
      <c r="AM568" s="47"/>
      <c r="AN568" s="47"/>
      <c r="AO568" s="46">
        <f>1.9/IF(Общие_или_заединицу="Общие трудозатраты",1,2)</f>
        <v>0.95</v>
      </c>
      <c r="AP568" s="47"/>
      <c r="AQ568" s="47"/>
      <c r="AR568" s="47"/>
      <c r="AS568" s="47"/>
      <c r="AT568" s="47"/>
      <c r="AU568" s="47"/>
      <c r="AV568" s="47"/>
      <c r="AW568" s="47"/>
      <c r="AX568" s="47"/>
      <c r="AY568" s="47"/>
      <c r="AZ568" s="47"/>
      <c r="BA568" s="47"/>
      <c r="BB568" s="47"/>
      <c r="BC568" s="47"/>
    </row>
    <row r="569" spans="1:55" x14ac:dyDescent="0.25">
      <c r="A569" s="45" t="s">
        <v>1273</v>
      </c>
      <c r="B569" s="46">
        <f t="shared" si="11"/>
        <v>13.5</v>
      </c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6">
        <f>27/IF(Общие_или_заединицу="Общие трудозатраты",1,2)</f>
        <v>13.5</v>
      </c>
      <c r="T569" s="47"/>
      <c r="U569" s="47"/>
      <c r="V569" s="47"/>
      <c r="W569" s="47"/>
      <c r="X569" s="47"/>
      <c r="Y569" s="47"/>
      <c r="Z569" s="47"/>
      <c r="AA569" s="47"/>
      <c r="AB569" s="47"/>
      <c r="AC569" s="47"/>
      <c r="AD569" s="47"/>
      <c r="AE569" s="47"/>
      <c r="AF569" s="47"/>
      <c r="AG569" s="47"/>
      <c r="AH569" s="47"/>
      <c r="AI569" s="47"/>
      <c r="AJ569" s="47"/>
      <c r="AK569" s="47"/>
      <c r="AL569" s="47"/>
      <c r="AM569" s="47"/>
      <c r="AN569" s="47"/>
      <c r="AO569" s="47"/>
      <c r="AP569" s="47"/>
      <c r="AQ569" s="47"/>
      <c r="AR569" s="47"/>
      <c r="AS569" s="47"/>
      <c r="AT569" s="47"/>
      <c r="AU569" s="47"/>
      <c r="AV569" s="47"/>
      <c r="AW569" s="47"/>
      <c r="AX569" s="47"/>
      <c r="AY569" s="47"/>
      <c r="AZ569" s="47"/>
      <c r="BA569" s="47"/>
      <c r="BB569" s="47"/>
      <c r="BC569" s="47"/>
    </row>
    <row r="570" spans="1:55" x14ac:dyDescent="0.25">
      <c r="A570" s="45" t="s">
        <v>1185</v>
      </c>
      <c r="B570" s="46">
        <f t="shared" si="11"/>
        <v>0.8</v>
      </c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6">
        <f>0.6/IF(Общие_или_заединицу="Общие трудозатраты",1,2)</f>
        <v>0.3</v>
      </c>
      <c r="X570" s="47"/>
      <c r="Y570" s="47"/>
      <c r="Z570" s="47"/>
      <c r="AA570" s="47"/>
      <c r="AB570" s="47"/>
      <c r="AC570" s="47"/>
      <c r="AD570" s="47"/>
      <c r="AE570" s="47"/>
      <c r="AF570" s="47"/>
      <c r="AG570" s="47"/>
      <c r="AH570" s="47"/>
      <c r="AI570" s="47"/>
      <c r="AJ570" s="47"/>
      <c r="AK570" s="47"/>
      <c r="AL570" s="47"/>
      <c r="AM570" s="47"/>
      <c r="AN570" s="47"/>
      <c r="AO570" s="46">
        <f>1/IF(Общие_или_заединицу="Общие трудозатраты",1,2)</f>
        <v>0.5</v>
      </c>
      <c r="AP570" s="47"/>
      <c r="AQ570" s="47"/>
      <c r="AR570" s="47"/>
      <c r="AS570" s="47"/>
      <c r="AT570" s="47"/>
      <c r="AU570" s="47"/>
      <c r="AV570" s="47"/>
      <c r="AW570" s="47"/>
      <c r="AX570" s="47"/>
      <c r="AY570" s="47"/>
      <c r="AZ570" s="47"/>
      <c r="BA570" s="47"/>
      <c r="BB570" s="47"/>
      <c r="BC570" s="47"/>
    </row>
    <row r="571" spans="1:55" x14ac:dyDescent="0.25">
      <c r="A571" s="45" t="s">
        <v>1274</v>
      </c>
      <c r="B571" s="46">
        <f t="shared" si="11"/>
        <v>7.2</v>
      </c>
      <c r="C571" s="47"/>
      <c r="D571" s="47"/>
      <c r="E571" s="46">
        <f>12/IF(Общие_или_заединицу="Общие трудозатраты",1,2)</f>
        <v>6</v>
      </c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6">
        <f>2.4/IF(Общие_или_заединицу="Общие трудозатраты",1,2)</f>
        <v>1.2</v>
      </c>
      <c r="T571" s="47"/>
      <c r="U571" s="47"/>
      <c r="V571" s="47"/>
      <c r="W571" s="47"/>
      <c r="X571" s="47"/>
      <c r="Y571" s="47"/>
      <c r="Z571" s="47"/>
      <c r="AA571" s="47"/>
      <c r="AB571" s="47"/>
      <c r="AC571" s="47"/>
      <c r="AD571" s="47"/>
      <c r="AE571" s="47"/>
      <c r="AF571" s="47"/>
      <c r="AG571" s="47"/>
      <c r="AH571" s="47"/>
      <c r="AI571" s="47"/>
      <c r="AJ571" s="47"/>
      <c r="AK571" s="47"/>
      <c r="AL571" s="47"/>
      <c r="AM571" s="47"/>
      <c r="AN571" s="47"/>
      <c r="AO571" s="47"/>
      <c r="AP571" s="47"/>
      <c r="AQ571" s="47"/>
      <c r="AR571" s="47"/>
      <c r="AS571" s="47"/>
      <c r="AT571" s="47"/>
      <c r="AU571" s="47"/>
      <c r="AV571" s="47"/>
      <c r="AW571" s="47"/>
      <c r="AX571" s="47"/>
      <c r="AY571" s="47"/>
      <c r="AZ571" s="47"/>
      <c r="BA571" s="47"/>
      <c r="BB571" s="47"/>
      <c r="BC571" s="47"/>
    </row>
    <row r="572" spans="1:55" x14ac:dyDescent="0.25">
      <c r="A572" s="45" t="s">
        <v>1186</v>
      </c>
      <c r="B572" s="48">
        <f t="shared" si="11"/>
        <v>133</v>
      </c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6">
        <f>200/IF(Общие_или_заединицу="Общие трудозатраты",1,16)</f>
        <v>12.5</v>
      </c>
      <c r="W572" s="46">
        <f>200/IF(Общие_или_заединицу="Общие трудозатраты",1,16)</f>
        <v>12.5</v>
      </c>
      <c r="X572" s="47"/>
      <c r="Y572" s="47"/>
      <c r="Z572" s="47"/>
      <c r="AA572" s="47"/>
      <c r="AB572" s="47"/>
      <c r="AC572" s="47"/>
      <c r="AD572" s="47"/>
      <c r="AE572" s="47"/>
      <c r="AF572" s="47"/>
      <c r="AG572" s="47"/>
      <c r="AH572" s="47"/>
      <c r="AI572" s="47"/>
      <c r="AJ572" s="47"/>
      <c r="AK572" s="47"/>
      <c r="AL572" s="47"/>
      <c r="AM572" s="46">
        <f>768/IF(Общие_или_заединицу="Общие трудозатраты",1,16)</f>
        <v>48</v>
      </c>
      <c r="AN572" s="47"/>
      <c r="AO572" s="46">
        <f>960/IF(Общие_или_заединицу="Общие трудозатраты",1,16)</f>
        <v>60</v>
      </c>
      <c r="AP572" s="47"/>
      <c r="AQ572" s="47"/>
      <c r="AR572" s="47"/>
      <c r="AS572" s="47"/>
      <c r="AT572" s="47"/>
      <c r="AU572" s="47"/>
      <c r="AV572" s="47"/>
      <c r="AW572" s="47"/>
      <c r="AX572" s="47"/>
      <c r="AY572" s="47"/>
      <c r="AZ572" s="47"/>
      <c r="BA572" s="47"/>
      <c r="BB572" s="47"/>
      <c r="BC572" s="47"/>
    </row>
    <row r="573" spans="1:55" x14ac:dyDescent="0.25">
      <c r="A573" s="45" t="s">
        <v>1275</v>
      </c>
      <c r="B573" s="46">
        <f t="shared" si="11"/>
        <v>25.8</v>
      </c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6">
        <f>60.8/IF(Общие_или_заединицу="Общие трудозатраты",1,16)</f>
        <v>3.8</v>
      </c>
      <c r="T573" s="47"/>
      <c r="U573" s="47"/>
      <c r="V573" s="47"/>
      <c r="W573" s="47"/>
      <c r="X573" s="47"/>
      <c r="Y573" s="47"/>
      <c r="Z573" s="47"/>
      <c r="AA573" s="47"/>
      <c r="AB573" s="47"/>
      <c r="AC573" s="47"/>
      <c r="AD573" s="47"/>
      <c r="AE573" s="47"/>
      <c r="AF573" s="47"/>
      <c r="AG573" s="47"/>
      <c r="AH573" s="47"/>
      <c r="AI573" s="47"/>
      <c r="AJ573" s="47"/>
      <c r="AK573" s="47"/>
      <c r="AL573" s="47"/>
      <c r="AM573" s="47"/>
      <c r="AN573" s="47"/>
      <c r="AO573" s="47"/>
      <c r="AP573" s="47"/>
      <c r="AQ573" s="47"/>
      <c r="AR573" s="47"/>
      <c r="AS573" s="47"/>
      <c r="AT573" s="47"/>
      <c r="AU573" s="47"/>
      <c r="AV573" s="47"/>
      <c r="AW573" s="46">
        <f>352/IF(Общие_или_заединицу="Общие трудозатраты",1,16)</f>
        <v>22</v>
      </c>
      <c r="AX573" s="47"/>
      <c r="AY573" s="47"/>
      <c r="AZ573" s="47"/>
      <c r="BA573" s="47"/>
      <c r="BB573" s="47"/>
      <c r="BC573" s="47"/>
    </row>
    <row r="574" spans="1:55" x14ac:dyDescent="0.25">
      <c r="A574" s="45" t="s">
        <v>1276</v>
      </c>
      <c r="B574" s="46">
        <f t="shared" si="11"/>
        <v>19.5</v>
      </c>
      <c r="C574" s="47"/>
      <c r="D574" s="46">
        <f>96/IF(Общие_или_заединицу="Общие трудозатраты",1,16)</f>
        <v>6</v>
      </c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6">
        <f>48/IF(Общие_или_заединицу="Общие трудозатраты",1,16)</f>
        <v>3</v>
      </c>
      <c r="P574" s="47"/>
      <c r="Q574" s="47"/>
      <c r="R574" s="47"/>
      <c r="S574" s="46">
        <f>72/IF(Общие_или_заединицу="Общие трудозатраты",1,16)</f>
        <v>4.5</v>
      </c>
      <c r="T574" s="47"/>
      <c r="U574" s="47"/>
      <c r="V574" s="47"/>
      <c r="W574" s="47"/>
      <c r="X574" s="47"/>
      <c r="Y574" s="47"/>
      <c r="Z574" s="47"/>
      <c r="AA574" s="47"/>
      <c r="AB574" s="47"/>
      <c r="AC574" s="47"/>
      <c r="AD574" s="47"/>
      <c r="AE574" s="47"/>
      <c r="AF574" s="47"/>
      <c r="AG574" s="47"/>
      <c r="AH574" s="47"/>
      <c r="AI574" s="47"/>
      <c r="AJ574" s="47"/>
      <c r="AK574" s="47"/>
      <c r="AL574" s="47"/>
      <c r="AM574" s="47"/>
      <c r="AN574" s="47"/>
      <c r="AO574" s="46">
        <f>96/IF(Общие_или_заединицу="Общие трудозатраты",1,16)</f>
        <v>6</v>
      </c>
      <c r="AP574" s="47"/>
      <c r="AQ574" s="47"/>
      <c r="AR574" s="47"/>
      <c r="AS574" s="47"/>
      <c r="AT574" s="47"/>
      <c r="AU574" s="47"/>
      <c r="AV574" s="47"/>
      <c r="AW574" s="47"/>
      <c r="AX574" s="47"/>
      <c r="AY574" s="47"/>
      <c r="AZ574" s="47"/>
      <c r="BA574" s="47"/>
      <c r="BB574" s="47"/>
      <c r="BC574" s="47"/>
    </row>
    <row r="575" spans="1:55" x14ac:dyDescent="0.25">
      <c r="A575" s="45" t="s">
        <v>1277</v>
      </c>
      <c r="B575" s="46">
        <f t="shared" si="11"/>
        <v>24.53</v>
      </c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6">
        <f>40.48/IF(Общие_или_заединицу="Общие трудозатраты",1,16)</f>
        <v>2.5299999999999998</v>
      </c>
      <c r="T575" s="47"/>
      <c r="U575" s="47"/>
      <c r="V575" s="47"/>
      <c r="W575" s="47"/>
      <c r="X575" s="47"/>
      <c r="Y575" s="47"/>
      <c r="Z575" s="47"/>
      <c r="AA575" s="47"/>
      <c r="AB575" s="47"/>
      <c r="AC575" s="47"/>
      <c r="AD575" s="47"/>
      <c r="AE575" s="47"/>
      <c r="AF575" s="47"/>
      <c r="AG575" s="47"/>
      <c r="AH575" s="47"/>
      <c r="AI575" s="47"/>
      <c r="AJ575" s="47"/>
      <c r="AK575" s="47"/>
      <c r="AL575" s="47"/>
      <c r="AM575" s="47"/>
      <c r="AN575" s="47"/>
      <c r="AO575" s="47"/>
      <c r="AP575" s="47"/>
      <c r="AQ575" s="47"/>
      <c r="AR575" s="47"/>
      <c r="AS575" s="47"/>
      <c r="AT575" s="47"/>
      <c r="AU575" s="47"/>
      <c r="AV575" s="47"/>
      <c r="AW575" s="46">
        <f>352/IF(Общие_или_заединицу="Общие трудозатраты",1,16)</f>
        <v>22</v>
      </c>
      <c r="AX575" s="47"/>
      <c r="AY575" s="47"/>
      <c r="AZ575" s="47"/>
      <c r="BA575" s="47"/>
      <c r="BB575" s="47"/>
      <c r="BC575" s="47"/>
    </row>
    <row r="576" spans="1:55" x14ac:dyDescent="0.25">
      <c r="A576" s="45" t="s">
        <v>1278</v>
      </c>
      <c r="B576" s="46">
        <f t="shared" si="11"/>
        <v>480</v>
      </c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  <c r="AA576" s="47"/>
      <c r="AB576" s="47"/>
      <c r="AC576" s="47"/>
      <c r="AD576" s="47"/>
      <c r="AE576" s="47"/>
      <c r="AF576" s="47"/>
      <c r="AG576" s="47"/>
      <c r="AH576" s="47"/>
      <c r="AI576" s="47"/>
      <c r="AJ576" s="46">
        <f>480/IF(Общие_или_заединицу="Общие трудозатраты",1,1)</f>
        <v>480</v>
      </c>
      <c r="AK576" s="47"/>
      <c r="AL576" s="47"/>
      <c r="AM576" s="47"/>
      <c r="AN576" s="47"/>
      <c r="AO576" s="47"/>
      <c r="AP576" s="47"/>
      <c r="AQ576" s="47"/>
      <c r="AR576" s="47"/>
      <c r="AS576" s="47"/>
      <c r="AT576" s="47"/>
      <c r="AU576" s="47"/>
      <c r="AV576" s="47"/>
      <c r="AW576" s="47"/>
      <c r="AX576" s="47"/>
      <c r="AY576" s="47"/>
      <c r="AZ576" s="47"/>
      <c r="BA576" s="47"/>
      <c r="BB576" s="47"/>
      <c r="BC576" s="47"/>
    </row>
    <row r="577" spans="1:55" ht="22.5" x14ac:dyDescent="0.25">
      <c r="A577" s="45" t="s">
        <v>1293</v>
      </c>
      <c r="B577" s="46">
        <f t="shared" si="11"/>
        <v>60</v>
      </c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  <c r="AA577" s="47"/>
      <c r="AB577" s="47"/>
      <c r="AC577" s="47"/>
      <c r="AD577" s="47"/>
      <c r="AE577" s="47"/>
      <c r="AF577" s="47"/>
      <c r="AG577" s="47"/>
      <c r="AH577" s="46">
        <f>60/IF(Общие_или_заединицу="Общие трудозатраты",1,1)</f>
        <v>60</v>
      </c>
      <c r="AI577" s="47"/>
      <c r="AJ577" s="47"/>
      <c r="AK577" s="47"/>
      <c r="AL577" s="47"/>
      <c r="AM577" s="47"/>
      <c r="AN577" s="47"/>
      <c r="AO577" s="47"/>
      <c r="AP577" s="47"/>
      <c r="AQ577" s="47"/>
      <c r="AR577" s="47"/>
      <c r="AS577" s="47"/>
      <c r="AT577" s="47"/>
      <c r="AU577" s="47"/>
      <c r="AV577" s="47"/>
      <c r="AW577" s="47"/>
      <c r="AX577" s="47"/>
      <c r="AY577" s="47"/>
      <c r="AZ577" s="47"/>
      <c r="BA577" s="47"/>
      <c r="BB577" s="47"/>
      <c r="BC577" s="47"/>
    </row>
    <row r="578" spans="1:55" x14ac:dyDescent="0.25">
      <c r="A578" s="45" t="s">
        <v>1287</v>
      </c>
      <c r="B578" s="46">
        <f t="shared" si="11"/>
        <v>2.2000000000000002</v>
      </c>
      <c r="C578" s="47"/>
      <c r="D578" s="47"/>
      <c r="E578" s="47"/>
      <c r="F578" s="46">
        <f>1.1/IF(Общие_или_заединицу="Общие трудозатраты",1,1)</f>
        <v>1.1000000000000001</v>
      </c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6">
        <f>1.1/IF(Общие_или_заединицу="Общие трудозатраты",1,1)</f>
        <v>1.1000000000000001</v>
      </c>
      <c r="T578" s="47"/>
      <c r="U578" s="47"/>
      <c r="V578" s="47"/>
      <c r="W578" s="47"/>
      <c r="X578" s="47"/>
      <c r="Y578" s="47"/>
      <c r="Z578" s="47"/>
      <c r="AA578" s="47"/>
      <c r="AB578" s="47"/>
      <c r="AC578" s="47"/>
      <c r="AD578" s="47"/>
      <c r="AE578" s="47"/>
      <c r="AF578" s="47"/>
      <c r="AG578" s="47"/>
      <c r="AH578" s="47"/>
      <c r="AI578" s="47"/>
      <c r="AJ578" s="47"/>
      <c r="AK578" s="47"/>
      <c r="AL578" s="47"/>
      <c r="AM578" s="47"/>
      <c r="AN578" s="47"/>
      <c r="AO578" s="47"/>
      <c r="AP578" s="47"/>
      <c r="AQ578" s="47"/>
      <c r="AR578" s="47"/>
      <c r="AS578" s="47"/>
      <c r="AT578" s="47"/>
      <c r="AU578" s="47"/>
      <c r="AV578" s="47"/>
      <c r="AW578" s="47"/>
      <c r="AX578" s="47"/>
      <c r="AY578" s="47"/>
      <c r="AZ578" s="47"/>
      <c r="BA578" s="47"/>
      <c r="BB578" s="47"/>
      <c r="BC578" s="47"/>
    </row>
    <row r="579" spans="1:55" x14ac:dyDescent="0.25">
      <c r="A579" s="45" t="s">
        <v>1288</v>
      </c>
      <c r="B579" s="46">
        <f t="shared" si="11"/>
        <v>58</v>
      </c>
      <c r="C579" s="47"/>
      <c r="D579" s="47"/>
      <c r="E579" s="47"/>
      <c r="F579" s="47"/>
      <c r="G579" s="47"/>
      <c r="H579" s="46">
        <f>8/IF(Общие_или_заединицу="Общие трудозатраты",1,1)</f>
        <v>8</v>
      </c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6">
        <f>9/IF(Общие_или_заединицу="Общие трудозатраты",1,1)</f>
        <v>9</v>
      </c>
      <c r="W579" s="46">
        <f>6/IF(Общие_или_заединицу="Общие трудозатраты",1,1)</f>
        <v>6</v>
      </c>
      <c r="X579" s="47"/>
      <c r="Y579" s="47"/>
      <c r="Z579" s="47"/>
      <c r="AA579" s="47"/>
      <c r="AB579" s="47"/>
      <c r="AC579" s="47"/>
      <c r="AD579" s="46">
        <f>10/IF(Общие_или_заединицу="Общие трудозатраты",1,1)*IF(Пробивка="Стандартная пробивная",1,3.5)</f>
        <v>35</v>
      </c>
      <c r="AE579" s="47"/>
      <c r="AF579" s="47"/>
      <c r="AG579" s="47"/>
      <c r="AH579" s="47"/>
      <c r="AI579" s="47"/>
      <c r="AJ579" s="47"/>
      <c r="AK579" s="47"/>
      <c r="AL579" s="47"/>
      <c r="AM579" s="47"/>
      <c r="AN579" s="47"/>
      <c r="AO579" s="47"/>
      <c r="AP579" s="47"/>
      <c r="AQ579" s="47"/>
      <c r="AR579" s="47"/>
      <c r="AS579" s="47"/>
      <c r="AT579" s="47"/>
      <c r="AU579" s="47"/>
      <c r="AV579" s="47"/>
      <c r="AW579" s="47"/>
      <c r="AX579" s="47"/>
      <c r="AY579" s="47"/>
      <c r="AZ579" s="47"/>
      <c r="BA579" s="47"/>
      <c r="BB579" s="47"/>
      <c r="BC579" s="47"/>
    </row>
    <row r="580" spans="1:55" x14ac:dyDescent="0.25">
      <c r="A580" s="45" t="s">
        <v>1289</v>
      </c>
      <c r="B580" s="46">
        <f t="shared" ref="B580:B643" si="16">SUM(C580:BC580)</f>
        <v>34.1</v>
      </c>
      <c r="C580" s="47"/>
      <c r="D580" s="47"/>
      <c r="E580" s="47"/>
      <c r="F580" s="47"/>
      <c r="G580" s="47"/>
      <c r="H580" s="46">
        <f>16/IF(Общие_или_заединицу="Общие трудозатраты",1,2)</f>
        <v>8</v>
      </c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6">
        <f>7.2/IF(Общие_или_заединицу="Общие трудозатраты",1,2)</f>
        <v>3.6</v>
      </c>
      <c r="T580" s="47"/>
      <c r="U580" s="47"/>
      <c r="V580" s="46">
        <f>23/IF(Общие_или_заединицу="Общие трудозатраты",1,2)</f>
        <v>11.5</v>
      </c>
      <c r="W580" s="46">
        <f>22/IF(Общие_или_заединицу="Общие трудозатраты",1,2)</f>
        <v>11</v>
      </c>
      <c r="X580" s="47"/>
      <c r="Y580" s="47"/>
      <c r="Z580" s="47"/>
      <c r="AA580" s="47"/>
      <c r="AB580" s="47"/>
      <c r="AC580" s="47"/>
      <c r="AD580" s="47"/>
      <c r="AE580" s="47"/>
      <c r="AF580" s="47"/>
      <c r="AG580" s="47"/>
      <c r="AH580" s="47"/>
      <c r="AI580" s="47"/>
      <c r="AJ580" s="47"/>
      <c r="AK580" s="47"/>
      <c r="AL580" s="47"/>
      <c r="AM580" s="47"/>
      <c r="AN580" s="47"/>
      <c r="AO580" s="47"/>
      <c r="AP580" s="47"/>
      <c r="AQ580" s="47"/>
      <c r="AR580" s="47"/>
      <c r="AS580" s="47"/>
      <c r="AT580" s="47"/>
      <c r="AU580" s="47"/>
      <c r="AV580" s="47"/>
      <c r="AW580" s="47"/>
      <c r="AX580" s="47"/>
      <c r="AY580" s="47"/>
      <c r="AZ580" s="47"/>
      <c r="BA580" s="47"/>
      <c r="BB580" s="47"/>
      <c r="BC580" s="47"/>
    </row>
    <row r="581" spans="1:55" x14ac:dyDescent="0.25">
      <c r="A581" s="45" t="s">
        <v>1279</v>
      </c>
      <c r="B581" s="48">
        <f t="shared" si="16"/>
        <v>469</v>
      </c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6">
        <f>360/IF(Общие_или_заединицу="Общие трудозатраты",1,6)</f>
        <v>60</v>
      </c>
      <c r="W581" s="46">
        <f>636/IF(Общие_или_заединицу="Общие трудозатраты",1,6)</f>
        <v>106</v>
      </c>
      <c r="X581" s="47"/>
      <c r="Y581" s="47"/>
      <c r="Z581" s="47"/>
      <c r="AA581" s="47"/>
      <c r="AB581" s="47"/>
      <c r="AC581" s="47"/>
      <c r="AD581" s="47"/>
      <c r="AE581" s="47"/>
      <c r="AF581" s="47"/>
      <c r="AG581" s="47"/>
      <c r="AH581" s="47"/>
      <c r="AI581" s="46">
        <f>90/IF(Общие_или_заединицу="Общие трудозатраты",1,6)</f>
        <v>15</v>
      </c>
      <c r="AJ581" s="47"/>
      <c r="AK581" s="47"/>
      <c r="AL581" s="47"/>
      <c r="AM581" s="46">
        <f>768/IF(Общие_или_заединицу="Общие трудозатраты",1,6)</f>
        <v>128</v>
      </c>
      <c r="AN581" s="47"/>
      <c r="AO581" s="46">
        <f>960/IF(Общие_или_заединицу="Общие трудозатраты",1,6)</f>
        <v>160</v>
      </c>
      <c r="AP581" s="47"/>
      <c r="AQ581" s="47"/>
      <c r="AR581" s="47"/>
      <c r="AS581" s="47"/>
      <c r="AT581" s="47"/>
      <c r="AU581" s="47"/>
      <c r="AV581" s="47"/>
      <c r="AW581" s="47"/>
      <c r="AX581" s="47"/>
      <c r="AY581" s="47"/>
      <c r="AZ581" s="47"/>
      <c r="BA581" s="47"/>
      <c r="BB581" s="47"/>
      <c r="BC581" s="47"/>
    </row>
    <row r="582" spans="1:55" x14ac:dyDescent="0.25">
      <c r="A582" s="45" t="s">
        <v>1295</v>
      </c>
      <c r="B582" s="46">
        <f t="shared" si="16"/>
        <v>26</v>
      </c>
      <c r="C582" s="47"/>
      <c r="D582" s="47"/>
      <c r="E582" s="47"/>
      <c r="F582" s="47"/>
      <c r="G582" s="47"/>
      <c r="H582" s="47"/>
      <c r="I582" s="47"/>
      <c r="J582" s="47"/>
      <c r="K582" s="46">
        <f>96/IF(Общие_или_заединицу="Общие трудозатраты",1,6)</f>
        <v>16</v>
      </c>
      <c r="L582" s="47"/>
      <c r="M582" s="47"/>
      <c r="N582" s="47"/>
      <c r="O582" s="47"/>
      <c r="P582" s="47"/>
      <c r="Q582" s="47"/>
      <c r="R582" s="47"/>
      <c r="S582" s="46">
        <f>60/IF(Общие_или_заединицу="Общие трудозатраты",1,6)</f>
        <v>10</v>
      </c>
      <c r="T582" s="47"/>
      <c r="U582" s="47"/>
      <c r="V582" s="47"/>
      <c r="W582" s="47"/>
      <c r="X582" s="47"/>
      <c r="Y582" s="47"/>
      <c r="Z582" s="47"/>
      <c r="AA582" s="47"/>
      <c r="AB582" s="47"/>
      <c r="AC582" s="47"/>
      <c r="AD582" s="47"/>
      <c r="AE582" s="47"/>
      <c r="AF582" s="47"/>
      <c r="AG582" s="47"/>
      <c r="AH582" s="47"/>
      <c r="AI582" s="47"/>
      <c r="AJ582" s="47"/>
      <c r="AK582" s="47"/>
      <c r="AL582" s="47"/>
      <c r="AM582" s="47"/>
      <c r="AN582" s="47"/>
      <c r="AO582" s="47"/>
      <c r="AP582" s="47"/>
      <c r="AQ582" s="47"/>
      <c r="AR582" s="47"/>
      <c r="AS582" s="47"/>
      <c r="AT582" s="47"/>
      <c r="AU582" s="47"/>
      <c r="AV582" s="47"/>
      <c r="AW582" s="47"/>
      <c r="AX582" s="47"/>
      <c r="AY582" s="47"/>
      <c r="AZ582" s="47"/>
      <c r="BA582" s="47"/>
      <c r="BB582" s="47"/>
      <c r="BC582" s="47"/>
    </row>
    <row r="583" spans="1:55" x14ac:dyDescent="0.25">
      <c r="A583" s="45" t="s">
        <v>1296</v>
      </c>
      <c r="B583" s="46">
        <f t="shared" si="16"/>
        <v>26</v>
      </c>
      <c r="C583" s="47"/>
      <c r="D583" s="47"/>
      <c r="E583" s="47"/>
      <c r="F583" s="47"/>
      <c r="G583" s="47"/>
      <c r="H583" s="47"/>
      <c r="I583" s="47"/>
      <c r="J583" s="47"/>
      <c r="K583" s="46">
        <f>96/IF(Общие_или_заединицу="Общие трудозатраты",1,6)</f>
        <v>16</v>
      </c>
      <c r="L583" s="47"/>
      <c r="M583" s="47"/>
      <c r="N583" s="47"/>
      <c r="O583" s="47"/>
      <c r="P583" s="47"/>
      <c r="Q583" s="47"/>
      <c r="R583" s="47"/>
      <c r="S583" s="46">
        <f>60/IF(Общие_или_заединицу="Общие трудозатраты",1,6)</f>
        <v>10</v>
      </c>
      <c r="T583" s="47"/>
      <c r="U583" s="47"/>
      <c r="V583" s="47"/>
      <c r="W583" s="47"/>
      <c r="X583" s="47"/>
      <c r="Y583" s="47"/>
      <c r="Z583" s="47"/>
      <c r="AA583" s="47"/>
      <c r="AB583" s="47"/>
      <c r="AC583" s="47"/>
      <c r="AD583" s="47"/>
      <c r="AE583" s="47"/>
      <c r="AF583" s="47"/>
      <c r="AG583" s="47"/>
      <c r="AH583" s="47"/>
      <c r="AI583" s="47"/>
      <c r="AJ583" s="47"/>
      <c r="AK583" s="47"/>
      <c r="AL583" s="47"/>
      <c r="AM583" s="47"/>
      <c r="AN583" s="47"/>
      <c r="AO583" s="47"/>
      <c r="AP583" s="47"/>
      <c r="AQ583" s="47"/>
      <c r="AR583" s="47"/>
      <c r="AS583" s="47"/>
      <c r="AT583" s="47"/>
      <c r="AU583" s="47"/>
      <c r="AV583" s="47"/>
      <c r="AW583" s="47"/>
      <c r="AX583" s="47"/>
      <c r="AY583" s="47"/>
      <c r="AZ583" s="47"/>
      <c r="BA583" s="47"/>
      <c r="BB583" s="47"/>
      <c r="BC583" s="47"/>
    </row>
    <row r="584" spans="1:55" x14ac:dyDescent="0.25">
      <c r="A584" s="45" t="s">
        <v>1280</v>
      </c>
      <c r="B584" s="46">
        <f t="shared" si="16"/>
        <v>10</v>
      </c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  <c r="AA584" s="47"/>
      <c r="AB584" s="47"/>
      <c r="AC584" s="47"/>
      <c r="AD584" s="47"/>
      <c r="AE584" s="47"/>
      <c r="AF584" s="47"/>
      <c r="AG584" s="47"/>
      <c r="AH584" s="47"/>
      <c r="AI584" s="46">
        <f>60/IF(Общие_или_заединицу="Общие трудозатраты",1,6)</f>
        <v>10</v>
      </c>
      <c r="AJ584" s="47"/>
      <c r="AK584" s="47"/>
      <c r="AL584" s="47"/>
      <c r="AM584" s="47"/>
      <c r="AN584" s="47"/>
      <c r="AO584" s="47"/>
      <c r="AP584" s="47"/>
      <c r="AQ584" s="47"/>
      <c r="AR584" s="47"/>
      <c r="AS584" s="47"/>
      <c r="AT584" s="47"/>
      <c r="AU584" s="47"/>
      <c r="AV584" s="47"/>
      <c r="AW584" s="47"/>
      <c r="AX584" s="47"/>
      <c r="AY584" s="47"/>
      <c r="AZ584" s="47"/>
      <c r="BA584" s="47"/>
      <c r="BB584" s="47"/>
      <c r="BC584" s="47"/>
    </row>
    <row r="585" spans="1:55" x14ac:dyDescent="0.25">
      <c r="A585" s="45" t="s">
        <v>1281</v>
      </c>
      <c r="B585" s="46">
        <f t="shared" si="16"/>
        <v>10</v>
      </c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  <c r="AA585" s="47"/>
      <c r="AB585" s="47"/>
      <c r="AC585" s="47"/>
      <c r="AD585" s="47"/>
      <c r="AE585" s="47"/>
      <c r="AF585" s="47"/>
      <c r="AG585" s="47"/>
      <c r="AH585" s="47"/>
      <c r="AI585" s="46">
        <f>10/IF(Общие_или_заединицу="Общие трудозатраты",1,1)</f>
        <v>10</v>
      </c>
      <c r="AJ585" s="47"/>
      <c r="AK585" s="47"/>
      <c r="AL585" s="47"/>
      <c r="AM585" s="47"/>
      <c r="AN585" s="47"/>
      <c r="AO585" s="47"/>
      <c r="AP585" s="47"/>
      <c r="AQ585" s="47"/>
      <c r="AR585" s="47"/>
      <c r="AS585" s="47"/>
      <c r="AT585" s="47"/>
      <c r="AU585" s="47"/>
      <c r="AV585" s="47"/>
      <c r="AW585" s="47"/>
      <c r="AX585" s="47"/>
      <c r="AY585" s="47"/>
      <c r="AZ585" s="47"/>
      <c r="BA585" s="47"/>
      <c r="BB585" s="47"/>
      <c r="BC585" s="47"/>
    </row>
    <row r="586" spans="1:55" x14ac:dyDescent="0.25">
      <c r="A586" s="45" t="s">
        <v>1297</v>
      </c>
      <c r="B586" s="46">
        <f t="shared" si="16"/>
        <v>70</v>
      </c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6">
        <f>12/IF(Общие_или_заединицу="Общие трудозатраты",1,1)</f>
        <v>12</v>
      </c>
      <c r="N586" s="47"/>
      <c r="O586" s="47"/>
      <c r="P586" s="47"/>
      <c r="Q586" s="47"/>
      <c r="R586" s="47"/>
      <c r="S586" s="47"/>
      <c r="T586" s="47"/>
      <c r="U586" s="47"/>
      <c r="V586" s="47"/>
      <c r="W586" s="46">
        <f>13/IF(Общие_или_заединицу="Общие трудозатраты",1,1)</f>
        <v>13</v>
      </c>
      <c r="X586" s="47"/>
      <c r="Y586" s="47"/>
      <c r="Z586" s="47"/>
      <c r="AA586" s="47"/>
      <c r="AB586" s="47"/>
      <c r="AC586" s="47"/>
      <c r="AD586" s="47"/>
      <c r="AE586" s="47"/>
      <c r="AF586" s="47"/>
      <c r="AG586" s="47"/>
      <c r="AH586" s="47"/>
      <c r="AI586" s="47"/>
      <c r="AJ586" s="47"/>
      <c r="AK586" s="47"/>
      <c r="AL586" s="47"/>
      <c r="AM586" s="46">
        <f>20/IF(Общие_или_заединицу="Общие трудозатраты",1,1)</f>
        <v>20</v>
      </c>
      <c r="AN586" s="47"/>
      <c r="AO586" s="46">
        <f>25/IF(Общие_или_заединицу="Общие трудозатраты",1,1)</f>
        <v>25</v>
      </c>
      <c r="AP586" s="47"/>
      <c r="AQ586" s="47"/>
      <c r="AR586" s="47"/>
      <c r="AS586" s="47"/>
      <c r="AT586" s="47"/>
      <c r="AU586" s="47"/>
      <c r="AV586" s="47"/>
      <c r="AW586" s="47"/>
      <c r="AX586" s="47"/>
      <c r="AY586" s="47"/>
      <c r="AZ586" s="47"/>
      <c r="BA586" s="47"/>
      <c r="BB586" s="47"/>
      <c r="BC586" s="47"/>
    </row>
    <row r="587" spans="1:55" x14ac:dyDescent="0.25">
      <c r="A587" s="45" t="s">
        <v>1298</v>
      </c>
      <c r="B587" s="46">
        <f t="shared" si="16"/>
        <v>12.3</v>
      </c>
      <c r="C587" s="47"/>
      <c r="D587" s="47"/>
      <c r="E587" s="47"/>
      <c r="F587" s="46">
        <f>6/IF(Общие_или_заединицу="Общие трудозатраты",1,1)</f>
        <v>6</v>
      </c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  <c r="AA587" s="46">
        <f>6.3/IF(Общие_или_заединицу="Общие трудозатраты",1,1)</f>
        <v>6.3</v>
      </c>
      <c r="AB587" s="47"/>
      <c r="AC587" s="47"/>
      <c r="AD587" s="47"/>
      <c r="AE587" s="47"/>
      <c r="AF587" s="47"/>
      <c r="AG587" s="47"/>
      <c r="AH587" s="47"/>
      <c r="AI587" s="47"/>
      <c r="AJ587" s="47"/>
      <c r="AK587" s="47"/>
      <c r="AL587" s="47"/>
      <c r="AM587" s="47"/>
      <c r="AN587" s="47"/>
      <c r="AO587" s="47"/>
      <c r="AP587" s="47"/>
      <c r="AQ587" s="47"/>
      <c r="AR587" s="47"/>
      <c r="AS587" s="47"/>
      <c r="AT587" s="47"/>
      <c r="AU587" s="47"/>
      <c r="AV587" s="47"/>
      <c r="AW587" s="47"/>
      <c r="AX587" s="47"/>
      <c r="AY587" s="47"/>
      <c r="AZ587" s="47"/>
      <c r="BA587" s="47"/>
      <c r="BB587" s="47"/>
      <c r="BC587" s="47"/>
    </row>
    <row r="588" spans="1:55" x14ac:dyDescent="0.25">
      <c r="A588" s="45" t="s">
        <v>1282</v>
      </c>
      <c r="B588" s="46">
        <f t="shared" si="16"/>
        <v>286</v>
      </c>
      <c r="C588" s="46">
        <f>120/IF(Общие_или_заединицу="Общие трудозатраты",1,1)</f>
        <v>120</v>
      </c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6">
        <f>20/IF(Общие_или_заединицу="Общие трудозатраты",1,1)</f>
        <v>20</v>
      </c>
      <c r="W588" s="46">
        <f>26/IF(Общие_или_заединицу="Общие трудозатраты",1,1)</f>
        <v>26</v>
      </c>
      <c r="X588" s="47"/>
      <c r="Y588" s="47"/>
      <c r="Z588" s="47"/>
      <c r="AA588" s="47"/>
      <c r="AB588" s="47"/>
      <c r="AC588" s="47"/>
      <c r="AD588" s="47"/>
      <c r="AE588" s="47"/>
      <c r="AF588" s="47"/>
      <c r="AG588" s="47"/>
      <c r="AH588" s="47"/>
      <c r="AI588" s="47"/>
      <c r="AJ588" s="46">
        <f>120/IF(Общие_или_заединицу="Общие трудозатраты",1,1)</f>
        <v>120</v>
      </c>
      <c r="AK588" s="47"/>
      <c r="AL588" s="47"/>
      <c r="AM588" s="47"/>
      <c r="AN588" s="47"/>
      <c r="AO588" s="47"/>
      <c r="AP588" s="47"/>
      <c r="AQ588" s="47"/>
      <c r="AR588" s="47"/>
      <c r="AS588" s="47"/>
      <c r="AT588" s="47"/>
      <c r="AU588" s="47"/>
      <c r="AV588" s="47"/>
      <c r="AW588" s="47"/>
      <c r="AX588" s="47"/>
      <c r="AY588" s="47"/>
      <c r="AZ588" s="47"/>
      <c r="BA588" s="47"/>
      <c r="BB588" s="47"/>
      <c r="BC588" s="47"/>
    </row>
    <row r="589" spans="1:55" x14ac:dyDescent="0.25">
      <c r="A589" s="45" t="s">
        <v>1300</v>
      </c>
      <c r="B589" s="46">
        <f t="shared" si="16"/>
        <v>90</v>
      </c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  <c r="AA589" s="47"/>
      <c r="AB589" s="47"/>
      <c r="AC589" s="47"/>
      <c r="AD589" s="47"/>
      <c r="AE589" s="47"/>
      <c r="AF589" s="47"/>
      <c r="AG589" s="47"/>
      <c r="AH589" s="47"/>
      <c r="AI589" s="47"/>
      <c r="AJ589" s="47"/>
      <c r="AK589" s="47"/>
      <c r="AL589" s="46">
        <f>30/IF(Общие_или_заединицу="Общие трудозатраты",1,1)</f>
        <v>30</v>
      </c>
      <c r="AM589" s="47"/>
      <c r="AN589" s="47"/>
      <c r="AO589" s="46">
        <f>60/IF(Общие_или_заединицу="Общие трудозатраты",1,1)</f>
        <v>60</v>
      </c>
      <c r="AP589" s="47"/>
      <c r="AQ589" s="47"/>
      <c r="AR589" s="47"/>
      <c r="AS589" s="47"/>
      <c r="AT589" s="47"/>
      <c r="AU589" s="47"/>
      <c r="AV589" s="47"/>
      <c r="AW589" s="47"/>
      <c r="AX589" s="47"/>
      <c r="AY589" s="47"/>
      <c r="AZ589" s="47"/>
      <c r="BA589" s="47"/>
      <c r="BB589" s="47"/>
      <c r="BC589" s="47"/>
    </row>
    <row r="590" spans="1:55" x14ac:dyDescent="0.25">
      <c r="A590" s="45" t="s">
        <v>1303</v>
      </c>
      <c r="B590" s="46">
        <f t="shared" si="16"/>
        <v>105</v>
      </c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  <c r="AA590" s="47"/>
      <c r="AB590" s="47"/>
      <c r="AC590" s="47"/>
      <c r="AD590" s="47"/>
      <c r="AE590" s="47"/>
      <c r="AF590" s="47"/>
      <c r="AG590" s="47"/>
      <c r="AH590" s="47"/>
      <c r="AI590" s="47"/>
      <c r="AJ590" s="47"/>
      <c r="AK590" s="47"/>
      <c r="AL590" s="46">
        <f>35/IF(Общие_или_заединицу="Общие трудозатраты",1,1)</f>
        <v>35</v>
      </c>
      <c r="AM590" s="47"/>
      <c r="AN590" s="47"/>
      <c r="AO590" s="46">
        <f>70/IF(Общие_или_заединицу="Общие трудозатраты",1,1)</f>
        <v>70</v>
      </c>
      <c r="AP590" s="47"/>
      <c r="AQ590" s="47"/>
      <c r="AR590" s="47"/>
      <c r="AS590" s="47"/>
      <c r="AT590" s="47"/>
      <c r="AU590" s="47"/>
      <c r="AV590" s="47"/>
      <c r="AW590" s="47"/>
      <c r="AX590" s="47"/>
      <c r="AY590" s="47"/>
      <c r="AZ590" s="47"/>
      <c r="BA590" s="47"/>
      <c r="BB590" s="47"/>
      <c r="BC590" s="47"/>
    </row>
    <row r="591" spans="1:55" x14ac:dyDescent="0.25">
      <c r="A591" s="45" t="s">
        <v>1301</v>
      </c>
      <c r="B591" s="46">
        <f t="shared" si="16"/>
        <v>28.7</v>
      </c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6">
        <f>26.4/IF(Общие_или_заединицу="Общие трудозатраты",1,24)</f>
        <v>1.0999999999999999</v>
      </c>
      <c r="T591" s="47"/>
      <c r="U591" s="47"/>
      <c r="V591" s="47"/>
      <c r="W591" s="47"/>
      <c r="X591" s="47"/>
      <c r="Y591" s="47"/>
      <c r="Z591" s="47"/>
      <c r="AA591" s="47"/>
      <c r="AB591" s="47"/>
      <c r="AC591" s="46">
        <f>230.4/IF(Общие_или_заединицу="Общие трудозатраты",1,24)</f>
        <v>9.6</v>
      </c>
      <c r="AD591" s="47"/>
      <c r="AE591" s="47"/>
      <c r="AF591" s="47"/>
      <c r="AG591" s="47"/>
      <c r="AH591" s="47"/>
      <c r="AI591" s="47"/>
      <c r="AJ591" s="47"/>
      <c r="AK591" s="47"/>
      <c r="AL591" s="47"/>
      <c r="AM591" s="47"/>
      <c r="AN591" s="47"/>
      <c r="AO591" s="47"/>
      <c r="AP591" s="47"/>
      <c r="AQ591" s="47"/>
      <c r="AR591" s="47"/>
      <c r="AS591" s="47"/>
      <c r="AT591" s="47"/>
      <c r="AU591" s="47"/>
      <c r="AV591" s="47"/>
      <c r="AW591" s="47"/>
      <c r="AX591" s="47"/>
      <c r="AY591" s="46">
        <f>432/IF(Общие_или_заединицу="Общие трудозатраты",1,24)</f>
        <v>18</v>
      </c>
      <c r="AZ591" s="47"/>
      <c r="BA591" s="47"/>
      <c r="BB591" s="47"/>
      <c r="BC591" s="47"/>
    </row>
    <row r="592" spans="1:55" x14ac:dyDescent="0.25">
      <c r="A592" s="45" t="s">
        <v>1302</v>
      </c>
      <c r="B592" s="46">
        <f t="shared" si="16"/>
        <v>4.67</v>
      </c>
      <c r="C592" s="47"/>
      <c r="D592" s="47"/>
      <c r="E592" s="47"/>
      <c r="F592" s="46">
        <f>24/IF(Общие_или_заединицу="Общие трудозатраты",1,6)</f>
        <v>4</v>
      </c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6">
        <f>4.02/IF(Общие_или_заединицу="Общие трудозатраты",1,6)</f>
        <v>0.66999999999999993</v>
      </c>
      <c r="U592" s="47"/>
      <c r="V592" s="47"/>
      <c r="W592" s="47"/>
      <c r="X592" s="47"/>
      <c r="Y592" s="47"/>
      <c r="Z592" s="47"/>
      <c r="AA592" s="47"/>
      <c r="AB592" s="47"/>
      <c r="AC592" s="47"/>
      <c r="AD592" s="47"/>
      <c r="AE592" s="47"/>
      <c r="AF592" s="47"/>
      <c r="AG592" s="47"/>
      <c r="AH592" s="47"/>
      <c r="AI592" s="47"/>
      <c r="AJ592" s="47"/>
      <c r="AK592" s="47"/>
      <c r="AL592" s="47"/>
      <c r="AM592" s="47"/>
      <c r="AN592" s="47"/>
      <c r="AO592" s="47"/>
      <c r="AP592" s="47"/>
      <c r="AQ592" s="47"/>
      <c r="AR592" s="47"/>
      <c r="AS592" s="47"/>
      <c r="AT592" s="47"/>
      <c r="AU592" s="47"/>
      <c r="AV592" s="47"/>
      <c r="AW592" s="47"/>
      <c r="AX592" s="47"/>
      <c r="AY592" s="47"/>
      <c r="AZ592" s="47"/>
      <c r="BA592" s="47"/>
      <c r="BB592" s="47"/>
      <c r="BC592" s="47"/>
    </row>
    <row r="593" spans="1:55" x14ac:dyDescent="0.25">
      <c r="A593" s="45" t="s">
        <v>1299</v>
      </c>
      <c r="B593" s="46">
        <f t="shared" si="16"/>
        <v>142</v>
      </c>
      <c r="C593" s="46">
        <f>45/IF(Общие_или_заединицу="Общие трудозатраты",1,1)</f>
        <v>45</v>
      </c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  <c r="AA593" s="47"/>
      <c r="AB593" s="47"/>
      <c r="AC593" s="47"/>
      <c r="AD593" s="47"/>
      <c r="AE593" s="47"/>
      <c r="AF593" s="47"/>
      <c r="AG593" s="47"/>
      <c r="AH593" s="46">
        <f>45/IF(Общие_или_заединицу="Общие трудозатраты",1,1)</f>
        <v>45</v>
      </c>
      <c r="AI593" s="47"/>
      <c r="AJ593" s="46">
        <f>28/IF(Общие_или_заединицу="Общие трудозатраты",1,1)</f>
        <v>28</v>
      </c>
      <c r="AK593" s="47"/>
      <c r="AL593" s="47"/>
      <c r="AM593" s="47"/>
      <c r="AN593" s="47"/>
      <c r="AO593" s="46">
        <f>24/IF(Общие_или_заединицу="Общие трудозатраты",1,1)</f>
        <v>24</v>
      </c>
      <c r="AP593" s="47"/>
      <c r="AQ593" s="47"/>
      <c r="AR593" s="47"/>
      <c r="AS593" s="47"/>
      <c r="AT593" s="47"/>
      <c r="AU593" s="47"/>
      <c r="AV593" s="47"/>
      <c r="AW593" s="47"/>
      <c r="AX593" s="47"/>
      <c r="AY593" s="47"/>
      <c r="AZ593" s="47"/>
      <c r="BA593" s="47"/>
      <c r="BB593" s="47"/>
      <c r="BC593" s="47"/>
    </row>
    <row r="594" spans="1:55" x14ac:dyDescent="0.25">
      <c r="A594" s="45" t="s">
        <v>1304</v>
      </c>
      <c r="B594" s="46">
        <f t="shared" si="16"/>
        <v>78</v>
      </c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6">
        <f>3/IF(Общие_или_заединицу="Общие трудозатраты",1,1)</f>
        <v>3</v>
      </c>
      <c r="U594" s="47"/>
      <c r="V594" s="47"/>
      <c r="W594" s="47"/>
      <c r="X594" s="47"/>
      <c r="Y594" s="47"/>
      <c r="Z594" s="47"/>
      <c r="AA594" s="47"/>
      <c r="AB594" s="47"/>
      <c r="AC594" s="47"/>
      <c r="AD594" s="47"/>
      <c r="AE594" s="47"/>
      <c r="AF594" s="47"/>
      <c r="AG594" s="47"/>
      <c r="AH594" s="47"/>
      <c r="AI594" s="47"/>
      <c r="AJ594" s="47"/>
      <c r="AK594" s="47"/>
      <c r="AL594" s="47"/>
      <c r="AM594" s="47"/>
      <c r="AN594" s="47"/>
      <c r="AO594" s="47"/>
      <c r="AP594" s="47"/>
      <c r="AQ594" s="47"/>
      <c r="AR594" s="47"/>
      <c r="AS594" s="47"/>
      <c r="AT594" s="47"/>
      <c r="AU594" s="47"/>
      <c r="AV594" s="46">
        <f>40/IF(Общие_или_заединицу="Общие трудозатраты",1,1)</f>
        <v>40</v>
      </c>
      <c r="AW594" s="46">
        <f>15/IF(Общие_или_заединицу="Общие трудозатраты",1,1)</f>
        <v>15</v>
      </c>
      <c r="AX594" s="47"/>
      <c r="AY594" s="46">
        <f>20/IF(Общие_или_заединицу="Общие трудозатраты",1,1)</f>
        <v>20</v>
      </c>
      <c r="AZ594" s="47"/>
      <c r="BA594" s="47"/>
      <c r="BB594" s="47"/>
      <c r="BC594" s="47"/>
    </row>
    <row r="595" spans="1:55" x14ac:dyDescent="0.25">
      <c r="A595" s="45" t="s">
        <v>1283</v>
      </c>
      <c r="B595" s="46">
        <f t="shared" si="16"/>
        <v>8</v>
      </c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6">
        <f>3/IF(Общие_или_заединицу="Общие трудозатраты",1,1)</f>
        <v>3</v>
      </c>
      <c r="X595" s="47"/>
      <c r="Y595" s="47"/>
      <c r="Z595" s="47"/>
      <c r="AA595" s="47"/>
      <c r="AB595" s="47"/>
      <c r="AC595" s="47"/>
      <c r="AD595" s="47"/>
      <c r="AE595" s="47"/>
      <c r="AF595" s="47"/>
      <c r="AG595" s="47"/>
      <c r="AH595" s="47"/>
      <c r="AI595" s="47"/>
      <c r="AJ595" s="47"/>
      <c r="AK595" s="47"/>
      <c r="AL595" s="47"/>
      <c r="AM595" s="47"/>
      <c r="AN595" s="47"/>
      <c r="AO595" s="46">
        <f>5/IF(Общие_или_заединицу="Общие трудозатраты",1,1)</f>
        <v>5</v>
      </c>
      <c r="AP595" s="47"/>
      <c r="AQ595" s="47"/>
      <c r="AR595" s="47"/>
      <c r="AS595" s="47"/>
      <c r="AT595" s="47"/>
      <c r="AU595" s="47"/>
      <c r="AV595" s="47"/>
      <c r="AW595" s="47"/>
      <c r="AX595" s="47"/>
      <c r="AY595" s="47"/>
      <c r="AZ595" s="47"/>
      <c r="BA595" s="47"/>
      <c r="BB595" s="47"/>
      <c r="BC595" s="47"/>
    </row>
    <row r="596" spans="1:55" x14ac:dyDescent="0.25">
      <c r="A596" s="45" t="s">
        <v>1305</v>
      </c>
      <c r="B596" s="46">
        <f t="shared" si="16"/>
        <v>9.8000000000000007</v>
      </c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6">
        <f>5/IF(Общие_или_заединицу="Общие трудозатраты",1,1)</f>
        <v>5</v>
      </c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  <c r="AA596" s="46">
        <f>4.8/IF(Общие_или_заединицу="Общие трудозатраты",1,1)</f>
        <v>4.8</v>
      </c>
      <c r="AB596" s="47"/>
      <c r="AC596" s="47"/>
      <c r="AD596" s="47"/>
      <c r="AE596" s="47"/>
      <c r="AF596" s="47"/>
      <c r="AG596" s="47"/>
      <c r="AH596" s="47"/>
      <c r="AI596" s="47"/>
      <c r="AJ596" s="47"/>
      <c r="AK596" s="47"/>
      <c r="AL596" s="47"/>
      <c r="AM596" s="47"/>
      <c r="AN596" s="47"/>
      <c r="AO596" s="47"/>
      <c r="AP596" s="47"/>
      <c r="AQ596" s="47"/>
      <c r="AR596" s="47"/>
      <c r="AS596" s="47"/>
      <c r="AT596" s="47"/>
      <c r="AU596" s="47"/>
      <c r="AV596" s="47"/>
      <c r="AW596" s="47"/>
      <c r="AX596" s="47"/>
      <c r="AY596" s="47"/>
      <c r="AZ596" s="47"/>
      <c r="BA596" s="47"/>
      <c r="BB596" s="47"/>
      <c r="BC596" s="47"/>
    </row>
    <row r="597" spans="1:55" x14ac:dyDescent="0.25">
      <c r="A597" s="45" t="s">
        <v>1306</v>
      </c>
      <c r="B597" s="46">
        <f t="shared" si="16"/>
        <v>22.67</v>
      </c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6">
        <f>16.08/IF(Общие_или_заединицу="Общие трудозатраты",1,24)</f>
        <v>0.66999999999999993</v>
      </c>
      <c r="U597" s="47"/>
      <c r="V597" s="47"/>
      <c r="W597" s="47"/>
      <c r="X597" s="47"/>
      <c r="Y597" s="47"/>
      <c r="Z597" s="47"/>
      <c r="AA597" s="47"/>
      <c r="AB597" s="47"/>
      <c r="AC597" s="47"/>
      <c r="AD597" s="47"/>
      <c r="AE597" s="47"/>
      <c r="AF597" s="47"/>
      <c r="AG597" s="47"/>
      <c r="AH597" s="47"/>
      <c r="AI597" s="47"/>
      <c r="AJ597" s="47"/>
      <c r="AK597" s="47"/>
      <c r="AL597" s="47"/>
      <c r="AM597" s="47"/>
      <c r="AN597" s="47"/>
      <c r="AO597" s="47"/>
      <c r="AP597" s="47"/>
      <c r="AQ597" s="47"/>
      <c r="AR597" s="47"/>
      <c r="AS597" s="47"/>
      <c r="AT597" s="47"/>
      <c r="AU597" s="47"/>
      <c r="AV597" s="47"/>
      <c r="AW597" s="46">
        <f>528/IF(Общие_или_заединицу="Общие трудозатраты",1,24)</f>
        <v>22</v>
      </c>
      <c r="AX597" s="47"/>
      <c r="AY597" s="47"/>
      <c r="AZ597" s="47"/>
      <c r="BA597" s="47"/>
      <c r="BB597" s="47"/>
      <c r="BC597" s="47"/>
    </row>
    <row r="598" spans="1:55" x14ac:dyDescent="0.25">
      <c r="A598" s="45" t="s">
        <v>1284</v>
      </c>
      <c r="B598" s="46">
        <f t="shared" si="16"/>
        <v>69</v>
      </c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6">
        <f>22/IF(Общие_или_заединицу="Общие трудозатраты",1,1)</f>
        <v>22</v>
      </c>
      <c r="W598" s="46">
        <f>37/IF(Общие_или_заединицу="Общие трудозатраты",1,1)</f>
        <v>37</v>
      </c>
      <c r="X598" s="47"/>
      <c r="Y598" s="47"/>
      <c r="Z598" s="47"/>
      <c r="AA598" s="47"/>
      <c r="AB598" s="47"/>
      <c r="AC598" s="47"/>
      <c r="AD598" s="47"/>
      <c r="AE598" s="47"/>
      <c r="AF598" s="47"/>
      <c r="AG598" s="47"/>
      <c r="AH598" s="47"/>
      <c r="AI598" s="47"/>
      <c r="AJ598" s="47"/>
      <c r="AK598" s="47"/>
      <c r="AL598" s="47"/>
      <c r="AM598" s="47"/>
      <c r="AN598" s="47"/>
      <c r="AO598" s="46">
        <f>10/IF(Общие_или_заединицу="Общие трудозатраты",1,1)</f>
        <v>10</v>
      </c>
      <c r="AP598" s="47"/>
      <c r="AQ598" s="47"/>
      <c r="AR598" s="47"/>
      <c r="AS598" s="47"/>
      <c r="AT598" s="47"/>
      <c r="AU598" s="47"/>
      <c r="AV598" s="47"/>
      <c r="AW598" s="47"/>
      <c r="AX598" s="47"/>
      <c r="AY598" s="47"/>
      <c r="AZ598" s="47"/>
      <c r="BA598" s="47"/>
      <c r="BB598" s="47"/>
      <c r="BC598" s="47"/>
    </row>
    <row r="599" spans="1:55" x14ac:dyDescent="0.25">
      <c r="A599" s="45" t="s">
        <v>1307</v>
      </c>
      <c r="B599" s="46">
        <f t="shared" si="16"/>
        <v>7.2</v>
      </c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6">
        <f>7.2/IF(Общие_или_заединицу="Общие трудозатраты",1,1)</f>
        <v>7.2</v>
      </c>
      <c r="T599" s="47"/>
      <c r="U599" s="47"/>
      <c r="V599" s="47"/>
      <c r="W599" s="47"/>
      <c r="X599" s="47"/>
      <c r="Y599" s="47"/>
      <c r="Z599" s="47"/>
      <c r="AA599" s="47"/>
      <c r="AB599" s="47"/>
      <c r="AC599" s="47"/>
      <c r="AD599" s="47"/>
      <c r="AE599" s="47"/>
      <c r="AF599" s="47"/>
      <c r="AG599" s="47"/>
      <c r="AH599" s="47"/>
      <c r="AI599" s="47"/>
      <c r="AJ599" s="47"/>
      <c r="AK599" s="47"/>
      <c r="AL599" s="47"/>
      <c r="AM599" s="47"/>
      <c r="AN599" s="47"/>
      <c r="AO599" s="47"/>
      <c r="AP599" s="47"/>
      <c r="AQ599" s="47"/>
      <c r="AR599" s="47"/>
      <c r="AS599" s="47"/>
      <c r="AT599" s="47"/>
      <c r="AU599" s="47"/>
      <c r="AV599" s="47"/>
      <c r="AW599" s="47"/>
      <c r="AX599" s="47"/>
      <c r="AY599" s="47"/>
      <c r="AZ599" s="47"/>
      <c r="BA599" s="47"/>
      <c r="BB599" s="47"/>
      <c r="BC599" s="47"/>
    </row>
    <row r="600" spans="1:55" x14ac:dyDescent="0.25">
      <c r="A600" s="45" t="s">
        <v>1285</v>
      </c>
      <c r="B600" s="46">
        <f t="shared" si="16"/>
        <v>4.0999999999999996</v>
      </c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6">
        <f>1.1/IF(Общие_или_заединицу="Общие трудозатраты",1,1)</f>
        <v>1.1000000000000001</v>
      </c>
      <c r="X600" s="47"/>
      <c r="Y600" s="47"/>
      <c r="Z600" s="47"/>
      <c r="AA600" s="47"/>
      <c r="AB600" s="47"/>
      <c r="AC600" s="47"/>
      <c r="AD600" s="47"/>
      <c r="AE600" s="47"/>
      <c r="AF600" s="47"/>
      <c r="AG600" s="47"/>
      <c r="AH600" s="47"/>
      <c r="AI600" s="47"/>
      <c r="AJ600" s="47"/>
      <c r="AK600" s="47"/>
      <c r="AL600" s="47"/>
      <c r="AM600" s="47"/>
      <c r="AN600" s="47"/>
      <c r="AO600" s="46">
        <f>3/IF(Общие_или_заединицу="Общие трудозатраты",1,1)</f>
        <v>3</v>
      </c>
      <c r="AP600" s="47"/>
      <c r="AQ600" s="47"/>
      <c r="AR600" s="47"/>
      <c r="AS600" s="47"/>
      <c r="AT600" s="47"/>
      <c r="AU600" s="47"/>
      <c r="AV600" s="47"/>
      <c r="AW600" s="47"/>
      <c r="AX600" s="47"/>
      <c r="AY600" s="47"/>
      <c r="AZ600" s="47"/>
      <c r="BA600" s="47"/>
      <c r="BB600" s="47"/>
      <c r="BC600" s="47"/>
    </row>
    <row r="601" spans="1:55" x14ac:dyDescent="0.25">
      <c r="A601" s="45" t="s">
        <v>1308</v>
      </c>
      <c r="B601" s="46">
        <f t="shared" si="16"/>
        <v>2.2999999999999998</v>
      </c>
      <c r="C601" s="47"/>
      <c r="D601" s="47"/>
      <c r="E601" s="47"/>
      <c r="F601" s="46">
        <f>1.1/IF(Общие_или_заединицу="Общие трудозатраты",1,1)</f>
        <v>1.1000000000000001</v>
      </c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6">
        <f>1.2/IF(Общие_или_заединицу="Общие трудозатраты",1,1)</f>
        <v>1.2</v>
      </c>
      <c r="T601" s="47"/>
      <c r="U601" s="47"/>
      <c r="V601" s="47"/>
      <c r="W601" s="47"/>
      <c r="X601" s="47"/>
      <c r="Y601" s="47"/>
      <c r="Z601" s="47"/>
      <c r="AA601" s="47"/>
      <c r="AB601" s="47"/>
      <c r="AC601" s="47"/>
      <c r="AD601" s="47"/>
      <c r="AE601" s="47"/>
      <c r="AF601" s="47"/>
      <c r="AG601" s="47"/>
      <c r="AH601" s="47"/>
      <c r="AI601" s="47"/>
      <c r="AJ601" s="47"/>
      <c r="AK601" s="47"/>
      <c r="AL601" s="47"/>
      <c r="AM601" s="47"/>
      <c r="AN601" s="47"/>
      <c r="AO601" s="47"/>
      <c r="AP601" s="47"/>
      <c r="AQ601" s="47"/>
      <c r="AR601" s="47"/>
      <c r="AS601" s="47"/>
      <c r="AT601" s="47"/>
      <c r="AU601" s="47"/>
      <c r="AV601" s="47"/>
      <c r="AW601" s="47"/>
      <c r="AX601" s="47"/>
      <c r="AY601" s="47"/>
      <c r="AZ601" s="47"/>
      <c r="BA601" s="47"/>
      <c r="BB601" s="47"/>
      <c r="BC601" s="47"/>
    </row>
    <row r="602" spans="1:55" x14ac:dyDescent="0.25">
      <c r="A602" s="45" t="s">
        <v>1309</v>
      </c>
      <c r="B602" s="48">
        <f t="shared" si="16"/>
        <v>460</v>
      </c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  <c r="AA602" s="47"/>
      <c r="AB602" s="47"/>
      <c r="AC602" s="47"/>
      <c r="AD602" s="47"/>
      <c r="AE602" s="47"/>
      <c r="AF602" s="47"/>
      <c r="AG602" s="47"/>
      <c r="AH602" s="47"/>
      <c r="AI602" s="47"/>
      <c r="AJ602" s="48">
        <f>2300/IF(Общие_или_заединицу="Общие трудозатраты",1,5)</f>
        <v>460</v>
      </c>
      <c r="AK602" s="47"/>
      <c r="AL602" s="47"/>
      <c r="AM602" s="47"/>
      <c r="AN602" s="47"/>
      <c r="AO602" s="47"/>
      <c r="AP602" s="47"/>
      <c r="AQ602" s="47"/>
      <c r="AR602" s="47"/>
      <c r="AS602" s="47"/>
      <c r="AT602" s="47"/>
      <c r="AU602" s="47"/>
      <c r="AV602" s="47"/>
      <c r="AW602" s="47"/>
      <c r="AX602" s="47"/>
      <c r="AY602" s="47"/>
      <c r="AZ602" s="47"/>
      <c r="BA602" s="47"/>
      <c r="BB602" s="47"/>
      <c r="BC602" s="47"/>
    </row>
    <row r="603" spans="1:55" ht="22.5" x14ac:dyDescent="0.25">
      <c r="A603" s="45" t="s">
        <v>1319</v>
      </c>
      <c r="B603" s="46">
        <f t="shared" si="16"/>
        <v>60</v>
      </c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  <c r="AA603" s="47"/>
      <c r="AB603" s="47"/>
      <c r="AC603" s="47"/>
      <c r="AD603" s="47"/>
      <c r="AE603" s="47"/>
      <c r="AF603" s="47"/>
      <c r="AG603" s="47"/>
      <c r="AH603" s="46">
        <f>300/IF(Общие_или_заединицу="Общие трудозатраты",1,5)</f>
        <v>60</v>
      </c>
      <c r="AI603" s="47"/>
      <c r="AJ603" s="47"/>
      <c r="AK603" s="47"/>
      <c r="AL603" s="47"/>
      <c r="AM603" s="47"/>
      <c r="AN603" s="47"/>
      <c r="AO603" s="47"/>
      <c r="AP603" s="47"/>
      <c r="AQ603" s="47"/>
      <c r="AR603" s="47"/>
      <c r="AS603" s="47"/>
      <c r="AT603" s="47"/>
      <c r="AU603" s="47"/>
      <c r="AV603" s="47"/>
      <c r="AW603" s="47"/>
      <c r="AX603" s="47"/>
      <c r="AY603" s="47"/>
      <c r="AZ603" s="47"/>
      <c r="BA603" s="47"/>
      <c r="BB603" s="47"/>
      <c r="BC603" s="47"/>
    </row>
    <row r="604" spans="1:55" x14ac:dyDescent="0.25">
      <c r="A604" s="45" t="s">
        <v>1315</v>
      </c>
      <c r="B604" s="46">
        <f t="shared" si="16"/>
        <v>2</v>
      </c>
      <c r="C604" s="47"/>
      <c r="D604" s="47"/>
      <c r="E604" s="47"/>
      <c r="F604" s="46">
        <f>5.5/IF(Общие_или_заединицу="Общие трудозатраты",1,5)</f>
        <v>1.1000000000000001</v>
      </c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6">
        <f>4.5/IF(Общие_или_заединицу="Общие трудозатраты",1,5)</f>
        <v>0.9</v>
      </c>
      <c r="T604" s="47"/>
      <c r="U604" s="47"/>
      <c r="V604" s="47"/>
      <c r="W604" s="47"/>
      <c r="X604" s="47"/>
      <c r="Y604" s="47"/>
      <c r="Z604" s="47"/>
      <c r="AA604" s="47"/>
      <c r="AB604" s="47"/>
      <c r="AC604" s="47"/>
      <c r="AD604" s="47"/>
      <c r="AE604" s="47"/>
      <c r="AF604" s="47"/>
      <c r="AG604" s="47"/>
      <c r="AH604" s="47"/>
      <c r="AI604" s="47"/>
      <c r="AJ604" s="47"/>
      <c r="AK604" s="47"/>
      <c r="AL604" s="47"/>
      <c r="AM604" s="47"/>
      <c r="AN604" s="47"/>
      <c r="AO604" s="47"/>
      <c r="AP604" s="47"/>
      <c r="AQ604" s="47"/>
      <c r="AR604" s="47"/>
      <c r="AS604" s="47"/>
      <c r="AT604" s="47"/>
      <c r="AU604" s="47"/>
      <c r="AV604" s="47"/>
      <c r="AW604" s="47"/>
      <c r="AX604" s="47"/>
      <c r="AY604" s="47"/>
      <c r="AZ604" s="47"/>
      <c r="BA604" s="47"/>
      <c r="BB604" s="47"/>
      <c r="BC604" s="47"/>
    </row>
    <row r="605" spans="1:55" x14ac:dyDescent="0.25">
      <c r="A605" s="45" t="s">
        <v>1316</v>
      </c>
      <c r="B605" s="46">
        <f t="shared" si="16"/>
        <v>63.5</v>
      </c>
      <c r="C605" s="47"/>
      <c r="D605" s="47"/>
      <c r="E605" s="47"/>
      <c r="F605" s="47"/>
      <c r="G605" s="47"/>
      <c r="H605" s="47"/>
      <c r="I605" s="47"/>
      <c r="J605" s="47"/>
      <c r="K605" s="46">
        <f>30/IF(Общие_или_заединицу="Общие трудозатраты",1,5)</f>
        <v>6</v>
      </c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6">
        <f>45/IF(Общие_или_заединицу="Общие трудозатраты",1,5)</f>
        <v>9</v>
      </c>
      <c r="W605" s="46">
        <f>32.5/IF(Общие_или_заединицу="Общие трудозатраты",1,5)</f>
        <v>6.5</v>
      </c>
      <c r="X605" s="47"/>
      <c r="Y605" s="47"/>
      <c r="Z605" s="47"/>
      <c r="AA605" s="47"/>
      <c r="AB605" s="47"/>
      <c r="AC605" s="47"/>
      <c r="AD605" s="46">
        <f>60/IF(Общие_или_заединицу="Общие трудозатраты",1,5)*IF(Пробивка="Стандартная пробивная",1,3.5)</f>
        <v>42</v>
      </c>
      <c r="AE605" s="47"/>
      <c r="AF605" s="47"/>
      <c r="AG605" s="47"/>
      <c r="AH605" s="47"/>
      <c r="AI605" s="47"/>
      <c r="AJ605" s="47"/>
      <c r="AK605" s="47"/>
      <c r="AL605" s="47"/>
      <c r="AM605" s="47"/>
      <c r="AN605" s="47"/>
      <c r="AO605" s="47"/>
      <c r="AP605" s="47"/>
      <c r="AQ605" s="47"/>
      <c r="AR605" s="47"/>
      <c r="AS605" s="47"/>
      <c r="AT605" s="47"/>
      <c r="AU605" s="47"/>
      <c r="AV605" s="47"/>
      <c r="AW605" s="47"/>
      <c r="AX605" s="47"/>
      <c r="AY605" s="47"/>
      <c r="AZ605" s="47"/>
      <c r="BA605" s="47"/>
      <c r="BB605" s="47"/>
      <c r="BC605" s="47"/>
    </row>
    <row r="606" spans="1:55" x14ac:dyDescent="0.25">
      <c r="A606" s="45" t="s">
        <v>1310</v>
      </c>
      <c r="B606" s="46">
        <f t="shared" si="16"/>
        <v>10</v>
      </c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  <c r="AA606" s="47"/>
      <c r="AB606" s="47"/>
      <c r="AC606" s="47"/>
      <c r="AD606" s="47"/>
      <c r="AE606" s="47"/>
      <c r="AF606" s="47"/>
      <c r="AG606" s="47"/>
      <c r="AH606" s="47"/>
      <c r="AI606" s="46">
        <f>50/IF(Общие_или_заединицу="Общие трудозатраты",1,5)</f>
        <v>10</v>
      </c>
      <c r="AJ606" s="47"/>
      <c r="AK606" s="47"/>
      <c r="AL606" s="47"/>
      <c r="AM606" s="47"/>
      <c r="AN606" s="47"/>
      <c r="AO606" s="47"/>
      <c r="AP606" s="47"/>
      <c r="AQ606" s="47"/>
      <c r="AR606" s="47"/>
      <c r="AS606" s="47"/>
      <c r="AT606" s="47"/>
      <c r="AU606" s="47"/>
      <c r="AV606" s="47"/>
      <c r="AW606" s="47"/>
      <c r="AX606" s="47"/>
      <c r="AY606" s="47"/>
      <c r="AZ606" s="47"/>
      <c r="BA606" s="47"/>
      <c r="BB606" s="47"/>
      <c r="BC606" s="47"/>
    </row>
    <row r="607" spans="1:55" x14ac:dyDescent="0.25">
      <c r="A607" s="45" t="s">
        <v>1321</v>
      </c>
      <c r="B607" s="46">
        <f t="shared" si="16"/>
        <v>60</v>
      </c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6">
        <f>60/IF(Общие_или_заединицу="Общие трудозатраты",1,5)</f>
        <v>12</v>
      </c>
      <c r="N607" s="47"/>
      <c r="O607" s="47"/>
      <c r="P607" s="47"/>
      <c r="Q607" s="47"/>
      <c r="R607" s="47"/>
      <c r="S607" s="47"/>
      <c r="T607" s="47"/>
      <c r="U607" s="47"/>
      <c r="V607" s="47"/>
      <c r="W607" s="46">
        <f>60/IF(Общие_или_заединицу="Общие трудозатраты",1,5)</f>
        <v>12</v>
      </c>
      <c r="X607" s="47"/>
      <c r="Y607" s="47"/>
      <c r="Z607" s="47"/>
      <c r="AA607" s="47"/>
      <c r="AB607" s="47"/>
      <c r="AC607" s="47"/>
      <c r="AD607" s="47"/>
      <c r="AE607" s="47"/>
      <c r="AF607" s="47"/>
      <c r="AG607" s="47"/>
      <c r="AH607" s="47"/>
      <c r="AI607" s="47"/>
      <c r="AJ607" s="47"/>
      <c r="AK607" s="47"/>
      <c r="AL607" s="47"/>
      <c r="AM607" s="46">
        <f>80/IF(Общие_или_заединицу="Общие трудозатраты",1,5)</f>
        <v>16</v>
      </c>
      <c r="AN607" s="47"/>
      <c r="AO607" s="46">
        <f>100/IF(Общие_или_заединицу="Общие трудозатраты",1,5)</f>
        <v>20</v>
      </c>
      <c r="AP607" s="47"/>
      <c r="AQ607" s="47"/>
      <c r="AR607" s="47"/>
      <c r="AS607" s="47"/>
      <c r="AT607" s="47"/>
      <c r="AU607" s="47"/>
      <c r="AV607" s="47"/>
      <c r="AW607" s="47"/>
      <c r="AX607" s="47"/>
      <c r="AY607" s="47"/>
      <c r="AZ607" s="47"/>
      <c r="BA607" s="47"/>
      <c r="BB607" s="47"/>
      <c r="BC607" s="47"/>
    </row>
    <row r="608" spans="1:55" x14ac:dyDescent="0.25">
      <c r="A608" s="45" t="s">
        <v>1322</v>
      </c>
      <c r="B608" s="46">
        <f t="shared" si="16"/>
        <v>9.23</v>
      </c>
      <c r="C608" s="47"/>
      <c r="D608" s="47"/>
      <c r="E608" s="46">
        <f>20/IF(Общие_или_заединицу="Общие трудозатраты",1,5)</f>
        <v>4</v>
      </c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  <c r="AA608" s="46">
        <f>26.15/IF(Общие_или_заединицу="Общие трудозатраты",1,5)</f>
        <v>5.2299999999999995</v>
      </c>
      <c r="AB608" s="47"/>
      <c r="AC608" s="47"/>
      <c r="AD608" s="47"/>
      <c r="AE608" s="47"/>
      <c r="AF608" s="47"/>
      <c r="AG608" s="47"/>
      <c r="AH608" s="47"/>
      <c r="AI608" s="47"/>
      <c r="AJ608" s="47"/>
      <c r="AK608" s="47"/>
      <c r="AL608" s="47"/>
      <c r="AM608" s="47"/>
      <c r="AN608" s="47"/>
      <c r="AO608" s="47"/>
      <c r="AP608" s="47"/>
      <c r="AQ608" s="47"/>
      <c r="AR608" s="47"/>
      <c r="AS608" s="47"/>
      <c r="AT608" s="47"/>
      <c r="AU608" s="47"/>
      <c r="AV608" s="47"/>
      <c r="AW608" s="47"/>
      <c r="AX608" s="47"/>
      <c r="AY608" s="47"/>
      <c r="AZ608" s="47"/>
      <c r="BA608" s="47"/>
      <c r="BB608" s="47"/>
      <c r="BC608" s="47"/>
    </row>
    <row r="609" spans="1:55" x14ac:dyDescent="0.25">
      <c r="A609" s="45" t="s">
        <v>1311</v>
      </c>
      <c r="B609" s="48">
        <f t="shared" si="16"/>
        <v>329.5</v>
      </c>
      <c r="C609" s="46">
        <f>600/IF(Общие_или_заединицу="Общие трудозатраты",1,5)</f>
        <v>120</v>
      </c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6">
        <f>202.5/IF(Общие_или_заединицу="Общие трудозатраты",1,5)</f>
        <v>40.5</v>
      </c>
      <c r="W609" s="46">
        <f>245/IF(Общие_или_заединицу="Общие трудозатраты",1,5)</f>
        <v>49</v>
      </c>
      <c r="X609" s="47"/>
      <c r="Y609" s="47"/>
      <c r="Z609" s="47"/>
      <c r="AA609" s="47"/>
      <c r="AB609" s="47"/>
      <c r="AC609" s="47"/>
      <c r="AD609" s="47"/>
      <c r="AE609" s="47"/>
      <c r="AF609" s="47"/>
      <c r="AG609" s="47"/>
      <c r="AH609" s="47"/>
      <c r="AI609" s="47"/>
      <c r="AJ609" s="46">
        <f>600/IF(Общие_или_заединицу="Общие трудозатраты",1,5)</f>
        <v>120</v>
      </c>
      <c r="AK609" s="47"/>
      <c r="AL609" s="47"/>
      <c r="AM609" s="47"/>
      <c r="AN609" s="47"/>
      <c r="AO609" s="47"/>
      <c r="AP609" s="47"/>
      <c r="AQ609" s="47"/>
      <c r="AR609" s="47"/>
      <c r="AS609" s="47"/>
      <c r="AT609" s="47"/>
      <c r="AU609" s="47"/>
      <c r="AV609" s="47"/>
      <c r="AW609" s="47"/>
      <c r="AX609" s="47"/>
      <c r="AY609" s="47"/>
      <c r="AZ609" s="47"/>
      <c r="BA609" s="47"/>
      <c r="BB609" s="47"/>
      <c r="BC609" s="47"/>
    </row>
    <row r="610" spans="1:55" x14ac:dyDescent="0.25">
      <c r="A610" s="45" t="s">
        <v>1324</v>
      </c>
      <c r="B610" s="46">
        <f t="shared" si="16"/>
        <v>105</v>
      </c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  <c r="AA610" s="47"/>
      <c r="AB610" s="47"/>
      <c r="AC610" s="47"/>
      <c r="AD610" s="47"/>
      <c r="AE610" s="47"/>
      <c r="AF610" s="47"/>
      <c r="AG610" s="47"/>
      <c r="AH610" s="47"/>
      <c r="AI610" s="47"/>
      <c r="AJ610" s="47"/>
      <c r="AK610" s="47"/>
      <c r="AL610" s="46">
        <f>150/IF(Общие_или_заединицу="Общие трудозатраты",1,5)</f>
        <v>30</v>
      </c>
      <c r="AM610" s="47"/>
      <c r="AN610" s="47"/>
      <c r="AO610" s="46">
        <f>375/IF(Общие_или_заединицу="Общие трудозатраты",1,5)</f>
        <v>75</v>
      </c>
      <c r="AP610" s="47"/>
      <c r="AQ610" s="47"/>
      <c r="AR610" s="47"/>
      <c r="AS610" s="47"/>
      <c r="AT610" s="47"/>
      <c r="AU610" s="47"/>
      <c r="AV610" s="47"/>
      <c r="AW610" s="47"/>
      <c r="AX610" s="47"/>
      <c r="AY610" s="47"/>
      <c r="AZ610" s="47"/>
      <c r="BA610" s="47"/>
      <c r="BB610" s="47"/>
      <c r="BC610" s="47"/>
    </row>
    <row r="611" spans="1:55" x14ac:dyDescent="0.25">
      <c r="A611" s="45" t="s">
        <v>1327</v>
      </c>
      <c r="B611" s="46">
        <f t="shared" si="16"/>
        <v>105</v>
      </c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  <c r="AA611" s="47"/>
      <c r="AB611" s="47"/>
      <c r="AC611" s="47"/>
      <c r="AD611" s="47"/>
      <c r="AE611" s="47"/>
      <c r="AF611" s="47"/>
      <c r="AG611" s="47"/>
      <c r="AH611" s="47"/>
      <c r="AI611" s="47"/>
      <c r="AJ611" s="47"/>
      <c r="AK611" s="47"/>
      <c r="AL611" s="46">
        <f>150/IF(Общие_или_заединицу="Общие трудозатраты",1,5)</f>
        <v>30</v>
      </c>
      <c r="AM611" s="47"/>
      <c r="AN611" s="47"/>
      <c r="AO611" s="46">
        <f>375/IF(Общие_или_заединицу="Общие трудозатраты",1,5)</f>
        <v>75</v>
      </c>
      <c r="AP611" s="47"/>
      <c r="AQ611" s="47"/>
      <c r="AR611" s="47"/>
      <c r="AS611" s="47"/>
      <c r="AT611" s="47"/>
      <c r="AU611" s="47"/>
      <c r="AV611" s="47"/>
      <c r="AW611" s="47"/>
      <c r="AX611" s="47"/>
      <c r="AY611" s="47"/>
      <c r="AZ611" s="47"/>
      <c r="BA611" s="47"/>
      <c r="BB611" s="47"/>
      <c r="BC611" s="47"/>
    </row>
    <row r="612" spans="1:55" x14ac:dyDescent="0.25">
      <c r="A612" s="45" t="s">
        <v>1325</v>
      </c>
      <c r="B612" s="48">
        <f t="shared" si="16"/>
        <v>16.899999999999999</v>
      </c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6">
        <f>108/IF(Общие_или_заединицу="Общие трудозатраты",1,120)</f>
        <v>0.9</v>
      </c>
      <c r="T612" s="47"/>
      <c r="U612" s="47"/>
      <c r="V612" s="47"/>
      <c r="W612" s="47"/>
      <c r="X612" s="47"/>
      <c r="Y612" s="47"/>
      <c r="Z612" s="47"/>
      <c r="AA612" s="47"/>
      <c r="AB612" s="47"/>
      <c r="AC612" s="46">
        <f>480/IF(Общие_или_заединицу="Общие трудозатраты",1,120)</f>
        <v>4</v>
      </c>
      <c r="AD612" s="47"/>
      <c r="AE612" s="47"/>
      <c r="AF612" s="47"/>
      <c r="AG612" s="47"/>
      <c r="AH612" s="47"/>
      <c r="AI612" s="47"/>
      <c r="AJ612" s="47"/>
      <c r="AK612" s="47"/>
      <c r="AL612" s="47"/>
      <c r="AM612" s="47"/>
      <c r="AN612" s="47"/>
      <c r="AO612" s="47"/>
      <c r="AP612" s="47"/>
      <c r="AQ612" s="47"/>
      <c r="AR612" s="47"/>
      <c r="AS612" s="47"/>
      <c r="AT612" s="47"/>
      <c r="AU612" s="47"/>
      <c r="AV612" s="47"/>
      <c r="AW612" s="47"/>
      <c r="AX612" s="47"/>
      <c r="AY612" s="48">
        <f>1440/IF(Общие_или_заединицу="Общие трудозатраты",1,120)</f>
        <v>12</v>
      </c>
      <c r="AZ612" s="47"/>
      <c r="BA612" s="47"/>
      <c r="BB612" s="47"/>
      <c r="BC612" s="47"/>
    </row>
    <row r="613" spans="1:55" x14ac:dyDescent="0.25">
      <c r="A613" s="45" t="s">
        <v>1326</v>
      </c>
      <c r="B613" s="46">
        <f t="shared" si="16"/>
        <v>4.67</v>
      </c>
      <c r="C613" s="47"/>
      <c r="D613" s="47"/>
      <c r="E613" s="47"/>
      <c r="F613" s="47"/>
      <c r="G613" s="47"/>
      <c r="H613" s="46">
        <f>120/IF(Общие_или_заединицу="Общие трудозатраты",1,30)</f>
        <v>4</v>
      </c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6">
        <f>20.1/IF(Общие_или_заединицу="Общие трудозатраты",1,30)</f>
        <v>0.67</v>
      </c>
      <c r="U613" s="47"/>
      <c r="V613" s="47"/>
      <c r="W613" s="47"/>
      <c r="X613" s="47"/>
      <c r="Y613" s="47"/>
      <c r="Z613" s="47"/>
      <c r="AA613" s="47"/>
      <c r="AB613" s="47"/>
      <c r="AC613" s="47"/>
      <c r="AD613" s="47"/>
      <c r="AE613" s="47"/>
      <c r="AF613" s="47"/>
      <c r="AG613" s="47"/>
      <c r="AH613" s="47"/>
      <c r="AI613" s="47"/>
      <c r="AJ613" s="47"/>
      <c r="AK613" s="47"/>
      <c r="AL613" s="47"/>
      <c r="AM613" s="47"/>
      <c r="AN613" s="47"/>
      <c r="AO613" s="47"/>
      <c r="AP613" s="47"/>
      <c r="AQ613" s="47"/>
      <c r="AR613" s="47"/>
      <c r="AS613" s="47"/>
      <c r="AT613" s="47"/>
      <c r="AU613" s="47"/>
      <c r="AV613" s="47"/>
      <c r="AW613" s="47"/>
      <c r="AX613" s="47"/>
      <c r="AY613" s="47"/>
      <c r="AZ613" s="47"/>
      <c r="BA613" s="47"/>
      <c r="BB613" s="47"/>
      <c r="BC613" s="47"/>
    </row>
    <row r="614" spans="1:55" x14ac:dyDescent="0.25">
      <c r="A614" s="45" t="s">
        <v>1323</v>
      </c>
      <c r="B614" s="46">
        <f t="shared" si="16"/>
        <v>142</v>
      </c>
      <c r="C614" s="46">
        <f>225/IF(Общие_или_заединицу="Общие трудозатраты",1,5)</f>
        <v>45</v>
      </c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  <c r="AA614" s="47"/>
      <c r="AB614" s="47"/>
      <c r="AC614" s="47"/>
      <c r="AD614" s="47"/>
      <c r="AE614" s="47"/>
      <c r="AF614" s="47"/>
      <c r="AG614" s="47"/>
      <c r="AH614" s="47"/>
      <c r="AI614" s="47"/>
      <c r="AJ614" s="46">
        <f>365/IF(Общие_или_заединицу="Общие трудозатраты",1,5)</f>
        <v>73</v>
      </c>
      <c r="AK614" s="47"/>
      <c r="AL614" s="47"/>
      <c r="AM614" s="47"/>
      <c r="AN614" s="47"/>
      <c r="AO614" s="46">
        <f>120/IF(Общие_или_заединицу="Общие трудозатраты",1,5)</f>
        <v>24</v>
      </c>
      <c r="AP614" s="47"/>
      <c r="AQ614" s="47"/>
      <c r="AR614" s="47"/>
      <c r="AS614" s="47"/>
      <c r="AT614" s="47"/>
      <c r="AU614" s="47"/>
      <c r="AV614" s="47"/>
      <c r="AW614" s="47"/>
      <c r="AX614" s="47"/>
      <c r="AY614" s="47"/>
      <c r="AZ614" s="47"/>
      <c r="BA614" s="47"/>
      <c r="BB614" s="47"/>
      <c r="BC614" s="47"/>
    </row>
    <row r="615" spans="1:55" x14ac:dyDescent="0.25">
      <c r="A615" s="45" t="s">
        <v>1328</v>
      </c>
      <c r="B615" s="46">
        <f t="shared" si="16"/>
        <v>107</v>
      </c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6">
        <f>15/IF(Общие_или_заединицу="Общие трудозатраты",1,5)</f>
        <v>3</v>
      </c>
      <c r="U615" s="47"/>
      <c r="V615" s="47"/>
      <c r="W615" s="47"/>
      <c r="X615" s="47"/>
      <c r="Y615" s="47"/>
      <c r="Z615" s="47"/>
      <c r="AA615" s="47"/>
      <c r="AB615" s="47"/>
      <c r="AC615" s="47"/>
      <c r="AD615" s="47"/>
      <c r="AE615" s="47"/>
      <c r="AF615" s="47"/>
      <c r="AG615" s="47"/>
      <c r="AH615" s="47"/>
      <c r="AI615" s="47"/>
      <c r="AJ615" s="47"/>
      <c r="AK615" s="47"/>
      <c r="AL615" s="47"/>
      <c r="AM615" s="47"/>
      <c r="AN615" s="47"/>
      <c r="AO615" s="47"/>
      <c r="AP615" s="47"/>
      <c r="AQ615" s="47"/>
      <c r="AR615" s="47"/>
      <c r="AS615" s="47"/>
      <c r="AT615" s="47"/>
      <c r="AU615" s="47"/>
      <c r="AV615" s="46">
        <f>160/IF(Общие_или_заединицу="Общие трудозатраты",1,5)</f>
        <v>32</v>
      </c>
      <c r="AW615" s="46">
        <f>150/IF(Общие_или_заединицу="Общие трудозатраты",1,5)</f>
        <v>30</v>
      </c>
      <c r="AX615" s="47"/>
      <c r="AY615" s="46">
        <f>210/IF(Общие_или_заединицу="Общие трудозатраты",1,5)</f>
        <v>42</v>
      </c>
      <c r="AZ615" s="47"/>
      <c r="BA615" s="47"/>
      <c r="BB615" s="47"/>
      <c r="BC615" s="47"/>
    </row>
    <row r="616" spans="1:55" x14ac:dyDescent="0.25">
      <c r="A616" s="45" t="s">
        <v>1312</v>
      </c>
      <c r="B616" s="46">
        <f t="shared" si="16"/>
        <v>9.5</v>
      </c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6">
        <f>17.5/IF(Общие_или_заединицу="Общие трудозатраты",1,5)</f>
        <v>3.5</v>
      </c>
      <c r="X616" s="47"/>
      <c r="Y616" s="47"/>
      <c r="Z616" s="47"/>
      <c r="AA616" s="47"/>
      <c r="AB616" s="47"/>
      <c r="AC616" s="47"/>
      <c r="AD616" s="47"/>
      <c r="AE616" s="47"/>
      <c r="AF616" s="47"/>
      <c r="AG616" s="47"/>
      <c r="AH616" s="47"/>
      <c r="AI616" s="47"/>
      <c r="AJ616" s="47"/>
      <c r="AK616" s="47"/>
      <c r="AL616" s="47"/>
      <c r="AM616" s="47"/>
      <c r="AN616" s="47"/>
      <c r="AO616" s="46">
        <f>30/IF(Общие_или_заединицу="Общие трудозатраты",1,5)</f>
        <v>6</v>
      </c>
      <c r="AP616" s="47"/>
      <c r="AQ616" s="47"/>
      <c r="AR616" s="47"/>
      <c r="AS616" s="47"/>
      <c r="AT616" s="47"/>
      <c r="AU616" s="47"/>
      <c r="AV616" s="47"/>
      <c r="AW616" s="47"/>
      <c r="AX616" s="47"/>
      <c r="AY616" s="47"/>
      <c r="AZ616" s="47"/>
      <c r="BA616" s="47"/>
      <c r="BB616" s="47"/>
      <c r="BC616" s="47"/>
    </row>
    <row r="617" spans="1:55" x14ac:dyDescent="0.25">
      <c r="A617" s="45" t="s">
        <v>1329</v>
      </c>
      <c r="B617" s="46">
        <f t="shared" si="16"/>
        <v>11.8</v>
      </c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6">
        <f>20/IF(Общие_или_заединицу="Общие трудозатраты",1,5)</f>
        <v>4</v>
      </c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  <c r="AA617" s="46">
        <f>39/IF(Общие_или_заединицу="Общие трудозатраты",1,5)</f>
        <v>7.8</v>
      </c>
      <c r="AB617" s="47"/>
      <c r="AC617" s="47"/>
      <c r="AD617" s="47"/>
      <c r="AE617" s="47"/>
      <c r="AF617" s="47"/>
      <c r="AG617" s="47"/>
      <c r="AH617" s="47"/>
      <c r="AI617" s="47"/>
      <c r="AJ617" s="47"/>
      <c r="AK617" s="47"/>
      <c r="AL617" s="47"/>
      <c r="AM617" s="47"/>
      <c r="AN617" s="47"/>
      <c r="AO617" s="47"/>
      <c r="AP617" s="47"/>
      <c r="AQ617" s="47"/>
      <c r="AR617" s="47"/>
      <c r="AS617" s="47"/>
      <c r="AT617" s="47"/>
      <c r="AU617" s="47"/>
      <c r="AV617" s="47"/>
      <c r="AW617" s="47"/>
      <c r="AX617" s="47"/>
      <c r="AY617" s="47"/>
      <c r="AZ617" s="47"/>
      <c r="BA617" s="47"/>
      <c r="BB617" s="47"/>
      <c r="BC617" s="47"/>
    </row>
    <row r="618" spans="1:55" x14ac:dyDescent="0.25">
      <c r="A618" s="45" t="s">
        <v>1313</v>
      </c>
      <c r="B618" s="46">
        <f t="shared" si="16"/>
        <v>55.5</v>
      </c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6">
        <f>82.5/IF(Общие_или_заединицу="Общие трудозатраты",1,5)</f>
        <v>16.5</v>
      </c>
      <c r="W618" s="46">
        <f>135/IF(Общие_или_заединицу="Общие трудозатраты",1,5)</f>
        <v>27</v>
      </c>
      <c r="X618" s="47"/>
      <c r="Y618" s="47"/>
      <c r="Z618" s="47"/>
      <c r="AA618" s="47"/>
      <c r="AB618" s="47"/>
      <c r="AC618" s="47"/>
      <c r="AD618" s="47"/>
      <c r="AE618" s="47"/>
      <c r="AF618" s="47"/>
      <c r="AG618" s="47"/>
      <c r="AH618" s="47"/>
      <c r="AI618" s="47"/>
      <c r="AJ618" s="47"/>
      <c r="AK618" s="47"/>
      <c r="AL618" s="47"/>
      <c r="AM618" s="47"/>
      <c r="AN618" s="47"/>
      <c r="AO618" s="46">
        <f>60/IF(Общие_или_заединицу="Общие трудозатраты",1,5)</f>
        <v>12</v>
      </c>
      <c r="AP618" s="47"/>
      <c r="AQ618" s="47"/>
      <c r="AR618" s="47"/>
      <c r="AS618" s="47"/>
      <c r="AT618" s="47"/>
      <c r="AU618" s="47"/>
      <c r="AV618" s="47"/>
      <c r="AW618" s="47"/>
      <c r="AX618" s="47"/>
      <c r="AY618" s="47"/>
      <c r="AZ618" s="47"/>
      <c r="BA618" s="47"/>
      <c r="BB618" s="47"/>
      <c r="BC618" s="47"/>
    </row>
    <row r="619" spans="1:55" x14ac:dyDescent="0.25">
      <c r="A619" s="45" t="s">
        <v>1330</v>
      </c>
      <c r="B619" s="46">
        <f t="shared" si="16"/>
        <v>6.5</v>
      </c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6">
        <f>32.5/IF(Общие_или_заединицу="Общие трудозатраты",1,5)</f>
        <v>6.5</v>
      </c>
      <c r="T619" s="47"/>
      <c r="U619" s="47"/>
      <c r="V619" s="47"/>
      <c r="W619" s="47"/>
      <c r="X619" s="47"/>
      <c r="Y619" s="47"/>
      <c r="Z619" s="47"/>
      <c r="AA619" s="47"/>
      <c r="AB619" s="47"/>
      <c r="AC619" s="47"/>
      <c r="AD619" s="47"/>
      <c r="AE619" s="47"/>
      <c r="AF619" s="47"/>
      <c r="AG619" s="47"/>
      <c r="AH619" s="47"/>
      <c r="AI619" s="47"/>
      <c r="AJ619" s="47"/>
      <c r="AK619" s="47"/>
      <c r="AL619" s="47"/>
      <c r="AM619" s="47"/>
      <c r="AN619" s="47"/>
      <c r="AO619" s="47"/>
      <c r="AP619" s="47"/>
      <c r="AQ619" s="47"/>
      <c r="AR619" s="47"/>
      <c r="AS619" s="47"/>
      <c r="AT619" s="47"/>
      <c r="AU619" s="47"/>
      <c r="AV619" s="47"/>
      <c r="AW619" s="47"/>
      <c r="AX619" s="47"/>
      <c r="AY619" s="47"/>
      <c r="AZ619" s="47"/>
      <c r="BA619" s="47"/>
      <c r="BB619" s="47"/>
      <c r="BC619" s="47"/>
    </row>
    <row r="620" spans="1:55" x14ac:dyDescent="0.25">
      <c r="A620" s="45" t="s">
        <v>1314</v>
      </c>
      <c r="B620" s="46">
        <f t="shared" si="16"/>
        <v>7.1</v>
      </c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6">
        <f>5.5/IF(Общие_или_заединицу="Общие трудозатраты",1,5)</f>
        <v>1.1000000000000001</v>
      </c>
      <c r="X620" s="47"/>
      <c r="Y620" s="47"/>
      <c r="Z620" s="47"/>
      <c r="AA620" s="47"/>
      <c r="AB620" s="47"/>
      <c r="AC620" s="47"/>
      <c r="AD620" s="47"/>
      <c r="AE620" s="47"/>
      <c r="AF620" s="47"/>
      <c r="AG620" s="47"/>
      <c r="AH620" s="47"/>
      <c r="AI620" s="47"/>
      <c r="AJ620" s="47"/>
      <c r="AK620" s="47"/>
      <c r="AL620" s="47"/>
      <c r="AM620" s="47"/>
      <c r="AN620" s="47"/>
      <c r="AO620" s="46">
        <f>30/IF(Общие_или_заединицу="Общие трудозатраты",1,5)</f>
        <v>6</v>
      </c>
      <c r="AP620" s="47"/>
      <c r="AQ620" s="47"/>
      <c r="AR620" s="47"/>
      <c r="AS620" s="47"/>
      <c r="AT620" s="47"/>
      <c r="AU620" s="47"/>
      <c r="AV620" s="47"/>
      <c r="AW620" s="47"/>
      <c r="AX620" s="47"/>
      <c r="AY620" s="47"/>
      <c r="AZ620" s="47"/>
      <c r="BA620" s="47"/>
      <c r="BB620" s="47"/>
      <c r="BC620" s="47"/>
    </row>
    <row r="621" spans="1:55" x14ac:dyDescent="0.25">
      <c r="A621" s="45" t="s">
        <v>1331</v>
      </c>
      <c r="B621" s="46">
        <f t="shared" si="16"/>
        <v>2</v>
      </c>
      <c r="C621" s="47"/>
      <c r="D621" s="47"/>
      <c r="E621" s="46">
        <f>5.5/IF(Общие_или_заединицу="Общие трудозатраты",1,5)</f>
        <v>1.1000000000000001</v>
      </c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6">
        <f>4.5/IF(Общие_или_заединицу="Общие трудозатраты",1,5)</f>
        <v>0.9</v>
      </c>
      <c r="T621" s="47"/>
      <c r="U621" s="47"/>
      <c r="V621" s="47"/>
      <c r="W621" s="47"/>
      <c r="X621" s="47"/>
      <c r="Y621" s="47"/>
      <c r="Z621" s="47"/>
      <c r="AA621" s="47"/>
      <c r="AB621" s="47"/>
      <c r="AC621" s="47"/>
      <c r="AD621" s="47"/>
      <c r="AE621" s="47"/>
      <c r="AF621" s="47"/>
      <c r="AG621" s="47"/>
      <c r="AH621" s="47"/>
      <c r="AI621" s="47"/>
      <c r="AJ621" s="47"/>
      <c r="AK621" s="47"/>
      <c r="AL621" s="47"/>
      <c r="AM621" s="47"/>
      <c r="AN621" s="47"/>
      <c r="AO621" s="47"/>
      <c r="AP621" s="47"/>
      <c r="AQ621" s="47"/>
      <c r="AR621" s="47"/>
      <c r="AS621" s="47"/>
      <c r="AT621" s="47"/>
      <c r="AU621" s="47"/>
      <c r="AV621" s="47"/>
      <c r="AW621" s="47"/>
      <c r="AX621" s="47"/>
      <c r="AY621" s="47"/>
      <c r="AZ621" s="47"/>
      <c r="BA621" s="47"/>
      <c r="BB621" s="47"/>
      <c r="BC621" s="47"/>
    </row>
    <row r="622" spans="1:55" x14ac:dyDescent="0.25">
      <c r="A622" s="45" t="s">
        <v>601</v>
      </c>
      <c r="B622" s="46">
        <f t="shared" si="16"/>
        <v>10</v>
      </c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6">
        <f>40/IF(Общие_или_заединицу="Общие трудозатраты",1,4)</f>
        <v>10</v>
      </c>
      <c r="R622" s="47"/>
      <c r="S622" s="47"/>
      <c r="T622" s="47"/>
      <c r="U622" s="47"/>
      <c r="V622" s="47"/>
      <c r="W622" s="47"/>
      <c r="X622" s="47"/>
      <c r="Y622" s="47"/>
      <c r="Z622" s="47"/>
      <c r="AA622" s="47"/>
      <c r="AB622" s="47"/>
      <c r="AC622" s="47"/>
      <c r="AD622" s="47"/>
      <c r="AE622" s="47"/>
      <c r="AF622" s="47"/>
      <c r="AG622" s="47"/>
      <c r="AH622" s="47"/>
      <c r="AI622" s="47"/>
      <c r="AJ622" s="47"/>
      <c r="AK622" s="47"/>
      <c r="AL622" s="47"/>
      <c r="AM622" s="47"/>
      <c r="AN622" s="47"/>
      <c r="AO622" s="47"/>
      <c r="AP622" s="47"/>
      <c r="AQ622" s="47"/>
      <c r="AR622" s="47"/>
      <c r="AS622" s="47"/>
      <c r="AT622" s="47"/>
      <c r="AU622" s="47"/>
      <c r="AV622" s="47"/>
      <c r="AW622" s="47"/>
      <c r="AX622" s="47"/>
      <c r="AY622" s="47"/>
      <c r="AZ622" s="47"/>
      <c r="BA622" s="47"/>
      <c r="BB622" s="47"/>
      <c r="BC622" s="47"/>
    </row>
    <row r="623" spans="1:55" x14ac:dyDescent="0.25">
      <c r="A623" s="45" t="s">
        <v>1332</v>
      </c>
      <c r="B623" s="46">
        <f t="shared" si="16"/>
        <v>43</v>
      </c>
      <c r="C623" s="47"/>
      <c r="D623" s="47"/>
      <c r="E623" s="46">
        <f>16/IF(Общие_или_заединицу="Общие трудозатраты",1,4)</f>
        <v>4</v>
      </c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6">
        <f>28/IF(Общие_или_заединицу="Общие трудозатраты",1,4)</f>
        <v>7</v>
      </c>
      <c r="T623" s="47"/>
      <c r="U623" s="47"/>
      <c r="V623" s="46">
        <f>48/IF(Общие_или_заединицу="Общие трудозатраты",1,4)</f>
        <v>12</v>
      </c>
      <c r="W623" s="46">
        <f>80/IF(Общие_или_заединицу="Общие трудозатраты",1,4)</f>
        <v>20</v>
      </c>
      <c r="X623" s="47"/>
      <c r="Y623" s="47"/>
      <c r="Z623" s="47"/>
      <c r="AA623" s="47"/>
      <c r="AB623" s="47"/>
      <c r="AC623" s="47"/>
      <c r="AD623" s="47"/>
      <c r="AE623" s="47"/>
      <c r="AF623" s="47"/>
      <c r="AG623" s="47"/>
      <c r="AH623" s="47"/>
      <c r="AI623" s="47"/>
      <c r="AJ623" s="47"/>
      <c r="AK623" s="47"/>
      <c r="AL623" s="47"/>
      <c r="AM623" s="47"/>
      <c r="AN623" s="47"/>
      <c r="AO623" s="47"/>
      <c r="AP623" s="47"/>
      <c r="AQ623" s="47"/>
      <c r="AR623" s="47"/>
      <c r="AS623" s="47"/>
      <c r="AT623" s="47"/>
      <c r="AU623" s="47"/>
      <c r="AV623" s="47"/>
      <c r="AW623" s="47"/>
      <c r="AX623" s="47"/>
      <c r="AY623" s="47"/>
      <c r="AZ623" s="47"/>
      <c r="BA623" s="47"/>
      <c r="BB623" s="47"/>
      <c r="BC623" s="47"/>
    </row>
    <row r="624" spans="1:55" x14ac:dyDescent="0.25">
      <c r="A624" s="45" t="s">
        <v>1333</v>
      </c>
      <c r="B624" s="46">
        <f t="shared" si="16"/>
        <v>43</v>
      </c>
      <c r="C624" s="47"/>
      <c r="D624" s="47"/>
      <c r="E624" s="46">
        <f>16/IF(Общие_или_заединицу="Общие трудозатраты",1,4)</f>
        <v>4</v>
      </c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6">
        <f>28/IF(Общие_или_заединицу="Общие трудозатраты",1,4)</f>
        <v>7</v>
      </c>
      <c r="T624" s="47"/>
      <c r="U624" s="47"/>
      <c r="V624" s="46">
        <f>48/IF(Общие_или_заединицу="Общие трудозатраты",1,4)</f>
        <v>12</v>
      </c>
      <c r="W624" s="46">
        <f>80/IF(Общие_или_заединицу="Общие трудозатраты",1,4)</f>
        <v>20</v>
      </c>
      <c r="X624" s="47"/>
      <c r="Y624" s="47"/>
      <c r="Z624" s="47"/>
      <c r="AA624" s="47"/>
      <c r="AB624" s="47"/>
      <c r="AC624" s="47"/>
      <c r="AD624" s="47"/>
      <c r="AE624" s="47"/>
      <c r="AF624" s="47"/>
      <c r="AG624" s="47"/>
      <c r="AH624" s="47"/>
      <c r="AI624" s="47"/>
      <c r="AJ624" s="47"/>
      <c r="AK624" s="47"/>
      <c r="AL624" s="47"/>
      <c r="AM624" s="47"/>
      <c r="AN624" s="47"/>
      <c r="AO624" s="47"/>
      <c r="AP624" s="47"/>
      <c r="AQ624" s="47"/>
      <c r="AR624" s="47"/>
      <c r="AS624" s="47"/>
      <c r="AT624" s="47"/>
      <c r="AU624" s="47"/>
      <c r="AV624" s="47"/>
      <c r="AW624" s="47"/>
      <c r="AX624" s="47"/>
      <c r="AY624" s="47"/>
      <c r="AZ624" s="47"/>
      <c r="BA624" s="47"/>
      <c r="BB624" s="47"/>
      <c r="BC624" s="47"/>
    </row>
    <row r="625" spans="1:55" x14ac:dyDescent="0.25">
      <c r="A625" s="45" t="s">
        <v>1334</v>
      </c>
      <c r="B625" s="46">
        <f t="shared" si="16"/>
        <v>29</v>
      </c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6">
        <f>20/IF(Общие_или_заединицу="Общие трудозатраты",1,4)</f>
        <v>5</v>
      </c>
      <c r="T625" s="47"/>
      <c r="U625" s="47"/>
      <c r="V625" s="46">
        <f>40/IF(Общие_или_заединицу="Общие трудозатраты",1,4)</f>
        <v>10</v>
      </c>
      <c r="W625" s="46">
        <f>56/IF(Общие_или_заединицу="Общие трудозатраты",1,4)</f>
        <v>14</v>
      </c>
      <c r="X625" s="47"/>
      <c r="Y625" s="47"/>
      <c r="Z625" s="47"/>
      <c r="AA625" s="47"/>
      <c r="AB625" s="47"/>
      <c r="AC625" s="47"/>
      <c r="AD625" s="47"/>
      <c r="AE625" s="47"/>
      <c r="AF625" s="47"/>
      <c r="AG625" s="47"/>
      <c r="AH625" s="47"/>
      <c r="AI625" s="47"/>
      <c r="AJ625" s="47"/>
      <c r="AK625" s="47"/>
      <c r="AL625" s="47"/>
      <c r="AM625" s="47"/>
      <c r="AN625" s="47"/>
      <c r="AO625" s="47"/>
      <c r="AP625" s="47"/>
      <c r="AQ625" s="47"/>
      <c r="AR625" s="47"/>
      <c r="AS625" s="47"/>
      <c r="AT625" s="47"/>
      <c r="AU625" s="47"/>
      <c r="AV625" s="47"/>
      <c r="AW625" s="47"/>
      <c r="AX625" s="47"/>
      <c r="AY625" s="47"/>
      <c r="AZ625" s="47"/>
      <c r="BA625" s="47"/>
      <c r="BB625" s="47"/>
      <c r="BC625" s="47"/>
    </row>
    <row r="626" spans="1:55" x14ac:dyDescent="0.25">
      <c r="A626" s="45" t="s">
        <v>1286</v>
      </c>
      <c r="B626" s="46">
        <f t="shared" si="16"/>
        <v>40</v>
      </c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  <c r="AA626" s="47"/>
      <c r="AB626" s="47"/>
      <c r="AC626" s="47"/>
      <c r="AD626" s="47"/>
      <c r="AE626" s="47"/>
      <c r="AF626" s="47"/>
      <c r="AG626" s="47"/>
      <c r="AH626" s="47"/>
      <c r="AI626" s="46">
        <f>240/IF(Общие_или_заединицу="Общие трудозатраты",1,6)</f>
        <v>40</v>
      </c>
      <c r="AJ626" s="47"/>
      <c r="AK626" s="47"/>
      <c r="AL626" s="47"/>
      <c r="AM626" s="47"/>
      <c r="AN626" s="47"/>
      <c r="AO626" s="47"/>
      <c r="AP626" s="47"/>
      <c r="AQ626" s="47"/>
      <c r="AR626" s="47"/>
      <c r="AS626" s="47"/>
      <c r="AT626" s="47"/>
      <c r="AU626" s="47"/>
      <c r="AV626" s="47"/>
      <c r="AW626" s="47"/>
      <c r="AX626" s="47"/>
      <c r="AY626" s="47"/>
      <c r="AZ626" s="47"/>
      <c r="BA626" s="47"/>
      <c r="BB626" s="47"/>
      <c r="BC626" s="47"/>
    </row>
    <row r="627" spans="1:55" x14ac:dyDescent="0.25">
      <c r="A627" s="45" t="s">
        <v>1187</v>
      </c>
      <c r="B627" s="46">
        <f t="shared" si="16"/>
        <v>50</v>
      </c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  <c r="AA627" s="47"/>
      <c r="AB627" s="47"/>
      <c r="AC627" s="47"/>
      <c r="AD627" s="47"/>
      <c r="AE627" s="47"/>
      <c r="AF627" s="47"/>
      <c r="AG627" s="47"/>
      <c r="AH627" s="47"/>
      <c r="AI627" s="46">
        <f>100/IF(Общие_или_заединицу="Общие трудозатраты",1,2)</f>
        <v>50</v>
      </c>
      <c r="AJ627" s="47"/>
      <c r="AK627" s="47"/>
      <c r="AL627" s="47"/>
      <c r="AM627" s="47"/>
      <c r="AN627" s="47"/>
      <c r="AO627" s="47"/>
      <c r="AP627" s="47"/>
      <c r="AQ627" s="47"/>
      <c r="AR627" s="47"/>
      <c r="AS627" s="47"/>
      <c r="AT627" s="47"/>
      <c r="AU627" s="47"/>
      <c r="AV627" s="47"/>
      <c r="AW627" s="47"/>
      <c r="AX627" s="47"/>
      <c r="AY627" s="47"/>
      <c r="AZ627" s="47"/>
      <c r="BA627" s="47"/>
      <c r="BB627" s="47"/>
      <c r="BC627" s="47"/>
    </row>
    <row r="628" spans="1:55" x14ac:dyDescent="0.25">
      <c r="A628" s="45" t="s">
        <v>1340</v>
      </c>
      <c r="B628" s="46">
        <f t="shared" si="16"/>
        <v>2.7</v>
      </c>
      <c r="C628" s="47"/>
      <c r="D628" s="47"/>
      <c r="E628" s="47"/>
      <c r="F628" s="46">
        <f>8.8/IF(Общие_или_заединицу="Общие трудозатраты",1,8)</f>
        <v>1.1000000000000001</v>
      </c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6">
        <f>5.6/IF(Общие_или_заединицу="Общие трудозатраты",1,8)</f>
        <v>0.7</v>
      </c>
      <c r="T628" s="47"/>
      <c r="U628" s="47"/>
      <c r="V628" s="47"/>
      <c r="W628" s="46">
        <f>7.2/IF(Общие_или_заединицу="Общие трудозатраты",1,8)</f>
        <v>0.9</v>
      </c>
      <c r="X628" s="47"/>
      <c r="Y628" s="47"/>
      <c r="Z628" s="47"/>
      <c r="AA628" s="47"/>
      <c r="AB628" s="47"/>
      <c r="AC628" s="47"/>
      <c r="AD628" s="47"/>
      <c r="AE628" s="47"/>
      <c r="AF628" s="47"/>
      <c r="AG628" s="47"/>
      <c r="AH628" s="47"/>
      <c r="AI628" s="47"/>
      <c r="AJ628" s="47"/>
      <c r="AK628" s="47"/>
      <c r="AL628" s="47"/>
      <c r="AM628" s="47"/>
      <c r="AN628" s="47"/>
      <c r="AO628" s="47"/>
      <c r="AP628" s="47"/>
      <c r="AQ628" s="47"/>
      <c r="AR628" s="47"/>
      <c r="AS628" s="47"/>
      <c r="AT628" s="47"/>
      <c r="AU628" s="47"/>
      <c r="AV628" s="47"/>
      <c r="AW628" s="47"/>
      <c r="AX628" s="47"/>
      <c r="AY628" s="47"/>
      <c r="AZ628" s="47"/>
      <c r="BA628" s="47"/>
      <c r="BB628" s="47"/>
      <c r="BC628" s="47"/>
    </row>
    <row r="629" spans="1:55" x14ac:dyDescent="0.25">
      <c r="A629" s="45" t="s">
        <v>1341</v>
      </c>
      <c r="B629" s="46">
        <f t="shared" si="16"/>
        <v>2.8</v>
      </c>
      <c r="C629" s="47"/>
      <c r="D629" s="47"/>
      <c r="E629" s="47"/>
      <c r="F629" s="47"/>
      <c r="G629" s="46">
        <f>16/IF(Общие_или_заединицу="Общие трудозатраты",1,8)</f>
        <v>2</v>
      </c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6">
        <f>6.4/IF(Общие_или_заединицу="Общие трудозатраты",1,8)</f>
        <v>0.8</v>
      </c>
      <c r="T629" s="47"/>
      <c r="U629" s="47"/>
      <c r="V629" s="47"/>
      <c r="W629" s="47"/>
      <c r="X629" s="47"/>
      <c r="Y629" s="47"/>
      <c r="Z629" s="47"/>
      <c r="AA629" s="47"/>
      <c r="AB629" s="47"/>
      <c r="AC629" s="47"/>
      <c r="AD629" s="47"/>
      <c r="AE629" s="47"/>
      <c r="AF629" s="47"/>
      <c r="AG629" s="47"/>
      <c r="AH629" s="47"/>
      <c r="AI629" s="47"/>
      <c r="AJ629" s="47"/>
      <c r="AK629" s="47"/>
      <c r="AL629" s="47"/>
      <c r="AM629" s="47"/>
      <c r="AN629" s="47"/>
      <c r="AO629" s="47"/>
      <c r="AP629" s="47"/>
      <c r="AQ629" s="47"/>
      <c r="AR629" s="47"/>
      <c r="AS629" s="47"/>
      <c r="AT629" s="47"/>
      <c r="AU629" s="47"/>
      <c r="AV629" s="47"/>
      <c r="AW629" s="47"/>
      <c r="AX629" s="47"/>
      <c r="AY629" s="47"/>
      <c r="AZ629" s="47"/>
      <c r="BA629" s="47"/>
      <c r="BB629" s="47"/>
      <c r="BC629" s="47"/>
    </row>
    <row r="630" spans="1:55" x14ac:dyDescent="0.25">
      <c r="A630" s="45" t="s">
        <v>1342</v>
      </c>
      <c r="B630" s="46">
        <f t="shared" si="16"/>
        <v>2.8</v>
      </c>
      <c r="C630" s="47"/>
      <c r="D630" s="47"/>
      <c r="E630" s="47"/>
      <c r="F630" s="47"/>
      <c r="G630" s="46">
        <f>16/IF(Общие_или_заединицу="Общие трудозатраты",1,8)</f>
        <v>2</v>
      </c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6">
        <f>6.4/IF(Общие_или_заединицу="Общие трудозатраты",1,8)</f>
        <v>0.8</v>
      </c>
      <c r="T630" s="47"/>
      <c r="U630" s="47"/>
      <c r="V630" s="47"/>
      <c r="W630" s="47"/>
      <c r="X630" s="47"/>
      <c r="Y630" s="47"/>
      <c r="Z630" s="47"/>
      <c r="AA630" s="47"/>
      <c r="AB630" s="47"/>
      <c r="AC630" s="47"/>
      <c r="AD630" s="47"/>
      <c r="AE630" s="47"/>
      <c r="AF630" s="47"/>
      <c r="AG630" s="47"/>
      <c r="AH630" s="47"/>
      <c r="AI630" s="47"/>
      <c r="AJ630" s="47"/>
      <c r="AK630" s="47"/>
      <c r="AL630" s="47"/>
      <c r="AM630" s="47"/>
      <c r="AN630" s="47"/>
      <c r="AO630" s="47"/>
      <c r="AP630" s="47"/>
      <c r="AQ630" s="47"/>
      <c r="AR630" s="47"/>
      <c r="AS630" s="47"/>
      <c r="AT630" s="47"/>
      <c r="AU630" s="47"/>
      <c r="AV630" s="47"/>
      <c r="AW630" s="47"/>
      <c r="AX630" s="47"/>
      <c r="AY630" s="47"/>
      <c r="AZ630" s="47"/>
      <c r="BA630" s="47"/>
      <c r="BB630" s="47"/>
      <c r="BC630" s="47"/>
    </row>
    <row r="631" spans="1:55" x14ac:dyDescent="0.25">
      <c r="A631" s="45" t="s">
        <v>1343</v>
      </c>
      <c r="B631" s="46">
        <f t="shared" si="16"/>
        <v>6.3</v>
      </c>
      <c r="C631" s="47"/>
      <c r="D631" s="46">
        <f>45.6/IF(Общие_или_заединицу="Общие трудозатраты",1,8)</f>
        <v>5.7</v>
      </c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6">
        <f>4.8/IF(Общие_или_заединицу="Общие трудозатраты",1,8)</f>
        <v>0.6</v>
      </c>
      <c r="T631" s="47"/>
      <c r="U631" s="47"/>
      <c r="V631" s="47"/>
      <c r="W631" s="47"/>
      <c r="X631" s="47"/>
      <c r="Y631" s="47"/>
      <c r="Z631" s="47"/>
      <c r="AA631" s="47"/>
      <c r="AB631" s="47"/>
      <c r="AC631" s="47"/>
      <c r="AD631" s="47"/>
      <c r="AE631" s="47"/>
      <c r="AF631" s="47"/>
      <c r="AG631" s="47"/>
      <c r="AH631" s="47"/>
      <c r="AI631" s="47"/>
      <c r="AJ631" s="47"/>
      <c r="AK631" s="47"/>
      <c r="AL631" s="47"/>
      <c r="AM631" s="47"/>
      <c r="AN631" s="47"/>
      <c r="AO631" s="47"/>
      <c r="AP631" s="47"/>
      <c r="AQ631" s="47"/>
      <c r="AR631" s="47"/>
      <c r="AS631" s="47"/>
      <c r="AT631" s="47"/>
      <c r="AU631" s="47"/>
      <c r="AV631" s="47"/>
      <c r="AW631" s="47"/>
      <c r="AX631" s="47"/>
      <c r="AY631" s="47"/>
      <c r="AZ631" s="47"/>
      <c r="BA631" s="47"/>
      <c r="BB631" s="47"/>
      <c r="BC631" s="47"/>
    </row>
    <row r="632" spans="1:55" x14ac:dyDescent="0.25">
      <c r="A632" s="45" t="s">
        <v>1344</v>
      </c>
      <c r="B632" s="46">
        <f t="shared" si="16"/>
        <v>4.5</v>
      </c>
      <c r="C632" s="47"/>
      <c r="D632" s="47"/>
      <c r="E632" s="47"/>
      <c r="F632" s="47"/>
      <c r="G632" s="46">
        <f>32/IF(Общие_или_заединицу="Общие трудозатраты",1,8)</f>
        <v>4</v>
      </c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6">
        <f>4/IF(Общие_или_заединицу="Общие трудозатраты",1,8)</f>
        <v>0.5</v>
      </c>
      <c r="T632" s="47"/>
      <c r="U632" s="47"/>
      <c r="V632" s="47"/>
      <c r="W632" s="47"/>
      <c r="X632" s="47"/>
      <c r="Y632" s="47"/>
      <c r="Z632" s="47"/>
      <c r="AA632" s="47"/>
      <c r="AB632" s="47"/>
      <c r="AC632" s="47"/>
      <c r="AD632" s="47"/>
      <c r="AE632" s="47"/>
      <c r="AF632" s="47"/>
      <c r="AG632" s="47"/>
      <c r="AH632" s="47"/>
      <c r="AI632" s="47"/>
      <c r="AJ632" s="47"/>
      <c r="AK632" s="47"/>
      <c r="AL632" s="47"/>
      <c r="AM632" s="47"/>
      <c r="AN632" s="47"/>
      <c r="AO632" s="47"/>
      <c r="AP632" s="47"/>
      <c r="AQ632" s="47"/>
      <c r="AR632" s="47"/>
      <c r="AS632" s="47"/>
      <c r="AT632" s="47"/>
      <c r="AU632" s="47"/>
      <c r="AV632" s="47"/>
      <c r="AW632" s="47"/>
      <c r="AX632" s="47"/>
      <c r="AY632" s="47"/>
      <c r="AZ632" s="47"/>
      <c r="BA632" s="47"/>
      <c r="BB632" s="47"/>
      <c r="BC632" s="47"/>
    </row>
    <row r="633" spans="1:55" x14ac:dyDescent="0.25">
      <c r="A633" s="45" t="s">
        <v>1345</v>
      </c>
      <c r="B633" s="46">
        <f t="shared" si="16"/>
        <v>4.5999999999999996</v>
      </c>
      <c r="C633" s="47"/>
      <c r="D633" s="47"/>
      <c r="E633" s="47"/>
      <c r="F633" s="47"/>
      <c r="G633" s="46">
        <f>32/IF(Общие_или_заединицу="Общие трудозатраты",1,8)</f>
        <v>4</v>
      </c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6">
        <f>4.8/IF(Общие_или_заединицу="Общие трудозатраты",1,8)</f>
        <v>0.6</v>
      </c>
      <c r="T633" s="47"/>
      <c r="U633" s="47"/>
      <c r="V633" s="47"/>
      <c r="W633" s="47"/>
      <c r="X633" s="47"/>
      <c r="Y633" s="47"/>
      <c r="Z633" s="47"/>
      <c r="AA633" s="47"/>
      <c r="AB633" s="47"/>
      <c r="AC633" s="47"/>
      <c r="AD633" s="47"/>
      <c r="AE633" s="47"/>
      <c r="AF633" s="47"/>
      <c r="AG633" s="47"/>
      <c r="AH633" s="47"/>
      <c r="AI633" s="47"/>
      <c r="AJ633" s="47"/>
      <c r="AK633" s="47"/>
      <c r="AL633" s="47"/>
      <c r="AM633" s="47"/>
      <c r="AN633" s="47"/>
      <c r="AO633" s="47"/>
      <c r="AP633" s="47"/>
      <c r="AQ633" s="47"/>
      <c r="AR633" s="47"/>
      <c r="AS633" s="47"/>
      <c r="AT633" s="47"/>
      <c r="AU633" s="47"/>
      <c r="AV633" s="47"/>
      <c r="AW633" s="47"/>
      <c r="AX633" s="47"/>
      <c r="AY633" s="47"/>
      <c r="AZ633" s="47"/>
      <c r="BA633" s="47"/>
      <c r="BB633" s="47"/>
      <c r="BC633" s="47"/>
    </row>
    <row r="634" spans="1:55" x14ac:dyDescent="0.25">
      <c r="A634" s="45" t="s">
        <v>1346</v>
      </c>
      <c r="B634" s="46">
        <f t="shared" si="16"/>
        <v>12.7</v>
      </c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6">
        <f>28.8/IF(Общие_или_заединицу="Общие трудозатраты",1,48)</f>
        <v>0.6</v>
      </c>
      <c r="U634" s="47"/>
      <c r="V634" s="47"/>
      <c r="W634" s="46">
        <f>52.8/IF(Общие_или_заединицу="Общие трудозатраты",1,48)</f>
        <v>1.0999999999999999</v>
      </c>
      <c r="X634" s="47"/>
      <c r="Y634" s="47"/>
      <c r="Z634" s="47"/>
      <c r="AA634" s="47"/>
      <c r="AB634" s="47"/>
      <c r="AC634" s="47"/>
      <c r="AD634" s="47"/>
      <c r="AE634" s="47"/>
      <c r="AF634" s="47"/>
      <c r="AG634" s="47"/>
      <c r="AH634" s="47"/>
      <c r="AI634" s="47"/>
      <c r="AJ634" s="47"/>
      <c r="AK634" s="47"/>
      <c r="AL634" s="47"/>
      <c r="AM634" s="47"/>
      <c r="AN634" s="47"/>
      <c r="AO634" s="47"/>
      <c r="AP634" s="47"/>
      <c r="AQ634" s="47"/>
      <c r="AR634" s="47"/>
      <c r="AS634" s="47"/>
      <c r="AT634" s="47"/>
      <c r="AU634" s="47"/>
      <c r="AV634" s="47"/>
      <c r="AW634" s="46">
        <f>528/IF(Общие_или_заединицу="Общие трудозатраты",1,48)</f>
        <v>11</v>
      </c>
      <c r="AX634" s="47"/>
      <c r="AY634" s="47"/>
      <c r="AZ634" s="47"/>
      <c r="BA634" s="47"/>
      <c r="BB634" s="47"/>
      <c r="BC634" s="47"/>
    </row>
    <row r="635" spans="1:55" x14ac:dyDescent="0.25">
      <c r="A635" s="45" t="s">
        <v>1347</v>
      </c>
      <c r="B635" s="46">
        <f t="shared" si="16"/>
        <v>14.6</v>
      </c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6">
        <f>12/IF(Общие_или_заединицу="Общие трудозатраты",1,8)</f>
        <v>1.5</v>
      </c>
      <c r="U635" s="47"/>
      <c r="V635" s="47"/>
      <c r="W635" s="46">
        <f>8.8/IF(Общие_или_заединицу="Общие трудозатраты",1,8)</f>
        <v>1.1000000000000001</v>
      </c>
      <c r="X635" s="47"/>
      <c r="Y635" s="47"/>
      <c r="Z635" s="47"/>
      <c r="AA635" s="47"/>
      <c r="AB635" s="47"/>
      <c r="AC635" s="47"/>
      <c r="AD635" s="47"/>
      <c r="AE635" s="47"/>
      <c r="AF635" s="47"/>
      <c r="AG635" s="47"/>
      <c r="AH635" s="47"/>
      <c r="AI635" s="47"/>
      <c r="AJ635" s="47"/>
      <c r="AK635" s="47"/>
      <c r="AL635" s="47"/>
      <c r="AM635" s="47"/>
      <c r="AN635" s="47"/>
      <c r="AO635" s="47"/>
      <c r="AP635" s="47"/>
      <c r="AQ635" s="47"/>
      <c r="AR635" s="47"/>
      <c r="AS635" s="47"/>
      <c r="AT635" s="47"/>
      <c r="AU635" s="47"/>
      <c r="AV635" s="47"/>
      <c r="AW635" s="46">
        <f>96/IF(Общие_или_заединицу="Общие трудозатраты",1,8)</f>
        <v>12</v>
      </c>
      <c r="AX635" s="47"/>
      <c r="AY635" s="47"/>
      <c r="AZ635" s="47"/>
      <c r="BA635" s="47"/>
      <c r="BB635" s="47"/>
      <c r="BC635" s="47"/>
    </row>
    <row r="636" spans="1:55" x14ac:dyDescent="0.25">
      <c r="A636" s="45" t="s">
        <v>1335</v>
      </c>
      <c r="B636" s="46">
        <f t="shared" si="16"/>
        <v>73.5</v>
      </c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6">
        <f>81/IF(Общие_или_заединицу="Общие трудозатраты",1,6)</f>
        <v>13.5</v>
      </c>
      <c r="W636" s="46">
        <f>90/IF(Общие_или_заединицу="Общие трудозатраты",1,6)</f>
        <v>15</v>
      </c>
      <c r="X636" s="47"/>
      <c r="Y636" s="47"/>
      <c r="Z636" s="47"/>
      <c r="AA636" s="47"/>
      <c r="AB636" s="47"/>
      <c r="AC636" s="47"/>
      <c r="AD636" s="47"/>
      <c r="AE636" s="47"/>
      <c r="AF636" s="47"/>
      <c r="AG636" s="47"/>
      <c r="AH636" s="47"/>
      <c r="AI636" s="47"/>
      <c r="AJ636" s="47"/>
      <c r="AK636" s="47"/>
      <c r="AL636" s="47"/>
      <c r="AM636" s="46">
        <f>120/IF(Общие_или_заединицу="Общие трудозатраты",1,6)</f>
        <v>20</v>
      </c>
      <c r="AN636" s="47"/>
      <c r="AO636" s="46">
        <f>150/IF(Общие_или_заединицу="Общие трудозатраты",1,6)</f>
        <v>25</v>
      </c>
      <c r="AP636" s="47"/>
      <c r="AQ636" s="47"/>
      <c r="AR636" s="47"/>
      <c r="AS636" s="47"/>
      <c r="AT636" s="47"/>
      <c r="AU636" s="47"/>
      <c r="AV636" s="47"/>
      <c r="AW636" s="47"/>
      <c r="AX636" s="47"/>
      <c r="AY636" s="47"/>
      <c r="AZ636" s="47"/>
      <c r="BA636" s="47"/>
      <c r="BB636" s="47"/>
      <c r="BC636" s="47"/>
    </row>
    <row r="637" spans="1:55" x14ac:dyDescent="0.25">
      <c r="A637" s="45" t="s">
        <v>1349</v>
      </c>
      <c r="B637" s="46">
        <f t="shared" si="16"/>
        <v>78.5</v>
      </c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6">
        <f>27/IF(Общие_или_заединицу="Общие трудозатраты",1,2)</f>
        <v>13.5</v>
      </c>
      <c r="W637" s="46">
        <f>30/IF(Общие_или_заединицу="Общие трудозатраты",1,2)</f>
        <v>15</v>
      </c>
      <c r="X637" s="47"/>
      <c r="Y637" s="47"/>
      <c r="Z637" s="47"/>
      <c r="AA637" s="47"/>
      <c r="AB637" s="47"/>
      <c r="AC637" s="47"/>
      <c r="AD637" s="47"/>
      <c r="AE637" s="47"/>
      <c r="AF637" s="47"/>
      <c r="AG637" s="47"/>
      <c r="AH637" s="47"/>
      <c r="AI637" s="47"/>
      <c r="AJ637" s="47"/>
      <c r="AK637" s="47"/>
      <c r="AL637" s="46">
        <f>30/IF(Общие_или_заединицу="Общие трудозатраты",1,2)</f>
        <v>15</v>
      </c>
      <c r="AM637" s="47"/>
      <c r="AN637" s="47"/>
      <c r="AO637" s="46">
        <f>70/IF(Общие_или_заединицу="Общие трудозатраты",1,2)</f>
        <v>35</v>
      </c>
      <c r="AP637" s="47"/>
      <c r="AQ637" s="47"/>
      <c r="AR637" s="47"/>
      <c r="AS637" s="47"/>
      <c r="AT637" s="47"/>
      <c r="AU637" s="47"/>
      <c r="AV637" s="47"/>
      <c r="AW637" s="47"/>
      <c r="AX637" s="47"/>
      <c r="AY637" s="47"/>
      <c r="AZ637" s="47"/>
      <c r="BA637" s="47"/>
      <c r="BB637" s="47"/>
      <c r="BC637" s="47"/>
    </row>
    <row r="638" spans="1:55" x14ac:dyDescent="0.25">
      <c r="A638" s="45" t="s">
        <v>1350</v>
      </c>
      <c r="B638" s="46">
        <f t="shared" si="16"/>
        <v>17.700000000000003</v>
      </c>
      <c r="C638" s="47"/>
      <c r="D638" s="46">
        <f>115.2/IF(Общие_или_заединицу="Общие трудозатраты",1,16)</f>
        <v>7.2</v>
      </c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6">
        <f>57.6/IF(Общие_или_заединицу="Общие трудозатраты",1,16)</f>
        <v>3.6</v>
      </c>
      <c r="P638" s="47"/>
      <c r="Q638" s="47"/>
      <c r="R638" s="47"/>
      <c r="S638" s="46">
        <f>30.4/IF(Общие_или_заединицу="Общие трудозатраты",1,16)</f>
        <v>1.9</v>
      </c>
      <c r="T638" s="47"/>
      <c r="U638" s="47"/>
      <c r="V638" s="47"/>
      <c r="W638" s="47"/>
      <c r="X638" s="47"/>
      <c r="Y638" s="47"/>
      <c r="Z638" s="47"/>
      <c r="AA638" s="47"/>
      <c r="AB638" s="47"/>
      <c r="AC638" s="47"/>
      <c r="AD638" s="47"/>
      <c r="AE638" s="47"/>
      <c r="AF638" s="47"/>
      <c r="AG638" s="47"/>
      <c r="AH638" s="47"/>
      <c r="AI638" s="47"/>
      <c r="AJ638" s="47"/>
      <c r="AK638" s="47"/>
      <c r="AL638" s="47"/>
      <c r="AM638" s="47"/>
      <c r="AN638" s="47"/>
      <c r="AO638" s="46">
        <f>80/IF(Общие_или_заединицу="Общие трудозатраты",1,16)</f>
        <v>5</v>
      </c>
      <c r="AP638" s="47"/>
      <c r="AQ638" s="47"/>
      <c r="AR638" s="47"/>
      <c r="AS638" s="47"/>
      <c r="AT638" s="47"/>
      <c r="AU638" s="47"/>
      <c r="AV638" s="47"/>
      <c r="AW638" s="47"/>
      <c r="AX638" s="47"/>
      <c r="AY638" s="47"/>
      <c r="AZ638" s="47"/>
      <c r="BA638" s="47"/>
      <c r="BB638" s="47"/>
      <c r="BC638" s="47"/>
    </row>
    <row r="639" spans="1:55" x14ac:dyDescent="0.25">
      <c r="A639" s="45" t="s">
        <v>1351</v>
      </c>
      <c r="B639" s="46">
        <f t="shared" si="16"/>
        <v>0.9</v>
      </c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6">
        <f>14.4/IF(Общие_или_заединицу="Общие трудозатраты",1,16)</f>
        <v>0.9</v>
      </c>
      <c r="T639" s="47"/>
      <c r="U639" s="47"/>
      <c r="V639" s="47"/>
      <c r="W639" s="47"/>
      <c r="X639" s="47"/>
      <c r="Y639" s="47"/>
      <c r="Z639" s="47"/>
      <c r="AA639" s="47"/>
      <c r="AB639" s="47"/>
      <c r="AC639" s="47"/>
      <c r="AD639" s="47"/>
      <c r="AE639" s="47"/>
      <c r="AF639" s="47"/>
      <c r="AG639" s="47"/>
      <c r="AH639" s="47"/>
      <c r="AI639" s="47"/>
      <c r="AJ639" s="47"/>
      <c r="AK639" s="47"/>
      <c r="AL639" s="47"/>
      <c r="AM639" s="47"/>
      <c r="AN639" s="47"/>
      <c r="AO639" s="47"/>
      <c r="AP639" s="47"/>
      <c r="AQ639" s="47"/>
      <c r="AR639" s="47"/>
      <c r="AS639" s="47"/>
      <c r="AT639" s="47"/>
      <c r="AU639" s="47"/>
      <c r="AV639" s="47"/>
      <c r="AW639" s="47"/>
      <c r="AX639" s="47"/>
      <c r="AY639" s="47"/>
      <c r="AZ639" s="47"/>
      <c r="BA639" s="47"/>
      <c r="BB639" s="47"/>
      <c r="BC639" s="47"/>
    </row>
    <row r="640" spans="1:55" x14ac:dyDescent="0.25">
      <c r="A640" s="45" t="s">
        <v>1352</v>
      </c>
      <c r="B640" s="46">
        <f t="shared" si="16"/>
        <v>16.5</v>
      </c>
      <c r="C640" s="47"/>
      <c r="D640" s="46">
        <f>57.6/IF(Общие_или_заединицу="Общие трудозатраты",1,8)</f>
        <v>7.2</v>
      </c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6">
        <f>28.8/IF(Общие_или_заединицу="Общие трудозатраты",1,8)</f>
        <v>3.6</v>
      </c>
      <c r="P640" s="47"/>
      <c r="Q640" s="47"/>
      <c r="R640" s="47"/>
      <c r="S640" s="46">
        <f>13.6/IF(Общие_или_заединицу="Общие трудозатраты",1,8)</f>
        <v>1.7</v>
      </c>
      <c r="T640" s="47"/>
      <c r="U640" s="47"/>
      <c r="V640" s="47"/>
      <c r="W640" s="47"/>
      <c r="X640" s="47"/>
      <c r="Y640" s="47"/>
      <c r="Z640" s="47"/>
      <c r="AA640" s="47"/>
      <c r="AB640" s="47"/>
      <c r="AC640" s="47"/>
      <c r="AD640" s="47"/>
      <c r="AE640" s="47"/>
      <c r="AF640" s="47"/>
      <c r="AG640" s="47"/>
      <c r="AH640" s="47"/>
      <c r="AI640" s="47"/>
      <c r="AJ640" s="47"/>
      <c r="AK640" s="47"/>
      <c r="AL640" s="47"/>
      <c r="AM640" s="47"/>
      <c r="AN640" s="47"/>
      <c r="AO640" s="46">
        <f>32/IF(Общие_или_заединицу="Общие трудозатраты",1,8)</f>
        <v>4</v>
      </c>
      <c r="AP640" s="47"/>
      <c r="AQ640" s="47"/>
      <c r="AR640" s="47"/>
      <c r="AS640" s="47"/>
      <c r="AT640" s="47"/>
      <c r="AU640" s="47"/>
      <c r="AV640" s="47"/>
      <c r="AW640" s="47"/>
      <c r="AX640" s="47"/>
      <c r="AY640" s="47"/>
      <c r="AZ640" s="47"/>
      <c r="BA640" s="47"/>
      <c r="BB640" s="47"/>
      <c r="BC640" s="47"/>
    </row>
    <row r="641" spans="1:55" x14ac:dyDescent="0.25">
      <c r="A641" s="45" t="s">
        <v>1353</v>
      </c>
      <c r="B641" s="46">
        <f t="shared" si="16"/>
        <v>11.3</v>
      </c>
      <c r="C641" s="47"/>
      <c r="D641" s="46">
        <f>31.2/IF(Общие_или_заединицу="Общие трудозатраты",1,6)</f>
        <v>5.2</v>
      </c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6">
        <f>15.6/IF(Общие_или_заединицу="Общие трудозатраты",1,6)</f>
        <v>2.6</v>
      </c>
      <c r="P641" s="47"/>
      <c r="Q641" s="47"/>
      <c r="R641" s="47"/>
      <c r="S641" s="46">
        <f>9/IF(Общие_или_заединицу="Общие трудозатраты",1,6)</f>
        <v>1.5</v>
      </c>
      <c r="T641" s="47"/>
      <c r="U641" s="47"/>
      <c r="V641" s="47"/>
      <c r="W641" s="47"/>
      <c r="X641" s="47"/>
      <c r="Y641" s="47"/>
      <c r="Z641" s="47"/>
      <c r="AA641" s="47"/>
      <c r="AB641" s="47"/>
      <c r="AC641" s="47"/>
      <c r="AD641" s="47"/>
      <c r="AE641" s="47"/>
      <c r="AF641" s="47"/>
      <c r="AG641" s="47"/>
      <c r="AH641" s="47"/>
      <c r="AI641" s="47"/>
      <c r="AJ641" s="47"/>
      <c r="AK641" s="47"/>
      <c r="AL641" s="47"/>
      <c r="AM641" s="47"/>
      <c r="AN641" s="47"/>
      <c r="AO641" s="46">
        <f>12/IF(Общие_или_заединицу="Общие трудозатраты",1,6)</f>
        <v>2</v>
      </c>
      <c r="AP641" s="47"/>
      <c r="AQ641" s="47"/>
      <c r="AR641" s="47"/>
      <c r="AS641" s="47"/>
      <c r="AT641" s="47"/>
      <c r="AU641" s="47"/>
      <c r="AV641" s="47"/>
      <c r="AW641" s="47"/>
      <c r="AX641" s="47"/>
      <c r="AY641" s="47"/>
      <c r="AZ641" s="47"/>
      <c r="BA641" s="47"/>
      <c r="BB641" s="47"/>
      <c r="BC641" s="47"/>
    </row>
    <row r="642" spans="1:55" x14ac:dyDescent="0.25">
      <c r="A642" s="45" t="s">
        <v>1356</v>
      </c>
      <c r="B642" s="46">
        <f t="shared" si="16"/>
        <v>16.5</v>
      </c>
      <c r="C642" s="47"/>
      <c r="D642" s="46">
        <f>14.4/IF(Общие_или_заединицу="Общие трудозатраты",1,2)</f>
        <v>7.2</v>
      </c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6">
        <f>7.2/IF(Общие_или_заединицу="Общие трудозатраты",1,2)</f>
        <v>3.6</v>
      </c>
      <c r="P642" s="47"/>
      <c r="Q642" s="47"/>
      <c r="R642" s="47"/>
      <c r="S642" s="46">
        <f>3.4/IF(Общие_или_заединицу="Общие трудозатраты",1,2)</f>
        <v>1.7</v>
      </c>
      <c r="T642" s="47"/>
      <c r="U642" s="47"/>
      <c r="V642" s="47"/>
      <c r="W642" s="47"/>
      <c r="X642" s="47"/>
      <c r="Y642" s="47"/>
      <c r="Z642" s="47"/>
      <c r="AA642" s="47"/>
      <c r="AB642" s="47"/>
      <c r="AC642" s="47"/>
      <c r="AD642" s="47"/>
      <c r="AE642" s="47"/>
      <c r="AF642" s="47"/>
      <c r="AG642" s="47"/>
      <c r="AH642" s="47"/>
      <c r="AI642" s="47"/>
      <c r="AJ642" s="47"/>
      <c r="AK642" s="47"/>
      <c r="AL642" s="47"/>
      <c r="AM642" s="47"/>
      <c r="AN642" s="47"/>
      <c r="AO642" s="46">
        <f>8/IF(Общие_или_заединицу="Общие трудозатраты",1,2)</f>
        <v>4</v>
      </c>
      <c r="AP642" s="47"/>
      <c r="AQ642" s="47"/>
      <c r="AR642" s="47"/>
      <c r="AS642" s="47"/>
      <c r="AT642" s="47"/>
      <c r="AU642" s="47"/>
      <c r="AV642" s="47"/>
      <c r="AW642" s="47"/>
      <c r="AX642" s="47"/>
      <c r="AY642" s="47"/>
      <c r="AZ642" s="47"/>
      <c r="BA642" s="47"/>
      <c r="BB642" s="47"/>
      <c r="BC642" s="47"/>
    </row>
    <row r="643" spans="1:55" x14ac:dyDescent="0.25">
      <c r="A643" s="45" t="s">
        <v>1354</v>
      </c>
      <c r="B643" s="46">
        <f t="shared" si="16"/>
        <v>2.6</v>
      </c>
      <c r="C643" s="47"/>
      <c r="D643" s="47"/>
      <c r="E643" s="47"/>
      <c r="F643" s="46">
        <f>8.8/IF(Общие_или_заединицу="Общие трудозатраты",1,8)</f>
        <v>1.1000000000000001</v>
      </c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6">
        <f>12/IF(Общие_или_заединицу="Общие трудозатраты",1,8)</f>
        <v>1.5</v>
      </c>
      <c r="T643" s="47"/>
      <c r="U643" s="47"/>
      <c r="V643" s="47"/>
      <c r="W643" s="47"/>
      <c r="X643" s="47"/>
      <c r="Y643" s="47"/>
      <c r="Z643" s="47"/>
      <c r="AA643" s="47"/>
      <c r="AB643" s="47"/>
      <c r="AC643" s="47"/>
      <c r="AD643" s="47"/>
      <c r="AE643" s="47"/>
      <c r="AF643" s="47"/>
      <c r="AG643" s="47"/>
      <c r="AH643" s="47"/>
      <c r="AI643" s="47"/>
      <c r="AJ643" s="47"/>
      <c r="AK643" s="47"/>
      <c r="AL643" s="47"/>
      <c r="AM643" s="47"/>
      <c r="AN643" s="47"/>
      <c r="AO643" s="47"/>
      <c r="AP643" s="47"/>
      <c r="AQ643" s="47"/>
      <c r="AR643" s="47"/>
      <c r="AS643" s="47"/>
      <c r="AT643" s="47"/>
      <c r="AU643" s="47"/>
      <c r="AV643" s="47"/>
      <c r="AW643" s="47"/>
      <c r="AX643" s="47"/>
      <c r="AY643" s="47"/>
      <c r="AZ643" s="47"/>
      <c r="BA643" s="47"/>
      <c r="BB643" s="47"/>
      <c r="BC643" s="47"/>
    </row>
    <row r="644" spans="1:55" x14ac:dyDescent="0.25">
      <c r="A644" s="45" t="s">
        <v>1355</v>
      </c>
      <c r="B644" s="46">
        <f t="shared" ref="B644:B707" si="17">SUM(C644:BC644)</f>
        <v>5.8</v>
      </c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6">
        <f>6.4/IF(Общие_или_заединицу="Общие трудозатраты",1,8)</f>
        <v>0.8</v>
      </c>
      <c r="T644" s="47"/>
      <c r="U644" s="47"/>
      <c r="V644" s="47"/>
      <c r="W644" s="47"/>
      <c r="X644" s="47"/>
      <c r="Y644" s="47"/>
      <c r="Z644" s="47"/>
      <c r="AA644" s="47"/>
      <c r="AB644" s="47"/>
      <c r="AC644" s="47"/>
      <c r="AD644" s="47"/>
      <c r="AE644" s="47"/>
      <c r="AF644" s="47"/>
      <c r="AG644" s="47"/>
      <c r="AH644" s="47"/>
      <c r="AI644" s="47"/>
      <c r="AJ644" s="47"/>
      <c r="AK644" s="47"/>
      <c r="AL644" s="47"/>
      <c r="AM644" s="47"/>
      <c r="AN644" s="47"/>
      <c r="AO644" s="47"/>
      <c r="AP644" s="47"/>
      <c r="AQ644" s="47"/>
      <c r="AR644" s="47"/>
      <c r="AS644" s="46">
        <f>40/IF(Общие_или_заединицу="Общие трудозатраты",1,8)</f>
        <v>5</v>
      </c>
      <c r="AT644" s="47"/>
      <c r="AU644" s="47"/>
      <c r="AV644" s="47"/>
      <c r="AW644" s="47"/>
      <c r="AX644" s="47"/>
      <c r="AY644" s="47"/>
      <c r="AZ644" s="47"/>
      <c r="BA644" s="47"/>
      <c r="BB644" s="47"/>
      <c r="BC644" s="47"/>
    </row>
    <row r="645" spans="1:55" x14ac:dyDescent="0.25">
      <c r="A645" s="45" t="s">
        <v>1336</v>
      </c>
      <c r="B645" s="46">
        <f t="shared" si="17"/>
        <v>46.5</v>
      </c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6">
        <f>64/IF(Общие_или_заединицу="Общие трудозатраты",1,8)</f>
        <v>8</v>
      </c>
      <c r="W645" s="46">
        <f>36/IF(Общие_или_заединицу="Общие трудозатраты",1,8)</f>
        <v>4.5</v>
      </c>
      <c r="X645" s="47"/>
      <c r="Y645" s="47"/>
      <c r="Z645" s="47"/>
      <c r="AA645" s="47"/>
      <c r="AB645" s="47"/>
      <c r="AC645" s="47"/>
      <c r="AD645" s="47"/>
      <c r="AE645" s="47"/>
      <c r="AF645" s="47"/>
      <c r="AG645" s="47"/>
      <c r="AH645" s="47"/>
      <c r="AI645" s="47"/>
      <c r="AJ645" s="47"/>
      <c r="AK645" s="47"/>
      <c r="AL645" s="46">
        <f>64/IF(Общие_или_заединицу="Общие трудозатраты",1,8)</f>
        <v>8</v>
      </c>
      <c r="AM645" s="47"/>
      <c r="AN645" s="47"/>
      <c r="AO645" s="46">
        <f>128/IF(Общие_или_заединицу="Общие трудозатраты",1,8)</f>
        <v>16</v>
      </c>
      <c r="AP645" s="47"/>
      <c r="AQ645" s="47"/>
      <c r="AR645" s="47"/>
      <c r="AS645" s="47"/>
      <c r="AT645" s="47"/>
      <c r="AU645" s="47"/>
      <c r="AV645" s="47"/>
      <c r="AW645" s="46">
        <f>80/IF(Общие_или_заединицу="Общие трудозатраты",1,8)</f>
        <v>10</v>
      </c>
      <c r="AX645" s="47"/>
      <c r="AY645" s="47"/>
      <c r="AZ645" s="47"/>
      <c r="BA645" s="47"/>
      <c r="BB645" s="47"/>
      <c r="BC645" s="47"/>
    </row>
    <row r="646" spans="1:55" x14ac:dyDescent="0.25">
      <c r="A646" s="45" t="s">
        <v>1337</v>
      </c>
      <c r="B646" s="46">
        <f t="shared" si="17"/>
        <v>55.7</v>
      </c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6">
        <f>68/IF(Общие_или_заединицу="Общие трудозатраты",1,8)</f>
        <v>8.5</v>
      </c>
      <c r="W646" s="46">
        <f>40/IF(Общие_или_заединицу="Общие трудозатраты",1,8)</f>
        <v>5</v>
      </c>
      <c r="X646" s="47"/>
      <c r="Y646" s="47"/>
      <c r="Z646" s="47"/>
      <c r="AA646" s="47"/>
      <c r="AB646" s="47"/>
      <c r="AC646" s="47"/>
      <c r="AD646" s="47"/>
      <c r="AE646" s="47"/>
      <c r="AF646" s="47"/>
      <c r="AG646" s="47"/>
      <c r="AH646" s="47"/>
      <c r="AI646" s="47"/>
      <c r="AJ646" s="47"/>
      <c r="AK646" s="47"/>
      <c r="AL646" s="46">
        <f>32/IF(Общие_или_заединицу="Общие трудозатраты",1,8)</f>
        <v>4</v>
      </c>
      <c r="AM646" s="47"/>
      <c r="AN646" s="47"/>
      <c r="AO646" s="46">
        <f>96/IF(Общие_или_заединицу="Общие трудозатраты",1,8)</f>
        <v>12</v>
      </c>
      <c r="AP646" s="47"/>
      <c r="AQ646" s="46">
        <f>33.6/IF(Общие_или_заединицу="Общие трудозатраты",1,8)</f>
        <v>4.2</v>
      </c>
      <c r="AR646" s="47"/>
      <c r="AS646" s="47"/>
      <c r="AT646" s="47"/>
      <c r="AU646" s="46">
        <f>176/IF(Общие_или_заединицу="Общие трудозатраты",1,8)</f>
        <v>22</v>
      </c>
      <c r="AV646" s="47"/>
      <c r="AW646" s="47"/>
      <c r="AX646" s="47"/>
      <c r="AY646" s="47"/>
      <c r="AZ646" s="47"/>
      <c r="BA646" s="47"/>
      <c r="BB646" s="47"/>
      <c r="BC646" s="47"/>
    </row>
    <row r="647" spans="1:55" x14ac:dyDescent="0.25">
      <c r="A647" s="45" t="s">
        <v>1358</v>
      </c>
      <c r="B647" s="46">
        <f t="shared" si="17"/>
        <v>19.25</v>
      </c>
      <c r="C647" s="47"/>
      <c r="D647" s="46">
        <f>120/IF(Общие_или_заединицу="Общие трудозатраты",1,16)</f>
        <v>7.5</v>
      </c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6">
        <f>60/IF(Общие_или_заединицу="Общие трудозатраты",1,16)</f>
        <v>3.75</v>
      </c>
      <c r="P647" s="47"/>
      <c r="Q647" s="47"/>
      <c r="R647" s="47"/>
      <c r="S647" s="46">
        <f>44.8/IF(Общие_или_заединицу="Общие трудозатраты",1,16)</f>
        <v>2.8</v>
      </c>
      <c r="T647" s="47"/>
      <c r="U647" s="47"/>
      <c r="V647" s="47"/>
      <c r="W647" s="47"/>
      <c r="X647" s="47"/>
      <c r="Y647" s="47"/>
      <c r="Z647" s="47"/>
      <c r="AA647" s="47"/>
      <c r="AB647" s="47"/>
      <c r="AC647" s="47"/>
      <c r="AD647" s="47"/>
      <c r="AE647" s="47"/>
      <c r="AF647" s="47"/>
      <c r="AG647" s="47"/>
      <c r="AH647" s="47"/>
      <c r="AI647" s="47"/>
      <c r="AJ647" s="47"/>
      <c r="AK647" s="47"/>
      <c r="AL647" s="47"/>
      <c r="AM647" s="47"/>
      <c r="AN647" s="47"/>
      <c r="AO647" s="46">
        <f>83.2/IF(Общие_или_заединицу="Общие трудозатраты",1,16)</f>
        <v>5.2</v>
      </c>
      <c r="AP647" s="47"/>
      <c r="AQ647" s="47"/>
      <c r="AR647" s="47"/>
      <c r="AS647" s="47"/>
      <c r="AT647" s="47"/>
      <c r="AU647" s="47"/>
      <c r="AV647" s="47"/>
      <c r="AW647" s="47"/>
      <c r="AX647" s="47"/>
      <c r="AY647" s="47"/>
      <c r="AZ647" s="47"/>
      <c r="BA647" s="47"/>
      <c r="BB647" s="47"/>
      <c r="BC647" s="47"/>
    </row>
    <row r="648" spans="1:55" x14ac:dyDescent="0.25">
      <c r="A648" s="45" t="s">
        <v>1359</v>
      </c>
      <c r="B648" s="46">
        <f t="shared" si="17"/>
        <v>46.1</v>
      </c>
      <c r="C648" s="47"/>
      <c r="D648" s="46">
        <f>128/IF(Общие_или_заединицу="Общие трудозатраты",1,16)</f>
        <v>8</v>
      </c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6">
        <f>64/IF(Общие_или_заединицу="Общие трудозатраты",1,16)</f>
        <v>4</v>
      </c>
      <c r="P648" s="47"/>
      <c r="Q648" s="47"/>
      <c r="R648" s="47"/>
      <c r="S648" s="46">
        <f>17.6/IF(Общие_или_заединицу="Общие трудозатраты",1,16)</f>
        <v>1.1000000000000001</v>
      </c>
      <c r="T648" s="47"/>
      <c r="U648" s="47"/>
      <c r="V648" s="47"/>
      <c r="W648" s="47"/>
      <c r="X648" s="47"/>
      <c r="Y648" s="47"/>
      <c r="Z648" s="47"/>
      <c r="AA648" s="47"/>
      <c r="AB648" s="47"/>
      <c r="AC648" s="47"/>
      <c r="AD648" s="47"/>
      <c r="AE648" s="47"/>
      <c r="AF648" s="47"/>
      <c r="AG648" s="47"/>
      <c r="AH648" s="47"/>
      <c r="AI648" s="47"/>
      <c r="AJ648" s="47"/>
      <c r="AK648" s="47"/>
      <c r="AL648" s="47"/>
      <c r="AM648" s="47"/>
      <c r="AN648" s="47"/>
      <c r="AO648" s="46">
        <f>48/IF(Общие_или_заединицу="Общие трудозатраты",1,16)</f>
        <v>3</v>
      </c>
      <c r="AP648" s="47"/>
      <c r="AQ648" s="47"/>
      <c r="AR648" s="47"/>
      <c r="AS648" s="47"/>
      <c r="AT648" s="47"/>
      <c r="AU648" s="47"/>
      <c r="AV648" s="47"/>
      <c r="AW648" s="46">
        <f>480/IF(Общие_или_заединицу="Общие трудозатраты",1,16)</f>
        <v>30</v>
      </c>
      <c r="AX648" s="47"/>
      <c r="AY648" s="47"/>
      <c r="AZ648" s="47"/>
      <c r="BA648" s="47"/>
      <c r="BB648" s="47"/>
      <c r="BC648" s="47"/>
    </row>
    <row r="649" spans="1:55" x14ac:dyDescent="0.25">
      <c r="A649" s="45" t="s">
        <v>1360</v>
      </c>
      <c r="B649" s="46">
        <f t="shared" si="17"/>
        <v>30.9</v>
      </c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6">
        <f>14.4/IF(Общие_или_заединицу="Общие трудозатраты",1,16)</f>
        <v>0.9</v>
      </c>
      <c r="T649" s="47"/>
      <c r="U649" s="47"/>
      <c r="V649" s="47"/>
      <c r="W649" s="47"/>
      <c r="X649" s="47"/>
      <c r="Y649" s="47"/>
      <c r="Z649" s="47"/>
      <c r="AA649" s="47"/>
      <c r="AB649" s="47"/>
      <c r="AC649" s="47"/>
      <c r="AD649" s="47"/>
      <c r="AE649" s="47"/>
      <c r="AF649" s="47"/>
      <c r="AG649" s="47"/>
      <c r="AH649" s="47"/>
      <c r="AI649" s="47"/>
      <c r="AJ649" s="47"/>
      <c r="AK649" s="47"/>
      <c r="AL649" s="47"/>
      <c r="AM649" s="47"/>
      <c r="AN649" s="47"/>
      <c r="AO649" s="47"/>
      <c r="AP649" s="47"/>
      <c r="AQ649" s="47"/>
      <c r="AR649" s="47"/>
      <c r="AS649" s="47"/>
      <c r="AT649" s="47"/>
      <c r="AU649" s="47"/>
      <c r="AV649" s="47"/>
      <c r="AW649" s="46">
        <f>480/IF(Общие_или_заединицу="Общие трудозатраты",1,16)</f>
        <v>30</v>
      </c>
      <c r="AX649" s="47"/>
      <c r="AY649" s="47"/>
      <c r="AZ649" s="47"/>
      <c r="BA649" s="47"/>
      <c r="BB649" s="47"/>
      <c r="BC649" s="47"/>
    </row>
    <row r="650" spans="1:55" x14ac:dyDescent="0.25">
      <c r="A650" s="45" t="s">
        <v>1361</v>
      </c>
      <c r="B650" s="46">
        <f t="shared" si="17"/>
        <v>33</v>
      </c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6">
        <f>80/IF(Общие_или_заединицу="Общие трудозатраты",1,16)</f>
        <v>5</v>
      </c>
      <c r="U650" s="47"/>
      <c r="V650" s="47"/>
      <c r="W650" s="47"/>
      <c r="X650" s="47"/>
      <c r="Y650" s="47"/>
      <c r="Z650" s="47"/>
      <c r="AA650" s="47"/>
      <c r="AB650" s="47"/>
      <c r="AC650" s="47"/>
      <c r="AD650" s="47"/>
      <c r="AE650" s="47"/>
      <c r="AF650" s="47"/>
      <c r="AG650" s="47"/>
      <c r="AH650" s="47"/>
      <c r="AI650" s="47"/>
      <c r="AJ650" s="47"/>
      <c r="AK650" s="47"/>
      <c r="AL650" s="47"/>
      <c r="AM650" s="47"/>
      <c r="AN650" s="47"/>
      <c r="AO650" s="47"/>
      <c r="AP650" s="47"/>
      <c r="AQ650" s="47"/>
      <c r="AR650" s="47"/>
      <c r="AS650" s="47"/>
      <c r="AT650" s="47"/>
      <c r="AU650" s="47"/>
      <c r="AV650" s="47"/>
      <c r="AW650" s="46">
        <f>448/IF(Общие_или_заединицу="Общие трудозатраты",1,16)</f>
        <v>28</v>
      </c>
      <c r="AX650" s="47"/>
      <c r="AY650" s="47"/>
      <c r="AZ650" s="47"/>
      <c r="BA650" s="47"/>
      <c r="BB650" s="47"/>
      <c r="BC650" s="47"/>
    </row>
    <row r="651" spans="1:55" x14ac:dyDescent="0.25">
      <c r="A651" s="45" t="s">
        <v>1362</v>
      </c>
      <c r="B651" s="46">
        <f t="shared" si="17"/>
        <v>13.225000000000001</v>
      </c>
      <c r="C651" s="47"/>
      <c r="D651" s="46">
        <f>83.2/IF(Общие_или_заединицу="Общие трудозатраты",1,16)</f>
        <v>5.2</v>
      </c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6">
        <f>41.6/IF(Общие_или_заединицу="Общие трудозатраты",1,16)</f>
        <v>2.6</v>
      </c>
      <c r="P651" s="47"/>
      <c r="Q651" s="47"/>
      <c r="R651" s="47"/>
      <c r="S651" s="46">
        <f>22.8/IF(Общие_или_заединицу="Общие трудозатраты",1,16)</f>
        <v>1.425</v>
      </c>
      <c r="T651" s="47"/>
      <c r="U651" s="47"/>
      <c r="V651" s="47"/>
      <c r="W651" s="47"/>
      <c r="X651" s="47"/>
      <c r="Y651" s="47"/>
      <c r="Z651" s="47"/>
      <c r="AA651" s="47"/>
      <c r="AB651" s="47"/>
      <c r="AC651" s="47"/>
      <c r="AD651" s="47"/>
      <c r="AE651" s="47"/>
      <c r="AF651" s="47"/>
      <c r="AG651" s="47"/>
      <c r="AH651" s="47"/>
      <c r="AI651" s="47"/>
      <c r="AJ651" s="47"/>
      <c r="AK651" s="47"/>
      <c r="AL651" s="47"/>
      <c r="AM651" s="47"/>
      <c r="AN651" s="47"/>
      <c r="AO651" s="46">
        <f>64/IF(Общие_или_заединицу="Общие трудозатраты",1,16)</f>
        <v>4</v>
      </c>
      <c r="AP651" s="47"/>
      <c r="AQ651" s="47"/>
      <c r="AR651" s="47"/>
      <c r="AS651" s="47"/>
      <c r="AT651" s="47"/>
      <c r="AU651" s="47"/>
      <c r="AV651" s="47"/>
      <c r="AW651" s="47"/>
      <c r="AX651" s="47"/>
      <c r="AY651" s="47"/>
      <c r="AZ651" s="47"/>
      <c r="BA651" s="47"/>
      <c r="BB651" s="47"/>
      <c r="BC651" s="47"/>
    </row>
    <row r="652" spans="1:55" x14ac:dyDescent="0.25">
      <c r="A652" s="45" t="s">
        <v>1357</v>
      </c>
      <c r="B652" s="46">
        <f t="shared" si="17"/>
        <v>15</v>
      </c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  <c r="AA652" s="47"/>
      <c r="AB652" s="47"/>
      <c r="AC652" s="47"/>
      <c r="AD652" s="47"/>
      <c r="AE652" s="47"/>
      <c r="AF652" s="47"/>
      <c r="AG652" s="47"/>
      <c r="AH652" s="47"/>
      <c r="AI652" s="47"/>
      <c r="AJ652" s="47"/>
      <c r="AK652" s="47"/>
      <c r="AL652" s="46">
        <f>80/IF(Общие_или_заединицу="Общие трудозатраты",1,16)</f>
        <v>5</v>
      </c>
      <c r="AM652" s="47"/>
      <c r="AN652" s="47"/>
      <c r="AO652" s="46">
        <f>160/IF(Общие_или_заединицу="Общие трудозатраты",1,16)</f>
        <v>10</v>
      </c>
      <c r="AP652" s="47"/>
      <c r="AQ652" s="47"/>
      <c r="AR652" s="47"/>
      <c r="AS652" s="47"/>
      <c r="AT652" s="47"/>
      <c r="AU652" s="47"/>
      <c r="AV652" s="47"/>
      <c r="AW652" s="47"/>
      <c r="AX652" s="47"/>
      <c r="AY652" s="47"/>
      <c r="AZ652" s="47"/>
      <c r="BA652" s="47"/>
      <c r="BB652" s="47"/>
      <c r="BC652" s="47"/>
    </row>
    <row r="653" spans="1:55" x14ac:dyDescent="0.25">
      <c r="A653" s="45" t="s">
        <v>1363</v>
      </c>
      <c r="B653" s="46">
        <f t="shared" si="17"/>
        <v>0.7</v>
      </c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6">
        <f>11.2/IF(Общие_или_заединицу="Общие трудозатраты",1,16)</f>
        <v>0.7</v>
      </c>
      <c r="T653" s="47"/>
      <c r="U653" s="47"/>
      <c r="V653" s="47"/>
      <c r="W653" s="47"/>
      <c r="X653" s="47"/>
      <c r="Y653" s="47"/>
      <c r="Z653" s="47"/>
      <c r="AA653" s="47"/>
      <c r="AB653" s="47"/>
      <c r="AC653" s="47"/>
      <c r="AD653" s="47"/>
      <c r="AE653" s="47"/>
      <c r="AF653" s="47"/>
      <c r="AG653" s="47"/>
      <c r="AH653" s="47"/>
      <c r="AI653" s="47"/>
      <c r="AJ653" s="47"/>
      <c r="AK653" s="47"/>
      <c r="AL653" s="47"/>
      <c r="AM653" s="47"/>
      <c r="AN653" s="47"/>
      <c r="AO653" s="47"/>
      <c r="AP653" s="47"/>
      <c r="AQ653" s="47"/>
      <c r="AR653" s="47"/>
      <c r="AS653" s="47"/>
      <c r="AT653" s="47"/>
      <c r="AU653" s="47"/>
      <c r="AV653" s="47"/>
      <c r="AW653" s="47"/>
      <c r="AX653" s="47"/>
      <c r="AY653" s="47"/>
      <c r="AZ653" s="47"/>
      <c r="BA653" s="47"/>
      <c r="BB653" s="47"/>
      <c r="BC653" s="47"/>
    </row>
    <row r="654" spans="1:55" x14ac:dyDescent="0.25">
      <c r="A654" s="45" t="s">
        <v>1364</v>
      </c>
      <c r="B654" s="46">
        <f t="shared" si="17"/>
        <v>0.8</v>
      </c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6">
        <f>12.8/IF(Общие_или_заединицу="Общие трудозатраты",1,16)</f>
        <v>0.8</v>
      </c>
      <c r="T654" s="47"/>
      <c r="U654" s="47"/>
      <c r="V654" s="47"/>
      <c r="W654" s="47"/>
      <c r="X654" s="47"/>
      <c r="Y654" s="47"/>
      <c r="Z654" s="47"/>
      <c r="AA654" s="47"/>
      <c r="AB654" s="47"/>
      <c r="AC654" s="47"/>
      <c r="AD654" s="47"/>
      <c r="AE654" s="47"/>
      <c r="AF654" s="47"/>
      <c r="AG654" s="47"/>
      <c r="AH654" s="47"/>
      <c r="AI654" s="47"/>
      <c r="AJ654" s="47"/>
      <c r="AK654" s="47"/>
      <c r="AL654" s="47"/>
      <c r="AM654" s="47"/>
      <c r="AN654" s="47"/>
      <c r="AO654" s="47"/>
      <c r="AP654" s="47"/>
      <c r="AQ654" s="47"/>
      <c r="AR654" s="47"/>
      <c r="AS654" s="47"/>
      <c r="AT654" s="47"/>
      <c r="AU654" s="47"/>
      <c r="AV654" s="47"/>
      <c r="AW654" s="47"/>
      <c r="AX654" s="47"/>
      <c r="AY654" s="47"/>
      <c r="AZ654" s="47"/>
      <c r="BA654" s="47"/>
      <c r="BB654" s="47"/>
      <c r="BC654" s="47"/>
    </row>
    <row r="655" spans="1:55" x14ac:dyDescent="0.25">
      <c r="A655" s="45" t="s">
        <v>1365</v>
      </c>
      <c r="B655" s="46">
        <f t="shared" si="17"/>
        <v>0.5</v>
      </c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6">
        <f>16/IF(Общие_или_заединицу="Общие трудозатраты",1,32)</f>
        <v>0.5</v>
      </c>
      <c r="T655" s="47"/>
      <c r="U655" s="47"/>
      <c r="V655" s="47"/>
      <c r="W655" s="47"/>
      <c r="X655" s="47"/>
      <c r="Y655" s="47"/>
      <c r="Z655" s="47"/>
      <c r="AA655" s="47"/>
      <c r="AB655" s="47"/>
      <c r="AC655" s="47"/>
      <c r="AD655" s="47"/>
      <c r="AE655" s="47"/>
      <c r="AF655" s="47"/>
      <c r="AG655" s="47"/>
      <c r="AH655" s="47"/>
      <c r="AI655" s="47"/>
      <c r="AJ655" s="47"/>
      <c r="AK655" s="47"/>
      <c r="AL655" s="47"/>
      <c r="AM655" s="47"/>
      <c r="AN655" s="47"/>
      <c r="AO655" s="47"/>
      <c r="AP655" s="47"/>
      <c r="AQ655" s="47"/>
      <c r="AR655" s="47"/>
      <c r="AS655" s="47"/>
      <c r="AT655" s="47"/>
      <c r="AU655" s="47"/>
      <c r="AV655" s="47"/>
      <c r="AW655" s="47"/>
      <c r="AX655" s="47"/>
      <c r="AY655" s="47"/>
      <c r="AZ655" s="47"/>
      <c r="BA655" s="47"/>
      <c r="BB655" s="47"/>
      <c r="BC655" s="47"/>
    </row>
    <row r="656" spans="1:55" x14ac:dyDescent="0.25">
      <c r="A656" s="45" t="s">
        <v>1366</v>
      </c>
      <c r="B656" s="46">
        <f t="shared" si="17"/>
        <v>1.1000000000000001</v>
      </c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  <c r="AA656" s="46">
        <f>17.6/IF(Общие_или_заединицу="Общие трудозатраты",1,16)</f>
        <v>1.1000000000000001</v>
      </c>
      <c r="AB656" s="47"/>
      <c r="AC656" s="47"/>
      <c r="AD656" s="47"/>
      <c r="AE656" s="47"/>
      <c r="AF656" s="47"/>
      <c r="AG656" s="47"/>
      <c r="AH656" s="47"/>
      <c r="AI656" s="47"/>
      <c r="AJ656" s="47"/>
      <c r="AK656" s="47"/>
      <c r="AL656" s="47"/>
      <c r="AM656" s="47"/>
      <c r="AN656" s="47"/>
      <c r="AO656" s="47"/>
      <c r="AP656" s="47"/>
      <c r="AQ656" s="47"/>
      <c r="AR656" s="47"/>
      <c r="AS656" s="47"/>
      <c r="AT656" s="47"/>
      <c r="AU656" s="47"/>
      <c r="AV656" s="47"/>
      <c r="AW656" s="47"/>
      <c r="AX656" s="47"/>
      <c r="AY656" s="47"/>
      <c r="AZ656" s="47"/>
      <c r="BA656" s="47"/>
      <c r="BB656" s="47"/>
      <c r="BC656" s="47"/>
    </row>
    <row r="657" spans="1:55" x14ac:dyDescent="0.25">
      <c r="A657" s="45" t="s">
        <v>1367</v>
      </c>
      <c r="B657" s="46">
        <f t="shared" si="17"/>
        <v>12.67</v>
      </c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6">
        <f>10.72/IF(Общие_или_заединицу="Общие трудозатраты",1,16)</f>
        <v>0.67</v>
      </c>
      <c r="U657" s="47"/>
      <c r="V657" s="47"/>
      <c r="W657" s="47"/>
      <c r="X657" s="47"/>
      <c r="Y657" s="47"/>
      <c r="Z657" s="47"/>
      <c r="AA657" s="47"/>
      <c r="AB657" s="47"/>
      <c r="AC657" s="47"/>
      <c r="AD657" s="47"/>
      <c r="AE657" s="47"/>
      <c r="AF657" s="47"/>
      <c r="AG657" s="47"/>
      <c r="AH657" s="47"/>
      <c r="AI657" s="47"/>
      <c r="AJ657" s="47"/>
      <c r="AK657" s="47"/>
      <c r="AL657" s="47"/>
      <c r="AM657" s="47"/>
      <c r="AN657" s="47"/>
      <c r="AO657" s="47"/>
      <c r="AP657" s="47"/>
      <c r="AQ657" s="47"/>
      <c r="AR657" s="47"/>
      <c r="AS657" s="47"/>
      <c r="AT657" s="47"/>
      <c r="AU657" s="47"/>
      <c r="AV657" s="47"/>
      <c r="AW657" s="46">
        <f>192/IF(Общие_или_заединицу="Общие трудозатраты",1,16)</f>
        <v>12</v>
      </c>
      <c r="AX657" s="47"/>
      <c r="AY657" s="47"/>
      <c r="AZ657" s="47"/>
      <c r="BA657" s="47"/>
      <c r="BB657" s="47"/>
      <c r="BC657" s="47"/>
    </row>
    <row r="658" spans="1:55" x14ac:dyDescent="0.25">
      <c r="A658" s="45" t="s">
        <v>1338</v>
      </c>
      <c r="B658" s="46">
        <f t="shared" si="17"/>
        <v>16.7</v>
      </c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6">
        <f>27.2/IF(Общие_или_заединицу="Общие трудозатраты",1,16)</f>
        <v>1.7</v>
      </c>
      <c r="X658" s="47"/>
      <c r="Y658" s="47"/>
      <c r="Z658" s="47"/>
      <c r="AA658" s="47"/>
      <c r="AB658" s="47"/>
      <c r="AC658" s="47"/>
      <c r="AD658" s="47"/>
      <c r="AE658" s="47"/>
      <c r="AF658" s="47"/>
      <c r="AG658" s="47"/>
      <c r="AH658" s="47"/>
      <c r="AI658" s="46">
        <f>160/IF(Общие_или_заединицу="Общие трудозатраты",1,16)</f>
        <v>10</v>
      </c>
      <c r="AJ658" s="47"/>
      <c r="AK658" s="47"/>
      <c r="AL658" s="47"/>
      <c r="AM658" s="47"/>
      <c r="AN658" s="47"/>
      <c r="AO658" s="46">
        <f>80/IF(Общие_или_заединицу="Общие трудозатраты",1,16)</f>
        <v>5</v>
      </c>
      <c r="AP658" s="47"/>
      <c r="AQ658" s="47"/>
      <c r="AR658" s="47"/>
      <c r="AS658" s="47"/>
      <c r="AT658" s="47"/>
      <c r="AU658" s="47"/>
      <c r="AV658" s="47"/>
      <c r="AW658" s="47"/>
      <c r="AX658" s="47"/>
      <c r="AY658" s="47"/>
      <c r="AZ658" s="47"/>
      <c r="BA658" s="47"/>
      <c r="BB658" s="47"/>
      <c r="BC658" s="47"/>
    </row>
    <row r="659" spans="1:55" x14ac:dyDescent="0.25">
      <c r="A659" s="45" t="s">
        <v>1370</v>
      </c>
      <c r="B659" s="46">
        <f t="shared" si="17"/>
        <v>37</v>
      </c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6">
        <f>80/IF(Общие_или_заединицу="Общие трудозатраты",1,16)</f>
        <v>5</v>
      </c>
      <c r="U659" s="47"/>
      <c r="V659" s="47"/>
      <c r="W659" s="47"/>
      <c r="X659" s="47"/>
      <c r="Y659" s="47"/>
      <c r="Z659" s="47"/>
      <c r="AA659" s="47"/>
      <c r="AB659" s="47"/>
      <c r="AC659" s="47"/>
      <c r="AD659" s="47"/>
      <c r="AE659" s="47"/>
      <c r="AF659" s="47"/>
      <c r="AG659" s="47"/>
      <c r="AH659" s="47"/>
      <c r="AI659" s="47"/>
      <c r="AJ659" s="47"/>
      <c r="AK659" s="47"/>
      <c r="AL659" s="47"/>
      <c r="AM659" s="47"/>
      <c r="AN659" s="47"/>
      <c r="AO659" s="47"/>
      <c r="AP659" s="47"/>
      <c r="AQ659" s="47"/>
      <c r="AR659" s="47"/>
      <c r="AS659" s="47"/>
      <c r="AT659" s="47"/>
      <c r="AU659" s="47"/>
      <c r="AV659" s="47"/>
      <c r="AW659" s="46">
        <f>512/IF(Общие_или_заединицу="Общие трудозатраты",1,16)</f>
        <v>32</v>
      </c>
      <c r="AX659" s="47"/>
      <c r="AY659" s="47"/>
      <c r="AZ659" s="47"/>
      <c r="BA659" s="47"/>
      <c r="BB659" s="47"/>
      <c r="BC659" s="47"/>
    </row>
    <row r="660" spans="1:55" x14ac:dyDescent="0.25">
      <c r="A660" s="45" t="s">
        <v>1368</v>
      </c>
      <c r="B660" s="46">
        <f t="shared" si="17"/>
        <v>9</v>
      </c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  <c r="AA660" s="47"/>
      <c r="AB660" s="47"/>
      <c r="AC660" s="47"/>
      <c r="AD660" s="47"/>
      <c r="AE660" s="47"/>
      <c r="AF660" s="47"/>
      <c r="AG660" s="47"/>
      <c r="AH660" s="47"/>
      <c r="AI660" s="47"/>
      <c r="AJ660" s="47"/>
      <c r="AK660" s="47"/>
      <c r="AL660" s="46">
        <f>48/IF(Общие_или_заединицу="Общие трудозатраты",1,16)</f>
        <v>3</v>
      </c>
      <c r="AM660" s="47"/>
      <c r="AN660" s="47"/>
      <c r="AO660" s="46">
        <f>96/IF(Общие_или_заединицу="Общие трудозатраты",1,16)</f>
        <v>6</v>
      </c>
      <c r="AP660" s="47"/>
      <c r="AQ660" s="47"/>
      <c r="AR660" s="47"/>
      <c r="AS660" s="47"/>
      <c r="AT660" s="47"/>
      <c r="AU660" s="47"/>
      <c r="AV660" s="47"/>
      <c r="AW660" s="47"/>
      <c r="AX660" s="47"/>
      <c r="AY660" s="47"/>
      <c r="AZ660" s="47"/>
      <c r="BA660" s="47"/>
      <c r="BB660" s="47"/>
      <c r="BC660" s="47"/>
    </row>
    <row r="661" spans="1:55" x14ac:dyDescent="0.25">
      <c r="A661" s="45" t="s">
        <v>1371</v>
      </c>
      <c r="B661" s="46">
        <f t="shared" si="17"/>
        <v>15.9</v>
      </c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6">
        <f>14.4/IF(Общие_или_заединицу="Общие трудозатраты",1,16)</f>
        <v>0.9</v>
      </c>
      <c r="T661" s="47"/>
      <c r="U661" s="47"/>
      <c r="V661" s="47"/>
      <c r="W661" s="47"/>
      <c r="X661" s="47"/>
      <c r="Y661" s="47"/>
      <c r="Z661" s="47"/>
      <c r="AA661" s="47"/>
      <c r="AB661" s="47"/>
      <c r="AC661" s="47"/>
      <c r="AD661" s="47"/>
      <c r="AE661" s="47"/>
      <c r="AF661" s="47"/>
      <c r="AG661" s="47"/>
      <c r="AH661" s="47"/>
      <c r="AI661" s="47"/>
      <c r="AJ661" s="47"/>
      <c r="AK661" s="47"/>
      <c r="AL661" s="47"/>
      <c r="AM661" s="47"/>
      <c r="AN661" s="47"/>
      <c r="AO661" s="47"/>
      <c r="AP661" s="47"/>
      <c r="AQ661" s="47"/>
      <c r="AR661" s="47"/>
      <c r="AS661" s="47"/>
      <c r="AT661" s="47"/>
      <c r="AU661" s="47"/>
      <c r="AV661" s="47"/>
      <c r="AW661" s="46">
        <f>240/IF(Общие_или_заединицу="Общие трудозатраты",1,16)</f>
        <v>15</v>
      </c>
      <c r="AX661" s="47"/>
      <c r="AY661" s="47"/>
      <c r="AZ661" s="47"/>
      <c r="BA661" s="47"/>
      <c r="BB661" s="47"/>
      <c r="BC661" s="47"/>
    </row>
    <row r="662" spans="1:55" x14ac:dyDescent="0.25">
      <c r="A662" s="45" t="s">
        <v>1372</v>
      </c>
      <c r="B662" s="48">
        <f t="shared" si="17"/>
        <v>47</v>
      </c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6">
        <f>64/IF(Общие_или_заединицу="Общие трудозатраты",1,32)</f>
        <v>2</v>
      </c>
      <c r="U662" s="47"/>
      <c r="V662" s="47"/>
      <c r="W662" s="47"/>
      <c r="X662" s="47"/>
      <c r="Y662" s="47"/>
      <c r="Z662" s="47"/>
      <c r="AA662" s="47"/>
      <c r="AB662" s="47"/>
      <c r="AC662" s="47"/>
      <c r="AD662" s="47"/>
      <c r="AE662" s="47"/>
      <c r="AF662" s="47"/>
      <c r="AG662" s="47"/>
      <c r="AH662" s="47"/>
      <c r="AI662" s="47"/>
      <c r="AJ662" s="47"/>
      <c r="AK662" s="47"/>
      <c r="AL662" s="47"/>
      <c r="AM662" s="47"/>
      <c r="AN662" s="47"/>
      <c r="AO662" s="47"/>
      <c r="AP662" s="47"/>
      <c r="AQ662" s="47"/>
      <c r="AR662" s="47"/>
      <c r="AS662" s="47"/>
      <c r="AT662" s="47"/>
      <c r="AU662" s="47"/>
      <c r="AV662" s="47"/>
      <c r="AW662" s="48">
        <f>1440/IF(Общие_или_заединицу="Общие трудозатраты",1,32)</f>
        <v>45</v>
      </c>
      <c r="AX662" s="47"/>
      <c r="AY662" s="47"/>
      <c r="AZ662" s="47"/>
      <c r="BA662" s="47"/>
      <c r="BB662" s="47"/>
      <c r="BC662" s="47"/>
    </row>
    <row r="663" spans="1:55" x14ac:dyDescent="0.25">
      <c r="A663" s="45" t="s">
        <v>1373</v>
      </c>
      <c r="B663" s="46">
        <f t="shared" si="17"/>
        <v>31.5</v>
      </c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6">
        <f>88/IF(Общие_или_заединицу="Общие трудозатраты",1,16)</f>
        <v>5.5</v>
      </c>
      <c r="U663" s="47"/>
      <c r="V663" s="47"/>
      <c r="W663" s="47"/>
      <c r="X663" s="47"/>
      <c r="Y663" s="47"/>
      <c r="Z663" s="47"/>
      <c r="AA663" s="47"/>
      <c r="AB663" s="47"/>
      <c r="AC663" s="47"/>
      <c r="AD663" s="47"/>
      <c r="AE663" s="47"/>
      <c r="AF663" s="47"/>
      <c r="AG663" s="47"/>
      <c r="AH663" s="47"/>
      <c r="AI663" s="47"/>
      <c r="AJ663" s="47"/>
      <c r="AK663" s="47"/>
      <c r="AL663" s="47"/>
      <c r="AM663" s="47"/>
      <c r="AN663" s="47"/>
      <c r="AO663" s="47"/>
      <c r="AP663" s="47"/>
      <c r="AQ663" s="47"/>
      <c r="AR663" s="47"/>
      <c r="AS663" s="47"/>
      <c r="AT663" s="47"/>
      <c r="AU663" s="47"/>
      <c r="AV663" s="47"/>
      <c r="AW663" s="46">
        <f>416/IF(Общие_или_заединицу="Общие трудозатраты",1,16)</f>
        <v>26</v>
      </c>
      <c r="AX663" s="47"/>
      <c r="AY663" s="47"/>
      <c r="AZ663" s="47"/>
      <c r="BA663" s="47"/>
      <c r="BB663" s="47"/>
      <c r="BC663" s="47"/>
    </row>
    <row r="664" spans="1:55" x14ac:dyDescent="0.25">
      <c r="A664" s="45" t="s">
        <v>1369</v>
      </c>
      <c r="B664" s="46">
        <f t="shared" si="17"/>
        <v>11</v>
      </c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6">
        <f>32/IF(Общие_или_заединицу="Общие трудозатраты",1,16)</f>
        <v>2</v>
      </c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  <c r="AA664" s="47"/>
      <c r="AB664" s="47"/>
      <c r="AC664" s="47"/>
      <c r="AD664" s="47"/>
      <c r="AE664" s="47"/>
      <c r="AF664" s="47"/>
      <c r="AG664" s="47"/>
      <c r="AH664" s="47"/>
      <c r="AI664" s="47"/>
      <c r="AJ664" s="47"/>
      <c r="AK664" s="47"/>
      <c r="AL664" s="46">
        <f>48/IF(Общие_или_заединицу="Общие трудозатраты",1,16)</f>
        <v>3</v>
      </c>
      <c r="AM664" s="47"/>
      <c r="AN664" s="47"/>
      <c r="AO664" s="46">
        <f>96/IF(Общие_или_заединицу="Общие трудозатраты",1,16)</f>
        <v>6</v>
      </c>
      <c r="AP664" s="47"/>
      <c r="AQ664" s="47"/>
      <c r="AR664" s="47"/>
      <c r="AS664" s="47"/>
      <c r="AT664" s="47"/>
      <c r="AU664" s="47"/>
      <c r="AV664" s="47"/>
      <c r="AW664" s="47"/>
      <c r="AX664" s="47"/>
      <c r="AY664" s="47"/>
      <c r="AZ664" s="47"/>
      <c r="BA664" s="47"/>
      <c r="BB664" s="47"/>
      <c r="BC664" s="47"/>
    </row>
    <row r="665" spans="1:55" x14ac:dyDescent="0.25">
      <c r="A665" s="45" t="s">
        <v>1374</v>
      </c>
      <c r="B665" s="48">
        <f t="shared" si="17"/>
        <v>28.6</v>
      </c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6">
        <f>28.8/IF(Общие_или_заединицу="Общие трудозатраты",1,48)</f>
        <v>0.6</v>
      </c>
      <c r="U665" s="47"/>
      <c r="V665" s="47"/>
      <c r="W665" s="47"/>
      <c r="X665" s="47"/>
      <c r="Y665" s="47"/>
      <c r="Z665" s="47"/>
      <c r="AA665" s="47"/>
      <c r="AB665" s="47"/>
      <c r="AC665" s="47"/>
      <c r="AD665" s="47"/>
      <c r="AE665" s="47"/>
      <c r="AF665" s="47"/>
      <c r="AG665" s="47"/>
      <c r="AH665" s="47"/>
      <c r="AI665" s="47"/>
      <c r="AJ665" s="47"/>
      <c r="AK665" s="47"/>
      <c r="AL665" s="47"/>
      <c r="AM665" s="47"/>
      <c r="AN665" s="47"/>
      <c r="AO665" s="47"/>
      <c r="AP665" s="47"/>
      <c r="AQ665" s="47"/>
      <c r="AR665" s="47"/>
      <c r="AS665" s="47"/>
      <c r="AT665" s="47"/>
      <c r="AU665" s="47"/>
      <c r="AV665" s="47"/>
      <c r="AW665" s="48">
        <f>1344/IF(Общие_или_заединицу="Общие трудозатраты",1,48)</f>
        <v>28</v>
      </c>
      <c r="AX665" s="47"/>
      <c r="AY665" s="47"/>
      <c r="AZ665" s="47"/>
      <c r="BA665" s="47"/>
      <c r="BB665" s="47"/>
      <c r="BC665" s="47"/>
    </row>
    <row r="666" spans="1:55" x14ac:dyDescent="0.25">
      <c r="A666" s="45" t="s">
        <v>1339</v>
      </c>
      <c r="B666" s="46">
        <f t="shared" si="17"/>
        <v>3</v>
      </c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  <c r="AA666" s="47"/>
      <c r="AB666" s="47"/>
      <c r="AC666" s="47"/>
      <c r="AD666" s="47"/>
      <c r="AE666" s="47"/>
      <c r="AF666" s="47"/>
      <c r="AG666" s="47"/>
      <c r="AH666" s="47"/>
      <c r="AI666" s="47"/>
      <c r="AJ666" s="47"/>
      <c r="AK666" s="47"/>
      <c r="AL666" s="47"/>
      <c r="AM666" s="47"/>
      <c r="AN666" s="47"/>
      <c r="AO666" s="46">
        <f>24/IF(Общие_или_заединицу="Общие трудозатраты",1,8)</f>
        <v>3</v>
      </c>
      <c r="AP666" s="47"/>
      <c r="AQ666" s="47"/>
      <c r="AR666" s="47"/>
      <c r="AS666" s="47"/>
      <c r="AT666" s="47"/>
      <c r="AU666" s="47"/>
      <c r="AV666" s="47"/>
      <c r="AW666" s="47"/>
      <c r="AX666" s="47"/>
      <c r="AY666" s="47"/>
      <c r="AZ666" s="47"/>
      <c r="BA666" s="47"/>
      <c r="BB666" s="47"/>
      <c r="BC666" s="47"/>
    </row>
    <row r="667" spans="1:55" x14ac:dyDescent="0.25">
      <c r="A667" s="45" t="s">
        <v>1375</v>
      </c>
      <c r="B667" s="46">
        <f t="shared" si="17"/>
        <v>3.6</v>
      </c>
      <c r="C667" s="47"/>
      <c r="D667" s="47"/>
      <c r="E667" s="47"/>
      <c r="F667" s="46">
        <f>24/IF(Общие_или_заединицу="Общие трудозатраты",1,8)</f>
        <v>3</v>
      </c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6">
        <f>4.8/IF(Общие_или_заединицу="Общие трудозатраты",1,8)</f>
        <v>0.6</v>
      </c>
      <c r="U667" s="47"/>
      <c r="V667" s="47"/>
      <c r="W667" s="47"/>
      <c r="X667" s="47"/>
      <c r="Y667" s="47"/>
      <c r="Z667" s="47"/>
      <c r="AA667" s="47"/>
      <c r="AB667" s="47"/>
      <c r="AC667" s="47"/>
      <c r="AD667" s="47"/>
      <c r="AE667" s="47"/>
      <c r="AF667" s="47"/>
      <c r="AG667" s="47"/>
      <c r="AH667" s="47"/>
      <c r="AI667" s="47"/>
      <c r="AJ667" s="47"/>
      <c r="AK667" s="47"/>
      <c r="AL667" s="47"/>
      <c r="AM667" s="47"/>
      <c r="AN667" s="47"/>
      <c r="AO667" s="47"/>
      <c r="AP667" s="47"/>
      <c r="AQ667" s="47"/>
      <c r="AR667" s="47"/>
      <c r="AS667" s="47"/>
      <c r="AT667" s="47"/>
      <c r="AU667" s="47"/>
      <c r="AV667" s="47"/>
      <c r="AW667" s="47"/>
      <c r="AX667" s="47"/>
      <c r="AY667" s="47"/>
      <c r="AZ667" s="47"/>
      <c r="BA667" s="47"/>
      <c r="BB667" s="47"/>
      <c r="BC667" s="47"/>
    </row>
    <row r="668" spans="1:55" ht="22.5" x14ac:dyDescent="0.25">
      <c r="A668" s="45" t="s">
        <v>1204</v>
      </c>
      <c r="B668" s="46">
        <f t="shared" si="17"/>
        <v>235</v>
      </c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6">
        <f>60/IF(Общие_или_заединицу="Общие трудозатраты",1,2)</f>
        <v>30</v>
      </c>
      <c r="X668" s="47"/>
      <c r="Y668" s="46">
        <f>240/IF(Общие_или_заединицу="Общие трудозатраты",1,2)</f>
        <v>120</v>
      </c>
      <c r="Z668" s="47"/>
      <c r="AA668" s="47"/>
      <c r="AB668" s="47"/>
      <c r="AC668" s="47"/>
      <c r="AD668" s="47"/>
      <c r="AE668" s="47"/>
      <c r="AF668" s="47"/>
      <c r="AG668" s="47"/>
      <c r="AH668" s="46">
        <f>120/IF(Общие_или_заединицу="Общие трудозатраты",1,2)</f>
        <v>60</v>
      </c>
      <c r="AI668" s="47"/>
      <c r="AJ668" s="47"/>
      <c r="AK668" s="47"/>
      <c r="AL668" s="47"/>
      <c r="AM668" s="47"/>
      <c r="AN668" s="46">
        <f>50/IF(Общие_или_заединицу="Общие трудозатраты",1,2)</f>
        <v>25</v>
      </c>
      <c r="AO668" s="47"/>
      <c r="AP668" s="47"/>
      <c r="AQ668" s="47"/>
      <c r="AR668" s="47"/>
      <c r="AS668" s="47"/>
      <c r="AT668" s="47"/>
      <c r="AU668" s="47"/>
      <c r="AV668" s="47"/>
      <c r="AW668" s="47"/>
      <c r="AX668" s="47"/>
      <c r="AY668" s="47"/>
      <c r="AZ668" s="47"/>
      <c r="BA668" s="47"/>
      <c r="BB668" s="47"/>
      <c r="BC668" s="47"/>
    </row>
    <row r="669" spans="1:55" x14ac:dyDescent="0.25">
      <c r="A669" s="45" t="s">
        <v>1376</v>
      </c>
      <c r="B669" s="46">
        <f t="shared" si="17"/>
        <v>260</v>
      </c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  <c r="AA669" s="47"/>
      <c r="AB669" s="47"/>
      <c r="AC669" s="47"/>
      <c r="AD669" s="47"/>
      <c r="AE669" s="47"/>
      <c r="AF669" s="46">
        <f>40/IF(Общие_или_заединицу="Общие трудозатраты",1,2)</f>
        <v>20</v>
      </c>
      <c r="AG669" s="47"/>
      <c r="AH669" s="46">
        <f>340/IF(Общие_или_заединицу="Общие трудозатраты",1,2)</f>
        <v>170</v>
      </c>
      <c r="AI669" s="47"/>
      <c r="AJ669" s="47"/>
      <c r="AK669" s="47"/>
      <c r="AL669" s="47"/>
      <c r="AM669" s="47"/>
      <c r="AN669" s="47"/>
      <c r="AO669" s="47"/>
      <c r="AP669" s="47"/>
      <c r="AQ669" s="47"/>
      <c r="AR669" s="47"/>
      <c r="AS669" s="46">
        <f>140/IF(Общие_или_заединицу="Общие трудозатраты",1,2)</f>
        <v>70</v>
      </c>
      <c r="AT669" s="47"/>
      <c r="AU669" s="47"/>
      <c r="AV669" s="47"/>
      <c r="AW669" s="47"/>
      <c r="AX669" s="47"/>
      <c r="AY669" s="47"/>
      <c r="AZ669" s="47"/>
      <c r="BA669" s="47"/>
      <c r="BB669" s="47"/>
      <c r="BC669" s="47"/>
    </row>
    <row r="670" spans="1:55" x14ac:dyDescent="0.25">
      <c r="A670" s="45" t="s">
        <v>1382</v>
      </c>
      <c r="B670" s="46">
        <f t="shared" si="17"/>
        <v>14</v>
      </c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6">
        <f>8/IF(Общие_или_заединицу="Общие трудозатраты",1,2)</f>
        <v>4</v>
      </c>
      <c r="U670" s="47"/>
      <c r="V670" s="47"/>
      <c r="W670" s="47"/>
      <c r="X670" s="47"/>
      <c r="Y670" s="47"/>
      <c r="Z670" s="47"/>
      <c r="AA670" s="47"/>
      <c r="AB670" s="47"/>
      <c r="AC670" s="47"/>
      <c r="AD670" s="47"/>
      <c r="AE670" s="47"/>
      <c r="AF670" s="47"/>
      <c r="AG670" s="47"/>
      <c r="AH670" s="47"/>
      <c r="AI670" s="47"/>
      <c r="AJ670" s="47"/>
      <c r="AK670" s="47"/>
      <c r="AL670" s="47"/>
      <c r="AM670" s="47"/>
      <c r="AN670" s="47"/>
      <c r="AO670" s="47"/>
      <c r="AP670" s="47"/>
      <c r="AQ670" s="47"/>
      <c r="AR670" s="47"/>
      <c r="AS670" s="47"/>
      <c r="AT670" s="47"/>
      <c r="AU670" s="47"/>
      <c r="AV670" s="46">
        <f>20/IF(Общие_или_заединицу="Общие трудозатраты",1,2)</f>
        <v>10</v>
      </c>
      <c r="AW670" s="47"/>
      <c r="AX670" s="47"/>
      <c r="AY670" s="47"/>
      <c r="AZ670" s="47"/>
      <c r="BA670" s="47"/>
      <c r="BB670" s="47"/>
      <c r="BC670" s="47"/>
    </row>
    <row r="671" spans="1:55" x14ac:dyDescent="0.25">
      <c r="A671" s="45" t="s">
        <v>1383</v>
      </c>
      <c r="B671" s="46">
        <f t="shared" si="17"/>
        <v>14</v>
      </c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6">
        <f>8/IF(Общие_или_заединицу="Общие трудозатраты",1,2)</f>
        <v>4</v>
      </c>
      <c r="U671" s="47"/>
      <c r="V671" s="47"/>
      <c r="W671" s="47"/>
      <c r="X671" s="47"/>
      <c r="Y671" s="47"/>
      <c r="Z671" s="47"/>
      <c r="AA671" s="47"/>
      <c r="AB671" s="47"/>
      <c r="AC671" s="47"/>
      <c r="AD671" s="47"/>
      <c r="AE671" s="47"/>
      <c r="AF671" s="47"/>
      <c r="AG671" s="47"/>
      <c r="AH671" s="47"/>
      <c r="AI671" s="47"/>
      <c r="AJ671" s="47"/>
      <c r="AK671" s="47"/>
      <c r="AL671" s="47"/>
      <c r="AM671" s="47"/>
      <c r="AN671" s="47"/>
      <c r="AO671" s="47"/>
      <c r="AP671" s="47"/>
      <c r="AQ671" s="47"/>
      <c r="AR671" s="47"/>
      <c r="AS671" s="47"/>
      <c r="AT671" s="47"/>
      <c r="AU671" s="47"/>
      <c r="AV671" s="46">
        <f>20/IF(Общие_или_заединицу="Общие трудозатраты",1,2)</f>
        <v>10</v>
      </c>
      <c r="AW671" s="47"/>
      <c r="AX671" s="47"/>
      <c r="AY671" s="47"/>
      <c r="AZ671" s="47"/>
      <c r="BA671" s="47"/>
      <c r="BB671" s="47"/>
      <c r="BC671" s="47"/>
    </row>
    <row r="672" spans="1:55" x14ac:dyDescent="0.25">
      <c r="A672" s="45" t="s">
        <v>1384</v>
      </c>
      <c r="B672" s="46">
        <f t="shared" si="17"/>
        <v>14</v>
      </c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6">
        <f>32/IF(Общие_или_заединицу="Общие трудозатраты",1,8)</f>
        <v>4</v>
      </c>
      <c r="U672" s="47"/>
      <c r="V672" s="47"/>
      <c r="W672" s="47"/>
      <c r="X672" s="47"/>
      <c r="Y672" s="47"/>
      <c r="Z672" s="47"/>
      <c r="AA672" s="47"/>
      <c r="AB672" s="47"/>
      <c r="AC672" s="47"/>
      <c r="AD672" s="47"/>
      <c r="AE672" s="47"/>
      <c r="AF672" s="47"/>
      <c r="AG672" s="47"/>
      <c r="AH672" s="47"/>
      <c r="AI672" s="47"/>
      <c r="AJ672" s="47"/>
      <c r="AK672" s="47"/>
      <c r="AL672" s="47"/>
      <c r="AM672" s="47"/>
      <c r="AN672" s="47"/>
      <c r="AO672" s="47"/>
      <c r="AP672" s="47"/>
      <c r="AQ672" s="47"/>
      <c r="AR672" s="47"/>
      <c r="AS672" s="47"/>
      <c r="AT672" s="47"/>
      <c r="AU672" s="47"/>
      <c r="AV672" s="46">
        <f>80/IF(Общие_или_заединицу="Общие трудозатраты",1,8)</f>
        <v>10</v>
      </c>
      <c r="AW672" s="47"/>
      <c r="AX672" s="47"/>
      <c r="AY672" s="47"/>
      <c r="AZ672" s="47"/>
      <c r="BA672" s="47"/>
      <c r="BB672" s="47"/>
      <c r="BC672" s="47"/>
    </row>
    <row r="673" spans="1:55" x14ac:dyDescent="0.25">
      <c r="A673" s="45" t="s">
        <v>1385</v>
      </c>
      <c r="B673" s="46">
        <f t="shared" si="17"/>
        <v>8.6999999999999993</v>
      </c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6">
        <f>5.6/IF(Общие_или_заединицу="Общие трудозатраты",1,8)</f>
        <v>0.7</v>
      </c>
      <c r="U673" s="47"/>
      <c r="V673" s="47"/>
      <c r="W673" s="47"/>
      <c r="X673" s="47"/>
      <c r="Y673" s="47"/>
      <c r="Z673" s="47"/>
      <c r="AA673" s="47"/>
      <c r="AB673" s="47"/>
      <c r="AC673" s="47"/>
      <c r="AD673" s="47"/>
      <c r="AE673" s="47"/>
      <c r="AF673" s="47"/>
      <c r="AG673" s="47"/>
      <c r="AH673" s="47"/>
      <c r="AI673" s="47"/>
      <c r="AJ673" s="47"/>
      <c r="AK673" s="47"/>
      <c r="AL673" s="47"/>
      <c r="AM673" s="47"/>
      <c r="AN673" s="47"/>
      <c r="AO673" s="47"/>
      <c r="AP673" s="47"/>
      <c r="AQ673" s="47"/>
      <c r="AR673" s="47"/>
      <c r="AS673" s="47"/>
      <c r="AT673" s="47"/>
      <c r="AU673" s="47"/>
      <c r="AV673" s="46">
        <f>64/IF(Общие_или_заединицу="Общие трудозатраты",1,8)</f>
        <v>8</v>
      </c>
      <c r="AW673" s="47"/>
      <c r="AX673" s="47"/>
      <c r="AY673" s="47"/>
      <c r="AZ673" s="47"/>
      <c r="BA673" s="47"/>
      <c r="BB673" s="47"/>
      <c r="BC673" s="47"/>
    </row>
    <row r="674" spans="1:55" x14ac:dyDescent="0.25">
      <c r="A674" s="45" t="s">
        <v>1386</v>
      </c>
      <c r="B674" s="46">
        <f t="shared" si="17"/>
        <v>14</v>
      </c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6">
        <f>64/IF(Общие_или_заединицу="Общие трудозатраты",1,16)</f>
        <v>4</v>
      </c>
      <c r="U674" s="47"/>
      <c r="V674" s="47"/>
      <c r="W674" s="47"/>
      <c r="X674" s="47"/>
      <c r="Y674" s="47"/>
      <c r="Z674" s="47"/>
      <c r="AA674" s="47"/>
      <c r="AB674" s="47"/>
      <c r="AC674" s="47"/>
      <c r="AD674" s="47"/>
      <c r="AE674" s="47"/>
      <c r="AF674" s="47"/>
      <c r="AG674" s="47"/>
      <c r="AH674" s="47"/>
      <c r="AI674" s="47"/>
      <c r="AJ674" s="47"/>
      <c r="AK674" s="47"/>
      <c r="AL674" s="47"/>
      <c r="AM674" s="47"/>
      <c r="AN674" s="47"/>
      <c r="AO674" s="47"/>
      <c r="AP674" s="47"/>
      <c r="AQ674" s="47"/>
      <c r="AR674" s="47"/>
      <c r="AS674" s="47"/>
      <c r="AT674" s="47"/>
      <c r="AU674" s="47"/>
      <c r="AV674" s="46">
        <f>160/IF(Общие_или_заединицу="Общие трудозатраты",1,16)</f>
        <v>10</v>
      </c>
      <c r="AW674" s="47"/>
      <c r="AX674" s="47"/>
      <c r="AY674" s="47"/>
      <c r="AZ674" s="47"/>
      <c r="BA674" s="47"/>
      <c r="BB674" s="47"/>
      <c r="BC674" s="47"/>
    </row>
    <row r="675" spans="1:55" x14ac:dyDescent="0.25">
      <c r="A675" s="45" t="s">
        <v>1387</v>
      </c>
      <c r="B675" s="46">
        <f t="shared" si="17"/>
        <v>14</v>
      </c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6">
        <f>8/IF(Общие_или_заединицу="Общие трудозатраты",1,2)</f>
        <v>4</v>
      </c>
      <c r="U675" s="47"/>
      <c r="V675" s="47"/>
      <c r="W675" s="47"/>
      <c r="X675" s="47"/>
      <c r="Y675" s="47"/>
      <c r="Z675" s="47"/>
      <c r="AA675" s="47"/>
      <c r="AB675" s="47"/>
      <c r="AC675" s="47"/>
      <c r="AD675" s="47"/>
      <c r="AE675" s="47"/>
      <c r="AF675" s="47"/>
      <c r="AG675" s="47"/>
      <c r="AH675" s="47"/>
      <c r="AI675" s="47"/>
      <c r="AJ675" s="47"/>
      <c r="AK675" s="47"/>
      <c r="AL675" s="47"/>
      <c r="AM675" s="47"/>
      <c r="AN675" s="47"/>
      <c r="AO675" s="47"/>
      <c r="AP675" s="47"/>
      <c r="AQ675" s="47"/>
      <c r="AR675" s="47"/>
      <c r="AS675" s="47"/>
      <c r="AT675" s="47"/>
      <c r="AU675" s="47"/>
      <c r="AV675" s="46">
        <f>20/IF(Общие_или_заединицу="Общие трудозатраты",1,2)</f>
        <v>10</v>
      </c>
      <c r="AW675" s="47"/>
      <c r="AX675" s="47"/>
      <c r="AY675" s="47"/>
      <c r="AZ675" s="47"/>
      <c r="BA675" s="47"/>
      <c r="BB675" s="47"/>
      <c r="BC675" s="47"/>
    </row>
    <row r="676" spans="1:55" x14ac:dyDescent="0.25">
      <c r="A676" s="45" t="s">
        <v>1388</v>
      </c>
      <c r="B676" s="46">
        <f t="shared" si="17"/>
        <v>14</v>
      </c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6">
        <f>8/IF(Общие_или_заединицу="Общие трудозатраты",1,2)</f>
        <v>4</v>
      </c>
      <c r="U676" s="47"/>
      <c r="V676" s="47"/>
      <c r="W676" s="47"/>
      <c r="X676" s="47"/>
      <c r="Y676" s="47"/>
      <c r="Z676" s="47"/>
      <c r="AA676" s="47"/>
      <c r="AB676" s="47"/>
      <c r="AC676" s="47"/>
      <c r="AD676" s="47"/>
      <c r="AE676" s="47"/>
      <c r="AF676" s="47"/>
      <c r="AG676" s="47"/>
      <c r="AH676" s="47"/>
      <c r="AI676" s="47"/>
      <c r="AJ676" s="47"/>
      <c r="AK676" s="47"/>
      <c r="AL676" s="47"/>
      <c r="AM676" s="47"/>
      <c r="AN676" s="47"/>
      <c r="AO676" s="47"/>
      <c r="AP676" s="47"/>
      <c r="AQ676" s="47"/>
      <c r="AR676" s="47"/>
      <c r="AS676" s="47"/>
      <c r="AT676" s="47"/>
      <c r="AU676" s="47"/>
      <c r="AV676" s="46">
        <f>20/IF(Общие_или_заединицу="Общие трудозатраты",1,2)</f>
        <v>10</v>
      </c>
      <c r="AW676" s="47"/>
      <c r="AX676" s="47"/>
      <c r="AY676" s="47"/>
      <c r="AZ676" s="47"/>
      <c r="BA676" s="47"/>
      <c r="BB676" s="47"/>
      <c r="BC676" s="47"/>
    </row>
    <row r="677" spans="1:55" x14ac:dyDescent="0.25">
      <c r="A677" s="45" t="s">
        <v>1389</v>
      </c>
      <c r="B677" s="46">
        <f t="shared" si="17"/>
        <v>14</v>
      </c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6">
        <f>32/IF(Общие_или_заединицу="Общие трудозатраты",1,8)</f>
        <v>4</v>
      </c>
      <c r="U677" s="47"/>
      <c r="V677" s="47"/>
      <c r="W677" s="47"/>
      <c r="X677" s="47"/>
      <c r="Y677" s="47"/>
      <c r="Z677" s="47"/>
      <c r="AA677" s="47"/>
      <c r="AB677" s="47"/>
      <c r="AC677" s="47"/>
      <c r="AD677" s="47"/>
      <c r="AE677" s="47"/>
      <c r="AF677" s="47"/>
      <c r="AG677" s="47"/>
      <c r="AH677" s="47"/>
      <c r="AI677" s="47"/>
      <c r="AJ677" s="47"/>
      <c r="AK677" s="47"/>
      <c r="AL677" s="47"/>
      <c r="AM677" s="47"/>
      <c r="AN677" s="47"/>
      <c r="AO677" s="47"/>
      <c r="AP677" s="47"/>
      <c r="AQ677" s="47"/>
      <c r="AR677" s="47"/>
      <c r="AS677" s="47"/>
      <c r="AT677" s="47"/>
      <c r="AU677" s="47"/>
      <c r="AV677" s="46">
        <f>80/IF(Общие_или_заединицу="Общие трудозатраты",1,8)</f>
        <v>10</v>
      </c>
      <c r="AW677" s="47"/>
      <c r="AX677" s="47"/>
      <c r="AY677" s="47"/>
      <c r="AZ677" s="47"/>
      <c r="BA677" s="47"/>
      <c r="BB677" s="47"/>
      <c r="BC677" s="47"/>
    </row>
    <row r="678" spans="1:55" ht="22.5" x14ac:dyDescent="0.25">
      <c r="A678" s="45" t="s">
        <v>1377</v>
      </c>
      <c r="B678" s="46">
        <f t="shared" si="17"/>
        <v>10</v>
      </c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  <c r="AA678" s="47"/>
      <c r="AB678" s="47"/>
      <c r="AC678" s="47"/>
      <c r="AD678" s="47"/>
      <c r="AE678" s="47"/>
      <c r="AF678" s="47"/>
      <c r="AG678" s="47"/>
      <c r="AH678" s="47"/>
      <c r="AI678" s="47"/>
      <c r="AJ678" s="47"/>
      <c r="AK678" s="47"/>
      <c r="AL678" s="47"/>
      <c r="AM678" s="47"/>
      <c r="AN678" s="46">
        <f>80/IF(Общие_или_заединицу="Общие трудозатраты",1,8)</f>
        <v>10</v>
      </c>
      <c r="AO678" s="47"/>
      <c r="AP678" s="47"/>
      <c r="AQ678" s="47"/>
      <c r="AR678" s="47"/>
      <c r="AS678" s="47"/>
      <c r="AT678" s="47"/>
      <c r="AU678" s="47"/>
      <c r="AV678" s="47"/>
      <c r="AW678" s="47"/>
      <c r="AX678" s="47"/>
      <c r="AY678" s="47"/>
      <c r="AZ678" s="47"/>
      <c r="BA678" s="47"/>
      <c r="BB678" s="47"/>
      <c r="BC678" s="47"/>
    </row>
    <row r="679" spans="1:55" x14ac:dyDescent="0.25">
      <c r="A679" s="45" t="s">
        <v>1391</v>
      </c>
      <c r="B679" s="46">
        <f t="shared" si="17"/>
        <v>5.75</v>
      </c>
      <c r="C679" s="47"/>
      <c r="D679" s="47"/>
      <c r="E679" s="46">
        <f>32/IF(Общие_или_заединицу="Общие трудозатраты",1,8)</f>
        <v>4</v>
      </c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6">
        <f>14/IF(Общие_или_заединицу="Общие трудозатраты",1,8)</f>
        <v>1.75</v>
      </c>
      <c r="T679" s="47"/>
      <c r="U679" s="47"/>
      <c r="V679" s="47"/>
      <c r="W679" s="47"/>
      <c r="X679" s="47"/>
      <c r="Y679" s="47"/>
      <c r="Z679" s="47"/>
      <c r="AA679" s="47"/>
      <c r="AB679" s="47"/>
      <c r="AC679" s="47"/>
      <c r="AD679" s="47"/>
      <c r="AE679" s="47"/>
      <c r="AF679" s="47"/>
      <c r="AG679" s="47"/>
      <c r="AH679" s="47"/>
      <c r="AI679" s="47"/>
      <c r="AJ679" s="47"/>
      <c r="AK679" s="47"/>
      <c r="AL679" s="47"/>
      <c r="AM679" s="47"/>
      <c r="AN679" s="47"/>
      <c r="AO679" s="47"/>
      <c r="AP679" s="47"/>
      <c r="AQ679" s="47"/>
      <c r="AR679" s="47"/>
      <c r="AS679" s="47"/>
      <c r="AT679" s="47"/>
      <c r="AU679" s="47"/>
      <c r="AV679" s="47"/>
      <c r="AW679" s="47"/>
      <c r="AX679" s="47"/>
      <c r="AY679" s="47"/>
      <c r="AZ679" s="47"/>
      <c r="BA679" s="47"/>
      <c r="BB679" s="47"/>
      <c r="BC679" s="47"/>
    </row>
    <row r="680" spans="1:55" x14ac:dyDescent="0.25">
      <c r="A680" s="45" t="s">
        <v>1378</v>
      </c>
      <c r="B680" s="48">
        <f t="shared" si="17"/>
        <v>190</v>
      </c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  <c r="AA680" s="47"/>
      <c r="AB680" s="47"/>
      <c r="AC680" s="47"/>
      <c r="AD680" s="47"/>
      <c r="AE680" s="47"/>
      <c r="AF680" s="46">
        <f>144/IF(Общие_или_заединицу="Общие трудозатраты",1,8)</f>
        <v>18</v>
      </c>
      <c r="AG680" s="47"/>
      <c r="AH680" s="46">
        <f>960/IF(Общие_или_заединицу="Общие трудозатраты",1,8)</f>
        <v>120</v>
      </c>
      <c r="AI680" s="47"/>
      <c r="AJ680" s="47"/>
      <c r="AK680" s="47"/>
      <c r="AL680" s="47"/>
      <c r="AM680" s="47"/>
      <c r="AN680" s="47"/>
      <c r="AO680" s="47"/>
      <c r="AP680" s="47"/>
      <c r="AQ680" s="47"/>
      <c r="AR680" s="47"/>
      <c r="AS680" s="46">
        <f>416/IF(Общие_или_заединицу="Общие трудозатраты",1,8)</f>
        <v>52</v>
      </c>
      <c r="AT680" s="47"/>
      <c r="AU680" s="47"/>
      <c r="AV680" s="47"/>
      <c r="AW680" s="47"/>
      <c r="AX680" s="47"/>
      <c r="AY680" s="47"/>
      <c r="AZ680" s="47"/>
      <c r="BA680" s="47"/>
      <c r="BB680" s="47"/>
      <c r="BC680" s="47"/>
    </row>
    <row r="681" spans="1:55" x14ac:dyDescent="0.25">
      <c r="A681" s="45" t="s">
        <v>1393</v>
      </c>
      <c r="B681" s="48">
        <f t="shared" si="17"/>
        <v>13.5</v>
      </c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6">
        <f>132/IF(Общие_или_заединицу="Общие трудозатраты",1,88)</f>
        <v>1.5</v>
      </c>
      <c r="U681" s="47"/>
      <c r="V681" s="47"/>
      <c r="W681" s="47"/>
      <c r="X681" s="47"/>
      <c r="Y681" s="47"/>
      <c r="Z681" s="47"/>
      <c r="AA681" s="47"/>
      <c r="AB681" s="47"/>
      <c r="AC681" s="47"/>
      <c r="AD681" s="47"/>
      <c r="AE681" s="47"/>
      <c r="AF681" s="47"/>
      <c r="AG681" s="47"/>
      <c r="AH681" s="47"/>
      <c r="AI681" s="47"/>
      <c r="AJ681" s="47"/>
      <c r="AK681" s="47"/>
      <c r="AL681" s="47"/>
      <c r="AM681" s="47"/>
      <c r="AN681" s="47"/>
      <c r="AO681" s="47"/>
      <c r="AP681" s="47"/>
      <c r="AQ681" s="47"/>
      <c r="AR681" s="47"/>
      <c r="AS681" s="47"/>
      <c r="AT681" s="47"/>
      <c r="AU681" s="47"/>
      <c r="AV681" s="48">
        <f>1056/IF(Общие_или_заединицу="Общие трудозатраты",1,88)</f>
        <v>12</v>
      </c>
      <c r="AW681" s="47"/>
      <c r="AX681" s="47"/>
      <c r="AY681" s="47"/>
      <c r="AZ681" s="47"/>
      <c r="BA681" s="47"/>
      <c r="BB681" s="47"/>
      <c r="BC681" s="47"/>
    </row>
    <row r="682" spans="1:55" x14ac:dyDescent="0.25">
      <c r="A682" s="45" t="s">
        <v>1394</v>
      </c>
      <c r="B682" s="46">
        <f t="shared" si="17"/>
        <v>16.5</v>
      </c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6">
        <f>24/IF(Общие_или_заединицу="Общие трудозатраты",1,16)</f>
        <v>1.5</v>
      </c>
      <c r="U682" s="47"/>
      <c r="V682" s="47"/>
      <c r="W682" s="47"/>
      <c r="X682" s="47"/>
      <c r="Y682" s="47"/>
      <c r="Z682" s="47"/>
      <c r="AA682" s="47"/>
      <c r="AB682" s="47"/>
      <c r="AC682" s="47"/>
      <c r="AD682" s="47"/>
      <c r="AE682" s="47"/>
      <c r="AF682" s="47"/>
      <c r="AG682" s="47"/>
      <c r="AH682" s="47"/>
      <c r="AI682" s="47"/>
      <c r="AJ682" s="47"/>
      <c r="AK682" s="47"/>
      <c r="AL682" s="47"/>
      <c r="AM682" s="47"/>
      <c r="AN682" s="47"/>
      <c r="AO682" s="47"/>
      <c r="AP682" s="47"/>
      <c r="AQ682" s="47"/>
      <c r="AR682" s="47"/>
      <c r="AS682" s="47"/>
      <c r="AT682" s="47"/>
      <c r="AU682" s="47"/>
      <c r="AV682" s="47"/>
      <c r="AW682" s="46">
        <f>240/IF(Общие_или_заединицу="Общие трудозатраты",1,16)</f>
        <v>15</v>
      </c>
      <c r="AX682" s="47"/>
      <c r="AY682" s="47"/>
      <c r="AZ682" s="47"/>
      <c r="BA682" s="47"/>
      <c r="BB682" s="47"/>
      <c r="BC682" s="47"/>
    </row>
    <row r="683" spans="1:55" x14ac:dyDescent="0.25">
      <c r="A683" s="45" t="s">
        <v>1395</v>
      </c>
      <c r="B683" s="46">
        <f t="shared" si="17"/>
        <v>6.67</v>
      </c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6">
        <f>5.36/IF(Общие_или_заединицу="Общие трудозатраты",1,8)</f>
        <v>0.67</v>
      </c>
      <c r="U683" s="47"/>
      <c r="V683" s="47"/>
      <c r="W683" s="47"/>
      <c r="X683" s="47"/>
      <c r="Y683" s="47"/>
      <c r="Z683" s="47"/>
      <c r="AA683" s="47"/>
      <c r="AB683" s="47"/>
      <c r="AC683" s="47"/>
      <c r="AD683" s="47"/>
      <c r="AE683" s="47"/>
      <c r="AF683" s="47"/>
      <c r="AG683" s="47"/>
      <c r="AH683" s="47"/>
      <c r="AI683" s="47"/>
      <c r="AJ683" s="47"/>
      <c r="AK683" s="47"/>
      <c r="AL683" s="47"/>
      <c r="AM683" s="47"/>
      <c r="AN683" s="47"/>
      <c r="AO683" s="47"/>
      <c r="AP683" s="47"/>
      <c r="AQ683" s="47"/>
      <c r="AR683" s="47"/>
      <c r="AS683" s="47"/>
      <c r="AT683" s="47"/>
      <c r="AU683" s="47"/>
      <c r="AV683" s="47"/>
      <c r="AW683" s="46">
        <f>48/IF(Общие_или_заединицу="Общие трудозатраты",1,8)</f>
        <v>6</v>
      </c>
      <c r="AX683" s="47"/>
      <c r="AY683" s="47"/>
      <c r="AZ683" s="47"/>
      <c r="BA683" s="47"/>
      <c r="BB683" s="47"/>
      <c r="BC683" s="47"/>
    </row>
    <row r="684" spans="1:55" x14ac:dyDescent="0.25">
      <c r="A684" s="45" t="s">
        <v>1392</v>
      </c>
      <c r="B684" s="46">
        <f t="shared" si="17"/>
        <v>10</v>
      </c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  <c r="AA684" s="47"/>
      <c r="AB684" s="47"/>
      <c r="AC684" s="47"/>
      <c r="AD684" s="47"/>
      <c r="AE684" s="47"/>
      <c r="AF684" s="47"/>
      <c r="AG684" s="47"/>
      <c r="AH684" s="46">
        <f>90/IF(Общие_или_заединицу="Общие трудозатраты",1,9)</f>
        <v>10</v>
      </c>
      <c r="AI684" s="47"/>
      <c r="AJ684" s="47"/>
      <c r="AK684" s="47"/>
      <c r="AL684" s="47"/>
      <c r="AM684" s="47"/>
      <c r="AN684" s="47"/>
      <c r="AO684" s="47"/>
      <c r="AP684" s="47"/>
      <c r="AQ684" s="47"/>
      <c r="AR684" s="47"/>
      <c r="AS684" s="47"/>
      <c r="AT684" s="47"/>
      <c r="AU684" s="47"/>
      <c r="AV684" s="47"/>
      <c r="AW684" s="47"/>
      <c r="AX684" s="47"/>
      <c r="AY684" s="47"/>
      <c r="AZ684" s="47"/>
      <c r="BA684" s="47"/>
      <c r="BB684" s="47"/>
      <c r="BC684" s="47"/>
    </row>
    <row r="685" spans="1:55" x14ac:dyDescent="0.25">
      <c r="A685" s="45" t="s">
        <v>1396</v>
      </c>
      <c r="B685" s="46">
        <f t="shared" si="17"/>
        <v>19.670000000000002</v>
      </c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6">
        <f>6.03/IF(Общие_или_заединицу="Общие трудозатраты",1,9)</f>
        <v>0.67</v>
      </c>
      <c r="U685" s="47"/>
      <c r="V685" s="47"/>
      <c r="W685" s="47"/>
      <c r="X685" s="47"/>
      <c r="Y685" s="47"/>
      <c r="Z685" s="47"/>
      <c r="AA685" s="47"/>
      <c r="AB685" s="47"/>
      <c r="AC685" s="47"/>
      <c r="AD685" s="47"/>
      <c r="AE685" s="47"/>
      <c r="AF685" s="47"/>
      <c r="AG685" s="47"/>
      <c r="AH685" s="47"/>
      <c r="AI685" s="47"/>
      <c r="AJ685" s="47"/>
      <c r="AK685" s="47"/>
      <c r="AL685" s="47"/>
      <c r="AM685" s="47"/>
      <c r="AN685" s="47"/>
      <c r="AO685" s="47"/>
      <c r="AP685" s="47"/>
      <c r="AQ685" s="47"/>
      <c r="AR685" s="47"/>
      <c r="AS685" s="47"/>
      <c r="AT685" s="47"/>
      <c r="AU685" s="47"/>
      <c r="AV685" s="47"/>
      <c r="AW685" s="46">
        <f>135/IF(Общие_или_заединицу="Общие трудозатраты",1,9)</f>
        <v>15</v>
      </c>
      <c r="AX685" s="47"/>
      <c r="AY685" s="46">
        <f>36/IF(Общие_или_заединицу="Общие трудозатраты",1,9)</f>
        <v>4</v>
      </c>
      <c r="AZ685" s="47"/>
      <c r="BA685" s="47"/>
      <c r="BB685" s="47"/>
      <c r="BC685" s="47"/>
    </row>
    <row r="686" spans="1:55" x14ac:dyDescent="0.25">
      <c r="A686" s="45" t="s">
        <v>1397</v>
      </c>
      <c r="B686" s="46">
        <f t="shared" si="17"/>
        <v>8.67</v>
      </c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6">
        <f>6.03/IF(Общие_или_заединицу="Общие трудозатраты",1,9)</f>
        <v>0.67</v>
      </c>
      <c r="U686" s="47"/>
      <c r="V686" s="47"/>
      <c r="W686" s="47"/>
      <c r="X686" s="47"/>
      <c r="Y686" s="47"/>
      <c r="Z686" s="47"/>
      <c r="AA686" s="47"/>
      <c r="AB686" s="47"/>
      <c r="AC686" s="47"/>
      <c r="AD686" s="47"/>
      <c r="AE686" s="47"/>
      <c r="AF686" s="47"/>
      <c r="AG686" s="47"/>
      <c r="AH686" s="47"/>
      <c r="AI686" s="47"/>
      <c r="AJ686" s="47"/>
      <c r="AK686" s="47"/>
      <c r="AL686" s="47"/>
      <c r="AM686" s="47"/>
      <c r="AN686" s="47"/>
      <c r="AO686" s="47"/>
      <c r="AP686" s="47"/>
      <c r="AQ686" s="47"/>
      <c r="AR686" s="47"/>
      <c r="AS686" s="47"/>
      <c r="AT686" s="47"/>
      <c r="AU686" s="47"/>
      <c r="AV686" s="47"/>
      <c r="AW686" s="46">
        <f>45/IF(Общие_или_заединицу="Общие трудозатраты",1,9)</f>
        <v>5</v>
      </c>
      <c r="AX686" s="47"/>
      <c r="AY686" s="46">
        <f>27/IF(Общие_или_заединицу="Общие трудозатраты",1,9)</f>
        <v>3</v>
      </c>
      <c r="AZ686" s="47"/>
      <c r="BA686" s="47"/>
      <c r="BB686" s="47"/>
      <c r="BC686" s="47"/>
    </row>
    <row r="687" spans="1:55" x14ac:dyDescent="0.25">
      <c r="A687" s="45" t="s">
        <v>1379</v>
      </c>
      <c r="B687" s="46">
        <f t="shared" si="17"/>
        <v>61</v>
      </c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  <c r="AA687" s="47"/>
      <c r="AB687" s="47"/>
      <c r="AC687" s="47"/>
      <c r="AD687" s="47"/>
      <c r="AE687" s="47"/>
      <c r="AF687" s="46">
        <f>40/IF(Общие_или_заединицу="Общие трудозатраты",1,8)</f>
        <v>5</v>
      </c>
      <c r="AG687" s="47"/>
      <c r="AH687" s="46">
        <f>320/IF(Общие_или_заединицу="Общие трудозатраты",1,8)</f>
        <v>40</v>
      </c>
      <c r="AI687" s="47"/>
      <c r="AJ687" s="47"/>
      <c r="AK687" s="47"/>
      <c r="AL687" s="47"/>
      <c r="AM687" s="47"/>
      <c r="AN687" s="47"/>
      <c r="AO687" s="47"/>
      <c r="AP687" s="47"/>
      <c r="AQ687" s="47"/>
      <c r="AR687" s="47"/>
      <c r="AS687" s="46">
        <f>128/IF(Общие_или_заединицу="Общие трудозатраты",1,8)</f>
        <v>16</v>
      </c>
      <c r="AT687" s="47"/>
      <c r="AU687" s="47"/>
      <c r="AV687" s="47"/>
      <c r="AW687" s="47"/>
      <c r="AX687" s="47"/>
      <c r="AY687" s="47"/>
      <c r="AZ687" s="47"/>
      <c r="BA687" s="47"/>
      <c r="BB687" s="47"/>
      <c r="BC687" s="47"/>
    </row>
    <row r="688" spans="1:55" x14ac:dyDescent="0.25">
      <c r="A688" s="45" t="s">
        <v>1398</v>
      </c>
      <c r="B688" s="46">
        <f t="shared" si="17"/>
        <v>14</v>
      </c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6">
        <f>32/IF(Общие_или_заединицу="Общие трудозатраты",1,8)</f>
        <v>4</v>
      </c>
      <c r="U688" s="47"/>
      <c r="V688" s="47"/>
      <c r="W688" s="47"/>
      <c r="X688" s="47"/>
      <c r="Y688" s="47"/>
      <c r="Z688" s="47"/>
      <c r="AA688" s="47"/>
      <c r="AB688" s="47"/>
      <c r="AC688" s="47"/>
      <c r="AD688" s="47"/>
      <c r="AE688" s="47"/>
      <c r="AF688" s="47"/>
      <c r="AG688" s="47"/>
      <c r="AH688" s="47"/>
      <c r="AI688" s="47"/>
      <c r="AJ688" s="47"/>
      <c r="AK688" s="47"/>
      <c r="AL688" s="47"/>
      <c r="AM688" s="47"/>
      <c r="AN688" s="47"/>
      <c r="AO688" s="47"/>
      <c r="AP688" s="47"/>
      <c r="AQ688" s="47"/>
      <c r="AR688" s="47"/>
      <c r="AS688" s="47"/>
      <c r="AT688" s="47"/>
      <c r="AU688" s="47"/>
      <c r="AV688" s="46">
        <f>80/IF(Общие_или_заединицу="Общие трудозатраты",1,8)</f>
        <v>10</v>
      </c>
      <c r="AW688" s="47"/>
      <c r="AX688" s="47"/>
      <c r="AY688" s="47"/>
      <c r="AZ688" s="47"/>
      <c r="BA688" s="47"/>
      <c r="BB688" s="47"/>
      <c r="BC688" s="47"/>
    </row>
    <row r="689" spans="1:55" x14ac:dyDescent="0.25">
      <c r="A689" s="45" t="s">
        <v>1399</v>
      </c>
      <c r="B689" s="46">
        <f t="shared" si="17"/>
        <v>14</v>
      </c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6">
        <f>32/IF(Общие_или_заединицу="Общие трудозатраты",1,8)</f>
        <v>4</v>
      </c>
      <c r="U689" s="47"/>
      <c r="V689" s="47"/>
      <c r="W689" s="47"/>
      <c r="X689" s="47"/>
      <c r="Y689" s="47"/>
      <c r="Z689" s="47"/>
      <c r="AA689" s="47"/>
      <c r="AB689" s="47"/>
      <c r="AC689" s="47"/>
      <c r="AD689" s="47"/>
      <c r="AE689" s="47"/>
      <c r="AF689" s="47"/>
      <c r="AG689" s="47"/>
      <c r="AH689" s="47"/>
      <c r="AI689" s="47"/>
      <c r="AJ689" s="47"/>
      <c r="AK689" s="47"/>
      <c r="AL689" s="47"/>
      <c r="AM689" s="47"/>
      <c r="AN689" s="47"/>
      <c r="AO689" s="47"/>
      <c r="AP689" s="47"/>
      <c r="AQ689" s="47"/>
      <c r="AR689" s="47"/>
      <c r="AS689" s="47"/>
      <c r="AT689" s="47"/>
      <c r="AU689" s="47"/>
      <c r="AV689" s="46">
        <f>80/IF(Общие_или_заединицу="Общие трудозатраты",1,8)</f>
        <v>10</v>
      </c>
      <c r="AW689" s="47"/>
      <c r="AX689" s="47"/>
      <c r="AY689" s="47"/>
      <c r="AZ689" s="47"/>
      <c r="BA689" s="47"/>
      <c r="BB689" s="47"/>
      <c r="BC689" s="47"/>
    </row>
    <row r="690" spans="1:55" x14ac:dyDescent="0.25">
      <c r="A690" s="45" t="s">
        <v>1400</v>
      </c>
      <c r="B690" s="46">
        <f t="shared" si="17"/>
        <v>14</v>
      </c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6">
        <f>32/IF(Общие_или_заединицу="Общие трудозатраты",1,8)</f>
        <v>4</v>
      </c>
      <c r="U690" s="47"/>
      <c r="V690" s="47"/>
      <c r="W690" s="47"/>
      <c r="X690" s="47"/>
      <c r="Y690" s="47"/>
      <c r="Z690" s="47"/>
      <c r="AA690" s="47"/>
      <c r="AB690" s="47"/>
      <c r="AC690" s="47"/>
      <c r="AD690" s="47"/>
      <c r="AE690" s="47"/>
      <c r="AF690" s="47"/>
      <c r="AG690" s="47"/>
      <c r="AH690" s="47"/>
      <c r="AI690" s="47"/>
      <c r="AJ690" s="47"/>
      <c r="AK690" s="47"/>
      <c r="AL690" s="47"/>
      <c r="AM690" s="47"/>
      <c r="AN690" s="47"/>
      <c r="AO690" s="47"/>
      <c r="AP690" s="47"/>
      <c r="AQ690" s="47"/>
      <c r="AR690" s="47"/>
      <c r="AS690" s="47"/>
      <c r="AT690" s="47"/>
      <c r="AU690" s="47"/>
      <c r="AV690" s="46">
        <f>80/IF(Общие_или_заединицу="Общие трудозатраты",1,8)</f>
        <v>10</v>
      </c>
      <c r="AW690" s="47"/>
      <c r="AX690" s="47"/>
      <c r="AY690" s="47"/>
      <c r="AZ690" s="47"/>
      <c r="BA690" s="47"/>
      <c r="BB690" s="47"/>
      <c r="BC690" s="47"/>
    </row>
    <row r="691" spans="1:55" x14ac:dyDescent="0.25">
      <c r="A691" s="45" t="s">
        <v>1380</v>
      </c>
      <c r="B691" s="46">
        <f t="shared" si="17"/>
        <v>15</v>
      </c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  <c r="AA691" s="47"/>
      <c r="AB691" s="47"/>
      <c r="AC691" s="47"/>
      <c r="AD691" s="47"/>
      <c r="AE691" s="47"/>
      <c r="AF691" s="47"/>
      <c r="AG691" s="47"/>
      <c r="AH691" s="46">
        <f>120/IF(Общие_или_заединицу="Общие трудозатраты",1,8)</f>
        <v>15</v>
      </c>
      <c r="AI691" s="47"/>
      <c r="AJ691" s="47"/>
      <c r="AK691" s="47"/>
      <c r="AL691" s="47"/>
      <c r="AM691" s="47"/>
      <c r="AN691" s="47"/>
      <c r="AO691" s="47"/>
      <c r="AP691" s="47"/>
      <c r="AQ691" s="47"/>
      <c r="AR691" s="47"/>
      <c r="AS691" s="47"/>
      <c r="AT691" s="47"/>
      <c r="AU691" s="47"/>
      <c r="AV691" s="47"/>
      <c r="AW691" s="47"/>
      <c r="AX691" s="47"/>
      <c r="AY691" s="47"/>
      <c r="AZ691" s="47"/>
      <c r="BA691" s="47"/>
      <c r="BB691" s="47"/>
      <c r="BC691" s="47"/>
    </row>
    <row r="692" spans="1:55" x14ac:dyDescent="0.25">
      <c r="A692" s="45" t="s">
        <v>1402</v>
      </c>
      <c r="B692" s="46">
        <f t="shared" si="17"/>
        <v>3.3</v>
      </c>
      <c r="C692" s="47"/>
      <c r="D692" s="47"/>
      <c r="E692" s="47"/>
      <c r="F692" s="47"/>
      <c r="G692" s="46">
        <f>96/IF(Общие_или_заединицу="Общие трудозатраты",1,32)</f>
        <v>3</v>
      </c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6">
        <f>9.6/IF(Общие_или_заединицу="Общие трудозатраты",1,32)</f>
        <v>0.3</v>
      </c>
      <c r="T692" s="47"/>
      <c r="U692" s="47"/>
      <c r="V692" s="47"/>
      <c r="W692" s="47"/>
      <c r="X692" s="47"/>
      <c r="Y692" s="47"/>
      <c r="Z692" s="47"/>
      <c r="AA692" s="47"/>
      <c r="AB692" s="47"/>
      <c r="AC692" s="47"/>
      <c r="AD692" s="47"/>
      <c r="AE692" s="47"/>
      <c r="AF692" s="47"/>
      <c r="AG692" s="47"/>
      <c r="AH692" s="47"/>
      <c r="AI692" s="47"/>
      <c r="AJ692" s="47"/>
      <c r="AK692" s="47"/>
      <c r="AL692" s="47"/>
      <c r="AM692" s="47"/>
      <c r="AN692" s="47"/>
      <c r="AO692" s="47"/>
      <c r="AP692" s="47"/>
      <c r="AQ692" s="47"/>
      <c r="AR692" s="47"/>
      <c r="AS692" s="47"/>
      <c r="AT692" s="47"/>
      <c r="AU692" s="47"/>
      <c r="AV692" s="47"/>
      <c r="AW692" s="47"/>
      <c r="AX692" s="47"/>
      <c r="AY692" s="47"/>
      <c r="AZ692" s="47"/>
      <c r="BA692" s="47"/>
      <c r="BB692" s="47"/>
      <c r="BC692" s="47"/>
    </row>
    <row r="693" spans="1:55" x14ac:dyDescent="0.25">
      <c r="A693" s="45" t="s">
        <v>1403</v>
      </c>
      <c r="B693" s="46">
        <f t="shared" si="17"/>
        <v>6.6</v>
      </c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6">
        <f>9.6/IF(Общие_или_заединицу="Общие трудозатраты",1,16)</f>
        <v>0.6</v>
      </c>
      <c r="U693" s="47"/>
      <c r="V693" s="47"/>
      <c r="W693" s="47"/>
      <c r="X693" s="47"/>
      <c r="Y693" s="47"/>
      <c r="Z693" s="47"/>
      <c r="AA693" s="47"/>
      <c r="AB693" s="47"/>
      <c r="AC693" s="47"/>
      <c r="AD693" s="47"/>
      <c r="AE693" s="47"/>
      <c r="AF693" s="47"/>
      <c r="AG693" s="47"/>
      <c r="AH693" s="47"/>
      <c r="AI693" s="47"/>
      <c r="AJ693" s="47"/>
      <c r="AK693" s="47"/>
      <c r="AL693" s="47"/>
      <c r="AM693" s="47"/>
      <c r="AN693" s="47"/>
      <c r="AO693" s="47"/>
      <c r="AP693" s="47"/>
      <c r="AQ693" s="47"/>
      <c r="AR693" s="47"/>
      <c r="AS693" s="47"/>
      <c r="AT693" s="47"/>
      <c r="AU693" s="47"/>
      <c r="AV693" s="47"/>
      <c r="AW693" s="46">
        <f>96/IF(Общие_или_заединицу="Общие трудозатраты",1,16)</f>
        <v>6</v>
      </c>
      <c r="AX693" s="47"/>
      <c r="AY693" s="47"/>
      <c r="AZ693" s="47"/>
      <c r="BA693" s="47"/>
      <c r="BB693" s="47"/>
      <c r="BC693" s="47"/>
    </row>
    <row r="694" spans="1:55" x14ac:dyDescent="0.25">
      <c r="A694" s="45" t="s">
        <v>1404</v>
      </c>
      <c r="B694" s="46">
        <f t="shared" si="17"/>
        <v>0.5</v>
      </c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6">
        <f>4/IF(Общие_или_заединицу="Общие трудозатраты",1,8)</f>
        <v>0.5</v>
      </c>
      <c r="U694" s="47"/>
      <c r="V694" s="47"/>
      <c r="W694" s="47"/>
      <c r="X694" s="47"/>
      <c r="Y694" s="47"/>
      <c r="Z694" s="47"/>
      <c r="AA694" s="47"/>
      <c r="AB694" s="47"/>
      <c r="AC694" s="47"/>
      <c r="AD694" s="47"/>
      <c r="AE694" s="47"/>
      <c r="AF694" s="47"/>
      <c r="AG694" s="47"/>
      <c r="AH694" s="47"/>
      <c r="AI694" s="47"/>
      <c r="AJ694" s="47"/>
      <c r="AK694" s="47"/>
      <c r="AL694" s="47"/>
      <c r="AM694" s="47"/>
      <c r="AN694" s="47"/>
      <c r="AO694" s="47"/>
      <c r="AP694" s="47"/>
      <c r="AQ694" s="47"/>
      <c r="AR694" s="47"/>
      <c r="AS694" s="47"/>
      <c r="AT694" s="47"/>
      <c r="AU694" s="47"/>
      <c r="AV694" s="47"/>
      <c r="AW694" s="47"/>
      <c r="AX694" s="47"/>
      <c r="AY694" s="47"/>
      <c r="AZ694" s="47"/>
      <c r="BA694" s="47"/>
      <c r="BB694" s="47"/>
      <c r="BC694" s="47"/>
    </row>
    <row r="695" spans="1:55" ht="22.5" x14ac:dyDescent="0.25">
      <c r="A695" s="45" t="s">
        <v>1294</v>
      </c>
      <c r="B695" s="46">
        <f t="shared" si="17"/>
        <v>160</v>
      </c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6">
        <f>15/IF(Общие_или_заединицу="Общие трудозатраты",1,1)</f>
        <v>15</v>
      </c>
      <c r="X695" s="47"/>
      <c r="Y695" s="46">
        <f>60/IF(Общие_или_заединицу="Общие трудозатраты",1,1)</f>
        <v>60</v>
      </c>
      <c r="Z695" s="47"/>
      <c r="AA695" s="47"/>
      <c r="AB695" s="47"/>
      <c r="AC695" s="47"/>
      <c r="AD695" s="47"/>
      <c r="AE695" s="47"/>
      <c r="AF695" s="47"/>
      <c r="AG695" s="47"/>
      <c r="AH695" s="46">
        <f>60/IF(Общие_или_заединицу="Общие трудозатраты",1,1)</f>
        <v>60</v>
      </c>
      <c r="AI695" s="47"/>
      <c r="AJ695" s="47"/>
      <c r="AK695" s="47"/>
      <c r="AL695" s="47"/>
      <c r="AM695" s="47"/>
      <c r="AN695" s="46">
        <f>25/IF(Общие_или_заединицу="Общие трудозатраты",1,1)</f>
        <v>25</v>
      </c>
      <c r="AO695" s="47"/>
      <c r="AP695" s="47"/>
      <c r="AQ695" s="47"/>
      <c r="AR695" s="47"/>
      <c r="AS695" s="47"/>
      <c r="AT695" s="47"/>
      <c r="AU695" s="47"/>
      <c r="AV695" s="47"/>
      <c r="AW695" s="47"/>
      <c r="AX695" s="47"/>
      <c r="AY695" s="47"/>
      <c r="AZ695" s="47"/>
      <c r="BA695" s="47"/>
      <c r="BB695" s="47"/>
      <c r="BC695" s="47"/>
    </row>
    <row r="696" spans="1:55" x14ac:dyDescent="0.25">
      <c r="A696" s="45" t="s">
        <v>1412</v>
      </c>
      <c r="B696" s="46">
        <f t="shared" si="17"/>
        <v>283</v>
      </c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  <c r="AA696" s="47"/>
      <c r="AB696" s="47"/>
      <c r="AC696" s="47"/>
      <c r="AD696" s="47"/>
      <c r="AE696" s="47"/>
      <c r="AF696" s="46">
        <f>17/IF(Общие_или_заединицу="Общие трудозатраты",1,1)</f>
        <v>17</v>
      </c>
      <c r="AG696" s="47"/>
      <c r="AH696" s="46">
        <f>190/IF(Общие_или_заединицу="Общие трудозатраты",1,1)</f>
        <v>190</v>
      </c>
      <c r="AI696" s="47"/>
      <c r="AJ696" s="47"/>
      <c r="AK696" s="47"/>
      <c r="AL696" s="47"/>
      <c r="AM696" s="47"/>
      <c r="AN696" s="47"/>
      <c r="AO696" s="47"/>
      <c r="AP696" s="47"/>
      <c r="AQ696" s="47"/>
      <c r="AR696" s="47"/>
      <c r="AS696" s="46">
        <f>76/IF(Общие_или_заединицу="Общие трудозатраты",1,1)</f>
        <v>76</v>
      </c>
      <c r="AT696" s="47"/>
      <c r="AU696" s="47"/>
      <c r="AV696" s="47"/>
      <c r="AW696" s="47"/>
      <c r="AX696" s="47"/>
      <c r="AY696" s="47"/>
      <c r="AZ696" s="47"/>
      <c r="BA696" s="47"/>
      <c r="BB696" s="47"/>
      <c r="BC696" s="47"/>
    </row>
    <row r="697" spans="1:55" x14ac:dyDescent="0.25">
      <c r="A697" s="45" t="s">
        <v>1413</v>
      </c>
      <c r="B697" s="46">
        <f t="shared" si="17"/>
        <v>14</v>
      </c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6">
        <f>24/IF(Общие_или_заединицу="Общие трудозатраты",1,6)</f>
        <v>4</v>
      </c>
      <c r="U697" s="47"/>
      <c r="V697" s="47"/>
      <c r="W697" s="47"/>
      <c r="X697" s="47"/>
      <c r="Y697" s="47"/>
      <c r="Z697" s="47"/>
      <c r="AA697" s="47"/>
      <c r="AB697" s="47"/>
      <c r="AC697" s="47"/>
      <c r="AD697" s="47"/>
      <c r="AE697" s="47"/>
      <c r="AF697" s="47"/>
      <c r="AG697" s="47"/>
      <c r="AH697" s="47"/>
      <c r="AI697" s="47"/>
      <c r="AJ697" s="47"/>
      <c r="AK697" s="47"/>
      <c r="AL697" s="47"/>
      <c r="AM697" s="47"/>
      <c r="AN697" s="47"/>
      <c r="AO697" s="47"/>
      <c r="AP697" s="47"/>
      <c r="AQ697" s="47"/>
      <c r="AR697" s="47"/>
      <c r="AS697" s="47"/>
      <c r="AT697" s="47"/>
      <c r="AU697" s="47"/>
      <c r="AV697" s="46">
        <f>60/IF(Общие_или_заединицу="Общие трудозатраты",1,6)</f>
        <v>10</v>
      </c>
      <c r="AW697" s="47"/>
      <c r="AX697" s="47"/>
      <c r="AY697" s="47"/>
      <c r="AZ697" s="47"/>
      <c r="BA697" s="47"/>
      <c r="BB697" s="47"/>
      <c r="BC697" s="47"/>
    </row>
    <row r="698" spans="1:55" x14ac:dyDescent="0.25">
      <c r="A698" s="45" t="s">
        <v>1414</v>
      </c>
      <c r="B698" s="46">
        <f t="shared" si="17"/>
        <v>14</v>
      </c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6">
        <f>48/IF(Общие_или_заединицу="Общие трудозатраты",1,12)</f>
        <v>4</v>
      </c>
      <c r="U698" s="47"/>
      <c r="V698" s="47"/>
      <c r="W698" s="47"/>
      <c r="X698" s="47"/>
      <c r="Y698" s="47"/>
      <c r="Z698" s="47"/>
      <c r="AA698" s="47"/>
      <c r="AB698" s="47"/>
      <c r="AC698" s="47"/>
      <c r="AD698" s="47"/>
      <c r="AE698" s="47"/>
      <c r="AF698" s="47"/>
      <c r="AG698" s="47"/>
      <c r="AH698" s="47"/>
      <c r="AI698" s="47"/>
      <c r="AJ698" s="47"/>
      <c r="AK698" s="47"/>
      <c r="AL698" s="47"/>
      <c r="AM698" s="47"/>
      <c r="AN698" s="47"/>
      <c r="AO698" s="47"/>
      <c r="AP698" s="47"/>
      <c r="AQ698" s="47"/>
      <c r="AR698" s="47"/>
      <c r="AS698" s="47"/>
      <c r="AT698" s="47"/>
      <c r="AU698" s="47"/>
      <c r="AV698" s="46">
        <f>120/IF(Общие_или_заединицу="Общие трудозатраты",1,12)</f>
        <v>10</v>
      </c>
      <c r="AW698" s="47"/>
      <c r="AX698" s="47"/>
      <c r="AY698" s="47"/>
      <c r="AZ698" s="47"/>
      <c r="BA698" s="47"/>
      <c r="BB698" s="47"/>
      <c r="BC698" s="47"/>
    </row>
    <row r="699" spans="1:55" x14ac:dyDescent="0.25">
      <c r="A699" s="45" t="s">
        <v>1415</v>
      </c>
      <c r="B699" s="46">
        <f t="shared" si="17"/>
        <v>14</v>
      </c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6">
        <f>24/IF(Общие_или_заединицу="Общие трудозатраты",1,6)</f>
        <v>4</v>
      </c>
      <c r="U699" s="47"/>
      <c r="V699" s="47"/>
      <c r="W699" s="47"/>
      <c r="X699" s="47"/>
      <c r="Y699" s="47"/>
      <c r="Z699" s="47"/>
      <c r="AA699" s="47"/>
      <c r="AB699" s="47"/>
      <c r="AC699" s="47"/>
      <c r="AD699" s="47"/>
      <c r="AE699" s="47"/>
      <c r="AF699" s="47"/>
      <c r="AG699" s="47"/>
      <c r="AH699" s="47"/>
      <c r="AI699" s="47"/>
      <c r="AJ699" s="47"/>
      <c r="AK699" s="47"/>
      <c r="AL699" s="47"/>
      <c r="AM699" s="47"/>
      <c r="AN699" s="47"/>
      <c r="AO699" s="47"/>
      <c r="AP699" s="47"/>
      <c r="AQ699" s="47"/>
      <c r="AR699" s="47"/>
      <c r="AS699" s="47"/>
      <c r="AT699" s="47"/>
      <c r="AU699" s="47"/>
      <c r="AV699" s="46">
        <f>60/IF(Общие_или_заединицу="Общие трудозатраты",1,6)</f>
        <v>10</v>
      </c>
      <c r="AW699" s="47"/>
      <c r="AX699" s="47"/>
      <c r="AY699" s="47"/>
      <c r="AZ699" s="47"/>
      <c r="BA699" s="47"/>
      <c r="BB699" s="47"/>
      <c r="BC699" s="47"/>
    </row>
    <row r="700" spans="1:55" ht="22.5" x14ac:dyDescent="0.25">
      <c r="A700" s="45" t="s">
        <v>1320</v>
      </c>
      <c r="B700" s="46">
        <f t="shared" si="17"/>
        <v>144</v>
      </c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6">
        <f>70/IF(Общие_или_заединицу="Общие трудозатраты",1,5)</f>
        <v>14</v>
      </c>
      <c r="X700" s="47"/>
      <c r="Y700" s="46">
        <f>225/IF(Общие_или_заединицу="Общие трудозатраты",1,5)</f>
        <v>45</v>
      </c>
      <c r="Z700" s="47"/>
      <c r="AA700" s="47"/>
      <c r="AB700" s="47"/>
      <c r="AC700" s="47"/>
      <c r="AD700" s="47"/>
      <c r="AE700" s="47"/>
      <c r="AF700" s="47"/>
      <c r="AG700" s="47"/>
      <c r="AH700" s="46">
        <f>300/IF(Общие_или_заединицу="Общие трудозатраты",1,5)</f>
        <v>60</v>
      </c>
      <c r="AI700" s="47"/>
      <c r="AJ700" s="47"/>
      <c r="AK700" s="47"/>
      <c r="AL700" s="47"/>
      <c r="AM700" s="47"/>
      <c r="AN700" s="46">
        <f>125/IF(Общие_или_заединицу="Общие трудозатраты",1,5)</f>
        <v>25</v>
      </c>
      <c r="AO700" s="47"/>
      <c r="AP700" s="47"/>
      <c r="AQ700" s="47"/>
      <c r="AR700" s="47"/>
      <c r="AS700" s="47"/>
      <c r="AT700" s="47"/>
      <c r="AU700" s="47"/>
      <c r="AV700" s="47"/>
      <c r="AW700" s="47"/>
      <c r="AX700" s="47"/>
      <c r="AY700" s="47"/>
      <c r="AZ700" s="47"/>
      <c r="BA700" s="47"/>
      <c r="BB700" s="47"/>
      <c r="BC700" s="47"/>
    </row>
    <row r="701" spans="1:55" x14ac:dyDescent="0.25">
      <c r="A701" s="45" t="s">
        <v>1416</v>
      </c>
      <c r="B701" s="48">
        <f t="shared" si="17"/>
        <v>261</v>
      </c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  <c r="AA701" s="47"/>
      <c r="AB701" s="47"/>
      <c r="AC701" s="47"/>
      <c r="AD701" s="47"/>
      <c r="AE701" s="47"/>
      <c r="AF701" s="46">
        <f>120/IF(Общие_или_заединицу="Общие трудозатраты",1,5)</f>
        <v>24</v>
      </c>
      <c r="AG701" s="47"/>
      <c r="AH701" s="46">
        <f>800/IF(Общие_или_заединицу="Общие трудозатраты",1,5)</f>
        <v>160</v>
      </c>
      <c r="AI701" s="47"/>
      <c r="AJ701" s="47"/>
      <c r="AK701" s="47"/>
      <c r="AL701" s="47"/>
      <c r="AM701" s="47"/>
      <c r="AN701" s="47"/>
      <c r="AO701" s="47"/>
      <c r="AP701" s="47"/>
      <c r="AQ701" s="47"/>
      <c r="AR701" s="47"/>
      <c r="AS701" s="46">
        <f>385/IF(Общие_или_заединицу="Общие трудозатраты",1,5)</f>
        <v>77</v>
      </c>
      <c r="AT701" s="47"/>
      <c r="AU701" s="47"/>
      <c r="AV701" s="47"/>
      <c r="AW701" s="47"/>
      <c r="AX701" s="47"/>
      <c r="AY701" s="47"/>
      <c r="AZ701" s="47"/>
      <c r="BA701" s="47"/>
      <c r="BB701" s="47"/>
      <c r="BC701" s="47"/>
    </row>
    <row r="702" spans="1:55" ht="22.5" x14ac:dyDescent="0.25">
      <c r="A702" s="45" t="s">
        <v>1418</v>
      </c>
      <c r="B702" s="46">
        <f t="shared" si="17"/>
        <v>25</v>
      </c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6">
        <f>5/IF(Общие_или_заединицу="Общие трудозатраты",1,1)</f>
        <v>5</v>
      </c>
      <c r="Q702" s="46">
        <f>20/IF(Общие_или_заединицу="Общие трудозатраты",1,1)</f>
        <v>20</v>
      </c>
      <c r="R702" s="47"/>
      <c r="S702" s="47"/>
      <c r="T702" s="47"/>
      <c r="U702" s="47"/>
      <c r="V702" s="47"/>
      <c r="W702" s="47"/>
      <c r="X702" s="47"/>
      <c r="Y702" s="47"/>
      <c r="Z702" s="47"/>
      <c r="AA702" s="47"/>
      <c r="AB702" s="47"/>
      <c r="AC702" s="47"/>
      <c r="AD702" s="47"/>
      <c r="AE702" s="47"/>
      <c r="AF702" s="47"/>
      <c r="AG702" s="47"/>
      <c r="AH702" s="47"/>
      <c r="AI702" s="47"/>
      <c r="AJ702" s="47"/>
      <c r="AK702" s="47"/>
      <c r="AL702" s="47"/>
      <c r="AM702" s="47"/>
      <c r="AN702" s="47"/>
      <c r="AO702" s="47"/>
      <c r="AP702" s="47"/>
      <c r="AQ702" s="47"/>
      <c r="AR702" s="47"/>
      <c r="AS702" s="47"/>
      <c r="AT702" s="47"/>
      <c r="AU702" s="47"/>
      <c r="AV702" s="47"/>
      <c r="AW702" s="47"/>
      <c r="AX702" s="47"/>
      <c r="AY702" s="47"/>
      <c r="AZ702" s="47"/>
      <c r="BA702" s="47"/>
      <c r="BB702" s="47"/>
      <c r="BC702" s="47"/>
    </row>
    <row r="703" spans="1:55" x14ac:dyDescent="0.25">
      <c r="A703" s="45" t="s">
        <v>1417</v>
      </c>
      <c r="B703" s="46">
        <f t="shared" si="17"/>
        <v>33</v>
      </c>
      <c r="C703" s="47"/>
      <c r="D703" s="47"/>
      <c r="E703" s="46">
        <f>10/IF(Общие_или_заединицу="Общие трудозатраты",1,2)</f>
        <v>5</v>
      </c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  <c r="AA703" s="47"/>
      <c r="AB703" s="47"/>
      <c r="AC703" s="47"/>
      <c r="AD703" s="46">
        <f>16/IF(Общие_или_заединицу="Общие трудозатраты",1,2)*IF(Пробивка="Стандартная пробивная",1,3.5)</f>
        <v>28</v>
      </c>
      <c r="AE703" s="47"/>
      <c r="AF703" s="47"/>
      <c r="AG703" s="47"/>
      <c r="AH703" s="47"/>
      <c r="AI703" s="47"/>
      <c r="AJ703" s="47"/>
      <c r="AK703" s="47"/>
      <c r="AL703" s="47"/>
      <c r="AM703" s="47"/>
      <c r="AN703" s="47"/>
      <c r="AO703" s="47"/>
      <c r="AP703" s="47"/>
      <c r="AQ703" s="47"/>
      <c r="AR703" s="47"/>
      <c r="AS703" s="47"/>
      <c r="AT703" s="47"/>
      <c r="AU703" s="47"/>
      <c r="AV703" s="47"/>
      <c r="AW703" s="47"/>
      <c r="AX703" s="47"/>
      <c r="AY703" s="47"/>
      <c r="AZ703" s="47"/>
      <c r="BA703" s="47"/>
      <c r="BB703" s="47"/>
      <c r="BC703" s="47"/>
    </row>
    <row r="704" spans="1:55" x14ac:dyDescent="0.25">
      <c r="A704" s="45" t="s">
        <v>1419</v>
      </c>
      <c r="B704" s="46">
        <f t="shared" si="17"/>
        <v>40</v>
      </c>
      <c r="C704" s="47"/>
      <c r="D704" s="47"/>
      <c r="E704" s="46">
        <f>5/IF(Общие_или_заединицу="Общие трудозатраты",1,1)</f>
        <v>5</v>
      </c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  <c r="AA704" s="47"/>
      <c r="AB704" s="47"/>
      <c r="AC704" s="47"/>
      <c r="AD704" s="46">
        <f>10/IF(Общие_или_заединицу="Общие трудозатраты",1,1)*IF(Пробивка="Стандартная пробивная",1,3.5)</f>
        <v>35</v>
      </c>
      <c r="AE704" s="47"/>
      <c r="AF704" s="47"/>
      <c r="AG704" s="47"/>
      <c r="AH704" s="47"/>
      <c r="AI704" s="47"/>
      <c r="AJ704" s="47"/>
      <c r="AK704" s="47"/>
      <c r="AL704" s="47"/>
      <c r="AM704" s="47"/>
      <c r="AN704" s="47"/>
      <c r="AO704" s="47"/>
      <c r="AP704" s="47"/>
      <c r="AQ704" s="47"/>
      <c r="AR704" s="47"/>
      <c r="AS704" s="47"/>
      <c r="AT704" s="47"/>
      <c r="AU704" s="47"/>
      <c r="AV704" s="47"/>
      <c r="AW704" s="47"/>
      <c r="AX704" s="47"/>
      <c r="AY704" s="47"/>
      <c r="AZ704" s="47"/>
      <c r="BA704" s="47"/>
      <c r="BB704" s="47"/>
      <c r="BC704" s="47"/>
    </row>
    <row r="705" spans="1:55" x14ac:dyDescent="0.25">
      <c r="A705" s="45" t="s">
        <v>1420</v>
      </c>
      <c r="B705" s="46">
        <f t="shared" si="17"/>
        <v>22.5</v>
      </c>
      <c r="C705" s="47"/>
      <c r="D705" s="47"/>
      <c r="E705" s="46">
        <f>5/IF(Общие_или_заединицу="Общие трудозатраты",1,1)</f>
        <v>5</v>
      </c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  <c r="AA705" s="47"/>
      <c r="AB705" s="47"/>
      <c r="AC705" s="47"/>
      <c r="AD705" s="46">
        <f>5/IF(Общие_или_заединицу="Общие трудозатраты",1,1)*IF(Пробивка="Стандартная пробивная",1,3.5)</f>
        <v>17.5</v>
      </c>
      <c r="AE705" s="47"/>
      <c r="AF705" s="47"/>
      <c r="AG705" s="47"/>
      <c r="AH705" s="47"/>
      <c r="AI705" s="47"/>
      <c r="AJ705" s="47"/>
      <c r="AK705" s="47"/>
      <c r="AL705" s="47"/>
      <c r="AM705" s="47"/>
      <c r="AN705" s="47"/>
      <c r="AO705" s="47"/>
      <c r="AP705" s="47"/>
      <c r="AQ705" s="47"/>
      <c r="AR705" s="47"/>
      <c r="AS705" s="47"/>
      <c r="AT705" s="47"/>
      <c r="AU705" s="47"/>
      <c r="AV705" s="47"/>
      <c r="AW705" s="47"/>
      <c r="AX705" s="47"/>
      <c r="AY705" s="47"/>
      <c r="AZ705" s="47"/>
      <c r="BA705" s="47"/>
      <c r="BB705" s="47"/>
      <c r="BC705" s="47"/>
    </row>
    <row r="706" spans="1:55" x14ac:dyDescent="0.25">
      <c r="A706" s="45" t="s">
        <v>1421</v>
      </c>
      <c r="B706" s="46">
        <f t="shared" si="17"/>
        <v>19</v>
      </c>
      <c r="C706" s="47"/>
      <c r="D706" s="47"/>
      <c r="E706" s="46">
        <f>10/IF(Общие_или_заединицу="Общие трудозатраты",1,2)</f>
        <v>5</v>
      </c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  <c r="AA706" s="47"/>
      <c r="AB706" s="47"/>
      <c r="AC706" s="47"/>
      <c r="AD706" s="46">
        <f>8/IF(Общие_или_заединицу="Общие трудозатраты",1,2)*IF(Пробивка="Стандартная пробивная",1,3.5)</f>
        <v>14</v>
      </c>
      <c r="AE706" s="47"/>
      <c r="AF706" s="47"/>
      <c r="AG706" s="47"/>
      <c r="AH706" s="47"/>
      <c r="AI706" s="47"/>
      <c r="AJ706" s="47"/>
      <c r="AK706" s="47"/>
      <c r="AL706" s="47"/>
      <c r="AM706" s="47"/>
      <c r="AN706" s="47"/>
      <c r="AO706" s="47"/>
      <c r="AP706" s="47"/>
      <c r="AQ706" s="47"/>
      <c r="AR706" s="47"/>
      <c r="AS706" s="47"/>
      <c r="AT706" s="47"/>
      <c r="AU706" s="47"/>
      <c r="AV706" s="47"/>
      <c r="AW706" s="47"/>
      <c r="AX706" s="47"/>
      <c r="AY706" s="47"/>
      <c r="AZ706" s="47"/>
      <c r="BA706" s="47"/>
      <c r="BB706" s="47"/>
      <c r="BC706" s="47"/>
    </row>
    <row r="707" spans="1:55" x14ac:dyDescent="0.25">
      <c r="A707" s="45" t="s">
        <v>1422</v>
      </c>
      <c r="B707" s="46">
        <f t="shared" si="17"/>
        <v>20</v>
      </c>
      <c r="C707" s="47"/>
      <c r="D707" s="47"/>
      <c r="E707" s="46">
        <f>6/IF(Общие_или_заединицу="Общие трудозатраты",1,1)</f>
        <v>6</v>
      </c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  <c r="AA707" s="47"/>
      <c r="AB707" s="47"/>
      <c r="AC707" s="47"/>
      <c r="AD707" s="46">
        <f>4/IF(Общие_или_заединицу="Общие трудозатраты",1,1)*IF(Пробивка="Стандартная пробивная",1,3.5)</f>
        <v>14</v>
      </c>
      <c r="AE707" s="47"/>
      <c r="AF707" s="47"/>
      <c r="AG707" s="47"/>
      <c r="AH707" s="47"/>
      <c r="AI707" s="47"/>
      <c r="AJ707" s="47"/>
      <c r="AK707" s="47"/>
      <c r="AL707" s="47"/>
      <c r="AM707" s="47"/>
      <c r="AN707" s="47"/>
      <c r="AO707" s="47"/>
      <c r="AP707" s="47"/>
      <c r="AQ707" s="47"/>
      <c r="AR707" s="47"/>
      <c r="AS707" s="47"/>
      <c r="AT707" s="47"/>
      <c r="AU707" s="47"/>
      <c r="AV707" s="47"/>
      <c r="AW707" s="47"/>
      <c r="AX707" s="47"/>
      <c r="AY707" s="47"/>
      <c r="AZ707" s="47"/>
      <c r="BA707" s="47"/>
      <c r="BB707" s="47"/>
      <c r="BC707" s="47"/>
    </row>
    <row r="708" spans="1:55" ht="22.5" x14ac:dyDescent="0.25">
      <c r="A708" s="45" t="s">
        <v>1423</v>
      </c>
      <c r="B708" s="46">
        <f t="shared" ref="B708:B771" si="18">SUM(C708:BC708)</f>
        <v>14.5</v>
      </c>
      <c r="C708" s="47"/>
      <c r="D708" s="47"/>
      <c r="E708" s="46">
        <f>8/IF(Общие_или_заединицу="Общие трудозатраты",1,2)</f>
        <v>4</v>
      </c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  <c r="AA708" s="47"/>
      <c r="AB708" s="47"/>
      <c r="AC708" s="47"/>
      <c r="AD708" s="46">
        <f>6/IF(Общие_или_заединицу="Общие трудозатраты",1,2)*IF(Пробивка="Стандартная пробивная",1,3.5)</f>
        <v>10.5</v>
      </c>
      <c r="AE708" s="47"/>
      <c r="AF708" s="47"/>
      <c r="AG708" s="47"/>
      <c r="AH708" s="47"/>
      <c r="AI708" s="47"/>
      <c r="AJ708" s="47"/>
      <c r="AK708" s="47"/>
      <c r="AL708" s="47"/>
      <c r="AM708" s="47"/>
      <c r="AN708" s="47"/>
      <c r="AO708" s="47"/>
      <c r="AP708" s="47"/>
      <c r="AQ708" s="47"/>
      <c r="AR708" s="47"/>
      <c r="AS708" s="47"/>
      <c r="AT708" s="47"/>
      <c r="AU708" s="47"/>
      <c r="AV708" s="47"/>
      <c r="AW708" s="47"/>
      <c r="AX708" s="47"/>
      <c r="AY708" s="47"/>
      <c r="AZ708" s="47"/>
      <c r="BA708" s="47"/>
      <c r="BB708" s="47"/>
      <c r="BC708" s="47"/>
    </row>
    <row r="709" spans="1:55" x14ac:dyDescent="0.25">
      <c r="A709" s="45" t="s">
        <v>1424</v>
      </c>
      <c r="B709" s="46">
        <f t="shared" si="18"/>
        <v>13.75</v>
      </c>
      <c r="C709" s="47"/>
      <c r="D709" s="47"/>
      <c r="E709" s="46">
        <f>10/IF(Общие_или_заединицу="Общие трудозатраты",1,2)</f>
        <v>5</v>
      </c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  <c r="AA709" s="47"/>
      <c r="AB709" s="47"/>
      <c r="AC709" s="47"/>
      <c r="AD709" s="46">
        <f>5/IF(Общие_или_заединицу="Общие трудозатраты",1,2)*IF(Пробивка="Стандартная пробивная",1,3.5)</f>
        <v>8.75</v>
      </c>
      <c r="AE709" s="47"/>
      <c r="AF709" s="47"/>
      <c r="AG709" s="47"/>
      <c r="AH709" s="47"/>
      <c r="AI709" s="47"/>
      <c r="AJ709" s="47"/>
      <c r="AK709" s="47"/>
      <c r="AL709" s="47"/>
      <c r="AM709" s="47"/>
      <c r="AN709" s="47"/>
      <c r="AO709" s="47"/>
      <c r="AP709" s="47"/>
      <c r="AQ709" s="47"/>
      <c r="AR709" s="47"/>
      <c r="AS709" s="47"/>
      <c r="AT709" s="47"/>
      <c r="AU709" s="47"/>
      <c r="AV709" s="47"/>
      <c r="AW709" s="47"/>
      <c r="AX709" s="47"/>
      <c r="AY709" s="47"/>
      <c r="AZ709" s="47"/>
      <c r="BA709" s="47"/>
      <c r="BB709" s="47"/>
      <c r="BC709" s="47"/>
    </row>
    <row r="710" spans="1:55" x14ac:dyDescent="0.25">
      <c r="A710" s="45" t="s">
        <v>1425</v>
      </c>
      <c r="B710" s="46">
        <f t="shared" si="18"/>
        <v>9</v>
      </c>
      <c r="C710" s="47"/>
      <c r="D710" s="47"/>
      <c r="E710" s="46">
        <f>4/IF(Общие_или_заединицу="Общие трудозатраты",1,2)</f>
        <v>2</v>
      </c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  <c r="AA710" s="47"/>
      <c r="AB710" s="47"/>
      <c r="AC710" s="47"/>
      <c r="AD710" s="46">
        <f>4/IF(Общие_или_заединицу="Общие трудозатраты",1,2)*IF(Пробивка="Стандартная пробивная",1,3.5)</f>
        <v>7</v>
      </c>
      <c r="AE710" s="47"/>
      <c r="AF710" s="47"/>
      <c r="AG710" s="47"/>
      <c r="AH710" s="47"/>
      <c r="AI710" s="47"/>
      <c r="AJ710" s="47"/>
      <c r="AK710" s="47"/>
      <c r="AL710" s="47"/>
      <c r="AM710" s="47"/>
      <c r="AN710" s="47"/>
      <c r="AO710" s="47"/>
      <c r="AP710" s="47"/>
      <c r="AQ710" s="47"/>
      <c r="AR710" s="47"/>
      <c r="AS710" s="47"/>
      <c r="AT710" s="47"/>
      <c r="AU710" s="47"/>
      <c r="AV710" s="47"/>
      <c r="AW710" s="47"/>
      <c r="AX710" s="47"/>
      <c r="AY710" s="47"/>
      <c r="AZ710" s="47"/>
      <c r="BA710" s="47"/>
      <c r="BB710" s="47"/>
      <c r="BC710" s="47"/>
    </row>
    <row r="711" spans="1:55" x14ac:dyDescent="0.25">
      <c r="A711" s="45" t="s">
        <v>1426</v>
      </c>
      <c r="B711" s="46">
        <f t="shared" si="18"/>
        <v>11</v>
      </c>
      <c r="C711" s="47"/>
      <c r="D711" s="47"/>
      <c r="E711" s="46">
        <f>4/IF(Общие_или_заединицу="Общие трудозатраты",1,1)</f>
        <v>4</v>
      </c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  <c r="AA711" s="47"/>
      <c r="AB711" s="47"/>
      <c r="AC711" s="47"/>
      <c r="AD711" s="46">
        <f>2/IF(Общие_или_заединицу="Общие трудозатраты",1,1)*IF(Пробивка="Стандартная пробивная",1,3.5)</f>
        <v>7</v>
      </c>
      <c r="AE711" s="47"/>
      <c r="AF711" s="47"/>
      <c r="AG711" s="47"/>
      <c r="AH711" s="47"/>
      <c r="AI711" s="47"/>
      <c r="AJ711" s="47"/>
      <c r="AK711" s="47"/>
      <c r="AL711" s="47"/>
      <c r="AM711" s="47"/>
      <c r="AN711" s="47"/>
      <c r="AO711" s="47"/>
      <c r="AP711" s="47"/>
      <c r="AQ711" s="47"/>
      <c r="AR711" s="47"/>
      <c r="AS711" s="47"/>
      <c r="AT711" s="47"/>
      <c r="AU711" s="47"/>
      <c r="AV711" s="47"/>
      <c r="AW711" s="47"/>
      <c r="AX711" s="47"/>
      <c r="AY711" s="47"/>
      <c r="AZ711" s="47"/>
      <c r="BA711" s="47"/>
      <c r="BB711" s="47"/>
      <c r="BC711" s="47"/>
    </row>
    <row r="712" spans="1:55" x14ac:dyDescent="0.25">
      <c r="A712" s="45" t="s">
        <v>1427</v>
      </c>
      <c r="B712" s="46">
        <f t="shared" si="18"/>
        <v>11</v>
      </c>
      <c r="C712" s="47"/>
      <c r="D712" s="47"/>
      <c r="E712" s="46">
        <f>4/IF(Общие_или_заединицу="Общие трудозатраты",1,1)</f>
        <v>4</v>
      </c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  <c r="AA712" s="47"/>
      <c r="AB712" s="47"/>
      <c r="AC712" s="47"/>
      <c r="AD712" s="46">
        <f>2/IF(Общие_или_заединицу="Общие трудозатраты",1,1)*IF(Пробивка="Стандартная пробивная",1,3.5)</f>
        <v>7</v>
      </c>
      <c r="AE712" s="47"/>
      <c r="AF712" s="47"/>
      <c r="AG712" s="47"/>
      <c r="AH712" s="47"/>
      <c r="AI712" s="47"/>
      <c r="AJ712" s="47"/>
      <c r="AK712" s="47"/>
      <c r="AL712" s="47"/>
      <c r="AM712" s="47"/>
      <c r="AN712" s="47"/>
      <c r="AO712" s="47"/>
      <c r="AP712" s="47"/>
      <c r="AQ712" s="47"/>
      <c r="AR712" s="47"/>
      <c r="AS712" s="47"/>
      <c r="AT712" s="47"/>
      <c r="AU712" s="47"/>
      <c r="AV712" s="47"/>
      <c r="AW712" s="47"/>
      <c r="AX712" s="47"/>
      <c r="AY712" s="47"/>
      <c r="AZ712" s="47"/>
      <c r="BA712" s="47"/>
      <c r="BB712" s="47"/>
      <c r="BC712" s="47"/>
    </row>
    <row r="713" spans="1:55" x14ac:dyDescent="0.25">
      <c r="A713" s="45" t="s">
        <v>1428</v>
      </c>
      <c r="B713" s="46">
        <f t="shared" si="18"/>
        <v>54.024999999999999</v>
      </c>
      <c r="C713" s="47"/>
      <c r="D713" s="47"/>
      <c r="E713" s="46">
        <f>16/IF(Общие_или_заединицу="Общие трудозатраты",1,2)</f>
        <v>8</v>
      </c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  <c r="AA713" s="47"/>
      <c r="AB713" s="47"/>
      <c r="AC713" s="47"/>
      <c r="AD713" s="46">
        <f>26.3/IF(Общие_или_заединицу="Общие трудозатраты",1,2)*IF(Пробивка="Стандартная пробивная",1,3.5)</f>
        <v>46.024999999999999</v>
      </c>
      <c r="AE713" s="47"/>
      <c r="AF713" s="47"/>
      <c r="AG713" s="47"/>
      <c r="AH713" s="47"/>
      <c r="AI713" s="47"/>
      <c r="AJ713" s="47"/>
      <c r="AK713" s="47"/>
      <c r="AL713" s="47"/>
      <c r="AM713" s="47"/>
      <c r="AN713" s="47"/>
      <c r="AO713" s="47"/>
      <c r="AP713" s="47"/>
      <c r="AQ713" s="47"/>
      <c r="AR713" s="47"/>
      <c r="AS713" s="47"/>
      <c r="AT713" s="47"/>
      <c r="AU713" s="47"/>
      <c r="AV713" s="47"/>
      <c r="AW713" s="47"/>
      <c r="AX713" s="47"/>
      <c r="AY713" s="47"/>
      <c r="AZ713" s="47"/>
      <c r="BA713" s="47"/>
      <c r="BB713" s="47"/>
      <c r="BC713" s="47"/>
    </row>
    <row r="714" spans="1:55" x14ac:dyDescent="0.25">
      <c r="A714" s="45" t="s">
        <v>1429</v>
      </c>
      <c r="B714" s="46">
        <f t="shared" si="18"/>
        <v>0.1</v>
      </c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6">
        <f>0.8/IF(Общие_или_заединицу="Общие трудозатраты",1,8)</f>
        <v>0.1</v>
      </c>
      <c r="T714" s="47"/>
      <c r="U714" s="47"/>
      <c r="V714" s="47"/>
      <c r="W714" s="47"/>
      <c r="X714" s="47"/>
      <c r="Y714" s="47"/>
      <c r="Z714" s="47"/>
      <c r="AA714" s="47"/>
      <c r="AB714" s="47"/>
      <c r="AC714" s="47"/>
      <c r="AD714" s="47"/>
      <c r="AE714" s="47"/>
      <c r="AF714" s="47"/>
      <c r="AG714" s="47"/>
      <c r="AH714" s="47"/>
      <c r="AI714" s="47"/>
      <c r="AJ714" s="47"/>
      <c r="AK714" s="47"/>
      <c r="AL714" s="47"/>
      <c r="AM714" s="47"/>
      <c r="AN714" s="47"/>
      <c r="AO714" s="47"/>
      <c r="AP714" s="47"/>
      <c r="AQ714" s="47"/>
      <c r="AR714" s="47"/>
      <c r="AS714" s="47"/>
      <c r="AT714" s="47"/>
      <c r="AU714" s="47"/>
      <c r="AV714" s="47"/>
      <c r="AW714" s="47"/>
      <c r="AX714" s="47"/>
      <c r="AY714" s="47"/>
      <c r="AZ714" s="47"/>
      <c r="BA714" s="47"/>
      <c r="BB714" s="47"/>
      <c r="BC714" s="47"/>
    </row>
    <row r="715" spans="1:55" x14ac:dyDescent="0.25">
      <c r="A715" s="45" t="s">
        <v>1431</v>
      </c>
      <c r="B715" s="46">
        <f t="shared" si="18"/>
        <v>3.1</v>
      </c>
      <c r="C715" s="47"/>
      <c r="D715" s="47"/>
      <c r="E715" s="47"/>
      <c r="F715" s="47"/>
      <c r="G715" s="46">
        <f>4/IF(Общие_или_заединицу="Общие трудозатраты",1,2)</f>
        <v>2</v>
      </c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6">
        <f>2.2/IF(Общие_или_заединицу="Общие трудозатраты",1,2)</f>
        <v>1.1000000000000001</v>
      </c>
      <c r="T715" s="47"/>
      <c r="U715" s="47"/>
      <c r="V715" s="47"/>
      <c r="W715" s="47"/>
      <c r="X715" s="47"/>
      <c r="Y715" s="47"/>
      <c r="Z715" s="47"/>
      <c r="AA715" s="47"/>
      <c r="AB715" s="47"/>
      <c r="AC715" s="47"/>
      <c r="AD715" s="47"/>
      <c r="AE715" s="47"/>
      <c r="AF715" s="47"/>
      <c r="AG715" s="47"/>
      <c r="AH715" s="47"/>
      <c r="AI715" s="47"/>
      <c r="AJ715" s="47"/>
      <c r="AK715" s="47"/>
      <c r="AL715" s="47"/>
      <c r="AM715" s="47"/>
      <c r="AN715" s="47"/>
      <c r="AO715" s="47"/>
      <c r="AP715" s="47"/>
      <c r="AQ715" s="47"/>
      <c r="AR715" s="47"/>
      <c r="AS715" s="47"/>
      <c r="AT715" s="47"/>
      <c r="AU715" s="47"/>
      <c r="AV715" s="47"/>
      <c r="AW715" s="47"/>
      <c r="AX715" s="47"/>
      <c r="AY715" s="47"/>
      <c r="AZ715" s="47"/>
      <c r="BA715" s="47"/>
      <c r="BB715" s="47"/>
      <c r="BC715" s="47"/>
    </row>
    <row r="716" spans="1:55" x14ac:dyDescent="0.25">
      <c r="A716" s="45" t="s">
        <v>1432</v>
      </c>
      <c r="B716" s="46">
        <f t="shared" si="18"/>
        <v>2.9</v>
      </c>
      <c r="C716" s="47"/>
      <c r="D716" s="47"/>
      <c r="E716" s="47"/>
      <c r="F716" s="47"/>
      <c r="G716" s="46">
        <f>4/IF(Общие_или_заединицу="Общие трудозатраты",1,2)</f>
        <v>2</v>
      </c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6">
        <f>1.8/IF(Общие_или_заединицу="Общие трудозатраты",1,2)</f>
        <v>0.9</v>
      </c>
      <c r="T716" s="47"/>
      <c r="U716" s="47"/>
      <c r="V716" s="47"/>
      <c r="W716" s="47"/>
      <c r="X716" s="47"/>
      <c r="Y716" s="47"/>
      <c r="Z716" s="47"/>
      <c r="AA716" s="47"/>
      <c r="AB716" s="47"/>
      <c r="AC716" s="47"/>
      <c r="AD716" s="47"/>
      <c r="AE716" s="47"/>
      <c r="AF716" s="47"/>
      <c r="AG716" s="47"/>
      <c r="AH716" s="47"/>
      <c r="AI716" s="47"/>
      <c r="AJ716" s="47"/>
      <c r="AK716" s="47"/>
      <c r="AL716" s="47"/>
      <c r="AM716" s="47"/>
      <c r="AN716" s="47"/>
      <c r="AO716" s="47"/>
      <c r="AP716" s="47"/>
      <c r="AQ716" s="47"/>
      <c r="AR716" s="47"/>
      <c r="AS716" s="47"/>
      <c r="AT716" s="47"/>
      <c r="AU716" s="47"/>
      <c r="AV716" s="47"/>
      <c r="AW716" s="47"/>
      <c r="AX716" s="47"/>
      <c r="AY716" s="47"/>
      <c r="AZ716" s="47"/>
      <c r="BA716" s="47"/>
      <c r="BB716" s="47"/>
      <c r="BC716" s="47"/>
    </row>
    <row r="717" spans="1:55" x14ac:dyDescent="0.25">
      <c r="A717" s="45" t="s">
        <v>1433</v>
      </c>
      <c r="B717" s="46">
        <f t="shared" si="18"/>
        <v>2.2999999999999998</v>
      </c>
      <c r="C717" s="47"/>
      <c r="D717" s="47"/>
      <c r="E717" s="47"/>
      <c r="F717" s="46">
        <f>8/IF(Общие_или_заединицу="Общие трудозатраты",1,4)</f>
        <v>2</v>
      </c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6">
        <f>1.2/IF(Общие_или_заединицу="Общие трудозатраты",1,4)</f>
        <v>0.3</v>
      </c>
      <c r="T717" s="47"/>
      <c r="U717" s="47"/>
      <c r="V717" s="47"/>
      <c r="W717" s="47"/>
      <c r="X717" s="47"/>
      <c r="Y717" s="47"/>
      <c r="Z717" s="47"/>
      <c r="AA717" s="47"/>
      <c r="AB717" s="47"/>
      <c r="AC717" s="47"/>
      <c r="AD717" s="47"/>
      <c r="AE717" s="47"/>
      <c r="AF717" s="47"/>
      <c r="AG717" s="47"/>
      <c r="AH717" s="47"/>
      <c r="AI717" s="47"/>
      <c r="AJ717" s="47"/>
      <c r="AK717" s="47"/>
      <c r="AL717" s="47"/>
      <c r="AM717" s="47"/>
      <c r="AN717" s="47"/>
      <c r="AO717" s="47"/>
      <c r="AP717" s="47"/>
      <c r="AQ717" s="47"/>
      <c r="AR717" s="47"/>
      <c r="AS717" s="47"/>
      <c r="AT717" s="47"/>
      <c r="AU717" s="47"/>
      <c r="AV717" s="47"/>
      <c r="AW717" s="47"/>
      <c r="AX717" s="47"/>
      <c r="AY717" s="47"/>
      <c r="AZ717" s="47"/>
      <c r="BA717" s="47"/>
      <c r="BB717" s="47"/>
      <c r="BC717" s="47"/>
    </row>
    <row r="718" spans="1:55" x14ac:dyDescent="0.25">
      <c r="A718" s="45" t="s">
        <v>1434</v>
      </c>
      <c r="B718" s="46">
        <f t="shared" si="18"/>
        <v>0.9</v>
      </c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6">
        <f>12.6/IF(Общие_или_заединицу="Общие трудозатраты",1,14)</f>
        <v>0.9</v>
      </c>
      <c r="T718" s="47"/>
      <c r="U718" s="47"/>
      <c r="V718" s="47"/>
      <c r="W718" s="47"/>
      <c r="X718" s="47"/>
      <c r="Y718" s="47"/>
      <c r="Z718" s="47"/>
      <c r="AA718" s="47"/>
      <c r="AB718" s="47"/>
      <c r="AC718" s="47"/>
      <c r="AD718" s="47"/>
      <c r="AE718" s="47"/>
      <c r="AF718" s="47"/>
      <c r="AG718" s="47"/>
      <c r="AH718" s="47"/>
      <c r="AI718" s="47"/>
      <c r="AJ718" s="47"/>
      <c r="AK718" s="47"/>
      <c r="AL718" s="47"/>
      <c r="AM718" s="47"/>
      <c r="AN718" s="47"/>
      <c r="AO718" s="47"/>
      <c r="AP718" s="47"/>
      <c r="AQ718" s="47"/>
      <c r="AR718" s="47"/>
      <c r="AS718" s="47"/>
      <c r="AT718" s="47"/>
      <c r="AU718" s="47"/>
      <c r="AV718" s="47"/>
      <c r="AW718" s="47"/>
      <c r="AX718" s="47"/>
      <c r="AY718" s="47"/>
      <c r="AZ718" s="47"/>
      <c r="BA718" s="47"/>
      <c r="BB718" s="47"/>
      <c r="BC718" s="47"/>
    </row>
    <row r="719" spans="1:55" x14ac:dyDescent="0.25">
      <c r="A719" s="45" t="s">
        <v>1435</v>
      </c>
      <c r="B719" s="46">
        <f t="shared" si="18"/>
        <v>2.8</v>
      </c>
      <c r="C719" s="47"/>
      <c r="D719" s="47"/>
      <c r="E719" s="47"/>
      <c r="F719" s="46">
        <f>118/IF(Общие_или_заединицу="Общие трудозатраты",1,59)</f>
        <v>2</v>
      </c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6">
        <f>47.2/IF(Общие_или_заединицу="Общие трудозатраты",1,59)</f>
        <v>0.8</v>
      </c>
      <c r="T719" s="47"/>
      <c r="U719" s="47"/>
      <c r="V719" s="47"/>
      <c r="W719" s="47"/>
      <c r="X719" s="47"/>
      <c r="Y719" s="47"/>
      <c r="Z719" s="47"/>
      <c r="AA719" s="47"/>
      <c r="AB719" s="47"/>
      <c r="AC719" s="47"/>
      <c r="AD719" s="47"/>
      <c r="AE719" s="47"/>
      <c r="AF719" s="47"/>
      <c r="AG719" s="47"/>
      <c r="AH719" s="47"/>
      <c r="AI719" s="47"/>
      <c r="AJ719" s="47"/>
      <c r="AK719" s="47"/>
      <c r="AL719" s="47"/>
      <c r="AM719" s="47"/>
      <c r="AN719" s="47"/>
      <c r="AO719" s="47"/>
      <c r="AP719" s="47"/>
      <c r="AQ719" s="47"/>
      <c r="AR719" s="47"/>
      <c r="AS719" s="47"/>
      <c r="AT719" s="47"/>
      <c r="AU719" s="47"/>
      <c r="AV719" s="47"/>
      <c r="AW719" s="47"/>
      <c r="AX719" s="47"/>
      <c r="AY719" s="47"/>
      <c r="AZ719" s="47"/>
      <c r="BA719" s="47"/>
      <c r="BB719" s="47"/>
      <c r="BC719" s="47"/>
    </row>
    <row r="720" spans="1:55" x14ac:dyDescent="0.25">
      <c r="A720" s="45" t="s">
        <v>1436</v>
      </c>
      <c r="B720" s="46">
        <f t="shared" si="18"/>
        <v>0.5</v>
      </c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6">
        <f>13/IF(Общие_или_заединицу="Общие трудозатраты",1,26)</f>
        <v>0.5</v>
      </c>
      <c r="T720" s="47"/>
      <c r="U720" s="47"/>
      <c r="V720" s="47"/>
      <c r="W720" s="47"/>
      <c r="X720" s="47"/>
      <c r="Y720" s="47"/>
      <c r="Z720" s="47"/>
      <c r="AA720" s="47"/>
      <c r="AB720" s="47"/>
      <c r="AC720" s="47"/>
      <c r="AD720" s="47"/>
      <c r="AE720" s="47"/>
      <c r="AF720" s="47"/>
      <c r="AG720" s="47"/>
      <c r="AH720" s="47"/>
      <c r="AI720" s="47"/>
      <c r="AJ720" s="47"/>
      <c r="AK720" s="47"/>
      <c r="AL720" s="47"/>
      <c r="AM720" s="47"/>
      <c r="AN720" s="47"/>
      <c r="AO720" s="47"/>
      <c r="AP720" s="47"/>
      <c r="AQ720" s="47"/>
      <c r="AR720" s="47"/>
      <c r="AS720" s="47"/>
      <c r="AT720" s="47"/>
      <c r="AU720" s="47"/>
      <c r="AV720" s="47"/>
      <c r="AW720" s="47"/>
      <c r="AX720" s="47"/>
      <c r="AY720" s="47"/>
      <c r="AZ720" s="47"/>
      <c r="BA720" s="47"/>
      <c r="BB720" s="47"/>
      <c r="BC720" s="47"/>
    </row>
    <row r="721" spans="1:55" x14ac:dyDescent="0.25">
      <c r="A721" s="45" t="s">
        <v>1437</v>
      </c>
      <c r="B721" s="46">
        <f t="shared" si="18"/>
        <v>14.200000000000001</v>
      </c>
      <c r="C721" s="47"/>
      <c r="D721" s="46">
        <f>54.4/IF(Общие_или_заединицу="Общие трудозатраты",1,8)</f>
        <v>6.8</v>
      </c>
      <c r="E721" s="47"/>
      <c r="F721" s="46">
        <f>32/IF(Общие_или_заединицу="Общие трудозатраты",1,8)</f>
        <v>4</v>
      </c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6">
        <f>27.2/IF(Общие_или_заединицу="Общие трудозатраты",1,8)</f>
        <v>3.4</v>
      </c>
      <c r="T721" s="47"/>
      <c r="U721" s="47"/>
      <c r="V721" s="47"/>
      <c r="W721" s="47"/>
      <c r="X721" s="47"/>
      <c r="Y721" s="47"/>
      <c r="Z721" s="47"/>
      <c r="AA721" s="47"/>
      <c r="AB721" s="47"/>
      <c r="AC721" s="47"/>
      <c r="AD721" s="47"/>
      <c r="AE721" s="47"/>
      <c r="AF721" s="47"/>
      <c r="AG721" s="47"/>
      <c r="AH721" s="47"/>
      <c r="AI721" s="47"/>
      <c r="AJ721" s="47"/>
      <c r="AK721" s="47"/>
      <c r="AL721" s="47"/>
      <c r="AM721" s="47"/>
      <c r="AN721" s="47"/>
      <c r="AO721" s="47"/>
      <c r="AP721" s="47"/>
      <c r="AQ721" s="47"/>
      <c r="AR721" s="47"/>
      <c r="AS721" s="47"/>
      <c r="AT721" s="47"/>
      <c r="AU721" s="47"/>
      <c r="AV721" s="47"/>
      <c r="AW721" s="47"/>
      <c r="AX721" s="47"/>
      <c r="AY721" s="47"/>
      <c r="AZ721" s="47"/>
      <c r="BA721" s="47"/>
      <c r="BB721" s="47"/>
      <c r="BC721" s="47"/>
    </row>
    <row r="722" spans="1:55" x14ac:dyDescent="0.25">
      <c r="A722" s="45" t="s">
        <v>1438</v>
      </c>
      <c r="B722" s="46">
        <f t="shared" si="18"/>
        <v>2.5</v>
      </c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6">
        <f>105/IF(Общие_или_заединицу="Общие трудозатраты",1,42)</f>
        <v>2.5</v>
      </c>
      <c r="T722" s="47"/>
      <c r="U722" s="47"/>
      <c r="V722" s="47"/>
      <c r="W722" s="47"/>
      <c r="X722" s="47"/>
      <c r="Y722" s="47"/>
      <c r="Z722" s="47"/>
      <c r="AA722" s="47"/>
      <c r="AB722" s="47"/>
      <c r="AC722" s="47"/>
      <c r="AD722" s="47"/>
      <c r="AE722" s="47"/>
      <c r="AF722" s="47"/>
      <c r="AG722" s="47"/>
      <c r="AH722" s="47"/>
      <c r="AI722" s="47"/>
      <c r="AJ722" s="47"/>
      <c r="AK722" s="47"/>
      <c r="AL722" s="47"/>
      <c r="AM722" s="47"/>
      <c r="AN722" s="47"/>
      <c r="AO722" s="47"/>
      <c r="AP722" s="47"/>
      <c r="AQ722" s="47"/>
      <c r="AR722" s="47"/>
      <c r="AS722" s="47"/>
      <c r="AT722" s="47"/>
      <c r="AU722" s="47"/>
      <c r="AV722" s="47"/>
      <c r="AW722" s="47"/>
      <c r="AX722" s="47"/>
      <c r="AY722" s="47"/>
      <c r="AZ722" s="47"/>
      <c r="BA722" s="47"/>
      <c r="BB722" s="47"/>
      <c r="BC722" s="47"/>
    </row>
    <row r="723" spans="1:55" x14ac:dyDescent="0.25">
      <c r="A723" s="45" t="s">
        <v>1439</v>
      </c>
      <c r="B723" s="46">
        <f t="shared" si="18"/>
        <v>18.200000000000003</v>
      </c>
      <c r="C723" s="47"/>
      <c r="D723" s="46">
        <f>29.1/IF(Общие_или_заединицу="Общие трудозатраты",1,3)</f>
        <v>9.7000000000000011</v>
      </c>
      <c r="E723" s="47"/>
      <c r="F723" s="46">
        <f>12/IF(Общие_или_заединицу="Общие трудозатраты",1,3)</f>
        <v>4</v>
      </c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6">
        <f>13.5/IF(Общие_или_заединицу="Общие трудозатраты",1,3)</f>
        <v>4.5</v>
      </c>
      <c r="T723" s="47"/>
      <c r="U723" s="47"/>
      <c r="V723" s="47"/>
      <c r="W723" s="47"/>
      <c r="X723" s="47"/>
      <c r="Y723" s="47"/>
      <c r="Z723" s="47"/>
      <c r="AA723" s="47"/>
      <c r="AB723" s="47"/>
      <c r="AC723" s="47"/>
      <c r="AD723" s="47"/>
      <c r="AE723" s="47"/>
      <c r="AF723" s="47"/>
      <c r="AG723" s="47"/>
      <c r="AH723" s="47"/>
      <c r="AI723" s="47"/>
      <c r="AJ723" s="47"/>
      <c r="AK723" s="47"/>
      <c r="AL723" s="47"/>
      <c r="AM723" s="47"/>
      <c r="AN723" s="47"/>
      <c r="AO723" s="47"/>
      <c r="AP723" s="47"/>
      <c r="AQ723" s="47"/>
      <c r="AR723" s="47"/>
      <c r="AS723" s="47"/>
      <c r="AT723" s="47"/>
      <c r="AU723" s="47"/>
      <c r="AV723" s="47"/>
      <c r="AW723" s="47"/>
      <c r="AX723" s="47"/>
      <c r="AY723" s="47"/>
      <c r="AZ723" s="47"/>
      <c r="BA723" s="47"/>
      <c r="BB723" s="47"/>
      <c r="BC723" s="47"/>
    </row>
    <row r="724" spans="1:55" x14ac:dyDescent="0.25">
      <c r="A724" s="45" t="s">
        <v>1441</v>
      </c>
      <c r="B724" s="46">
        <f t="shared" si="18"/>
        <v>89.2</v>
      </c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6">
        <f>172.7/IF(Общие_или_заединицу="Общие трудозатраты",1,11)</f>
        <v>15.7</v>
      </c>
      <c r="W724" s="46">
        <f>280.5/IF(Общие_или_заединицу="Общие трудозатраты",1,11)</f>
        <v>25.5</v>
      </c>
      <c r="X724" s="47"/>
      <c r="Y724" s="47"/>
      <c r="Z724" s="47"/>
      <c r="AA724" s="47"/>
      <c r="AB724" s="47"/>
      <c r="AC724" s="47"/>
      <c r="AD724" s="47"/>
      <c r="AE724" s="47"/>
      <c r="AF724" s="47"/>
      <c r="AG724" s="47"/>
      <c r="AH724" s="47"/>
      <c r="AI724" s="47"/>
      <c r="AJ724" s="47"/>
      <c r="AK724" s="47"/>
      <c r="AL724" s="47"/>
      <c r="AM724" s="46">
        <f>231/IF(Общие_или_заединицу="Общие трудозатраты",1,11)</f>
        <v>21</v>
      </c>
      <c r="AN724" s="47"/>
      <c r="AO724" s="46">
        <f>297/IF(Общие_или_заединицу="Общие трудозатраты",1,11)</f>
        <v>27</v>
      </c>
      <c r="AP724" s="47"/>
      <c r="AQ724" s="47"/>
      <c r="AR724" s="47"/>
      <c r="AS724" s="47"/>
      <c r="AT724" s="47"/>
      <c r="AU724" s="47"/>
      <c r="AV724" s="47"/>
      <c r="AW724" s="47"/>
      <c r="AX724" s="47"/>
      <c r="AY724" s="47"/>
      <c r="AZ724" s="47"/>
      <c r="BA724" s="47"/>
      <c r="BB724" s="47"/>
      <c r="BC724" s="47"/>
    </row>
    <row r="725" spans="1:55" x14ac:dyDescent="0.25">
      <c r="A725" s="45" t="s">
        <v>1440</v>
      </c>
      <c r="B725" s="46">
        <f t="shared" si="18"/>
        <v>10</v>
      </c>
      <c r="C725" s="47"/>
      <c r="D725" s="47"/>
      <c r="E725" s="47"/>
      <c r="F725" s="47"/>
      <c r="G725" s="47"/>
      <c r="H725" s="46">
        <f>66/IF(Общие_или_заединицу="Общие трудозатраты",1,11)</f>
        <v>6</v>
      </c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6">
        <f>44/IF(Общие_или_заединицу="Общие трудозатраты",1,11)</f>
        <v>4</v>
      </c>
      <c r="T725" s="47"/>
      <c r="U725" s="47"/>
      <c r="V725" s="47"/>
      <c r="W725" s="47"/>
      <c r="X725" s="47"/>
      <c r="Y725" s="47"/>
      <c r="Z725" s="47"/>
      <c r="AA725" s="47"/>
      <c r="AB725" s="47"/>
      <c r="AC725" s="47"/>
      <c r="AD725" s="47"/>
      <c r="AE725" s="47"/>
      <c r="AF725" s="47"/>
      <c r="AG725" s="47"/>
      <c r="AH725" s="47"/>
      <c r="AI725" s="47"/>
      <c r="AJ725" s="47"/>
      <c r="AK725" s="47"/>
      <c r="AL725" s="47"/>
      <c r="AM725" s="47"/>
      <c r="AN725" s="47"/>
      <c r="AO725" s="47"/>
      <c r="AP725" s="47"/>
      <c r="AQ725" s="47"/>
      <c r="AR725" s="47"/>
      <c r="AS725" s="47"/>
      <c r="AT725" s="47"/>
      <c r="AU725" s="47"/>
      <c r="AV725" s="47"/>
      <c r="AW725" s="47"/>
      <c r="AX725" s="47"/>
      <c r="AY725" s="47"/>
      <c r="AZ725" s="47"/>
      <c r="BA725" s="47"/>
      <c r="BB725" s="47"/>
      <c r="BC725" s="47"/>
    </row>
    <row r="726" spans="1:55" x14ac:dyDescent="0.25">
      <c r="A726" s="45" t="s">
        <v>1442</v>
      </c>
      <c r="B726" s="46">
        <f t="shared" si="18"/>
        <v>10</v>
      </c>
      <c r="C726" s="47"/>
      <c r="D726" s="47"/>
      <c r="E726" s="47"/>
      <c r="F726" s="47"/>
      <c r="G726" s="47"/>
      <c r="H726" s="46">
        <f>66/IF(Общие_или_заединицу="Общие трудозатраты",1,11)</f>
        <v>6</v>
      </c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6">
        <f>44/IF(Общие_или_заединицу="Общие трудозатраты",1,11)</f>
        <v>4</v>
      </c>
      <c r="T726" s="47"/>
      <c r="U726" s="47"/>
      <c r="V726" s="47"/>
      <c r="W726" s="47"/>
      <c r="X726" s="47"/>
      <c r="Y726" s="47"/>
      <c r="Z726" s="47"/>
      <c r="AA726" s="47"/>
      <c r="AB726" s="47"/>
      <c r="AC726" s="47"/>
      <c r="AD726" s="47"/>
      <c r="AE726" s="47"/>
      <c r="AF726" s="47"/>
      <c r="AG726" s="47"/>
      <c r="AH726" s="47"/>
      <c r="AI726" s="47"/>
      <c r="AJ726" s="47"/>
      <c r="AK726" s="47"/>
      <c r="AL726" s="47"/>
      <c r="AM726" s="47"/>
      <c r="AN726" s="47"/>
      <c r="AO726" s="47"/>
      <c r="AP726" s="47"/>
      <c r="AQ726" s="47"/>
      <c r="AR726" s="47"/>
      <c r="AS726" s="47"/>
      <c r="AT726" s="47"/>
      <c r="AU726" s="47"/>
      <c r="AV726" s="47"/>
      <c r="AW726" s="47"/>
      <c r="AX726" s="47"/>
      <c r="AY726" s="47"/>
      <c r="AZ726" s="47"/>
      <c r="BA726" s="47"/>
      <c r="BB726" s="47"/>
      <c r="BC726" s="47"/>
    </row>
    <row r="727" spans="1:55" x14ac:dyDescent="0.25">
      <c r="A727" s="45" t="s">
        <v>1443</v>
      </c>
      <c r="B727" s="48">
        <f t="shared" si="18"/>
        <v>14.67</v>
      </c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6">
        <f>103.85/IF(Общие_или_заединицу="Общие трудозатраты",1,155)</f>
        <v>0.66999999999999993</v>
      </c>
      <c r="U727" s="47"/>
      <c r="V727" s="47"/>
      <c r="W727" s="47"/>
      <c r="X727" s="47"/>
      <c r="Y727" s="47"/>
      <c r="Z727" s="47"/>
      <c r="AA727" s="47"/>
      <c r="AB727" s="47"/>
      <c r="AC727" s="47"/>
      <c r="AD727" s="47"/>
      <c r="AE727" s="47"/>
      <c r="AF727" s="47"/>
      <c r="AG727" s="47"/>
      <c r="AH727" s="47"/>
      <c r="AI727" s="47"/>
      <c r="AJ727" s="47"/>
      <c r="AK727" s="47"/>
      <c r="AL727" s="47"/>
      <c r="AM727" s="47"/>
      <c r="AN727" s="47"/>
      <c r="AO727" s="47"/>
      <c r="AP727" s="47"/>
      <c r="AQ727" s="47"/>
      <c r="AR727" s="47"/>
      <c r="AS727" s="47"/>
      <c r="AT727" s="47"/>
      <c r="AU727" s="47"/>
      <c r="AV727" s="47"/>
      <c r="AW727" s="48">
        <f>2170/IF(Общие_или_заединицу="Общие трудозатраты",1,155)</f>
        <v>14</v>
      </c>
      <c r="AX727" s="47"/>
      <c r="AY727" s="47"/>
      <c r="AZ727" s="47"/>
      <c r="BA727" s="47"/>
      <c r="BB727" s="47"/>
      <c r="BC727" s="47"/>
    </row>
    <row r="728" spans="1:55" x14ac:dyDescent="0.25">
      <c r="A728" s="45" t="s">
        <v>1444</v>
      </c>
      <c r="B728" s="46">
        <f t="shared" si="18"/>
        <v>24.5</v>
      </c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6">
        <f>9/IF(Общие_или_заединицу="Общие трудозатраты",1,2)</f>
        <v>4.5</v>
      </c>
      <c r="W728" s="46">
        <f>17/IF(Общие_или_заединицу="Общие трудозатраты",1,2)</f>
        <v>8.5</v>
      </c>
      <c r="X728" s="47"/>
      <c r="Y728" s="47"/>
      <c r="Z728" s="47"/>
      <c r="AA728" s="47"/>
      <c r="AB728" s="47"/>
      <c r="AC728" s="47"/>
      <c r="AD728" s="47"/>
      <c r="AE728" s="47"/>
      <c r="AF728" s="47"/>
      <c r="AG728" s="47"/>
      <c r="AH728" s="47"/>
      <c r="AI728" s="47"/>
      <c r="AJ728" s="47"/>
      <c r="AK728" s="47"/>
      <c r="AL728" s="47"/>
      <c r="AM728" s="46">
        <f>10/IF(Общие_или_заединицу="Общие трудозатраты",1,2)</f>
        <v>5</v>
      </c>
      <c r="AN728" s="47"/>
      <c r="AO728" s="46">
        <f>13/IF(Общие_или_заединицу="Общие трудозатраты",1,2)</f>
        <v>6.5</v>
      </c>
      <c r="AP728" s="47"/>
      <c r="AQ728" s="47"/>
      <c r="AR728" s="47"/>
      <c r="AS728" s="47"/>
      <c r="AT728" s="47"/>
      <c r="AU728" s="47"/>
      <c r="AV728" s="47"/>
      <c r="AW728" s="47"/>
      <c r="AX728" s="47"/>
      <c r="AY728" s="47"/>
      <c r="AZ728" s="47"/>
      <c r="BA728" s="47"/>
      <c r="BB728" s="47"/>
      <c r="BC728" s="47"/>
    </row>
    <row r="729" spans="1:55" x14ac:dyDescent="0.25">
      <c r="A729" s="45" t="s">
        <v>1445</v>
      </c>
      <c r="B729" s="46">
        <f t="shared" si="18"/>
        <v>11.7</v>
      </c>
      <c r="C729" s="47"/>
      <c r="D729" s="47"/>
      <c r="E729" s="47"/>
      <c r="F729" s="47"/>
      <c r="G729" s="47"/>
      <c r="H729" s="46">
        <f>8/IF(Общие_или_заединицу="Общие трудозатраты",1,2)</f>
        <v>4</v>
      </c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6">
        <f>15.4/IF(Общие_или_заединицу="Общие трудозатраты",1,2)</f>
        <v>7.7</v>
      </c>
      <c r="T729" s="47"/>
      <c r="U729" s="47"/>
      <c r="V729" s="47"/>
      <c r="W729" s="47"/>
      <c r="X729" s="47"/>
      <c r="Y729" s="47"/>
      <c r="Z729" s="47"/>
      <c r="AA729" s="47"/>
      <c r="AB729" s="47"/>
      <c r="AC729" s="47"/>
      <c r="AD729" s="47"/>
      <c r="AE729" s="47"/>
      <c r="AF729" s="47"/>
      <c r="AG729" s="47"/>
      <c r="AH729" s="47"/>
      <c r="AI729" s="47"/>
      <c r="AJ729" s="47"/>
      <c r="AK729" s="47"/>
      <c r="AL729" s="47"/>
      <c r="AM729" s="47"/>
      <c r="AN729" s="47"/>
      <c r="AO729" s="47"/>
      <c r="AP729" s="47"/>
      <c r="AQ729" s="47"/>
      <c r="AR729" s="47"/>
      <c r="AS729" s="47"/>
      <c r="AT729" s="47"/>
      <c r="AU729" s="47"/>
      <c r="AV729" s="47"/>
      <c r="AW729" s="47"/>
      <c r="AX729" s="47"/>
      <c r="AY729" s="47"/>
      <c r="AZ729" s="47"/>
      <c r="BA729" s="47"/>
      <c r="BB729" s="47"/>
      <c r="BC729" s="47"/>
    </row>
    <row r="730" spans="1:55" x14ac:dyDescent="0.25">
      <c r="A730" s="45" t="s">
        <v>1446</v>
      </c>
      <c r="B730" s="46">
        <f t="shared" si="18"/>
        <v>11.7</v>
      </c>
      <c r="C730" s="47"/>
      <c r="D730" s="47"/>
      <c r="E730" s="47"/>
      <c r="F730" s="47"/>
      <c r="G730" s="47"/>
      <c r="H730" s="46">
        <f>8/IF(Общие_или_заединицу="Общие трудозатраты",1,2)</f>
        <v>4</v>
      </c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6">
        <f>15.4/IF(Общие_или_заединицу="Общие трудозатраты",1,2)</f>
        <v>7.7</v>
      </c>
      <c r="T730" s="47"/>
      <c r="U730" s="47"/>
      <c r="V730" s="47"/>
      <c r="W730" s="47"/>
      <c r="X730" s="47"/>
      <c r="Y730" s="47"/>
      <c r="Z730" s="47"/>
      <c r="AA730" s="47"/>
      <c r="AB730" s="47"/>
      <c r="AC730" s="47"/>
      <c r="AD730" s="47"/>
      <c r="AE730" s="47"/>
      <c r="AF730" s="47"/>
      <c r="AG730" s="47"/>
      <c r="AH730" s="47"/>
      <c r="AI730" s="47"/>
      <c r="AJ730" s="47"/>
      <c r="AK730" s="47"/>
      <c r="AL730" s="47"/>
      <c r="AM730" s="47"/>
      <c r="AN730" s="47"/>
      <c r="AO730" s="47"/>
      <c r="AP730" s="47"/>
      <c r="AQ730" s="47"/>
      <c r="AR730" s="47"/>
      <c r="AS730" s="47"/>
      <c r="AT730" s="47"/>
      <c r="AU730" s="47"/>
      <c r="AV730" s="47"/>
      <c r="AW730" s="47"/>
      <c r="AX730" s="47"/>
      <c r="AY730" s="47"/>
      <c r="AZ730" s="47"/>
      <c r="BA730" s="47"/>
      <c r="BB730" s="47"/>
      <c r="BC730" s="47"/>
    </row>
    <row r="731" spans="1:55" x14ac:dyDescent="0.25">
      <c r="A731" s="45" t="s">
        <v>1447</v>
      </c>
      <c r="B731" s="46">
        <f t="shared" si="18"/>
        <v>46.7</v>
      </c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6">
        <f>11.2/IF(Общие_или_заединицу="Общие трудозатраты",1,1)</f>
        <v>11.2</v>
      </c>
      <c r="W731" s="46">
        <f>16.5/IF(Общие_или_заединицу="Общие трудозатраты",1,1)</f>
        <v>16.5</v>
      </c>
      <c r="X731" s="47"/>
      <c r="Y731" s="47"/>
      <c r="Z731" s="47"/>
      <c r="AA731" s="47"/>
      <c r="AB731" s="47"/>
      <c r="AC731" s="47"/>
      <c r="AD731" s="47"/>
      <c r="AE731" s="47"/>
      <c r="AF731" s="47"/>
      <c r="AG731" s="47"/>
      <c r="AH731" s="47"/>
      <c r="AI731" s="47"/>
      <c r="AJ731" s="47"/>
      <c r="AK731" s="47"/>
      <c r="AL731" s="47"/>
      <c r="AM731" s="46">
        <f>8/IF(Общие_или_заединицу="Общие трудозатраты",1,1)</f>
        <v>8</v>
      </c>
      <c r="AN731" s="47"/>
      <c r="AO731" s="46">
        <f>11/IF(Общие_или_заединицу="Общие трудозатраты",1,1)</f>
        <v>11</v>
      </c>
      <c r="AP731" s="47"/>
      <c r="AQ731" s="47"/>
      <c r="AR731" s="47"/>
      <c r="AS731" s="47"/>
      <c r="AT731" s="47"/>
      <c r="AU731" s="47"/>
      <c r="AV731" s="47"/>
      <c r="AW731" s="47"/>
      <c r="AX731" s="47"/>
      <c r="AY731" s="47"/>
      <c r="AZ731" s="47"/>
      <c r="BA731" s="47"/>
      <c r="BB731" s="47"/>
      <c r="BC731" s="47"/>
    </row>
    <row r="732" spans="1:55" x14ac:dyDescent="0.25">
      <c r="A732" s="45" t="s">
        <v>1448</v>
      </c>
      <c r="B732" s="46">
        <f t="shared" si="18"/>
        <v>8.3000000000000007</v>
      </c>
      <c r="C732" s="47"/>
      <c r="D732" s="47"/>
      <c r="E732" s="47"/>
      <c r="F732" s="47"/>
      <c r="G732" s="47"/>
      <c r="H732" s="46">
        <f>4/IF(Общие_или_заединицу="Общие трудозатраты",1,1)</f>
        <v>4</v>
      </c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6">
        <f>4.3/IF(Общие_или_заединицу="Общие трудозатраты",1,1)</f>
        <v>4.3</v>
      </c>
      <c r="T732" s="47"/>
      <c r="U732" s="47"/>
      <c r="V732" s="47"/>
      <c r="W732" s="47"/>
      <c r="X732" s="47"/>
      <c r="Y732" s="47"/>
      <c r="Z732" s="47"/>
      <c r="AA732" s="47"/>
      <c r="AB732" s="47"/>
      <c r="AC732" s="47"/>
      <c r="AD732" s="47"/>
      <c r="AE732" s="47"/>
      <c r="AF732" s="47"/>
      <c r="AG732" s="47"/>
      <c r="AH732" s="47"/>
      <c r="AI732" s="47"/>
      <c r="AJ732" s="47"/>
      <c r="AK732" s="47"/>
      <c r="AL732" s="47"/>
      <c r="AM732" s="47"/>
      <c r="AN732" s="47"/>
      <c r="AO732" s="47"/>
      <c r="AP732" s="47"/>
      <c r="AQ732" s="47"/>
      <c r="AR732" s="47"/>
      <c r="AS732" s="47"/>
      <c r="AT732" s="47"/>
      <c r="AU732" s="47"/>
      <c r="AV732" s="47"/>
      <c r="AW732" s="47"/>
      <c r="AX732" s="47"/>
      <c r="AY732" s="47"/>
      <c r="AZ732" s="47"/>
      <c r="BA732" s="47"/>
      <c r="BB732" s="47"/>
      <c r="BC732" s="47"/>
    </row>
    <row r="733" spans="1:55" x14ac:dyDescent="0.25">
      <c r="A733" s="45" t="s">
        <v>1449</v>
      </c>
      <c r="B733" s="46">
        <f t="shared" si="18"/>
        <v>8.3000000000000007</v>
      </c>
      <c r="C733" s="47"/>
      <c r="D733" s="47"/>
      <c r="E733" s="47"/>
      <c r="F733" s="47"/>
      <c r="G733" s="47"/>
      <c r="H733" s="46">
        <f>4/IF(Общие_или_заединицу="Общие трудозатраты",1,1)</f>
        <v>4</v>
      </c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6">
        <f>4.3/IF(Общие_или_заединицу="Общие трудозатраты",1,1)</f>
        <v>4.3</v>
      </c>
      <c r="T733" s="47"/>
      <c r="U733" s="47"/>
      <c r="V733" s="47"/>
      <c r="W733" s="47"/>
      <c r="X733" s="47"/>
      <c r="Y733" s="47"/>
      <c r="Z733" s="47"/>
      <c r="AA733" s="47"/>
      <c r="AB733" s="47"/>
      <c r="AC733" s="47"/>
      <c r="AD733" s="47"/>
      <c r="AE733" s="47"/>
      <c r="AF733" s="47"/>
      <c r="AG733" s="47"/>
      <c r="AH733" s="47"/>
      <c r="AI733" s="47"/>
      <c r="AJ733" s="47"/>
      <c r="AK733" s="47"/>
      <c r="AL733" s="47"/>
      <c r="AM733" s="47"/>
      <c r="AN733" s="47"/>
      <c r="AO733" s="47"/>
      <c r="AP733" s="47"/>
      <c r="AQ733" s="47"/>
      <c r="AR733" s="47"/>
      <c r="AS733" s="47"/>
      <c r="AT733" s="47"/>
      <c r="AU733" s="47"/>
      <c r="AV733" s="47"/>
      <c r="AW733" s="47"/>
      <c r="AX733" s="47"/>
      <c r="AY733" s="47"/>
      <c r="AZ733" s="47"/>
      <c r="BA733" s="47"/>
      <c r="BB733" s="47"/>
      <c r="BC733" s="47"/>
    </row>
    <row r="734" spans="1:55" x14ac:dyDescent="0.25">
      <c r="A734" s="45" t="s">
        <v>1451</v>
      </c>
      <c r="B734" s="46">
        <f t="shared" si="18"/>
        <v>123</v>
      </c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6">
        <f>48/IF(Общие_или_заединицу="Общие трудозатраты",1,4)</f>
        <v>12</v>
      </c>
      <c r="X734" s="47"/>
      <c r="Y734" s="46">
        <f>124/IF(Общие_или_заединицу="Общие трудозатраты",1,4)</f>
        <v>31</v>
      </c>
      <c r="Z734" s="47"/>
      <c r="AA734" s="47"/>
      <c r="AB734" s="47"/>
      <c r="AC734" s="47"/>
      <c r="AD734" s="47"/>
      <c r="AE734" s="47"/>
      <c r="AF734" s="46">
        <f>32/IF(Общие_или_заединицу="Общие трудозатраты",1,4)</f>
        <v>8</v>
      </c>
      <c r="AG734" s="47"/>
      <c r="AH734" s="46">
        <f>200/IF(Общие_или_заединицу="Общие трудозатраты",1,4)</f>
        <v>50</v>
      </c>
      <c r="AI734" s="47"/>
      <c r="AJ734" s="47"/>
      <c r="AK734" s="47"/>
      <c r="AL734" s="47"/>
      <c r="AM734" s="47"/>
      <c r="AN734" s="47"/>
      <c r="AO734" s="47"/>
      <c r="AP734" s="47"/>
      <c r="AQ734" s="47"/>
      <c r="AR734" s="47"/>
      <c r="AS734" s="46">
        <f>88/IF(Общие_или_заединицу="Общие трудозатраты",1,4)</f>
        <v>22</v>
      </c>
      <c r="AT734" s="47"/>
      <c r="AU734" s="47"/>
      <c r="AV734" s="47"/>
      <c r="AW734" s="47"/>
      <c r="AX734" s="47"/>
      <c r="AY734" s="47"/>
      <c r="AZ734" s="47"/>
      <c r="BA734" s="47"/>
      <c r="BB734" s="47"/>
      <c r="BC734" s="47"/>
    </row>
    <row r="735" spans="1:55" x14ac:dyDescent="0.25">
      <c r="A735" s="45" t="s">
        <v>1450</v>
      </c>
      <c r="B735" s="46">
        <f t="shared" si="18"/>
        <v>12</v>
      </c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6">
        <f>20/IF(Общие_или_заединицу="Общие трудозатраты",1,4)</f>
        <v>5</v>
      </c>
      <c r="U735" s="47"/>
      <c r="V735" s="47"/>
      <c r="W735" s="47"/>
      <c r="X735" s="47"/>
      <c r="Y735" s="47"/>
      <c r="Z735" s="47"/>
      <c r="AA735" s="47"/>
      <c r="AB735" s="47"/>
      <c r="AC735" s="47"/>
      <c r="AD735" s="47"/>
      <c r="AE735" s="47"/>
      <c r="AF735" s="47"/>
      <c r="AG735" s="47"/>
      <c r="AH735" s="47"/>
      <c r="AI735" s="47"/>
      <c r="AJ735" s="47"/>
      <c r="AK735" s="47"/>
      <c r="AL735" s="47"/>
      <c r="AM735" s="47"/>
      <c r="AN735" s="47"/>
      <c r="AO735" s="47"/>
      <c r="AP735" s="47"/>
      <c r="AQ735" s="47"/>
      <c r="AR735" s="47"/>
      <c r="AS735" s="47"/>
      <c r="AT735" s="47"/>
      <c r="AU735" s="47"/>
      <c r="AV735" s="46">
        <f>28/IF(Общие_или_заединицу="Общие трудозатраты",1,4)</f>
        <v>7</v>
      </c>
      <c r="AW735" s="47"/>
      <c r="AX735" s="47"/>
      <c r="AY735" s="47"/>
      <c r="AZ735" s="47"/>
      <c r="BA735" s="47"/>
      <c r="BB735" s="47"/>
      <c r="BC735" s="47"/>
    </row>
    <row r="736" spans="1:55" x14ac:dyDescent="0.25">
      <c r="A736" s="45" t="s">
        <v>1452</v>
      </c>
      <c r="B736" s="46">
        <f t="shared" si="18"/>
        <v>12</v>
      </c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6">
        <f>20/IF(Общие_или_заединицу="Общие трудозатраты",1,4)</f>
        <v>5</v>
      </c>
      <c r="U736" s="47"/>
      <c r="V736" s="47"/>
      <c r="W736" s="47"/>
      <c r="X736" s="47"/>
      <c r="Y736" s="47"/>
      <c r="Z736" s="47"/>
      <c r="AA736" s="47"/>
      <c r="AB736" s="47"/>
      <c r="AC736" s="47"/>
      <c r="AD736" s="47"/>
      <c r="AE736" s="47"/>
      <c r="AF736" s="47"/>
      <c r="AG736" s="47"/>
      <c r="AH736" s="47"/>
      <c r="AI736" s="47"/>
      <c r="AJ736" s="47"/>
      <c r="AK736" s="47"/>
      <c r="AL736" s="47"/>
      <c r="AM736" s="47"/>
      <c r="AN736" s="47"/>
      <c r="AO736" s="47"/>
      <c r="AP736" s="47"/>
      <c r="AQ736" s="47"/>
      <c r="AR736" s="47"/>
      <c r="AS736" s="47"/>
      <c r="AT736" s="47"/>
      <c r="AU736" s="47"/>
      <c r="AV736" s="46">
        <f>28/IF(Общие_или_заединицу="Общие трудозатраты",1,4)</f>
        <v>7</v>
      </c>
      <c r="AW736" s="47"/>
      <c r="AX736" s="47"/>
      <c r="AY736" s="47"/>
      <c r="AZ736" s="47"/>
      <c r="BA736" s="47"/>
      <c r="BB736" s="47"/>
      <c r="BC736" s="47"/>
    </row>
    <row r="737" spans="1:55" ht="22.5" x14ac:dyDescent="0.25">
      <c r="A737" s="45" t="s">
        <v>1454</v>
      </c>
      <c r="B737" s="46">
        <f t="shared" si="18"/>
        <v>168</v>
      </c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6">
        <f>13/IF(Общие_или_заединицу="Общие трудозатраты",1,1)</f>
        <v>13</v>
      </c>
      <c r="X737" s="47"/>
      <c r="Y737" s="46">
        <f>35/IF(Общие_или_заединицу="Общие трудозатраты",1,1)</f>
        <v>35</v>
      </c>
      <c r="Z737" s="47"/>
      <c r="AA737" s="47"/>
      <c r="AB737" s="47"/>
      <c r="AC737" s="47"/>
      <c r="AD737" s="47"/>
      <c r="AE737" s="47"/>
      <c r="AF737" s="46">
        <f>8/IF(Общие_или_заединицу="Общие трудозатраты",1,1)</f>
        <v>8</v>
      </c>
      <c r="AG737" s="47"/>
      <c r="AH737" s="46">
        <f>80/IF(Общие_или_заединицу="Общие трудозатраты",1,1)</f>
        <v>80</v>
      </c>
      <c r="AI737" s="47"/>
      <c r="AJ737" s="47"/>
      <c r="AK737" s="47"/>
      <c r="AL737" s="47"/>
      <c r="AM737" s="47"/>
      <c r="AN737" s="47"/>
      <c r="AO737" s="47"/>
      <c r="AP737" s="47"/>
      <c r="AQ737" s="47"/>
      <c r="AR737" s="47"/>
      <c r="AS737" s="46">
        <f>32/IF(Общие_или_заединицу="Общие трудозатраты",1,1)</f>
        <v>32</v>
      </c>
      <c r="AT737" s="47"/>
      <c r="AU737" s="47"/>
      <c r="AV737" s="47"/>
      <c r="AW737" s="47"/>
      <c r="AX737" s="47"/>
      <c r="AY737" s="47"/>
      <c r="AZ737" s="47"/>
      <c r="BA737" s="47"/>
      <c r="BB737" s="47"/>
      <c r="BC737" s="47"/>
    </row>
    <row r="738" spans="1:55" x14ac:dyDescent="0.25">
      <c r="A738" s="45" t="s">
        <v>1453</v>
      </c>
      <c r="B738" s="46">
        <f t="shared" si="18"/>
        <v>10.5</v>
      </c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6">
        <f>36/IF(Общие_или_заединицу="Общие трудозатраты",1,8)</f>
        <v>4.5</v>
      </c>
      <c r="U738" s="47"/>
      <c r="V738" s="47"/>
      <c r="W738" s="47"/>
      <c r="X738" s="47"/>
      <c r="Y738" s="47"/>
      <c r="Z738" s="47"/>
      <c r="AA738" s="47"/>
      <c r="AB738" s="47"/>
      <c r="AC738" s="47"/>
      <c r="AD738" s="47"/>
      <c r="AE738" s="47"/>
      <c r="AF738" s="47"/>
      <c r="AG738" s="47"/>
      <c r="AH738" s="47"/>
      <c r="AI738" s="47"/>
      <c r="AJ738" s="47"/>
      <c r="AK738" s="47"/>
      <c r="AL738" s="47"/>
      <c r="AM738" s="47"/>
      <c r="AN738" s="47"/>
      <c r="AO738" s="47"/>
      <c r="AP738" s="47"/>
      <c r="AQ738" s="47"/>
      <c r="AR738" s="47"/>
      <c r="AS738" s="47"/>
      <c r="AT738" s="47"/>
      <c r="AU738" s="47"/>
      <c r="AV738" s="46">
        <f>48/IF(Общие_или_заединицу="Общие трудозатраты",1,8)</f>
        <v>6</v>
      </c>
      <c r="AW738" s="47"/>
      <c r="AX738" s="47"/>
      <c r="AY738" s="47"/>
      <c r="AZ738" s="47"/>
      <c r="BA738" s="47"/>
      <c r="BB738" s="47"/>
      <c r="BC738" s="47"/>
    </row>
    <row r="739" spans="1:55" x14ac:dyDescent="0.25">
      <c r="A739" s="45" t="s">
        <v>1455</v>
      </c>
      <c r="B739" s="46">
        <f t="shared" si="18"/>
        <v>13</v>
      </c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6">
        <f>5/IF(Общие_или_заединицу="Общие трудозатраты",1,1)</f>
        <v>5</v>
      </c>
      <c r="U739" s="47"/>
      <c r="V739" s="47"/>
      <c r="W739" s="47"/>
      <c r="X739" s="47"/>
      <c r="Y739" s="47"/>
      <c r="Z739" s="47"/>
      <c r="AA739" s="47"/>
      <c r="AB739" s="47"/>
      <c r="AC739" s="47"/>
      <c r="AD739" s="47"/>
      <c r="AE739" s="47"/>
      <c r="AF739" s="47"/>
      <c r="AG739" s="47"/>
      <c r="AH739" s="47"/>
      <c r="AI739" s="47"/>
      <c r="AJ739" s="47"/>
      <c r="AK739" s="47"/>
      <c r="AL739" s="47"/>
      <c r="AM739" s="47"/>
      <c r="AN739" s="47"/>
      <c r="AO739" s="47"/>
      <c r="AP739" s="47"/>
      <c r="AQ739" s="47"/>
      <c r="AR739" s="47"/>
      <c r="AS739" s="47"/>
      <c r="AT739" s="47"/>
      <c r="AU739" s="47"/>
      <c r="AV739" s="46">
        <f>8/IF(Общие_или_заединицу="Общие трудозатраты",1,1)</f>
        <v>8</v>
      </c>
      <c r="AW739" s="47"/>
      <c r="AX739" s="47"/>
      <c r="AY739" s="47"/>
      <c r="AZ739" s="47"/>
      <c r="BA739" s="47"/>
      <c r="BB739" s="47"/>
      <c r="BC739" s="47"/>
    </row>
    <row r="740" spans="1:55" x14ac:dyDescent="0.25">
      <c r="A740" s="45" t="s">
        <v>1456</v>
      </c>
      <c r="B740" s="46">
        <f t="shared" si="18"/>
        <v>12</v>
      </c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6">
        <f>5/IF(Общие_или_заединицу="Общие трудозатраты",1,1)</f>
        <v>5</v>
      </c>
      <c r="U740" s="47"/>
      <c r="V740" s="47"/>
      <c r="W740" s="47"/>
      <c r="X740" s="47"/>
      <c r="Y740" s="47"/>
      <c r="Z740" s="47"/>
      <c r="AA740" s="47"/>
      <c r="AB740" s="47"/>
      <c r="AC740" s="47"/>
      <c r="AD740" s="47"/>
      <c r="AE740" s="47"/>
      <c r="AF740" s="47"/>
      <c r="AG740" s="47"/>
      <c r="AH740" s="47"/>
      <c r="AI740" s="47"/>
      <c r="AJ740" s="47"/>
      <c r="AK740" s="47"/>
      <c r="AL740" s="47"/>
      <c r="AM740" s="47"/>
      <c r="AN740" s="47"/>
      <c r="AO740" s="47"/>
      <c r="AP740" s="47"/>
      <c r="AQ740" s="47"/>
      <c r="AR740" s="47"/>
      <c r="AS740" s="47"/>
      <c r="AT740" s="47"/>
      <c r="AU740" s="47"/>
      <c r="AV740" s="46">
        <f>7/IF(Общие_или_заединицу="Общие трудозатраты",1,1)</f>
        <v>7</v>
      </c>
      <c r="AW740" s="47"/>
      <c r="AX740" s="47"/>
      <c r="AY740" s="47"/>
      <c r="AZ740" s="47"/>
      <c r="BA740" s="47"/>
      <c r="BB740" s="47"/>
      <c r="BC740" s="47"/>
    </row>
    <row r="741" spans="1:55" ht="22.5" x14ac:dyDescent="0.25">
      <c r="A741" s="45" t="s">
        <v>1457</v>
      </c>
      <c r="B741" s="46">
        <f t="shared" si="18"/>
        <v>259.39999999999998</v>
      </c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6">
        <f>16.4/IF(Общие_или_заединицу="Общие трудозатраты",1,1)</f>
        <v>16.399999999999999</v>
      </c>
      <c r="X741" s="47"/>
      <c r="Y741" s="46">
        <f>30/IF(Общие_или_заединицу="Общие трудозатраты",1,1)</f>
        <v>30</v>
      </c>
      <c r="Z741" s="47"/>
      <c r="AA741" s="47"/>
      <c r="AB741" s="47"/>
      <c r="AC741" s="47"/>
      <c r="AD741" s="47"/>
      <c r="AE741" s="47"/>
      <c r="AF741" s="46">
        <f>23/IF(Общие_или_заединицу="Общие трудозатраты",1,1)</f>
        <v>23</v>
      </c>
      <c r="AG741" s="47"/>
      <c r="AH741" s="46">
        <f>150/IF(Общие_или_заединицу="Общие трудозатраты",1,1)</f>
        <v>150</v>
      </c>
      <c r="AI741" s="47"/>
      <c r="AJ741" s="47"/>
      <c r="AK741" s="47"/>
      <c r="AL741" s="47"/>
      <c r="AM741" s="47"/>
      <c r="AN741" s="47"/>
      <c r="AO741" s="47"/>
      <c r="AP741" s="47"/>
      <c r="AQ741" s="47"/>
      <c r="AR741" s="47"/>
      <c r="AS741" s="46">
        <f>40/IF(Общие_или_заединицу="Общие трудозатраты",1,1)</f>
        <v>40</v>
      </c>
      <c r="AT741" s="47"/>
      <c r="AU741" s="47"/>
      <c r="AV741" s="47"/>
      <c r="AW741" s="47"/>
      <c r="AX741" s="47"/>
      <c r="AY741" s="47"/>
      <c r="AZ741" s="47"/>
      <c r="BA741" s="47"/>
      <c r="BB741" s="47"/>
      <c r="BC741" s="47"/>
    </row>
    <row r="742" spans="1:55" x14ac:dyDescent="0.25">
      <c r="A742" s="45" t="s">
        <v>1458</v>
      </c>
      <c r="B742" s="46">
        <f t="shared" si="18"/>
        <v>12.5</v>
      </c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6">
        <f>5.5/IF(Общие_или_заединицу="Общие трудозатраты",1,1)</f>
        <v>5.5</v>
      </c>
      <c r="U742" s="47"/>
      <c r="V742" s="47"/>
      <c r="W742" s="47"/>
      <c r="X742" s="47"/>
      <c r="Y742" s="47"/>
      <c r="Z742" s="47"/>
      <c r="AA742" s="47"/>
      <c r="AB742" s="47"/>
      <c r="AC742" s="47"/>
      <c r="AD742" s="47"/>
      <c r="AE742" s="47"/>
      <c r="AF742" s="47"/>
      <c r="AG742" s="47"/>
      <c r="AH742" s="47"/>
      <c r="AI742" s="47"/>
      <c r="AJ742" s="47"/>
      <c r="AK742" s="47"/>
      <c r="AL742" s="47"/>
      <c r="AM742" s="47"/>
      <c r="AN742" s="47"/>
      <c r="AO742" s="47"/>
      <c r="AP742" s="47"/>
      <c r="AQ742" s="47"/>
      <c r="AR742" s="47"/>
      <c r="AS742" s="47"/>
      <c r="AT742" s="47"/>
      <c r="AU742" s="47"/>
      <c r="AV742" s="46">
        <f>7/IF(Общие_или_заединицу="Общие трудозатраты",1,1)</f>
        <v>7</v>
      </c>
      <c r="AW742" s="47"/>
      <c r="AX742" s="47"/>
      <c r="AY742" s="47"/>
      <c r="AZ742" s="47"/>
      <c r="BA742" s="47"/>
      <c r="BB742" s="47"/>
      <c r="BC742" s="47"/>
    </row>
    <row r="743" spans="1:55" x14ac:dyDescent="0.25">
      <c r="A743" s="45" t="s">
        <v>1459</v>
      </c>
      <c r="B743" s="46">
        <f t="shared" si="18"/>
        <v>12.5</v>
      </c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6">
        <f>5.5/IF(Общие_или_заединицу="Общие трудозатраты",1,1)</f>
        <v>5.5</v>
      </c>
      <c r="U743" s="47"/>
      <c r="V743" s="47"/>
      <c r="W743" s="47"/>
      <c r="X743" s="47"/>
      <c r="Y743" s="47"/>
      <c r="Z743" s="47"/>
      <c r="AA743" s="47"/>
      <c r="AB743" s="47"/>
      <c r="AC743" s="47"/>
      <c r="AD743" s="47"/>
      <c r="AE743" s="47"/>
      <c r="AF743" s="47"/>
      <c r="AG743" s="47"/>
      <c r="AH743" s="47"/>
      <c r="AI743" s="47"/>
      <c r="AJ743" s="47"/>
      <c r="AK743" s="47"/>
      <c r="AL743" s="47"/>
      <c r="AM743" s="47"/>
      <c r="AN743" s="47"/>
      <c r="AO743" s="47"/>
      <c r="AP743" s="47"/>
      <c r="AQ743" s="47"/>
      <c r="AR743" s="47"/>
      <c r="AS743" s="47"/>
      <c r="AT743" s="47"/>
      <c r="AU743" s="47"/>
      <c r="AV743" s="46">
        <f>7/IF(Общие_или_заединицу="Общие трудозатраты",1,1)</f>
        <v>7</v>
      </c>
      <c r="AW743" s="47"/>
      <c r="AX743" s="47"/>
      <c r="AY743" s="47"/>
      <c r="AZ743" s="47"/>
      <c r="BA743" s="47"/>
      <c r="BB743" s="47"/>
      <c r="BC743" s="47"/>
    </row>
    <row r="744" spans="1:55" x14ac:dyDescent="0.25">
      <c r="A744" s="45" t="s">
        <v>1460</v>
      </c>
      <c r="B744" s="46">
        <f t="shared" si="18"/>
        <v>12.5</v>
      </c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6">
        <f>5.5/IF(Общие_или_заединицу="Общие трудозатраты",1,1)</f>
        <v>5.5</v>
      </c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7"/>
      <c r="AF744" s="47"/>
      <c r="AG744" s="47"/>
      <c r="AH744" s="47"/>
      <c r="AI744" s="47"/>
      <c r="AJ744" s="47"/>
      <c r="AK744" s="47"/>
      <c r="AL744" s="47"/>
      <c r="AM744" s="47"/>
      <c r="AN744" s="47"/>
      <c r="AO744" s="47"/>
      <c r="AP744" s="47"/>
      <c r="AQ744" s="47"/>
      <c r="AR744" s="47"/>
      <c r="AS744" s="47"/>
      <c r="AT744" s="47"/>
      <c r="AU744" s="47"/>
      <c r="AV744" s="46">
        <f>7/IF(Общие_или_заединицу="Общие трудозатраты",1,1)</f>
        <v>7</v>
      </c>
      <c r="AW744" s="47"/>
      <c r="AX744" s="47"/>
      <c r="AY744" s="47"/>
      <c r="AZ744" s="47"/>
      <c r="BA744" s="47"/>
      <c r="BB744" s="47"/>
      <c r="BC744" s="47"/>
    </row>
    <row r="745" spans="1:55" x14ac:dyDescent="0.25">
      <c r="A745" s="45" t="s">
        <v>1466</v>
      </c>
      <c r="B745" s="46">
        <f t="shared" si="18"/>
        <v>300</v>
      </c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6">
        <f>180/IF(Общие_или_заединицу="Общие трудозатраты",1,3)</f>
        <v>60</v>
      </c>
      <c r="Q745" s="46">
        <f>720/IF(Общие_или_заединицу="Общие трудозатраты",1,3)</f>
        <v>240</v>
      </c>
      <c r="R745" s="47"/>
      <c r="S745" s="47"/>
      <c r="T745" s="47"/>
      <c r="U745" s="47"/>
      <c r="V745" s="47"/>
      <c r="W745" s="47"/>
      <c r="X745" s="47"/>
      <c r="Y745" s="47"/>
      <c r="Z745" s="47"/>
      <c r="AA745" s="47"/>
      <c r="AB745" s="47"/>
      <c r="AC745" s="47"/>
      <c r="AD745" s="47"/>
      <c r="AE745" s="47"/>
      <c r="AF745" s="47"/>
      <c r="AG745" s="47"/>
      <c r="AH745" s="47"/>
      <c r="AI745" s="47"/>
      <c r="AJ745" s="47"/>
      <c r="AK745" s="47"/>
      <c r="AL745" s="47"/>
      <c r="AM745" s="47"/>
      <c r="AN745" s="47"/>
      <c r="AO745" s="47"/>
      <c r="AP745" s="47"/>
      <c r="AQ745" s="47"/>
      <c r="AR745" s="47"/>
      <c r="AS745" s="47"/>
      <c r="AT745" s="47"/>
      <c r="AU745" s="47"/>
      <c r="AV745" s="47"/>
      <c r="AW745" s="47"/>
      <c r="AX745" s="47"/>
      <c r="AY745" s="47"/>
      <c r="AZ745" s="47"/>
      <c r="BA745" s="47"/>
      <c r="BB745" s="47"/>
      <c r="BC745" s="47"/>
    </row>
    <row r="746" spans="1:55" x14ac:dyDescent="0.25">
      <c r="A746" s="45" t="s">
        <v>1500</v>
      </c>
      <c r="B746" s="46">
        <f t="shared" si="18"/>
        <v>35</v>
      </c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6">
        <f>20/IF(Общие_или_заединицу="Общие трудозатраты",1,2)</f>
        <v>10</v>
      </c>
      <c r="Q746" s="46">
        <f>50/IF(Общие_или_заединицу="Общие трудозатраты",1,2)</f>
        <v>25</v>
      </c>
      <c r="R746" s="47"/>
      <c r="S746" s="47"/>
      <c r="T746" s="47"/>
      <c r="U746" s="47"/>
      <c r="V746" s="47"/>
      <c r="W746" s="47"/>
      <c r="X746" s="47"/>
      <c r="Y746" s="47"/>
      <c r="Z746" s="47"/>
      <c r="AA746" s="47"/>
      <c r="AB746" s="47"/>
      <c r="AC746" s="47"/>
      <c r="AD746" s="47"/>
      <c r="AE746" s="47"/>
      <c r="AF746" s="47"/>
      <c r="AG746" s="47"/>
      <c r="AH746" s="47"/>
      <c r="AI746" s="47"/>
      <c r="AJ746" s="47"/>
      <c r="AK746" s="47"/>
      <c r="AL746" s="47"/>
      <c r="AM746" s="47"/>
      <c r="AN746" s="47"/>
      <c r="AO746" s="47"/>
      <c r="AP746" s="47"/>
      <c r="AQ746" s="47"/>
      <c r="AR746" s="47"/>
      <c r="AS746" s="47"/>
      <c r="AT746" s="47"/>
      <c r="AU746" s="47"/>
      <c r="AV746" s="47"/>
      <c r="AW746" s="47"/>
      <c r="AX746" s="47"/>
      <c r="AY746" s="47"/>
      <c r="AZ746" s="47"/>
      <c r="BA746" s="47"/>
      <c r="BB746" s="47"/>
      <c r="BC746" s="47"/>
    </row>
    <row r="747" spans="1:55" ht="22.5" x14ac:dyDescent="0.25">
      <c r="A747" s="45" t="s">
        <v>1467</v>
      </c>
      <c r="B747" s="46">
        <f t="shared" si="18"/>
        <v>7</v>
      </c>
      <c r="C747" s="47"/>
      <c r="D747" s="47"/>
      <c r="E747" s="47"/>
      <c r="F747" s="47"/>
      <c r="G747" s="47"/>
      <c r="H747" s="47"/>
      <c r="I747" s="46">
        <f>10/IF(Общие_или_заединицу="Общие трудозатраты",1,5)</f>
        <v>2</v>
      </c>
      <c r="J747" s="47"/>
      <c r="K747" s="47"/>
      <c r="L747" s="47"/>
      <c r="M747" s="47"/>
      <c r="N747" s="47"/>
      <c r="O747" s="47"/>
      <c r="P747" s="47"/>
      <c r="Q747" s="47"/>
      <c r="R747" s="47"/>
      <c r="S747" s="46">
        <f>25/IF(Общие_или_заединицу="Общие трудозатраты",1,5)</f>
        <v>5</v>
      </c>
      <c r="T747" s="47"/>
      <c r="U747" s="47"/>
      <c r="V747" s="47"/>
      <c r="W747" s="47"/>
      <c r="X747" s="47"/>
      <c r="Y747" s="47"/>
      <c r="Z747" s="47"/>
      <c r="AA747" s="47"/>
      <c r="AB747" s="47"/>
      <c r="AC747" s="47"/>
      <c r="AD747" s="47"/>
      <c r="AE747" s="47"/>
      <c r="AF747" s="47"/>
      <c r="AG747" s="47"/>
      <c r="AH747" s="47"/>
      <c r="AI747" s="47"/>
      <c r="AJ747" s="47"/>
      <c r="AK747" s="47"/>
      <c r="AL747" s="47"/>
      <c r="AM747" s="47"/>
      <c r="AN747" s="47"/>
      <c r="AO747" s="47"/>
      <c r="AP747" s="47"/>
      <c r="AQ747" s="47"/>
      <c r="AR747" s="47"/>
      <c r="AS747" s="47"/>
      <c r="AT747" s="47"/>
      <c r="AU747" s="47"/>
      <c r="AV747" s="47"/>
      <c r="AW747" s="47"/>
      <c r="AX747" s="47"/>
      <c r="AY747" s="47"/>
      <c r="AZ747" s="47"/>
      <c r="BA747" s="47"/>
      <c r="BB747" s="47"/>
      <c r="BC747" s="47"/>
    </row>
    <row r="748" spans="1:55" ht="22.5" x14ac:dyDescent="0.25">
      <c r="A748" s="45" t="s">
        <v>1468</v>
      </c>
      <c r="B748" s="46">
        <f t="shared" si="18"/>
        <v>19.5</v>
      </c>
      <c r="C748" s="47"/>
      <c r="D748" s="47"/>
      <c r="E748" s="47"/>
      <c r="F748" s="47"/>
      <c r="G748" s="47"/>
      <c r="H748" s="47"/>
      <c r="I748" s="46">
        <f>10/IF(Общие_или_заединицу="Общие трудозатраты",1,5)</f>
        <v>2</v>
      </c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  <c r="AB748" s="47"/>
      <c r="AC748" s="47"/>
      <c r="AD748" s="46">
        <f>25/IF(Общие_или_заединицу="Общие трудозатраты",1,5)*IF(Пробивка="Стандартная пробивная",1,3.5)</f>
        <v>17.5</v>
      </c>
      <c r="AE748" s="47"/>
      <c r="AF748" s="47"/>
      <c r="AG748" s="47"/>
      <c r="AH748" s="47"/>
      <c r="AI748" s="47"/>
      <c r="AJ748" s="47"/>
      <c r="AK748" s="47"/>
      <c r="AL748" s="47"/>
      <c r="AM748" s="47"/>
      <c r="AN748" s="47"/>
      <c r="AO748" s="47"/>
      <c r="AP748" s="47"/>
      <c r="AQ748" s="47"/>
      <c r="AR748" s="47"/>
      <c r="AS748" s="47"/>
      <c r="AT748" s="47"/>
      <c r="AU748" s="47"/>
      <c r="AV748" s="47"/>
      <c r="AW748" s="47"/>
      <c r="AX748" s="47"/>
      <c r="AY748" s="47"/>
      <c r="AZ748" s="47"/>
      <c r="BA748" s="47"/>
      <c r="BB748" s="47"/>
      <c r="BC748" s="47"/>
    </row>
    <row r="749" spans="1:55" ht="22.5" x14ac:dyDescent="0.25">
      <c r="A749" s="45" t="s">
        <v>1469</v>
      </c>
      <c r="B749" s="46">
        <f t="shared" si="18"/>
        <v>11.6</v>
      </c>
      <c r="C749" s="47"/>
      <c r="D749" s="47"/>
      <c r="E749" s="47"/>
      <c r="F749" s="47"/>
      <c r="G749" s="47"/>
      <c r="H749" s="47"/>
      <c r="I749" s="46">
        <f>5.5/IF(Общие_или_заединицу="Общие трудозатраты",1,5)</f>
        <v>1.1000000000000001</v>
      </c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  <c r="AB749" s="47"/>
      <c r="AC749" s="47"/>
      <c r="AD749" s="46">
        <f>15/IF(Общие_или_заединицу="Общие трудозатраты",1,5)*IF(Пробивка="Стандартная пробивная",1,3.5)</f>
        <v>10.5</v>
      </c>
      <c r="AE749" s="47"/>
      <c r="AF749" s="47"/>
      <c r="AG749" s="47"/>
      <c r="AH749" s="47"/>
      <c r="AI749" s="47"/>
      <c r="AJ749" s="47"/>
      <c r="AK749" s="47"/>
      <c r="AL749" s="47"/>
      <c r="AM749" s="47"/>
      <c r="AN749" s="47"/>
      <c r="AO749" s="47"/>
      <c r="AP749" s="47"/>
      <c r="AQ749" s="47"/>
      <c r="AR749" s="47"/>
      <c r="AS749" s="47"/>
      <c r="AT749" s="47"/>
      <c r="AU749" s="47"/>
      <c r="AV749" s="47"/>
      <c r="AW749" s="47"/>
      <c r="AX749" s="47"/>
      <c r="AY749" s="47"/>
      <c r="AZ749" s="47"/>
      <c r="BA749" s="47"/>
      <c r="BB749" s="47"/>
      <c r="BC749" s="47"/>
    </row>
    <row r="750" spans="1:55" x14ac:dyDescent="0.25">
      <c r="A750" s="45" t="s">
        <v>1470</v>
      </c>
      <c r="B750" s="46">
        <f t="shared" si="18"/>
        <v>11.6</v>
      </c>
      <c r="C750" s="47"/>
      <c r="D750" s="47"/>
      <c r="E750" s="47"/>
      <c r="F750" s="46">
        <f>11/IF(Общие_или_заединицу="Общие трудозатраты",1,10)</f>
        <v>1.1000000000000001</v>
      </c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  <c r="AB750" s="47"/>
      <c r="AC750" s="47"/>
      <c r="AD750" s="46">
        <f>30/IF(Общие_или_заединицу="Общие трудозатраты",1,10)*IF(Пробивка="Стандартная пробивная",1,3.5)</f>
        <v>10.5</v>
      </c>
      <c r="AE750" s="47"/>
      <c r="AF750" s="47"/>
      <c r="AG750" s="47"/>
      <c r="AH750" s="47"/>
      <c r="AI750" s="47"/>
      <c r="AJ750" s="47"/>
      <c r="AK750" s="47"/>
      <c r="AL750" s="47"/>
      <c r="AM750" s="47"/>
      <c r="AN750" s="47"/>
      <c r="AO750" s="47"/>
      <c r="AP750" s="47"/>
      <c r="AQ750" s="47"/>
      <c r="AR750" s="47"/>
      <c r="AS750" s="47"/>
      <c r="AT750" s="47"/>
      <c r="AU750" s="47"/>
      <c r="AV750" s="47"/>
      <c r="AW750" s="47"/>
      <c r="AX750" s="47"/>
      <c r="AY750" s="47"/>
      <c r="AZ750" s="47"/>
      <c r="BA750" s="47"/>
      <c r="BB750" s="47"/>
      <c r="BC750" s="47"/>
    </row>
    <row r="751" spans="1:55" x14ac:dyDescent="0.25">
      <c r="A751" s="45" t="s">
        <v>1471</v>
      </c>
      <c r="B751" s="46">
        <f t="shared" si="18"/>
        <v>14.25</v>
      </c>
      <c r="C751" s="47"/>
      <c r="D751" s="47"/>
      <c r="E751" s="47"/>
      <c r="F751" s="47"/>
      <c r="G751" s="46">
        <f>10/IF(Общие_или_заединицу="Общие трудозатраты",1,5)</f>
        <v>2</v>
      </c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  <c r="AB751" s="47"/>
      <c r="AC751" s="47"/>
      <c r="AD751" s="46">
        <f>17.5/IF(Общие_или_заединицу="Общие трудозатраты",1,5)*IF(Пробивка="Стандартная пробивная",1,3.5)</f>
        <v>12.25</v>
      </c>
      <c r="AE751" s="47"/>
      <c r="AF751" s="47"/>
      <c r="AG751" s="47"/>
      <c r="AH751" s="47"/>
      <c r="AI751" s="47"/>
      <c r="AJ751" s="47"/>
      <c r="AK751" s="47"/>
      <c r="AL751" s="47"/>
      <c r="AM751" s="47"/>
      <c r="AN751" s="47"/>
      <c r="AO751" s="47"/>
      <c r="AP751" s="47"/>
      <c r="AQ751" s="47"/>
      <c r="AR751" s="47"/>
      <c r="AS751" s="47"/>
      <c r="AT751" s="47"/>
      <c r="AU751" s="47"/>
      <c r="AV751" s="47"/>
      <c r="AW751" s="47"/>
      <c r="AX751" s="47"/>
      <c r="AY751" s="47"/>
      <c r="AZ751" s="47"/>
      <c r="BA751" s="47"/>
      <c r="BB751" s="47"/>
      <c r="BC751" s="47"/>
    </row>
    <row r="752" spans="1:55" x14ac:dyDescent="0.25">
      <c r="A752" s="45" t="s">
        <v>1472</v>
      </c>
      <c r="B752" s="46">
        <f t="shared" si="18"/>
        <v>14.25</v>
      </c>
      <c r="C752" s="47"/>
      <c r="D752" s="47"/>
      <c r="E752" s="47"/>
      <c r="F752" s="47"/>
      <c r="G752" s="46">
        <f>10/IF(Общие_или_заединицу="Общие трудозатраты",1,5)</f>
        <v>2</v>
      </c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  <c r="AB752" s="47"/>
      <c r="AC752" s="47"/>
      <c r="AD752" s="46">
        <f>17.5/IF(Общие_или_заединицу="Общие трудозатраты",1,5)*IF(Пробивка="Стандартная пробивная",1,3.5)</f>
        <v>12.25</v>
      </c>
      <c r="AE752" s="47"/>
      <c r="AF752" s="47"/>
      <c r="AG752" s="47"/>
      <c r="AH752" s="47"/>
      <c r="AI752" s="47"/>
      <c r="AJ752" s="47"/>
      <c r="AK752" s="47"/>
      <c r="AL752" s="47"/>
      <c r="AM752" s="47"/>
      <c r="AN752" s="47"/>
      <c r="AO752" s="47"/>
      <c r="AP752" s="47"/>
      <c r="AQ752" s="47"/>
      <c r="AR752" s="47"/>
      <c r="AS752" s="47"/>
      <c r="AT752" s="47"/>
      <c r="AU752" s="47"/>
      <c r="AV752" s="47"/>
      <c r="AW752" s="47"/>
      <c r="AX752" s="47"/>
      <c r="AY752" s="47"/>
      <c r="AZ752" s="47"/>
      <c r="BA752" s="47"/>
      <c r="BB752" s="47"/>
      <c r="BC752" s="47"/>
    </row>
    <row r="753" spans="1:55" x14ac:dyDescent="0.25">
      <c r="A753" s="45" t="s">
        <v>1473</v>
      </c>
      <c r="B753" s="46">
        <f t="shared" si="18"/>
        <v>15.25</v>
      </c>
      <c r="C753" s="47"/>
      <c r="D753" s="47"/>
      <c r="E753" s="47"/>
      <c r="F753" s="47"/>
      <c r="G753" s="47"/>
      <c r="H753" s="46">
        <f>75/IF(Общие_или_заединицу="Общие трудозатраты",1,25)</f>
        <v>3</v>
      </c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6">
        <f>87.5/IF(Общие_или_заединицу="Общие трудозатраты",1,25)*IF(Пробивка="Стандартная пробивная",1,3.5)</f>
        <v>12.25</v>
      </c>
      <c r="AE753" s="47"/>
      <c r="AF753" s="47"/>
      <c r="AG753" s="47"/>
      <c r="AH753" s="47"/>
      <c r="AI753" s="47"/>
      <c r="AJ753" s="47"/>
      <c r="AK753" s="47"/>
      <c r="AL753" s="47"/>
      <c r="AM753" s="47"/>
      <c r="AN753" s="47"/>
      <c r="AO753" s="47"/>
      <c r="AP753" s="47"/>
      <c r="AQ753" s="47"/>
      <c r="AR753" s="47"/>
      <c r="AS753" s="47"/>
      <c r="AT753" s="47"/>
      <c r="AU753" s="47"/>
      <c r="AV753" s="47"/>
      <c r="AW753" s="47"/>
      <c r="AX753" s="47"/>
      <c r="AY753" s="47"/>
      <c r="AZ753" s="47"/>
      <c r="BA753" s="47"/>
      <c r="BB753" s="47"/>
      <c r="BC753" s="47"/>
    </row>
    <row r="754" spans="1:55" x14ac:dyDescent="0.25">
      <c r="A754" s="45" t="s">
        <v>1474</v>
      </c>
      <c r="B754" s="46">
        <f t="shared" si="18"/>
        <v>25.4</v>
      </c>
      <c r="C754" s="47"/>
      <c r="D754" s="47"/>
      <c r="E754" s="47"/>
      <c r="F754" s="47"/>
      <c r="G754" s="47"/>
      <c r="H754" s="47"/>
      <c r="I754" s="46">
        <f>10/IF(Общие_или_заединицу="Общие трудозатраты",1,5)</f>
        <v>2</v>
      </c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6">
        <f>32.5/IF(Общие_или_заединицу="Общие трудозатраты",1,5)</f>
        <v>6.5</v>
      </c>
      <c r="W754" s="46">
        <f>35/IF(Общие_или_заединицу="Общие трудозатраты",1,5)</f>
        <v>7</v>
      </c>
      <c r="X754" s="47"/>
      <c r="Y754" s="47"/>
      <c r="Z754" s="47"/>
      <c r="AA754" s="46">
        <f>49.5/IF(Общие_или_заединицу="Общие трудозатраты",1,5)</f>
        <v>9.9</v>
      </c>
      <c r="AB754" s="47"/>
      <c r="AC754" s="47"/>
      <c r="AD754" s="47"/>
      <c r="AE754" s="47"/>
      <c r="AF754" s="47"/>
      <c r="AG754" s="47"/>
      <c r="AH754" s="47"/>
      <c r="AI754" s="47"/>
      <c r="AJ754" s="47"/>
      <c r="AK754" s="47"/>
      <c r="AL754" s="47"/>
      <c r="AM754" s="47"/>
      <c r="AN754" s="47"/>
      <c r="AO754" s="47"/>
      <c r="AP754" s="47"/>
      <c r="AQ754" s="47"/>
      <c r="AR754" s="47"/>
      <c r="AS754" s="47"/>
      <c r="AT754" s="47"/>
      <c r="AU754" s="47"/>
      <c r="AV754" s="47"/>
      <c r="AW754" s="47"/>
      <c r="AX754" s="47"/>
      <c r="AY754" s="47"/>
      <c r="AZ754" s="47"/>
      <c r="BA754" s="47"/>
      <c r="BB754" s="47"/>
      <c r="BC754" s="47"/>
    </row>
    <row r="755" spans="1:55" x14ac:dyDescent="0.25">
      <c r="A755" s="45" t="s">
        <v>1475</v>
      </c>
      <c r="B755" s="46">
        <f t="shared" si="18"/>
        <v>17.2</v>
      </c>
      <c r="C755" s="47"/>
      <c r="D755" s="47"/>
      <c r="E755" s="47"/>
      <c r="F755" s="47"/>
      <c r="G755" s="47"/>
      <c r="H755" s="47"/>
      <c r="I755" s="46">
        <f>5.5/IF(Общие_или_заединицу="Общие трудозатраты",1,5)</f>
        <v>1.1000000000000001</v>
      </c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6">
        <f>23/IF(Общие_или_заединицу="Общие трудозатраты",1,5)*IF(Пробивка="Стандартная пробивная",1,3.5)</f>
        <v>16.099999999999998</v>
      </c>
      <c r="AE755" s="47"/>
      <c r="AF755" s="47"/>
      <c r="AG755" s="47"/>
      <c r="AH755" s="47"/>
      <c r="AI755" s="47"/>
      <c r="AJ755" s="47"/>
      <c r="AK755" s="47"/>
      <c r="AL755" s="47"/>
      <c r="AM755" s="47"/>
      <c r="AN755" s="47"/>
      <c r="AO755" s="47"/>
      <c r="AP755" s="47"/>
      <c r="AQ755" s="47"/>
      <c r="AR755" s="47"/>
      <c r="AS755" s="47"/>
      <c r="AT755" s="47"/>
      <c r="AU755" s="47"/>
      <c r="AV755" s="47"/>
      <c r="AW755" s="47"/>
      <c r="AX755" s="47"/>
      <c r="AY755" s="47"/>
      <c r="AZ755" s="47"/>
      <c r="BA755" s="47"/>
      <c r="BB755" s="47"/>
      <c r="BC755" s="47"/>
    </row>
    <row r="756" spans="1:55" x14ac:dyDescent="0.25">
      <c r="A756" s="45" t="s">
        <v>1476</v>
      </c>
      <c r="B756" s="46">
        <f t="shared" si="18"/>
        <v>10.6</v>
      </c>
      <c r="C756" s="47"/>
      <c r="D756" s="47"/>
      <c r="E756" s="47"/>
      <c r="F756" s="47"/>
      <c r="G756" s="47"/>
      <c r="H756" s="46">
        <f>30/IF(Общие_или_заединицу="Общие трудозатраты",1,10)</f>
        <v>3</v>
      </c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6">
        <f>35/IF(Общие_или_заединицу="Общие трудозатраты",1,10)</f>
        <v>3.5</v>
      </c>
      <c r="W756" s="46">
        <f>15/IF(Общие_или_заединицу="Общие трудозатраты",1,10)</f>
        <v>1.5</v>
      </c>
      <c r="X756" s="47"/>
      <c r="Y756" s="47"/>
      <c r="Z756" s="47"/>
      <c r="AA756" s="46">
        <f>26/IF(Общие_или_заединицу="Общие трудозатраты",1,10)</f>
        <v>2.6</v>
      </c>
      <c r="AB756" s="47"/>
      <c r="AC756" s="47"/>
      <c r="AD756" s="47"/>
      <c r="AE756" s="47"/>
      <c r="AF756" s="47"/>
      <c r="AG756" s="47"/>
      <c r="AH756" s="47"/>
      <c r="AI756" s="47"/>
      <c r="AJ756" s="47"/>
      <c r="AK756" s="47"/>
      <c r="AL756" s="47"/>
      <c r="AM756" s="47"/>
      <c r="AN756" s="47"/>
      <c r="AO756" s="47"/>
      <c r="AP756" s="47"/>
      <c r="AQ756" s="47"/>
      <c r="AR756" s="47"/>
      <c r="AS756" s="47"/>
      <c r="AT756" s="47"/>
      <c r="AU756" s="47"/>
      <c r="AV756" s="47"/>
      <c r="AW756" s="47"/>
      <c r="AX756" s="47"/>
      <c r="AY756" s="47"/>
      <c r="AZ756" s="47"/>
      <c r="BA756" s="47"/>
      <c r="BB756" s="47"/>
      <c r="BC756" s="47"/>
    </row>
    <row r="757" spans="1:55" x14ac:dyDescent="0.25">
      <c r="A757" s="45" t="s">
        <v>1477</v>
      </c>
      <c r="B757" s="46">
        <f t="shared" si="18"/>
        <v>8</v>
      </c>
      <c r="C757" s="47"/>
      <c r="D757" s="47"/>
      <c r="E757" s="47"/>
      <c r="F757" s="47"/>
      <c r="G757" s="47"/>
      <c r="H757" s="46">
        <f>20/IF(Общие_или_заединицу="Общие трудозатраты",1,10)</f>
        <v>2</v>
      </c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6">
        <f>30/IF(Общие_или_заединицу="Общие трудозатраты",1,10)</f>
        <v>3</v>
      </c>
      <c r="X757" s="47"/>
      <c r="Y757" s="47"/>
      <c r="Z757" s="47"/>
      <c r="AA757" s="46">
        <f>30/IF(Общие_или_заединицу="Общие трудозатраты",1,10)</f>
        <v>3</v>
      </c>
      <c r="AB757" s="47"/>
      <c r="AC757" s="47"/>
      <c r="AD757" s="47"/>
      <c r="AE757" s="47"/>
      <c r="AF757" s="47"/>
      <c r="AG757" s="47"/>
      <c r="AH757" s="47"/>
      <c r="AI757" s="47"/>
      <c r="AJ757" s="47"/>
      <c r="AK757" s="47"/>
      <c r="AL757" s="47"/>
      <c r="AM757" s="47"/>
      <c r="AN757" s="47"/>
      <c r="AO757" s="47"/>
      <c r="AP757" s="47"/>
      <c r="AQ757" s="47"/>
      <c r="AR757" s="47"/>
      <c r="AS757" s="47"/>
      <c r="AT757" s="47"/>
      <c r="AU757" s="47"/>
      <c r="AV757" s="47"/>
      <c r="AW757" s="47"/>
      <c r="AX757" s="47"/>
      <c r="AY757" s="47"/>
      <c r="AZ757" s="47"/>
      <c r="BA757" s="47"/>
      <c r="BB757" s="47"/>
      <c r="BC757" s="47"/>
    </row>
    <row r="758" spans="1:55" x14ac:dyDescent="0.25">
      <c r="A758" s="45" t="s">
        <v>1478</v>
      </c>
      <c r="B758" s="46">
        <f t="shared" si="18"/>
        <v>17.75</v>
      </c>
      <c r="C758" s="47"/>
      <c r="D758" s="47"/>
      <c r="E758" s="47"/>
      <c r="F758" s="47"/>
      <c r="G758" s="46">
        <f>20/IF(Общие_или_заединицу="Общие трудозатраты",1,10)</f>
        <v>2</v>
      </c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  <c r="AB758" s="47"/>
      <c r="AC758" s="47"/>
      <c r="AD758" s="46">
        <f>45/IF(Общие_или_заединицу="Общие трудозатраты",1,10)*IF(Пробивка="Стандартная пробивная",1,3.5)</f>
        <v>15.75</v>
      </c>
      <c r="AE758" s="47"/>
      <c r="AF758" s="47"/>
      <c r="AG758" s="47"/>
      <c r="AH758" s="47"/>
      <c r="AI758" s="47"/>
      <c r="AJ758" s="47"/>
      <c r="AK758" s="47"/>
      <c r="AL758" s="47"/>
      <c r="AM758" s="47"/>
      <c r="AN758" s="47"/>
      <c r="AO758" s="47"/>
      <c r="AP758" s="47"/>
      <c r="AQ758" s="47"/>
      <c r="AR758" s="47"/>
      <c r="AS758" s="47"/>
      <c r="AT758" s="47"/>
      <c r="AU758" s="47"/>
      <c r="AV758" s="47"/>
      <c r="AW758" s="47"/>
      <c r="AX758" s="47"/>
      <c r="AY758" s="47"/>
      <c r="AZ758" s="47"/>
      <c r="BA758" s="47"/>
      <c r="BB758" s="47"/>
      <c r="BC758" s="47"/>
    </row>
    <row r="759" spans="1:55" x14ac:dyDescent="0.25">
      <c r="A759" s="45" t="s">
        <v>1479</v>
      </c>
      <c r="B759" s="46">
        <f t="shared" si="18"/>
        <v>8</v>
      </c>
      <c r="C759" s="47"/>
      <c r="D759" s="47"/>
      <c r="E759" s="47"/>
      <c r="F759" s="47"/>
      <c r="G759" s="47"/>
      <c r="H759" s="46">
        <f>20/IF(Общие_или_заединицу="Общие трудозатраты",1,10)</f>
        <v>2</v>
      </c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6">
        <f>30/IF(Общие_или_заединицу="Общие трудозатраты",1,10)</f>
        <v>3</v>
      </c>
      <c r="X759" s="47"/>
      <c r="Y759" s="47"/>
      <c r="Z759" s="47"/>
      <c r="AA759" s="46">
        <f>30/IF(Общие_или_заединицу="Общие трудозатраты",1,10)</f>
        <v>3</v>
      </c>
      <c r="AB759" s="47"/>
      <c r="AC759" s="47"/>
      <c r="AD759" s="47"/>
      <c r="AE759" s="47"/>
      <c r="AF759" s="47"/>
      <c r="AG759" s="47"/>
      <c r="AH759" s="47"/>
      <c r="AI759" s="47"/>
      <c r="AJ759" s="47"/>
      <c r="AK759" s="47"/>
      <c r="AL759" s="47"/>
      <c r="AM759" s="47"/>
      <c r="AN759" s="47"/>
      <c r="AO759" s="47"/>
      <c r="AP759" s="47"/>
      <c r="AQ759" s="47"/>
      <c r="AR759" s="47"/>
      <c r="AS759" s="47"/>
      <c r="AT759" s="47"/>
      <c r="AU759" s="47"/>
      <c r="AV759" s="47"/>
      <c r="AW759" s="47"/>
      <c r="AX759" s="47"/>
      <c r="AY759" s="47"/>
      <c r="AZ759" s="47"/>
      <c r="BA759" s="47"/>
      <c r="BB759" s="47"/>
      <c r="BC759" s="47"/>
    </row>
    <row r="760" spans="1:55" x14ac:dyDescent="0.25">
      <c r="A760" s="45" t="s">
        <v>1480</v>
      </c>
      <c r="B760" s="46">
        <f t="shared" si="18"/>
        <v>17.75</v>
      </c>
      <c r="C760" s="47"/>
      <c r="D760" s="47"/>
      <c r="E760" s="47"/>
      <c r="F760" s="47"/>
      <c r="G760" s="47"/>
      <c r="H760" s="47"/>
      <c r="I760" s="47"/>
      <c r="J760" s="46">
        <f>10/IF(Общие_или_заединицу="Общие трудозатраты",1,5)</f>
        <v>2</v>
      </c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  <c r="AB760" s="47"/>
      <c r="AC760" s="47"/>
      <c r="AD760" s="46">
        <f t="shared" ref="AD760:AD765" si="19">22.5/IF(Общие_или_заединицу="Общие трудозатраты",1,5)*IF(Пробивка="Стандартная пробивная",1,3.5)</f>
        <v>15.75</v>
      </c>
      <c r="AE760" s="47"/>
      <c r="AF760" s="47"/>
      <c r="AG760" s="47"/>
      <c r="AH760" s="47"/>
      <c r="AI760" s="47"/>
      <c r="AJ760" s="47"/>
      <c r="AK760" s="47"/>
      <c r="AL760" s="47"/>
      <c r="AM760" s="47"/>
      <c r="AN760" s="47"/>
      <c r="AO760" s="47"/>
      <c r="AP760" s="47"/>
      <c r="AQ760" s="47"/>
      <c r="AR760" s="47"/>
      <c r="AS760" s="47"/>
      <c r="AT760" s="47"/>
      <c r="AU760" s="47"/>
      <c r="AV760" s="47"/>
      <c r="AW760" s="47"/>
      <c r="AX760" s="47"/>
      <c r="AY760" s="47"/>
      <c r="AZ760" s="47"/>
      <c r="BA760" s="47"/>
      <c r="BB760" s="47"/>
      <c r="BC760" s="47"/>
    </row>
    <row r="761" spans="1:55" x14ac:dyDescent="0.25">
      <c r="A761" s="45" t="s">
        <v>1481</v>
      </c>
      <c r="B761" s="46">
        <f t="shared" si="18"/>
        <v>17.75</v>
      </c>
      <c r="C761" s="47"/>
      <c r="D761" s="47"/>
      <c r="E761" s="47"/>
      <c r="F761" s="47"/>
      <c r="G761" s="47"/>
      <c r="H761" s="47"/>
      <c r="I761" s="47"/>
      <c r="J761" s="46">
        <f>10/IF(Общие_или_заединицу="Общие трудозатраты",1,5)</f>
        <v>2</v>
      </c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  <c r="AB761" s="47"/>
      <c r="AC761" s="47"/>
      <c r="AD761" s="46">
        <f t="shared" si="19"/>
        <v>15.75</v>
      </c>
      <c r="AE761" s="47"/>
      <c r="AF761" s="47"/>
      <c r="AG761" s="47"/>
      <c r="AH761" s="47"/>
      <c r="AI761" s="47"/>
      <c r="AJ761" s="47"/>
      <c r="AK761" s="47"/>
      <c r="AL761" s="47"/>
      <c r="AM761" s="47"/>
      <c r="AN761" s="47"/>
      <c r="AO761" s="47"/>
      <c r="AP761" s="47"/>
      <c r="AQ761" s="47"/>
      <c r="AR761" s="47"/>
      <c r="AS761" s="47"/>
      <c r="AT761" s="47"/>
      <c r="AU761" s="47"/>
      <c r="AV761" s="47"/>
      <c r="AW761" s="47"/>
      <c r="AX761" s="47"/>
      <c r="AY761" s="47"/>
      <c r="AZ761" s="47"/>
      <c r="BA761" s="47"/>
      <c r="BB761" s="47"/>
      <c r="BC761" s="47"/>
    </row>
    <row r="762" spans="1:55" x14ac:dyDescent="0.25">
      <c r="A762" s="45" t="s">
        <v>1482</v>
      </c>
      <c r="B762" s="46">
        <f t="shared" si="18"/>
        <v>17.75</v>
      </c>
      <c r="C762" s="47"/>
      <c r="D762" s="47"/>
      <c r="E762" s="47"/>
      <c r="F762" s="47"/>
      <c r="G762" s="46">
        <f>10/IF(Общие_или_заединицу="Общие трудозатраты",1,5)</f>
        <v>2</v>
      </c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  <c r="AB762" s="47"/>
      <c r="AC762" s="47"/>
      <c r="AD762" s="46">
        <f t="shared" si="19"/>
        <v>15.75</v>
      </c>
      <c r="AE762" s="47"/>
      <c r="AF762" s="47"/>
      <c r="AG762" s="47"/>
      <c r="AH762" s="47"/>
      <c r="AI762" s="47"/>
      <c r="AJ762" s="47"/>
      <c r="AK762" s="47"/>
      <c r="AL762" s="47"/>
      <c r="AM762" s="47"/>
      <c r="AN762" s="47"/>
      <c r="AO762" s="47"/>
      <c r="AP762" s="47"/>
      <c r="AQ762" s="47"/>
      <c r="AR762" s="47"/>
      <c r="AS762" s="47"/>
      <c r="AT762" s="47"/>
      <c r="AU762" s="47"/>
      <c r="AV762" s="47"/>
      <c r="AW762" s="47"/>
      <c r="AX762" s="47"/>
      <c r="AY762" s="47"/>
      <c r="AZ762" s="47"/>
      <c r="BA762" s="47"/>
      <c r="BB762" s="47"/>
      <c r="BC762" s="47"/>
    </row>
    <row r="763" spans="1:55" x14ac:dyDescent="0.25">
      <c r="A763" s="45" t="s">
        <v>1483</v>
      </c>
      <c r="B763" s="46">
        <f t="shared" si="18"/>
        <v>17.75</v>
      </c>
      <c r="C763" s="47"/>
      <c r="D763" s="47"/>
      <c r="E763" s="47"/>
      <c r="F763" s="47"/>
      <c r="G763" s="46">
        <f>10/IF(Общие_или_заединицу="Общие трудозатраты",1,5)</f>
        <v>2</v>
      </c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  <c r="AB763" s="47"/>
      <c r="AC763" s="47"/>
      <c r="AD763" s="46">
        <f t="shared" si="19"/>
        <v>15.75</v>
      </c>
      <c r="AE763" s="47"/>
      <c r="AF763" s="47"/>
      <c r="AG763" s="47"/>
      <c r="AH763" s="47"/>
      <c r="AI763" s="47"/>
      <c r="AJ763" s="47"/>
      <c r="AK763" s="47"/>
      <c r="AL763" s="47"/>
      <c r="AM763" s="47"/>
      <c r="AN763" s="47"/>
      <c r="AO763" s="47"/>
      <c r="AP763" s="47"/>
      <c r="AQ763" s="47"/>
      <c r="AR763" s="47"/>
      <c r="AS763" s="47"/>
      <c r="AT763" s="47"/>
      <c r="AU763" s="47"/>
      <c r="AV763" s="47"/>
      <c r="AW763" s="47"/>
      <c r="AX763" s="47"/>
      <c r="AY763" s="47"/>
      <c r="AZ763" s="47"/>
      <c r="BA763" s="47"/>
      <c r="BB763" s="47"/>
      <c r="BC763" s="47"/>
    </row>
    <row r="764" spans="1:55" x14ac:dyDescent="0.25">
      <c r="A764" s="45" t="s">
        <v>1484</v>
      </c>
      <c r="B764" s="46">
        <f t="shared" si="18"/>
        <v>17.75</v>
      </c>
      <c r="C764" s="47"/>
      <c r="D764" s="47"/>
      <c r="E764" s="47"/>
      <c r="F764" s="47"/>
      <c r="G764" s="47"/>
      <c r="H764" s="47"/>
      <c r="I764" s="47"/>
      <c r="J764" s="46">
        <f>10/IF(Общие_или_заединицу="Общие трудозатраты",1,5)</f>
        <v>2</v>
      </c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  <c r="AB764" s="47"/>
      <c r="AC764" s="47"/>
      <c r="AD764" s="46">
        <f t="shared" si="19"/>
        <v>15.75</v>
      </c>
      <c r="AE764" s="47"/>
      <c r="AF764" s="47"/>
      <c r="AG764" s="47"/>
      <c r="AH764" s="47"/>
      <c r="AI764" s="47"/>
      <c r="AJ764" s="47"/>
      <c r="AK764" s="47"/>
      <c r="AL764" s="47"/>
      <c r="AM764" s="47"/>
      <c r="AN764" s="47"/>
      <c r="AO764" s="47"/>
      <c r="AP764" s="47"/>
      <c r="AQ764" s="47"/>
      <c r="AR764" s="47"/>
      <c r="AS764" s="47"/>
      <c r="AT764" s="47"/>
      <c r="AU764" s="47"/>
      <c r="AV764" s="47"/>
      <c r="AW764" s="47"/>
      <c r="AX764" s="47"/>
      <c r="AY764" s="47"/>
      <c r="AZ764" s="47"/>
      <c r="BA764" s="47"/>
      <c r="BB764" s="47"/>
      <c r="BC764" s="47"/>
    </row>
    <row r="765" spans="1:55" x14ac:dyDescent="0.25">
      <c r="A765" s="45" t="s">
        <v>1485</v>
      </c>
      <c r="B765" s="46">
        <f t="shared" si="18"/>
        <v>17.75</v>
      </c>
      <c r="C765" s="47"/>
      <c r="D765" s="47"/>
      <c r="E765" s="47"/>
      <c r="F765" s="47"/>
      <c r="G765" s="47"/>
      <c r="H765" s="47"/>
      <c r="I765" s="47"/>
      <c r="J765" s="46">
        <f>10/IF(Общие_или_заединицу="Общие трудозатраты",1,5)</f>
        <v>2</v>
      </c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  <c r="AB765" s="47"/>
      <c r="AC765" s="47"/>
      <c r="AD765" s="46">
        <f t="shared" si="19"/>
        <v>15.75</v>
      </c>
      <c r="AE765" s="47"/>
      <c r="AF765" s="47"/>
      <c r="AG765" s="47"/>
      <c r="AH765" s="47"/>
      <c r="AI765" s="47"/>
      <c r="AJ765" s="47"/>
      <c r="AK765" s="47"/>
      <c r="AL765" s="47"/>
      <c r="AM765" s="47"/>
      <c r="AN765" s="47"/>
      <c r="AO765" s="47"/>
      <c r="AP765" s="47"/>
      <c r="AQ765" s="47"/>
      <c r="AR765" s="47"/>
      <c r="AS765" s="47"/>
      <c r="AT765" s="47"/>
      <c r="AU765" s="47"/>
      <c r="AV765" s="47"/>
      <c r="AW765" s="47"/>
      <c r="AX765" s="47"/>
      <c r="AY765" s="47"/>
      <c r="AZ765" s="47"/>
      <c r="BA765" s="47"/>
      <c r="BB765" s="47"/>
      <c r="BC765" s="47"/>
    </row>
    <row r="766" spans="1:55" x14ac:dyDescent="0.25">
      <c r="A766" s="45" t="s">
        <v>1486</v>
      </c>
      <c r="B766" s="46">
        <f t="shared" si="18"/>
        <v>15.1</v>
      </c>
      <c r="C766" s="47"/>
      <c r="D766" s="47"/>
      <c r="E766" s="47"/>
      <c r="F766" s="47"/>
      <c r="G766" s="47"/>
      <c r="H766" s="47"/>
      <c r="I766" s="46">
        <f>11/IF(Общие_или_заединицу="Общие трудозатраты",1,10)</f>
        <v>1.1000000000000001</v>
      </c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  <c r="AB766" s="47"/>
      <c r="AC766" s="47"/>
      <c r="AD766" s="46">
        <f>40/IF(Общие_или_заединицу="Общие трудозатраты",1,10)*IF(Пробивка="Стандартная пробивная",1,3.5)</f>
        <v>14</v>
      </c>
      <c r="AE766" s="47"/>
      <c r="AF766" s="47"/>
      <c r="AG766" s="47"/>
      <c r="AH766" s="47"/>
      <c r="AI766" s="47"/>
      <c r="AJ766" s="47"/>
      <c r="AK766" s="47"/>
      <c r="AL766" s="47"/>
      <c r="AM766" s="47"/>
      <c r="AN766" s="47"/>
      <c r="AO766" s="47"/>
      <c r="AP766" s="47"/>
      <c r="AQ766" s="47"/>
      <c r="AR766" s="47"/>
      <c r="AS766" s="47"/>
      <c r="AT766" s="47"/>
      <c r="AU766" s="47"/>
      <c r="AV766" s="47"/>
      <c r="AW766" s="47"/>
      <c r="AX766" s="47"/>
      <c r="AY766" s="47"/>
      <c r="AZ766" s="47"/>
      <c r="BA766" s="47"/>
      <c r="BB766" s="47"/>
      <c r="BC766" s="47"/>
    </row>
    <row r="767" spans="1:55" x14ac:dyDescent="0.25">
      <c r="A767" s="45" t="s">
        <v>1487</v>
      </c>
      <c r="B767" s="46">
        <f t="shared" si="18"/>
        <v>15.1</v>
      </c>
      <c r="C767" s="47"/>
      <c r="D767" s="47"/>
      <c r="E767" s="47"/>
      <c r="F767" s="47"/>
      <c r="G767" s="47"/>
      <c r="H767" s="47"/>
      <c r="I767" s="46">
        <f>5.5/IF(Общие_или_заединицу="Общие трудозатраты",1,5)</f>
        <v>1.1000000000000001</v>
      </c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  <c r="AB767" s="47"/>
      <c r="AC767" s="47"/>
      <c r="AD767" s="46">
        <f>20/IF(Общие_или_заединицу="Общие трудозатраты",1,5)*IF(Пробивка="Стандартная пробивная",1,3.5)</f>
        <v>14</v>
      </c>
      <c r="AE767" s="47"/>
      <c r="AF767" s="47"/>
      <c r="AG767" s="47"/>
      <c r="AH767" s="47"/>
      <c r="AI767" s="47"/>
      <c r="AJ767" s="47"/>
      <c r="AK767" s="47"/>
      <c r="AL767" s="47"/>
      <c r="AM767" s="47"/>
      <c r="AN767" s="47"/>
      <c r="AO767" s="47"/>
      <c r="AP767" s="47"/>
      <c r="AQ767" s="47"/>
      <c r="AR767" s="47"/>
      <c r="AS767" s="47"/>
      <c r="AT767" s="47"/>
      <c r="AU767" s="47"/>
      <c r="AV767" s="47"/>
      <c r="AW767" s="47"/>
      <c r="AX767" s="47"/>
      <c r="AY767" s="47"/>
      <c r="AZ767" s="47"/>
      <c r="BA767" s="47"/>
      <c r="BB767" s="47"/>
      <c r="BC767" s="47"/>
    </row>
    <row r="768" spans="1:55" x14ac:dyDescent="0.25">
      <c r="A768" s="45" t="s">
        <v>1488</v>
      </c>
      <c r="B768" s="46">
        <f t="shared" si="18"/>
        <v>69.275000000000006</v>
      </c>
      <c r="C768" s="47"/>
      <c r="D768" s="47"/>
      <c r="E768" s="47"/>
      <c r="F768" s="47"/>
      <c r="G768" s="47"/>
      <c r="H768" s="47"/>
      <c r="I768" s="47"/>
      <c r="J768" s="47"/>
      <c r="K768" s="46">
        <f>24/IF(Общие_или_заединицу="Общие трудозатраты",1,6)</f>
        <v>4</v>
      </c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  <c r="AB768" s="47"/>
      <c r="AC768" s="47"/>
      <c r="AD768" s="46">
        <f>111.9/IF(Общие_или_заединицу="Общие трудозатраты",1,6)*IF(Пробивка="Стандартная пробивная",1,3.5)</f>
        <v>65.275000000000006</v>
      </c>
      <c r="AE768" s="47"/>
      <c r="AF768" s="47"/>
      <c r="AG768" s="47"/>
      <c r="AH768" s="47"/>
      <c r="AI768" s="47"/>
      <c r="AJ768" s="47"/>
      <c r="AK768" s="47"/>
      <c r="AL768" s="47"/>
      <c r="AM768" s="47"/>
      <c r="AN768" s="47"/>
      <c r="AO768" s="47"/>
      <c r="AP768" s="47"/>
      <c r="AQ768" s="47"/>
      <c r="AR768" s="47"/>
      <c r="AS768" s="47"/>
      <c r="AT768" s="47"/>
      <c r="AU768" s="47"/>
      <c r="AV768" s="47"/>
      <c r="AW768" s="47"/>
      <c r="AX768" s="47"/>
      <c r="AY768" s="47"/>
      <c r="AZ768" s="47"/>
      <c r="BA768" s="47"/>
      <c r="BB768" s="47"/>
      <c r="BC768" s="47"/>
    </row>
    <row r="769" spans="1:55" ht="22.5" x14ac:dyDescent="0.25">
      <c r="A769" s="45" t="s">
        <v>1489</v>
      </c>
      <c r="B769" s="46">
        <f t="shared" si="18"/>
        <v>17</v>
      </c>
      <c r="C769" s="47"/>
      <c r="D769" s="47"/>
      <c r="E769" s="47"/>
      <c r="F769" s="47"/>
      <c r="G769" s="47"/>
      <c r="H769" s="47"/>
      <c r="I769" s="47"/>
      <c r="J769" s="47"/>
      <c r="K769" s="46">
        <f>9/IF(Общие_или_заединицу="Общие трудозатраты",1,3)</f>
        <v>3</v>
      </c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  <c r="AB769" s="47"/>
      <c r="AC769" s="47"/>
      <c r="AD769" s="46">
        <f>12/IF(Общие_или_заединицу="Общие трудозатраты",1,3)*IF(Пробивка="Стандартная пробивная",1,3.5)</f>
        <v>14</v>
      </c>
      <c r="AE769" s="47"/>
      <c r="AF769" s="47"/>
      <c r="AG769" s="47"/>
      <c r="AH769" s="47"/>
      <c r="AI769" s="47"/>
      <c r="AJ769" s="47"/>
      <c r="AK769" s="47"/>
      <c r="AL769" s="47"/>
      <c r="AM769" s="47"/>
      <c r="AN769" s="47"/>
      <c r="AO769" s="47"/>
      <c r="AP769" s="47"/>
      <c r="AQ769" s="47"/>
      <c r="AR769" s="47"/>
      <c r="AS769" s="47"/>
      <c r="AT769" s="47"/>
      <c r="AU769" s="47"/>
      <c r="AV769" s="47"/>
      <c r="AW769" s="47"/>
      <c r="AX769" s="47"/>
      <c r="AY769" s="47"/>
      <c r="AZ769" s="47"/>
      <c r="BA769" s="47"/>
      <c r="BB769" s="47"/>
      <c r="BC769" s="47"/>
    </row>
    <row r="770" spans="1:55" x14ac:dyDescent="0.25">
      <c r="A770" s="45" t="s">
        <v>1490</v>
      </c>
      <c r="B770" s="46">
        <f t="shared" si="18"/>
        <v>54.085000000000001</v>
      </c>
      <c r="C770" s="47"/>
      <c r="D770" s="47"/>
      <c r="E770" s="47"/>
      <c r="F770" s="47"/>
      <c r="G770" s="47"/>
      <c r="H770" s="47"/>
      <c r="I770" s="47"/>
      <c r="J770" s="47"/>
      <c r="K770" s="46">
        <f>56/IF(Общие_или_заединицу="Общие трудозатраты",1,14)</f>
        <v>4</v>
      </c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  <c r="AB770" s="47"/>
      <c r="AC770" s="47"/>
      <c r="AD770" s="46">
        <f>200.34/IF(Общие_или_заединицу="Общие трудозатраты",1,14)*IF(Пробивка="Стандартная пробивная",1,3.5)</f>
        <v>50.085000000000001</v>
      </c>
      <c r="AE770" s="47"/>
      <c r="AF770" s="47"/>
      <c r="AG770" s="47"/>
      <c r="AH770" s="47"/>
      <c r="AI770" s="47"/>
      <c r="AJ770" s="47"/>
      <c r="AK770" s="47"/>
      <c r="AL770" s="47"/>
      <c r="AM770" s="47"/>
      <c r="AN770" s="47"/>
      <c r="AO770" s="47"/>
      <c r="AP770" s="47"/>
      <c r="AQ770" s="47"/>
      <c r="AR770" s="47"/>
      <c r="AS770" s="47"/>
      <c r="AT770" s="47"/>
      <c r="AU770" s="47"/>
      <c r="AV770" s="47"/>
      <c r="AW770" s="47"/>
      <c r="AX770" s="47"/>
      <c r="AY770" s="47"/>
      <c r="AZ770" s="47"/>
      <c r="BA770" s="47"/>
      <c r="BB770" s="47"/>
      <c r="BC770" s="47"/>
    </row>
    <row r="771" spans="1:55" x14ac:dyDescent="0.25">
      <c r="A771" s="45" t="s">
        <v>1491</v>
      </c>
      <c r="B771" s="46">
        <f t="shared" si="18"/>
        <v>8.1</v>
      </c>
      <c r="C771" s="47"/>
      <c r="D771" s="47"/>
      <c r="E771" s="47"/>
      <c r="F771" s="46">
        <f>18.7/IF(Общие_или_заединицу="Общие трудозатраты",1,17)</f>
        <v>1.0999999999999999</v>
      </c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  <c r="AB771" s="47"/>
      <c r="AC771" s="47"/>
      <c r="AD771" s="46">
        <f>34/IF(Общие_или_заединицу="Общие трудозатраты",1,17)*IF(Пробивка="Стандартная пробивная",1,3.5)</f>
        <v>7</v>
      </c>
      <c r="AE771" s="47"/>
      <c r="AF771" s="47"/>
      <c r="AG771" s="47"/>
      <c r="AH771" s="47"/>
      <c r="AI771" s="47"/>
      <c r="AJ771" s="47"/>
      <c r="AK771" s="47"/>
      <c r="AL771" s="47"/>
      <c r="AM771" s="47"/>
      <c r="AN771" s="47"/>
      <c r="AO771" s="47"/>
      <c r="AP771" s="47"/>
      <c r="AQ771" s="47"/>
      <c r="AR771" s="47"/>
      <c r="AS771" s="47"/>
      <c r="AT771" s="47"/>
      <c r="AU771" s="47"/>
      <c r="AV771" s="47"/>
      <c r="AW771" s="47"/>
      <c r="AX771" s="47"/>
      <c r="AY771" s="47"/>
      <c r="AZ771" s="47"/>
      <c r="BA771" s="47"/>
      <c r="BB771" s="47"/>
      <c r="BC771" s="47"/>
    </row>
    <row r="772" spans="1:55" x14ac:dyDescent="0.25">
      <c r="A772" s="45" t="s">
        <v>1492</v>
      </c>
      <c r="B772" s="46">
        <f t="shared" ref="B772:B835" si="20">SUM(C772:BC772)</f>
        <v>50.305</v>
      </c>
      <c r="C772" s="47"/>
      <c r="D772" s="47"/>
      <c r="E772" s="47"/>
      <c r="F772" s="47"/>
      <c r="G772" s="47"/>
      <c r="H772" s="47"/>
      <c r="I772" s="47"/>
      <c r="J772" s="47"/>
      <c r="K772" s="46">
        <f>20/IF(Общие_или_заединицу="Общие трудозатраты",1,5)</f>
        <v>4</v>
      </c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  <c r="AB772" s="47"/>
      <c r="AC772" s="47"/>
      <c r="AD772" s="46">
        <f>66.15/IF(Общие_или_заединицу="Общие трудозатраты",1,5)*IF(Пробивка="Стандартная пробивная",1,3.5)</f>
        <v>46.305</v>
      </c>
      <c r="AE772" s="47"/>
      <c r="AF772" s="47"/>
      <c r="AG772" s="47"/>
      <c r="AH772" s="47"/>
      <c r="AI772" s="47"/>
      <c r="AJ772" s="47"/>
      <c r="AK772" s="47"/>
      <c r="AL772" s="47"/>
      <c r="AM772" s="47"/>
      <c r="AN772" s="47"/>
      <c r="AO772" s="47"/>
      <c r="AP772" s="47"/>
      <c r="AQ772" s="47"/>
      <c r="AR772" s="47"/>
      <c r="AS772" s="47"/>
      <c r="AT772" s="47"/>
      <c r="AU772" s="47"/>
      <c r="AV772" s="47"/>
      <c r="AW772" s="47"/>
      <c r="AX772" s="47"/>
      <c r="AY772" s="47"/>
      <c r="AZ772" s="47"/>
      <c r="BA772" s="47"/>
      <c r="BB772" s="47"/>
      <c r="BC772" s="47"/>
    </row>
    <row r="773" spans="1:55" ht="22.5" x14ac:dyDescent="0.25">
      <c r="A773" s="45" t="s">
        <v>1493</v>
      </c>
      <c r="B773" s="46">
        <f t="shared" si="20"/>
        <v>13.35</v>
      </c>
      <c r="C773" s="47"/>
      <c r="D773" s="47"/>
      <c r="E773" s="47"/>
      <c r="F773" s="47"/>
      <c r="G773" s="47"/>
      <c r="H773" s="47"/>
      <c r="I773" s="46">
        <f>5.5/IF(Общие_или_заединицу="Общие трудозатраты",1,5)</f>
        <v>1.1000000000000001</v>
      </c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  <c r="AB773" s="47"/>
      <c r="AC773" s="47"/>
      <c r="AD773" s="46">
        <f>17.5/IF(Общие_или_заединицу="Общие трудозатраты",1,5)*IF(Пробивка="Стандартная пробивная",1,3.5)</f>
        <v>12.25</v>
      </c>
      <c r="AE773" s="47"/>
      <c r="AF773" s="47"/>
      <c r="AG773" s="47"/>
      <c r="AH773" s="47"/>
      <c r="AI773" s="47"/>
      <c r="AJ773" s="47"/>
      <c r="AK773" s="47"/>
      <c r="AL773" s="47"/>
      <c r="AM773" s="47"/>
      <c r="AN773" s="47"/>
      <c r="AO773" s="47"/>
      <c r="AP773" s="47"/>
      <c r="AQ773" s="47"/>
      <c r="AR773" s="47"/>
      <c r="AS773" s="47"/>
      <c r="AT773" s="47"/>
      <c r="AU773" s="47"/>
      <c r="AV773" s="47"/>
      <c r="AW773" s="47"/>
      <c r="AX773" s="47"/>
      <c r="AY773" s="47"/>
      <c r="AZ773" s="47"/>
      <c r="BA773" s="47"/>
      <c r="BB773" s="47"/>
      <c r="BC773" s="47"/>
    </row>
    <row r="774" spans="1:55" x14ac:dyDescent="0.25">
      <c r="A774" s="45" t="s">
        <v>1494</v>
      </c>
      <c r="B774" s="46">
        <f t="shared" si="20"/>
        <v>41.1</v>
      </c>
      <c r="C774" s="47"/>
      <c r="D774" s="47"/>
      <c r="E774" s="47"/>
      <c r="F774" s="47"/>
      <c r="G774" s="47"/>
      <c r="H774" s="46">
        <f>12/IF(Общие_или_заединицу="Общие трудозатраты",1,3)</f>
        <v>4</v>
      </c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  <c r="AB774" s="47"/>
      <c r="AC774" s="47"/>
      <c r="AD774" s="46">
        <f>31.8/IF(Общие_или_заединицу="Общие трудозатраты",1,3)*IF(Пробивка="Стандартная пробивная",1,3.5)</f>
        <v>37.1</v>
      </c>
      <c r="AE774" s="47"/>
      <c r="AF774" s="47"/>
      <c r="AG774" s="47"/>
      <c r="AH774" s="47"/>
      <c r="AI774" s="47"/>
      <c r="AJ774" s="47"/>
      <c r="AK774" s="47"/>
      <c r="AL774" s="47"/>
      <c r="AM774" s="47"/>
      <c r="AN774" s="47"/>
      <c r="AO774" s="47"/>
      <c r="AP774" s="47"/>
      <c r="AQ774" s="47"/>
      <c r="AR774" s="47"/>
      <c r="AS774" s="47"/>
      <c r="AT774" s="47"/>
      <c r="AU774" s="47"/>
      <c r="AV774" s="47"/>
      <c r="AW774" s="47"/>
      <c r="AX774" s="47"/>
      <c r="AY774" s="47"/>
      <c r="AZ774" s="47"/>
      <c r="BA774" s="47"/>
      <c r="BB774" s="47"/>
      <c r="BC774" s="47"/>
    </row>
    <row r="775" spans="1:55" x14ac:dyDescent="0.25">
      <c r="A775" s="45" t="s">
        <v>1495</v>
      </c>
      <c r="B775" s="46">
        <f t="shared" si="20"/>
        <v>44.11</v>
      </c>
      <c r="C775" s="47"/>
      <c r="D775" s="47"/>
      <c r="E775" s="47"/>
      <c r="F775" s="47"/>
      <c r="G775" s="47"/>
      <c r="H775" s="46">
        <f>24/IF(Общие_или_заединицу="Общие трудозатраты",1,6)</f>
        <v>4</v>
      </c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6">
        <f>68.76/IF(Общие_или_заединицу="Общие трудозатраты",1,6)*IF(Пробивка="Стандартная пробивная",1,3.5)</f>
        <v>40.11</v>
      </c>
      <c r="AE775" s="47"/>
      <c r="AF775" s="47"/>
      <c r="AG775" s="47"/>
      <c r="AH775" s="47"/>
      <c r="AI775" s="47"/>
      <c r="AJ775" s="47"/>
      <c r="AK775" s="47"/>
      <c r="AL775" s="47"/>
      <c r="AM775" s="47"/>
      <c r="AN775" s="47"/>
      <c r="AO775" s="47"/>
      <c r="AP775" s="47"/>
      <c r="AQ775" s="47"/>
      <c r="AR775" s="47"/>
      <c r="AS775" s="47"/>
      <c r="AT775" s="47"/>
      <c r="AU775" s="47"/>
      <c r="AV775" s="47"/>
      <c r="AW775" s="47"/>
      <c r="AX775" s="47"/>
      <c r="AY775" s="47"/>
      <c r="AZ775" s="47"/>
      <c r="BA775" s="47"/>
      <c r="BB775" s="47"/>
      <c r="BC775" s="47"/>
    </row>
    <row r="776" spans="1:55" x14ac:dyDescent="0.25">
      <c r="A776" s="45" t="s">
        <v>1496</v>
      </c>
      <c r="B776" s="46">
        <f t="shared" si="20"/>
        <v>9.85</v>
      </c>
      <c r="C776" s="47"/>
      <c r="D776" s="47"/>
      <c r="E776" s="47"/>
      <c r="F776" s="46">
        <f>5.5/IF(Общие_или_заединицу="Общие трудозатраты",1,5)</f>
        <v>1.1000000000000001</v>
      </c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  <c r="AB776" s="47"/>
      <c r="AC776" s="47"/>
      <c r="AD776" s="46">
        <f>12.5/IF(Общие_или_заединицу="Общие трудозатраты",1,5)*IF(Пробивка="Стандартная пробивная",1,3.5)</f>
        <v>8.75</v>
      </c>
      <c r="AE776" s="47"/>
      <c r="AF776" s="47"/>
      <c r="AG776" s="47"/>
      <c r="AH776" s="47"/>
      <c r="AI776" s="47"/>
      <c r="AJ776" s="47"/>
      <c r="AK776" s="47"/>
      <c r="AL776" s="47"/>
      <c r="AM776" s="47"/>
      <c r="AN776" s="47"/>
      <c r="AO776" s="47"/>
      <c r="AP776" s="47"/>
      <c r="AQ776" s="47"/>
      <c r="AR776" s="47"/>
      <c r="AS776" s="47"/>
      <c r="AT776" s="47"/>
      <c r="AU776" s="47"/>
      <c r="AV776" s="47"/>
      <c r="AW776" s="47"/>
      <c r="AX776" s="47"/>
      <c r="AY776" s="47"/>
      <c r="AZ776" s="47"/>
      <c r="BA776" s="47"/>
      <c r="BB776" s="47"/>
      <c r="BC776" s="47"/>
    </row>
    <row r="777" spans="1:55" ht="22.5" x14ac:dyDescent="0.25">
      <c r="A777" s="45" t="s">
        <v>1497</v>
      </c>
      <c r="B777" s="46">
        <f t="shared" si="20"/>
        <v>11.6</v>
      </c>
      <c r="C777" s="47"/>
      <c r="D777" s="47"/>
      <c r="E777" s="47"/>
      <c r="F777" s="46">
        <f>3.3/IF(Общие_или_заединицу="Общие трудозатраты",1,3)</f>
        <v>1.0999999999999999</v>
      </c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  <c r="AB777" s="47"/>
      <c r="AC777" s="47"/>
      <c r="AD777" s="46">
        <f>9/IF(Общие_или_заединицу="Общие трудозатраты",1,3)*IF(Пробивка="Стандартная пробивная",1,3.5)</f>
        <v>10.5</v>
      </c>
      <c r="AE777" s="47"/>
      <c r="AF777" s="47"/>
      <c r="AG777" s="47"/>
      <c r="AH777" s="47"/>
      <c r="AI777" s="47"/>
      <c r="AJ777" s="47"/>
      <c r="AK777" s="47"/>
      <c r="AL777" s="47"/>
      <c r="AM777" s="47"/>
      <c r="AN777" s="47"/>
      <c r="AO777" s="47"/>
      <c r="AP777" s="47"/>
      <c r="AQ777" s="47"/>
      <c r="AR777" s="47"/>
      <c r="AS777" s="47"/>
      <c r="AT777" s="47"/>
      <c r="AU777" s="47"/>
      <c r="AV777" s="47"/>
      <c r="AW777" s="47"/>
      <c r="AX777" s="47"/>
      <c r="AY777" s="47"/>
      <c r="AZ777" s="47"/>
      <c r="BA777" s="47"/>
      <c r="BB777" s="47"/>
      <c r="BC777" s="47"/>
    </row>
    <row r="778" spans="1:55" x14ac:dyDescent="0.25">
      <c r="A778" s="45" t="s">
        <v>1501</v>
      </c>
      <c r="B778" s="46">
        <f t="shared" si="20"/>
        <v>57.9</v>
      </c>
      <c r="C778" s="47"/>
      <c r="D778" s="47"/>
      <c r="E778" s="46">
        <f>16/IF(Общие_или_заединицу="Общие трудозатраты",1,4)</f>
        <v>4</v>
      </c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  <c r="AB778" s="47"/>
      <c r="AC778" s="47"/>
      <c r="AD778" s="46">
        <f>61.6/IF(Общие_или_заединицу="Общие трудозатраты",1,4)*IF(Пробивка="Стандартная пробивная",1,3.5)</f>
        <v>53.9</v>
      </c>
      <c r="AE778" s="47"/>
      <c r="AF778" s="47"/>
      <c r="AG778" s="47"/>
      <c r="AH778" s="47"/>
      <c r="AI778" s="47"/>
      <c r="AJ778" s="47"/>
      <c r="AK778" s="47"/>
      <c r="AL778" s="47"/>
      <c r="AM778" s="47"/>
      <c r="AN778" s="47"/>
      <c r="AO778" s="47"/>
      <c r="AP778" s="47"/>
      <c r="AQ778" s="47"/>
      <c r="AR778" s="47"/>
      <c r="AS778" s="47"/>
      <c r="AT778" s="47"/>
      <c r="AU778" s="47"/>
      <c r="AV778" s="47"/>
      <c r="AW778" s="47"/>
      <c r="AX778" s="47"/>
      <c r="AY778" s="47"/>
      <c r="AZ778" s="47"/>
      <c r="BA778" s="47"/>
      <c r="BB778" s="47"/>
      <c r="BC778" s="47"/>
    </row>
    <row r="779" spans="1:55" x14ac:dyDescent="0.25">
      <c r="A779" s="45" t="s">
        <v>1502</v>
      </c>
      <c r="B779" s="46">
        <f t="shared" si="20"/>
        <v>38.75</v>
      </c>
      <c r="C779" s="47"/>
      <c r="D779" s="47"/>
      <c r="E779" s="46">
        <f>4/IF(Общие_или_заединицу="Общие трудозатраты",1,2)</f>
        <v>2</v>
      </c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  <c r="AB779" s="47"/>
      <c r="AC779" s="47"/>
      <c r="AD779" s="46">
        <f>21/IF(Общие_или_заединицу="Общие трудозатраты",1,2)*IF(Пробивка="Стандартная пробивная",1,3.5)</f>
        <v>36.75</v>
      </c>
      <c r="AE779" s="47"/>
      <c r="AF779" s="47"/>
      <c r="AG779" s="47"/>
      <c r="AH779" s="47"/>
      <c r="AI779" s="47"/>
      <c r="AJ779" s="47"/>
      <c r="AK779" s="47"/>
      <c r="AL779" s="47"/>
      <c r="AM779" s="47"/>
      <c r="AN779" s="47"/>
      <c r="AO779" s="47"/>
      <c r="AP779" s="47"/>
      <c r="AQ779" s="47"/>
      <c r="AR779" s="47"/>
      <c r="AS779" s="47"/>
      <c r="AT779" s="47"/>
      <c r="AU779" s="47"/>
      <c r="AV779" s="47"/>
      <c r="AW779" s="47"/>
      <c r="AX779" s="47"/>
      <c r="AY779" s="47"/>
      <c r="AZ779" s="47"/>
      <c r="BA779" s="47"/>
      <c r="BB779" s="47"/>
      <c r="BC779" s="47"/>
    </row>
    <row r="780" spans="1:55" ht="22.5" x14ac:dyDescent="0.25">
      <c r="A780" s="45" t="s">
        <v>1503</v>
      </c>
      <c r="B780" s="46">
        <f t="shared" si="20"/>
        <v>28.5</v>
      </c>
      <c r="C780" s="47"/>
      <c r="D780" s="47"/>
      <c r="E780" s="46">
        <f>1/IF(Общие_или_заединицу="Общие трудозатраты",1,2)</f>
        <v>0.5</v>
      </c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  <c r="AB780" s="47"/>
      <c r="AC780" s="47"/>
      <c r="AD780" s="46">
        <f>16/IF(Общие_или_заединицу="Общие трудозатраты",1,2)*IF(Пробивка="Стандартная пробивная",1,3.5)</f>
        <v>28</v>
      </c>
      <c r="AE780" s="47"/>
      <c r="AF780" s="47"/>
      <c r="AG780" s="47"/>
      <c r="AH780" s="47"/>
      <c r="AI780" s="47"/>
      <c r="AJ780" s="47"/>
      <c r="AK780" s="47"/>
      <c r="AL780" s="47"/>
      <c r="AM780" s="47"/>
      <c r="AN780" s="47"/>
      <c r="AO780" s="47"/>
      <c r="AP780" s="47"/>
      <c r="AQ780" s="47"/>
      <c r="AR780" s="47"/>
      <c r="AS780" s="47"/>
      <c r="AT780" s="47"/>
      <c r="AU780" s="47"/>
      <c r="AV780" s="47"/>
      <c r="AW780" s="47"/>
      <c r="AX780" s="47"/>
      <c r="AY780" s="47"/>
      <c r="AZ780" s="47"/>
      <c r="BA780" s="47"/>
      <c r="BB780" s="47"/>
      <c r="BC780" s="47"/>
    </row>
    <row r="781" spans="1:55" ht="22.5" x14ac:dyDescent="0.25">
      <c r="A781" s="45" t="s">
        <v>1504</v>
      </c>
      <c r="B781" s="46">
        <f t="shared" si="20"/>
        <v>37</v>
      </c>
      <c r="C781" s="47"/>
      <c r="D781" s="47"/>
      <c r="E781" s="46">
        <f>4/IF(Общие_или_заединицу="Общие трудозатраты",1,2)</f>
        <v>2</v>
      </c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  <c r="AB781" s="47"/>
      <c r="AC781" s="47"/>
      <c r="AD781" s="46">
        <f>20/IF(Общие_или_заединицу="Общие трудозатраты",1,2)*IF(Пробивка="Стандартная пробивная",1,3.5)</f>
        <v>35</v>
      </c>
      <c r="AE781" s="47"/>
      <c r="AF781" s="47"/>
      <c r="AG781" s="47"/>
      <c r="AH781" s="47"/>
      <c r="AI781" s="47"/>
      <c r="AJ781" s="47"/>
      <c r="AK781" s="47"/>
      <c r="AL781" s="47"/>
      <c r="AM781" s="47"/>
      <c r="AN781" s="47"/>
      <c r="AO781" s="47"/>
      <c r="AP781" s="47"/>
      <c r="AQ781" s="47"/>
      <c r="AR781" s="47"/>
      <c r="AS781" s="47"/>
      <c r="AT781" s="47"/>
      <c r="AU781" s="47"/>
      <c r="AV781" s="47"/>
      <c r="AW781" s="47"/>
      <c r="AX781" s="47"/>
      <c r="AY781" s="47"/>
      <c r="AZ781" s="47"/>
      <c r="BA781" s="47"/>
      <c r="BB781" s="47"/>
      <c r="BC781" s="47"/>
    </row>
    <row r="782" spans="1:55" x14ac:dyDescent="0.25">
      <c r="A782" s="45" t="s">
        <v>1498</v>
      </c>
      <c r="B782" s="46">
        <f t="shared" si="20"/>
        <v>12.5</v>
      </c>
      <c r="C782" s="47"/>
      <c r="D782" s="47"/>
      <c r="E782" s="47"/>
      <c r="F782" s="47"/>
      <c r="G782" s="46">
        <f>10/IF(Общие_или_заединицу="Общие трудозатраты",1,5)</f>
        <v>2</v>
      </c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  <c r="AB782" s="47"/>
      <c r="AC782" s="47"/>
      <c r="AD782" s="46">
        <f>15/IF(Общие_или_заединицу="Общие трудозатраты",1,5)*IF(Пробивка="Стандартная пробивная",1,3.5)</f>
        <v>10.5</v>
      </c>
      <c r="AE782" s="47"/>
      <c r="AF782" s="47"/>
      <c r="AG782" s="47"/>
      <c r="AH782" s="47"/>
      <c r="AI782" s="47"/>
      <c r="AJ782" s="47"/>
      <c r="AK782" s="47"/>
      <c r="AL782" s="47"/>
      <c r="AM782" s="47"/>
      <c r="AN782" s="47"/>
      <c r="AO782" s="47"/>
      <c r="AP782" s="47"/>
      <c r="AQ782" s="47"/>
      <c r="AR782" s="47"/>
      <c r="AS782" s="47"/>
      <c r="AT782" s="47"/>
      <c r="AU782" s="47"/>
      <c r="AV782" s="47"/>
      <c r="AW782" s="47"/>
      <c r="AX782" s="47"/>
      <c r="AY782" s="47"/>
      <c r="AZ782" s="47"/>
      <c r="BA782" s="47"/>
      <c r="BB782" s="47"/>
      <c r="BC782" s="47"/>
    </row>
    <row r="783" spans="1:55" x14ac:dyDescent="0.25">
      <c r="A783" s="45" t="s">
        <v>1465</v>
      </c>
      <c r="B783" s="46">
        <f t="shared" si="20"/>
        <v>10</v>
      </c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  <c r="AB783" s="47"/>
      <c r="AC783" s="47"/>
      <c r="AD783" s="47"/>
      <c r="AE783" s="47"/>
      <c r="AF783" s="47"/>
      <c r="AG783" s="47"/>
      <c r="AH783" s="47"/>
      <c r="AI783" s="47"/>
      <c r="AJ783" s="47"/>
      <c r="AK783" s="46">
        <f>50/IF(Общие_или_заединицу="Общие трудозатраты",1,5)</f>
        <v>10</v>
      </c>
      <c r="AL783" s="47"/>
      <c r="AM783" s="47"/>
      <c r="AN783" s="47"/>
      <c r="AO783" s="47"/>
      <c r="AP783" s="47"/>
      <c r="AQ783" s="47"/>
      <c r="AR783" s="47"/>
      <c r="AS783" s="47"/>
      <c r="AT783" s="47"/>
      <c r="AU783" s="47"/>
      <c r="AV783" s="47"/>
      <c r="AW783" s="47"/>
      <c r="AX783" s="47"/>
      <c r="AY783" s="47"/>
      <c r="AZ783" s="47"/>
      <c r="BA783" s="47"/>
      <c r="BB783" s="47"/>
      <c r="BC783" s="47"/>
    </row>
    <row r="784" spans="1:55" x14ac:dyDescent="0.25">
      <c r="A784" s="45" t="s">
        <v>1505</v>
      </c>
      <c r="B784" s="46">
        <f t="shared" si="20"/>
        <v>13.35</v>
      </c>
      <c r="C784" s="47"/>
      <c r="D784" s="47"/>
      <c r="E784" s="47"/>
      <c r="F784" s="46">
        <f>5.5/IF(Общие_или_заединицу="Общие трудозатраты",1,5)</f>
        <v>1.1000000000000001</v>
      </c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  <c r="AB784" s="47"/>
      <c r="AC784" s="47"/>
      <c r="AD784" s="46">
        <f>17.5/IF(Общие_или_заединицу="Общие трудозатраты",1,5)*IF(Пробивка="Стандартная пробивная",1,3.5)</f>
        <v>12.25</v>
      </c>
      <c r="AE784" s="47"/>
      <c r="AF784" s="47"/>
      <c r="AG784" s="47"/>
      <c r="AH784" s="47"/>
      <c r="AI784" s="47"/>
      <c r="AJ784" s="47"/>
      <c r="AK784" s="47"/>
      <c r="AL784" s="47"/>
      <c r="AM784" s="47"/>
      <c r="AN784" s="47"/>
      <c r="AO784" s="47"/>
      <c r="AP784" s="47"/>
      <c r="AQ784" s="47"/>
      <c r="AR784" s="47"/>
      <c r="AS784" s="47"/>
      <c r="AT784" s="47"/>
      <c r="AU784" s="47"/>
      <c r="AV784" s="47"/>
      <c r="AW784" s="47"/>
      <c r="AX784" s="47"/>
      <c r="AY784" s="47"/>
      <c r="AZ784" s="47"/>
      <c r="BA784" s="47"/>
      <c r="BB784" s="47"/>
      <c r="BC784" s="47"/>
    </row>
    <row r="785" spans="1:55" x14ac:dyDescent="0.25">
      <c r="A785" s="45" t="s">
        <v>1506</v>
      </c>
      <c r="B785" s="46">
        <f t="shared" si="20"/>
        <v>42.5</v>
      </c>
      <c r="C785" s="47"/>
      <c r="D785" s="47"/>
      <c r="E785" s="47"/>
      <c r="F785" s="47"/>
      <c r="G785" s="47"/>
      <c r="H785" s="46">
        <f>20/IF(Общие_или_заединицу="Общие трудозатраты",1,5)</f>
        <v>4</v>
      </c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  <c r="AB785" s="47"/>
      <c r="AC785" s="47"/>
      <c r="AD785" s="46">
        <f>55/IF(Общие_или_заединицу="Общие трудозатраты",1,5)*IF(Пробивка="Стандартная пробивная",1,3.5)</f>
        <v>38.5</v>
      </c>
      <c r="AE785" s="47"/>
      <c r="AF785" s="47"/>
      <c r="AG785" s="47"/>
      <c r="AH785" s="47"/>
      <c r="AI785" s="47"/>
      <c r="AJ785" s="47"/>
      <c r="AK785" s="47"/>
      <c r="AL785" s="47"/>
      <c r="AM785" s="47"/>
      <c r="AN785" s="47"/>
      <c r="AO785" s="47"/>
      <c r="AP785" s="47"/>
      <c r="AQ785" s="47"/>
      <c r="AR785" s="47"/>
      <c r="AS785" s="47"/>
      <c r="AT785" s="47"/>
      <c r="AU785" s="47"/>
      <c r="AV785" s="47"/>
      <c r="AW785" s="47"/>
      <c r="AX785" s="47"/>
      <c r="AY785" s="47"/>
      <c r="AZ785" s="47"/>
      <c r="BA785" s="47"/>
      <c r="BB785" s="47"/>
      <c r="BC785" s="47"/>
    </row>
    <row r="786" spans="1:55" x14ac:dyDescent="0.25">
      <c r="A786" s="45" t="s">
        <v>1507</v>
      </c>
      <c r="B786" s="46">
        <f t="shared" si="20"/>
        <v>4</v>
      </c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  <c r="AB786" s="47"/>
      <c r="AC786" s="47"/>
      <c r="AD786" s="47"/>
      <c r="AE786" s="47"/>
      <c r="AF786" s="47"/>
      <c r="AG786" s="47"/>
      <c r="AH786" s="47"/>
      <c r="AI786" s="47"/>
      <c r="AJ786" s="47"/>
      <c r="AK786" s="47"/>
      <c r="AL786" s="47"/>
      <c r="AM786" s="47"/>
      <c r="AN786" s="47"/>
      <c r="AO786" s="47"/>
      <c r="AP786" s="46">
        <f>80/IF(Общие_или_заединицу="Общие трудозатраты",1,20)</f>
        <v>4</v>
      </c>
      <c r="AQ786" s="47"/>
      <c r="AR786" s="47"/>
      <c r="AS786" s="47"/>
      <c r="AT786" s="47"/>
      <c r="AU786" s="47"/>
      <c r="AV786" s="47"/>
      <c r="AW786" s="47"/>
      <c r="AX786" s="47"/>
      <c r="AY786" s="47"/>
      <c r="AZ786" s="47"/>
      <c r="BA786" s="47"/>
      <c r="BB786" s="47"/>
      <c r="BC786" s="47"/>
    </row>
    <row r="787" spans="1:55" ht="22.5" x14ac:dyDescent="0.25">
      <c r="A787" s="45" t="s">
        <v>1508</v>
      </c>
      <c r="B787" s="46">
        <f t="shared" si="20"/>
        <v>65</v>
      </c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6">
        <f>5/IF(Общие_или_заединицу="Общие трудозатраты",1,1)</f>
        <v>5</v>
      </c>
      <c r="Q787" s="46">
        <f>60/IF(Общие_или_заединицу="Общие трудозатраты",1,1)</f>
        <v>60</v>
      </c>
      <c r="R787" s="47"/>
      <c r="S787" s="47"/>
      <c r="T787" s="47"/>
      <c r="U787" s="47"/>
      <c r="V787" s="47"/>
      <c r="W787" s="47"/>
      <c r="X787" s="47"/>
      <c r="Y787" s="47"/>
      <c r="Z787" s="47"/>
      <c r="AA787" s="47"/>
      <c r="AB787" s="47"/>
      <c r="AC787" s="47"/>
      <c r="AD787" s="47"/>
      <c r="AE787" s="47"/>
      <c r="AF787" s="47"/>
      <c r="AG787" s="47"/>
      <c r="AH787" s="47"/>
      <c r="AI787" s="47"/>
      <c r="AJ787" s="47"/>
      <c r="AK787" s="47"/>
      <c r="AL787" s="47"/>
      <c r="AM787" s="47"/>
      <c r="AN787" s="47"/>
      <c r="AO787" s="47"/>
      <c r="AP787" s="47"/>
      <c r="AQ787" s="47"/>
      <c r="AR787" s="47"/>
      <c r="AS787" s="47"/>
      <c r="AT787" s="47"/>
      <c r="AU787" s="47"/>
      <c r="AV787" s="47"/>
      <c r="AW787" s="47"/>
      <c r="AX787" s="47"/>
      <c r="AY787" s="47"/>
      <c r="AZ787" s="47"/>
      <c r="BA787" s="47"/>
      <c r="BB787" s="47"/>
      <c r="BC787" s="47"/>
    </row>
    <row r="788" spans="1:55" ht="22.5" x14ac:dyDescent="0.25">
      <c r="A788" s="45" t="s">
        <v>1511</v>
      </c>
      <c r="B788" s="46">
        <f t="shared" si="20"/>
        <v>7.5</v>
      </c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6">
        <f>10/IF(Общие_или_заединицу="Общие трудозатраты",1,4)</f>
        <v>2.5</v>
      </c>
      <c r="Q788" s="46">
        <f>20/IF(Общие_или_заединицу="Общие трудозатраты",1,4)</f>
        <v>5</v>
      </c>
      <c r="R788" s="47"/>
      <c r="S788" s="47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47"/>
      <c r="BA788" s="47"/>
      <c r="BB788" s="47"/>
      <c r="BC788" s="47"/>
    </row>
    <row r="789" spans="1:55" x14ac:dyDescent="0.25">
      <c r="A789" s="45" t="s">
        <v>1510</v>
      </c>
      <c r="B789" s="46">
        <f t="shared" si="20"/>
        <v>1.1000000000000001</v>
      </c>
      <c r="C789" s="47"/>
      <c r="D789" s="47"/>
      <c r="E789" s="46">
        <f>9/IF(Общие_или_заединицу="Общие трудозатраты",1,18)</f>
        <v>0.5</v>
      </c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6">
        <f>10.8/IF(Общие_или_заединицу="Общие трудозатраты",1,18)</f>
        <v>0.60000000000000009</v>
      </c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47"/>
      <c r="AH789" s="47"/>
      <c r="AI789" s="47"/>
      <c r="AJ789" s="47"/>
      <c r="AK789" s="47"/>
      <c r="AL789" s="47"/>
      <c r="AM789" s="47"/>
      <c r="AN789" s="47"/>
      <c r="AO789" s="47"/>
      <c r="AP789" s="47"/>
      <c r="AQ789" s="47"/>
      <c r="AR789" s="47"/>
      <c r="AS789" s="47"/>
      <c r="AT789" s="47"/>
      <c r="AU789" s="47"/>
      <c r="AV789" s="47"/>
      <c r="AW789" s="47"/>
      <c r="AX789" s="47"/>
      <c r="AY789" s="47"/>
      <c r="AZ789" s="47"/>
      <c r="BA789" s="47"/>
      <c r="BB789" s="47"/>
      <c r="BC789" s="47"/>
    </row>
    <row r="790" spans="1:55" x14ac:dyDescent="0.25">
      <c r="A790" s="45" t="s">
        <v>1509</v>
      </c>
      <c r="B790" s="46">
        <f t="shared" si="20"/>
        <v>41</v>
      </c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6">
        <f>35/IF(Общие_или_заединицу="Общие трудозатраты",1,5)</f>
        <v>7</v>
      </c>
      <c r="W790" s="46">
        <f>100/IF(Общие_или_заединицу="Общие трудозатраты",1,5)</f>
        <v>20</v>
      </c>
      <c r="X790" s="47"/>
      <c r="Y790" s="47"/>
      <c r="Z790" s="47"/>
      <c r="AA790" s="47"/>
      <c r="AB790" s="47"/>
      <c r="AC790" s="47"/>
      <c r="AD790" s="47"/>
      <c r="AE790" s="47"/>
      <c r="AF790" s="47"/>
      <c r="AG790" s="47"/>
      <c r="AH790" s="47"/>
      <c r="AI790" s="47"/>
      <c r="AJ790" s="47"/>
      <c r="AK790" s="47"/>
      <c r="AL790" s="47"/>
      <c r="AM790" s="46">
        <f>40/IF(Общие_или_заединицу="Общие трудозатраты",1,5)</f>
        <v>8</v>
      </c>
      <c r="AN790" s="47"/>
      <c r="AO790" s="46">
        <f>30/IF(Общие_или_заединицу="Общие трудозатраты",1,5)</f>
        <v>6</v>
      </c>
      <c r="AP790" s="47"/>
      <c r="AQ790" s="47"/>
      <c r="AR790" s="47"/>
      <c r="AS790" s="47"/>
      <c r="AT790" s="47"/>
      <c r="AU790" s="47"/>
      <c r="AV790" s="47"/>
      <c r="AW790" s="47"/>
      <c r="AX790" s="47"/>
      <c r="AY790" s="47"/>
      <c r="AZ790" s="47"/>
      <c r="BA790" s="47"/>
      <c r="BB790" s="47"/>
      <c r="BC790" s="47"/>
    </row>
    <row r="791" spans="1:55" x14ac:dyDescent="0.25">
      <c r="A791" s="45" t="s">
        <v>1512</v>
      </c>
      <c r="B791" s="46">
        <f t="shared" si="20"/>
        <v>4.5</v>
      </c>
      <c r="C791" s="47"/>
      <c r="D791" s="47"/>
      <c r="E791" s="46">
        <f>10/IF(Общие_или_заединицу="Общие трудозатраты",1,5)</f>
        <v>2</v>
      </c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6">
        <f>12.5/IF(Общие_или_заединицу="Общие трудозатраты",1,5)</f>
        <v>2.5</v>
      </c>
      <c r="T791" s="47"/>
      <c r="U791" s="47"/>
      <c r="V791" s="47"/>
      <c r="W791" s="47"/>
      <c r="X791" s="47"/>
      <c r="Y791" s="47"/>
      <c r="Z791" s="47"/>
      <c r="AA791" s="47"/>
      <c r="AB791" s="47"/>
      <c r="AC791" s="47"/>
      <c r="AD791" s="47"/>
      <c r="AE791" s="47"/>
      <c r="AF791" s="47"/>
      <c r="AG791" s="47"/>
      <c r="AH791" s="47"/>
      <c r="AI791" s="47"/>
      <c r="AJ791" s="47"/>
      <c r="AK791" s="47"/>
      <c r="AL791" s="47"/>
      <c r="AM791" s="47"/>
      <c r="AN791" s="47"/>
      <c r="AO791" s="47"/>
      <c r="AP791" s="47"/>
      <c r="AQ791" s="47"/>
      <c r="AR791" s="47"/>
      <c r="AS791" s="47"/>
      <c r="AT791" s="47"/>
      <c r="AU791" s="47"/>
      <c r="AV791" s="47"/>
      <c r="AW791" s="47"/>
      <c r="AX791" s="47"/>
      <c r="AY791" s="47"/>
      <c r="AZ791" s="47"/>
      <c r="BA791" s="47"/>
      <c r="BB791" s="47"/>
      <c r="BC791" s="47"/>
    </row>
    <row r="792" spans="1:55" x14ac:dyDescent="0.25">
      <c r="A792" s="45" t="s">
        <v>1513</v>
      </c>
      <c r="B792" s="46">
        <f t="shared" si="20"/>
        <v>4.5</v>
      </c>
      <c r="C792" s="47"/>
      <c r="D792" s="47"/>
      <c r="E792" s="46">
        <f>10/IF(Общие_или_заединицу="Общие трудозатраты",1,5)</f>
        <v>2</v>
      </c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6">
        <f>12.5/IF(Общие_или_заединицу="Общие трудозатраты",1,5)</f>
        <v>2.5</v>
      </c>
      <c r="T792" s="47"/>
      <c r="U792" s="47"/>
      <c r="V792" s="47"/>
      <c r="W792" s="47"/>
      <c r="X792" s="47"/>
      <c r="Y792" s="47"/>
      <c r="Z792" s="47"/>
      <c r="AA792" s="47"/>
      <c r="AB792" s="47"/>
      <c r="AC792" s="47"/>
      <c r="AD792" s="47"/>
      <c r="AE792" s="47"/>
      <c r="AF792" s="47"/>
      <c r="AG792" s="47"/>
      <c r="AH792" s="47"/>
      <c r="AI792" s="47"/>
      <c r="AJ792" s="47"/>
      <c r="AK792" s="47"/>
      <c r="AL792" s="47"/>
      <c r="AM792" s="47"/>
      <c r="AN792" s="47"/>
      <c r="AO792" s="47"/>
      <c r="AP792" s="47"/>
      <c r="AQ792" s="47"/>
      <c r="AR792" s="47"/>
      <c r="AS792" s="47"/>
      <c r="AT792" s="47"/>
      <c r="AU792" s="47"/>
      <c r="AV792" s="47"/>
      <c r="AW792" s="47"/>
      <c r="AX792" s="47"/>
      <c r="AY792" s="47"/>
      <c r="AZ792" s="47"/>
      <c r="BA792" s="47"/>
      <c r="BB792" s="47"/>
      <c r="BC792" s="47"/>
    </row>
    <row r="793" spans="1:55" x14ac:dyDescent="0.25">
      <c r="A793" s="45" t="s">
        <v>1515</v>
      </c>
      <c r="B793" s="46">
        <f t="shared" si="20"/>
        <v>130</v>
      </c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6">
        <f>50/IF(Общие_или_заединицу="Общие трудозатраты",1,5)</f>
        <v>10</v>
      </c>
      <c r="Q793" s="46">
        <f>600/IF(Общие_или_заединицу="Общие трудозатраты",1,5)</f>
        <v>120</v>
      </c>
      <c r="R793" s="47"/>
      <c r="S793" s="47"/>
      <c r="T793" s="47"/>
      <c r="U793" s="47"/>
      <c r="V793" s="47"/>
      <c r="W793" s="47"/>
      <c r="X793" s="47"/>
      <c r="Y793" s="47"/>
      <c r="Z793" s="47"/>
      <c r="AA793" s="47"/>
      <c r="AB793" s="47"/>
      <c r="AC793" s="47"/>
      <c r="AD793" s="47"/>
      <c r="AE793" s="47"/>
      <c r="AF793" s="47"/>
      <c r="AG793" s="47"/>
      <c r="AH793" s="47"/>
      <c r="AI793" s="47"/>
      <c r="AJ793" s="47"/>
      <c r="AK793" s="47"/>
      <c r="AL793" s="47"/>
      <c r="AM793" s="47"/>
      <c r="AN793" s="47"/>
      <c r="AO793" s="47"/>
      <c r="AP793" s="47"/>
      <c r="AQ793" s="47"/>
      <c r="AR793" s="47"/>
      <c r="AS793" s="47"/>
      <c r="AT793" s="47"/>
      <c r="AU793" s="47"/>
      <c r="AV793" s="47"/>
      <c r="AW793" s="47"/>
      <c r="AX793" s="47"/>
      <c r="AY793" s="47"/>
      <c r="AZ793" s="47"/>
      <c r="BA793" s="47"/>
      <c r="BB793" s="47"/>
      <c r="BC793" s="47"/>
    </row>
    <row r="794" spans="1:55" x14ac:dyDescent="0.25">
      <c r="A794" s="45" t="s">
        <v>1516</v>
      </c>
      <c r="B794" s="46">
        <f t="shared" si="20"/>
        <v>16.850000000000001</v>
      </c>
      <c r="C794" s="47"/>
      <c r="D794" s="47"/>
      <c r="E794" s="46">
        <f>5.5/IF(Общие_или_заединицу="Общие трудозатраты",1,5)</f>
        <v>1.1000000000000001</v>
      </c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6">
        <f>22.5/IF(Общие_или_заединицу="Общие трудозатраты",1,5)*IF(Пробивка="Стандартная пробивная",1,3.5)</f>
        <v>15.75</v>
      </c>
      <c r="AE794" s="47"/>
      <c r="AF794" s="47"/>
      <c r="AG794" s="47"/>
      <c r="AH794" s="47"/>
      <c r="AI794" s="47"/>
      <c r="AJ794" s="47"/>
      <c r="AK794" s="47"/>
      <c r="AL794" s="47"/>
      <c r="AM794" s="47"/>
      <c r="AN794" s="47"/>
      <c r="AO794" s="47"/>
      <c r="AP794" s="47"/>
      <c r="AQ794" s="47"/>
      <c r="AR794" s="47"/>
      <c r="AS794" s="47"/>
      <c r="AT794" s="47"/>
      <c r="AU794" s="47"/>
      <c r="AV794" s="47"/>
      <c r="AW794" s="47"/>
      <c r="AX794" s="47"/>
      <c r="AY794" s="47"/>
      <c r="AZ794" s="47"/>
      <c r="BA794" s="47"/>
      <c r="BB794" s="47"/>
      <c r="BC794" s="47"/>
    </row>
    <row r="795" spans="1:55" x14ac:dyDescent="0.25">
      <c r="A795" s="45" t="s">
        <v>1517</v>
      </c>
      <c r="B795" s="46">
        <f t="shared" si="20"/>
        <v>16.850000000000001</v>
      </c>
      <c r="C795" s="47"/>
      <c r="D795" s="47"/>
      <c r="E795" s="46">
        <f>5.5/IF(Общие_или_заединицу="Общие трудозатраты",1,5)</f>
        <v>1.1000000000000001</v>
      </c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  <c r="AB795" s="47"/>
      <c r="AC795" s="47"/>
      <c r="AD795" s="46">
        <f>22.5/IF(Общие_или_заединицу="Общие трудозатраты",1,5)*IF(Пробивка="Стандартная пробивная",1,3.5)</f>
        <v>15.75</v>
      </c>
      <c r="AE795" s="47"/>
      <c r="AF795" s="47"/>
      <c r="AG795" s="47"/>
      <c r="AH795" s="47"/>
      <c r="AI795" s="47"/>
      <c r="AJ795" s="47"/>
      <c r="AK795" s="47"/>
      <c r="AL795" s="47"/>
      <c r="AM795" s="47"/>
      <c r="AN795" s="47"/>
      <c r="AO795" s="47"/>
      <c r="AP795" s="47"/>
      <c r="AQ795" s="47"/>
      <c r="AR795" s="47"/>
      <c r="AS795" s="47"/>
      <c r="AT795" s="47"/>
      <c r="AU795" s="47"/>
      <c r="AV795" s="47"/>
      <c r="AW795" s="47"/>
      <c r="AX795" s="47"/>
      <c r="AY795" s="47"/>
      <c r="AZ795" s="47"/>
      <c r="BA795" s="47"/>
      <c r="BB795" s="47"/>
      <c r="BC795" s="47"/>
    </row>
    <row r="796" spans="1:55" x14ac:dyDescent="0.25">
      <c r="A796" s="45" t="s">
        <v>1518</v>
      </c>
      <c r="B796" s="46">
        <f t="shared" si="20"/>
        <v>32</v>
      </c>
      <c r="C796" s="47"/>
      <c r="D796" s="47"/>
      <c r="E796" s="46">
        <f>20/IF(Общие_или_заединицу="Общие трудозатраты",1,5)</f>
        <v>4</v>
      </c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  <c r="AB796" s="47"/>
      <c r="AC796" s="47"/>
      <c r="AD796" s="46">
        <f>40/IF(Общие_или_заединицу="Общие трудозатраты",1,5)*IF(Пробивка="Стандартная пробивная",1,3.5)</f>
        <v>28</v>
      </c>
      <c r="AE796" s="47"/>
      <c r="AF796" s="47"/>
      <c r="AG796" s="47"/>
      <c r="AH796" s="47"/>
      <c r="AI796" s="47"/>
      <c r="AJ796" s="47"/>
      <c r="AK796" s="47"/>
      <c r="AL796" s="47"/>
      <c r="AM796" s="47"/>
      <c r="AN796" s="47"/>
      <c r="AO796" s="47"/>
      <c r="AP796" s="47"/>
      <c r="AQ796" s="47"/>
      <c r="AR796" s="47"/>
      <c r="AS796" s="47"/>
      <c r="AT796" s="47"/>
      <c r="AU796" s="47"/>
      <c r="AV796" s="47"/>
      <c r="AW796" s="47"/>
      <c r="AX796" s="47"/>
      <c r="AY796" s="47"/>
      <c r="AZ796" s="47"/>
      <c r="BA796" s="47"/>
      <c r="BB796" s="47"/>
      <c r="BC796" s="47"/>
    </row>
    <row r="797" spans="1:55" x14ac:dyDescent="0.25">
      <c r="A797" s="45" t="s">
        <v>1519</v>
      </c>
      <c r="B797" s="46">
        <f t="shared" si="20"/>
        <v>26</v>
      </c>
      <c r="C797" s="47"/>
      <c r="D797" s="47"/>
      <c r="E797" s="46">
        <f>15/IF(Общие_или_заединицу="Общие трудозатраты",1,10)</f>
        <v>1.5</v>
      </c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  <c r="AB797" s="47"/>
      <c r="AC797" s="47"/>
      <c r="AD797" s="46">
        <f>70/IF(Общие_или_заединицу="Общие трудозатраты",1,10)*IF(Пробивка="Стандартная пробивная",1,3.5)</f>
        <v>24.5</v>
      </c>
      <c r="AE797" s="47"/>
      <c r="AF797" s="47"/>
      <c r="AG797" s="47"/>
      <c r="AH797" s="47"/>
      <c r="AI797" s="47"/>
      <c r="AJ797" s="47"/>
      <c r="AK797" s="47"/>
      <c r="AL797" s="47"/>
      <c r="AM797" s="47"/>
      <c r="AN797" s="47"/>
      <c r="AO797" s="47"/>
      <c r="AP797" s="47"/>
      <c r="AQ797" s="47"/>
      <c r="AR797" s="47"/>
      <c r="AS797" s="47"/>
      <c r="AT797" s="47"/>
      <c r="AU797" s="47"/>
      <c r="AV797" s="47"/>
      <c r="AW797" s="47"/>
      <c r="AX797" s="47"/>
      <c r="AY797" s="47"/>
      <c r="AZ797" s="47"/>
      <c r="BA797" s="47"/>
      <c r="BB797" s="47"/>
      <c r="BC797" s="47"/>
    </row>
    <row r="798" spans="1:55" x14ac:dyDescent="0.25">
      <c r="A798" s="45" t="s">
        <v>1520</v>
      </c>
      <c r="B798" s="46">
        <f t="shared" si="20"/>
        <v>32</v>
      </c>
      <c r="C798" s="47"/>
      <c r="D798" s="47"/>
      <c r="E798" s="46">
        <f>20/IF(Общие_или_заединицу="Общие трудозатраты",1,5)</f>
        <v>4</v>
      </c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  <c r="AB798" s="47"/>
      <c r="AC798" s="47"/>
      <c r="AD798" s="46">
        <f>40/IF(Общие_или_заединицу="Общие трудозатраты",1,5)*IF(Пробивка="Стандартная пробивная",1,3.5)</f>
        <v>28</v>
      </c>
      <c r="AE798" s="47"/>
      <c r="AF798" s="47"/>
      <c r="AG798" s="47"/>
      <c r="AH798" s="47"/>
      <c r="AI798" s="47"/>
      <c r="AJ798" s="47"/>
      <c r="AK798" s="47"/>
      <c r="AL798" s="47"/>
      <c r="AM798" s="47"/>
      <c r="AN798" s="47"/>
      <c r="AO798" s="47"/>
      <c r="AP798" s="47"/>
      <c r="AQ798" s="47"/>
      <c r="AR798" s="47"/>
      <c r="AS798" s="47"/>
      <c r="AT798" s="47"/>
      <c r="AU798" s="47"/>
      <c r="AV798" s="47"/>
      <c r="AW798" s="47"/>
      <c r="AX798" s="47"/>
      <c r="AY798" s="47"/>
      <c r="AZ798" s="47"/>
      <c r="BA798" s="47"/>
      <c r="BB798" s="47"/>
      <c r="BC798" s="47"/>
    </row>
    <row r="799" spans="1:55" x14ac:dyDescent="0.25">
      <c r="A799" s="45" t="s">
        <v>1521</v>
      </c>
      <c r="B799" s="46">
        <f t="shared" si="20"/>
        <v>0.45</v>
      </c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6">
        <f>4.5/IF(Общие_или_заединицу="Общие трудозатраты",1,10)</f>
        <v>0.45</v>
      </c>
      <c r="T799" s="47"/>
      <c r="U799" s="47"/>
      <c r="V799" s="47"/>
      <c r="W799" s="47"/>
      <c r="X799" s="47"/>
      <c r="Y799" s="47"/>
      <c r="Z799" s="47"/>
      <c r="AA799" s="47"/>
      <c r="AB799" s="47"/>
      <c r="AC799" s="47"/>
      <c r="AD799" s="47"/>
      <c r="AE799" s="47"/>
      <c r="AF799" s="47"/>
      <c r="AG799" s="47"/>
      <c r="AH799" s="47"/>
      <c r="AI799" s="47"/>
      <c r="AJ799" s="47"/>
      <c r="AK799" s="47"/>
      <c r="AL799" s="47"/>
      <c r="AM799" s="47"/>
      <c r="AN799" s="47"/>
      <c r="AO799" s="47"/>
      <c r="AP799" s="47"/>
      <c r="AQ799" s="47"/>
      <c r="AR799" s="47"/>
      <c r="AS799" s="47"/>
      <c r="AT799" s="47"/>
      <c r="AU799" s="47"/>
      <c r="AV799" s="47"/>
      <c r="AW799" s="47"/>
      <c r="AX799" s="47"/>
      <c r="AY799" s="47"/>
      <c r="AZ799" s="47"/>
      <c r="BA799" s="47"/>
      <c r="BB799" s="47"/>
      <c r="BC799" s="47"/>
    </row>
    <row r="800" spans="1:55" x14ac:dyDescent="0.25">
      <c r="A800" s="45" t="s">
        <v>1522</v>
      </c>
      <c r="B800" s="46">
        <f t="shared" si="20"/>
        <v>47.505000000000003</v>
      </c>
      <c r="C800" s="47"/>
      <c r="D800" s="47"/>
      <c r="E800" s="46">
        <f>24/IF(Общие_или_заединицу="Общие трудозатраты",1,20)</f>
        <v>1.2</v>
      </c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6">
        <f>264.6/IF(Общие_или_заединицу="Общие трудозатраты",1,20)*IF(Пробивка="Стандартная пробивная",1,3.5)</f>
        <v>46.305</v>
      </c>
      <c r="AE800" s="47"/>
      <c r="AF800" s="47"/>
      <c r="AG800" s="47"/>
      <c r="AH800" s="47"/>
      <c r="AI800" s="47"/>
      <c r="AJ800" s="47"/>
      <c r="AK800" s="47"/>
      <c r="AL800" s="47"/>
      <c r="AM800" s="47"/>
      <c r="AN800" s="47"/>
      <c r="AO800" s="47"/>
      <c r="AP800" s="47"/>
      <c r="AQ800" s="47"/>
      <c r="AR800" s="47"/>
      <c r="AS800" s="47"/>
      <c r="AT800" s="47"/>
      <c r="AU800" s="47"/>
      <c r="AV800" s="47"/>
      <c r="AW800" s="47"/>
      <c r="AX800" s="47"/>
      <c r="AY800" s="47"/>
      <c r="AZ800" s="47"/>
      <c r="BA800" s="47"/>
      <c r="BB800" s="47"/>
      <c r="BC800" s="47"/>
    </row>
    <row r="801" spans="1:55" x14ac:dyDescent="0.25">
      <c r="A801" s="45" t="s">
        <v>1523</v>
      </c>
      <c r="B801" s="48">
        <f t="shared" si="20"/>
        <v>68.37</v>
      </c>
      <c r="C801" s="47"/>
      <c r="D801" s="47"/>
      <c r="E801" s="46">
        <f>150/IF(Общие_или_заединицу="Общие трудозатраты",1,60)</f>
        <v>2.5</v>
      </c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  <c r="AB801" s="47"/>
      <c r="AC801" s="47"/>
      <c r="AD801" s="48">
        <f>1129.2/IF(Общие_или_заединицу="Общие трудозатраты",1,60)*IF(Пробивка="Стандартная пробивная",1,3.5)</f>
        <v>65.87</v>
      </c>
      <c r="AE801" s="47"/>
      <c r="AF801" s="47"/>
      <c r="AG801" s="47"/>
      <c r="AH801" s="47"/>
      <c r="AI801" s="47"/>
      <c r="AJ801" s="47"/>
      <c r="AK801" s="47"/>
      <c r="AL801" s="47"/>
      <c r="AM801" s="47"/>
      <c r="AN801" s="47"/>
      <c r="AO801" s="47"/>
      <c r="AP801" s="47"/>
      <c r="AQ801" s="47"/>
      <c r="AR801" s="47"/>
      <c r="AS801" s="47"/>
      <c r="AT801" s="47"/>
      <c r="AU801" s="47"/>
      <c r="AV801" s="47"/>
      <c r="AW801" s="47"/>
      <c r="AX801" s="47"/>
      <c r="AY801" s="47"/>
      <c r="AZ801" s="47"/>
      <c r="BA801" s="47"/>
      <c r="BB801" s="47"/>
      <c r="BC801" s="47"/>
    </row>
    <row r="802" spans="1:55" x14ac:dyDescent="0.25">
      <c r="A802" s="45" t="s">
        <v>1524</v>
      </c>
      <c r="B802" s="46">
        <f t="shared" si="20"/>
        <v>41.24</v>
      </c>
      <c r="C802" s="47"/>
      <c r="D802" s="47"/>
      <c r="E802" s="46">
        <f>30/IF(Общие_или_заединицу="Общие трудозатраты",1,25)</f>
        <v>1.2</v>
      </c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  <c r="AB802" s="47"/>
      <c r="AC802" s="47"/>
      <c r="AD802" s="46">
        <f>286/IF(Общие_или_заединицу="Общие трудозатраты",1,25)*IF(Пробивка="Стандартная пробивная",1,3.5)</f>
        <v>40.04</v>
      </c>
      <c r="AE802" s="47"/>
      <c r="AF802" s="47"/>
      <c r="AG802" s="47"/>
      <c r="AH802" s="47"/>
      <c r="AI802" s="47"/>
      <c r="AJ802" s="47"/>
      <c r="AK802" s="47"/>
      <c r="AL802" s="47"/>
      <c r="AM802" s="47"/>
      <c r="AN802" s="47"/>
      <c r="AO802" s="47"/>
      <c r="AP802" s="47"/>
      <c r="AQ802" s="47"/>
      <c r="AR802" s="47"/>
      <c r="AS802" s="47"/>
      <c r="AT802" s="47"/>
      <c r="AU802" s="47"/>
      <c r="AV802" s="47"/>
      <c r="AW802" s="47"/>
      <c r="AX802" s="47"/>
      <c r="AY802" s="47"/>
      <c r="AZ802" s="47"/>
      <c r="BA802" s="47"/>
      <c r="BB802" s="47"/>
      <c r="BC802" s="47"/>
    </row>
    <row r="803" spans="1:55" x14ac:dyDescent="0.25">
      <c r="A803" s="45" t="s">
        <v>1525</v>
      </c>
      <c r="B803" s="46">
        <f t="shared" si="20"/>
        <v>56.36999999999999</v>
      </c>
      <c r="C803" s="47"/>
      <c r="D803" s="47"/>
      <c r="E803" s="46">
        <f>12/IF(Общие_или_заединицу="Общие трудозатраты",1,5)</f>
        <v>2.4</v>
      </c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  <c r="AB803" s="47"/>
      <c r="AC803" s="47"/>
      <c r="AD803" s="46">
        <f>77.1/IF(Общие_или_заединицу="Общие трудозатраты",1,5)*IF(Пробивка="Стандартная пробивная",1,3.5)</f>
        <v>53.969999999999992</v>
      </c>
      <c r="AE803" s="47"/>
      <c r="AF803" s="47"/>
      <c r="AG803" s="47"/>
      <c r="AH803" s="47"/>
      <c r="AI803" s="47"/>
      <c r="AJ803" s="47"/>
      <c r="AK803" s="47"/>
      <c r="AL803" s="47"/>
      <c r="AM803" s="47"/>
      <c r="AN803" s="47"/>
      <c r="AO803" s="47"/>
      <c r="AP803" s="47"/>
      <c r="AQ803" s="47"/>
      <c r="AR803" s="47"/>
      <c r="AS803" s="47"/>
      <c r="AT803" s="47"/>
      <c r="AU803" s="47"/>
      <c r="AV803" s="47"/>
      <c r="AW803" s="47"/>
      <c r="AX803" s="47"/>
      <c r="AY803" s="47"/>
      <c r="AZ803" s="47"/>
      <c r="BA803" s="47"/>
      <c r="BB803" s="47"/>
      <c r="BC803" s="47"/>
    </row>
    <row r="804" spans="1:55" x14ac:dyDescent="0.25">
      <c r="A804" s="45" t="s">
        <v>1526</v>
      </c>
      <c r="B804" s="46">
        <f t="shared" si="20"/>
        <v>3</v>
      </c>
      <c r="C804" s="47"/>
      <c r="D804" s="47"/>
      <c r="E804" s="46">
        <f>9/IF(Общие_или_заединицу="Общие трудозатраты",1,30)</f>
        <v>0.3</v>
      </c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6">
        <f>81/IF(Общие_или_заединицу="Общие трудозатраты",1,30)</f>
        <v>2.7</v>
      </c>
      <c r="T804" s="47"/>
      <c r="U804" s="47"/>
      <c r="V804" s="47"/>
      <c r="W804" s="47"/>
      <c r="X804" s="47"/>
      <c r="Y804" s="47"/>
      <c r="Z804" s="47"/>
      <c r="AA804" s="47"/>
      <c r="AB804" s="47"/>
      <c r="AC804" s="47"/>
      <c r="AD804" s="47"/>
      <c r="AE804" s="47"/>
      <c r="AF804" s="47"/>
      <c r="AG804" s="47"/>
      <c r="AH804" s="47"/>
      <c r="AI804" s="47"/>
      <c r="AJ804" s="47"/>
      <c r="AK804" s="47"/>
      <c r="AL804" s="47"/>
      <c r="AM804" s="47"/>
      <c r="AN804" s="47"/>
      <c r="AO804" s="47"/>
      <c r="AP804" s="47"/>
      <c r="AQ804" s="47"/>
      <c r="AR804" s="47"/>
      <c r="AS804" s="47"/>
      <c r="AT804" s="47"/>
      <c r="AU804" s="47"/>
      <c r="AV804" s="47"/>
      <c r="AW804" s="47"/>
      <c r="AX804" s="47"/>
      <c r="AY804" s="47"/>
      <c r="AZ804" s="47"/>
      <c r="BA804" s="47"/>
      <c r="BB804" s="47"/>
      <c r="BC804" s="47"/>
    </row>
    <row r="805" spans="1:55" x14ac:dyDescent="0.25">
      <c r="A805" s="45" t="s">
        <v>1527</v>
      </c>
      <c r="B805" s="46">
        <f t="shared" si="20"/>
        <v>6.75</v>
      </c>
      <c r="C805" s="47"/>
      <c r="D805" s="47"/>
      <c r="E805" s="46">
        <f>67.5/IF(Общие_или_заединицу="Общие трудозатраты",1,45)</f>
        <v>1.5</v>
      </c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  <c r="AB805" s="47"/>
      <c r="AC805" s="47"/>
      <c r="AD805" s="46">
        <f>67.5/IF(Общие_или_заединицу="Общие трудозатраты",1,45)*IF(Пробивка="Стандартная пробивная",1,3.5)</f>
        <v>5.25</v>
      </c>
      <c r="AE805" s="47"/>
      <c r="AF805" s="47"/>
      <c r="AG805" s="47"/>
      <c r="AH805" s="47"/>
      <c r="AI805" s="47"/>
      <c r="AJ805" s="47"/>
      <c r="AK805" s="47"/>
      <c r="AL805" s="47"/>
      <c r="AM805" s="47"/>
      <c r="AN805" s="47"/>
      <c r="AO805" s="47"/>
      <c r="AP805" s="47"/>
      <c r="AQ805" s="47"/>
      <c r="AR805" s="47"/>
      <c r="AS805" s="47"/>
      <c r="AT805" s="47"/>
      <c r="AU805" s="47"/>
      <c r="AV805" s="47"/>
      <c r="AW805" s="47"/>
      <c r="AX805" s="47"/>
      <c r="AY805" s="47"/>
      <c r="AZ805" s="47"/>
      <c r="BA805" s="47"/>
      <c r="BB805" s="47"/>
      <c r="BC805" s="47"/>
    </row>
    <row r="806" spans="1:55" x14ac:dyDescent="0.25">
      <c r="A806" s="45" t="s">
        <v>1528</v>
      </c>
      <c r="B806" s="46">
        <f t="shared" si="20"/>
        <v>2</v>
      </c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6">
        <f>40/IF(Общие_или_заединицу="Общие трудозатраты",1,20)</f>
        <v>2</v>
      </c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7"/>
      <c r="AF806" s="47"/>
      <c r="AG806" s="47"/>
      <c r="AH806" s="47"/>
      <c r="AI806" s="47"/>
      <c r="AJ806" s="47"/>
      <c r="AK806" s="47"/>
      <c r="AL806" s="47"/>
      <c r="AM806" s="47"/>
      <c r="AN806" s="47"/>
      <c r="AO806" s="47"/>
      <c r="AP806" s="47"/>
      <c r="AQ806" s="47"/>
      <c r="AR806" s="47"/>
      <c r="AS806" s="47"/>
      <c r="AT806" s="47"/>
      <c r="AU806" s="47"/>
      <c r="AV806" s="47"/>
      <c r="AW806" s="47"/>
      <c r="AX806" s="47"/>
      <c r="AY806" s="47"/>
      <c r="AZ806" s="47"/>
      <c r="BA806" s="47"/>
      <c r="BB806" s="47"/>
      <c r="BC806" s="47"/>
    </row>
    <row r="807" spans="1:55" x14ac:dyDescent="0.25">
      <c r="A807" s="45" t="s">
        <v>1529</v>
      </c>
      <c r="B807" s="46">
        <f t="shared" si="20"/>
        <v>7.5</v>
      </c>
      <c r="C807" s="47"/>
      <c r="D807" s="47"/>
      <c r="E807" s="46">
        <f>40/IF(Общие_или_заединицу="Общие трудозатраты",1,80)</f>
        <v>0.5</v>
      </c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  <c r="AB807" s="47"/>
      <c r="AC807" s="47"/>
      <c r="AD807" s="46">
        <f>160/IF(Общие_или_заединицу="Общие трудозатраты",1,80)*IF(Пробивка="Стандартная пробивная",1,3.5)</f>
        <v>7</v>
      </c>
      <c r="AE807" s="47"/>
      <c r="AF807" s="47"/>
      <c r="AG807" s="47"/>
      <c r="AH807" s="47"/>
      <c r="AI807" s="47"/>
      <c r="AJ807" s="47"/>
      <c r="AK807" s="47"/>
      <c r="AL807" s="47"/>
      <c r="AM807" s="47"/>
      <c r="AN807" s="47"/>
      <c r="AO807" s="47"/>
      <c r="AP807" s="47"/>
      <c r="AQ807" s="47"/>
      <c r="AR807" s="47"/>
      <c r="AS807" s="47"/>
      <c r="AT807" s="47"/>
      <c r="AU807" s="47"/>
      <c r="AV807" s="47"/>
      <c r="AW807" s="47"/>
      <c r="AX807" s="47"/>
      <c r="AY807" s="47"/>
      <c r="AZ807" s="47"/>
      <c r="BA807" s="47"/>
      <c r="BB807" s="47"/>
      <c r="BC807" s="47"/>
    </row>
    <row r="808" spans="1:55" x14ac:dyDescent="0.25">
      <c r="A808" s="45" t="s">
        <v>1530</v>
      </c>
      <c r="B808" s="46">
        <f t="shared" si="20"/>
        <v>5.55</v>
      </c>
      <c r="C808" s="47"/>
      <c r="D808" s="47"/>
      <c r="E808" s="46">
        <f>12/IF(Общие_или_заединицу="Общие трудозатраты",1,40)</f>
        <v>0.3</v>
      </c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6">
        <f>60/IF(Общие_или_заединицу="Общие трудозатраты",1,40)*IF(Пробивка="Стандартная пробивная",1,3.5)</f>
        <v>5.25</v>
      </c>
      <c r="AE808" s="47"/>
      <c r="AF808" s="47"/>
      <c r="AG808" s="47"/>
      <c r="AH808" s="47"/>
      <c r="AI808" s="47"/>
      <c r="AJ808" s="47"/>
      <c r="AK808" s="47"/>
      <c r="AL808" s="47"/>
      <c r="AM808" s="47"/>
      <c r="AN808" s="47"/>
      <c r="AO808" s="47"/>
      <c r="AP808" s="47"/>
      <c r="AQ808" s="47"/>
      <c r="AR808" s="47"/>
      <c r="AS808" s="47"/>
      <c r="AT808" s="47"/>
      <c r="AU808" s="47"/>
      <c r="AV808" s="47"/>
      <c r="AW808" s="47"/>
      <c r="AX808" s="47"/>
      <c r="AY808" s="47"/>
      <c r="AZ808" s="47"/>
      <c r="BA808" s="47"/>
      <c r="BB808" s="47"/>
      <c r="BC808" s="47"/>
    </row>
    <row r="809" spans="1:55" x14ac:dyDescent="0.25">
      <c r="A809" s="45" t="s">
        <v>1531</v>
      </c>
      <c r="B809" s="46">
        <f t="shared" si="20"/>
        <v>7.3</v>
      </c>
      <c r="C809" s="47"/>
      <c r="D809" s="47"/>
      <c r="E809" s="46">
        <f>9/IF(Общие_или_заединицу="Общие трудозатраты",1,30)</f>
        <v>0.3</v>
      </c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  <c r="AB809" s="47"/>
      <c r="AC809" s="47"/>
      <c r="AD809" s="46">
        <f>60/IF(Общие_или_заединицу="Общие трудозатраты",1,30)*IF(Пробивка="Стандартная пробивная",1,3.5)</f>
        <v>7</v>
      </c>
      <c r="AE809" s="47"/>
      <c r="AF809" s="47"/>
      <c r="AG809" s="47"/>
      <c r="AH809" s="47"/>
      <c r="AI809" s="47"/>
      <c r="AJ809" s="47"/>
      <c r="AK809" s="47"/>
      <c r="AL809" s="47"/>
      <c r="AM809" s="47"/>
      <c r="AN809" s="47"/>
      <c r="AO809" s="47"/>
      <c r="AP809" s="47"/>
      <c r="AQ809" s="47"/>
      <c r="AR809" s="47"/>
      <c r="AS809" s="47"/>
      <c r="AT809" s="47"/>
      <c r="AU809" s="47"/>
      <c r="AV809" s="47"/>
      <c r="AW809" s="47"/>
      <c r="AX809" s="47"/>
      <c r="AY809" s="47"/>
      <c r="AZ809" s="47"/>
      <c r="BA809" s="47"/>
      <c r="BB809" s="47"/>
      <c r="BC809" s="47"/>
    </row>
    <row r="810" spans="1:55" x14ac:dyDescent="0.25">
      <c r="A810" s="45" t="s">
        <v>1532</v>
      </c>
      <c r="B810" s="46">
        <f t="shared" si="20"/>
        <v>19</v>
      </c>
      <c r="C810" s="47"/>
      <c r="D810" s="47"/>
      <c r="E810" s="46">
        <f>7.5/IF(Общие_или_заединицу="Общие трудозатраты",1,5)</f>
        <v>1.5</v>
      </c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  <c r="AB810" s="47"/>
      <c r="AC810" s="47"/>
      <c r="AD810" s="46">
        <f>25/IF(Общие_или_заединицу="Общие трудозатраты",1,5)*IF(Пробивка="Стандартная пробивная",1,3.5)</f>
        <v>17.5</v>
      </c>
      <c r="AE810" s="47"/>
      <c r="AF810" s="47"/>
      <c r="AG810" s="47"/>
      <c r="AH810" s="47"/>
      <c r="AI810" s="47"/>
      <c r="AJ810" s="47"/>
      <c r="AK810" s="47"/>
      <c r="AL810" s="47"/>
      <c r="AM810" s="47"/>
      <c r="AN810" s="47"/>
      <c r="AO810" s="47"/>
      <c r="AP810" s="47"/>
      <c r="AQ810" s="47"/>
      <c r="AR810" s="47"/>
      <c r="AS810" s="47"/>
      <c r="AT810" s="47"/>
      <c r="AU810" s="47"/>
      <c r="AV810" s="47"/>
      <c r="AW810" s="47"/>
      <c r="AX810" s="47"/>
      <c r="AY810" s="47"/>
      <c r="AZ810" s="47"/>
      <c r="BA810" s="47"/>
      <c r="BB810" s="47"/>
      <c r="BC810" s="47"/>
    </row>
    <row r="811" spans="1:55" x14ac:dyDescent="0.25">
      <c r="A811" s="45" t="s">
        <v>1533</v>
      </c>
      <c r="B811" s="46">
        <f t="shared" si="20"/>
        <v>12.85</v>
      </c>
      <c r="C811" s="47"/>
      <c r="D811" s="47"/>
      <c r="E811" s="46">
        <f>3/IF(Общие_или_заединицу="Общие трудозатраты",1,5)</f>
        <v>0.6</v>
      </c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  <c r="AB811" s="47"/>
      <c r="AC811" s="47"/>
      <c r="AD811" s="46">
        <f>17.5/IF(Общие_или_заединицу="Общие трудозатраты",1,5)*IF(Пробивка="Стандартная пробивная",1,3.5)</f>
        <v>12.25</v>
      </c>
      <c r="AE811" s="47"/>
      <c r="AF811" s="47"/>
      <c r="AG811" s="47"/>
      <c r="AH811" s="47"/>
      <c r="AI811" s="47"/>
      <c r="AJ811" s="47"/>
      <c r="AK811" s="47"/>
      <c r="AL811" s="47"/>
      <c r="AM811" s="47"/>
      <c r="AN811" s="47"/>
      <c r="AO811" s="47"/>
      <c r="AP811" s="47"/>
      <c r="AQ811" s="47"/>
      <c r="AR811" s="47"/>
      <c r="AS811" s="47"/>
      <c r="AT811" s="47"/>
      <c r="AU811" s="47"/>
      <c r="AV811" s="47"/>
      <c r="AW811" s="47"/>
      <c r="AX811" s="47"/>
      <c r="AY811" s="47"/>
      <c r="AZ811" s="47"/>
      <c r="BA811" s="47"/>
      <c r="BB811" s="47"/>
      <c r="BC811" s="47"/>
    </row>
    <row r="812" spans="1:55" x14ac:dyDescent="0.25">
      <c r="A812" s="45" t="s">
        <v>1534</v>
      </c>
      <c r="B812" s="46">
        <f t="shared" si="20"/>
        <v>0.6</v>
      </c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6">
        <f>6/IF(Общие_или_заединицу="Общие трудозатраты",1,10)</f>
        <v>0.6</v>
      </c>
      <c r="T812" s="47"/>
      <c r="U812" s="47"/>
      <c r="V812" s="47"/>
      <c r="W812" s="47"/>
      <c r="X812" s="47"/>
      <c r="Y812" s="47"/>
      <c r="Z812" s="47"/>
      <c r="AA812" s="47"/>
      <c r="AB812" s="47"/>
      <c r="AC812" s="47"/>
      <c r="AD812" s="47"/>
      <c r="AE812" s="47"/>
      <c r="AF812" s="47"/>
      <c r="AG812" s="47"/>
      <c r="AH812" s="47"/>
      <c r="AI812" s="47"/>
      <c r="AJ812" s="47"/>
      <c r="AK812" s="47"/>
      <c r="AL812" s="47"/>
      <c r="AM812" s="47"/>
      <c r="AN812" s="47"/>
      <c r="AO812" s="47"/>
      <c r="AP812" s="47"/>
      <c r="AQ812" s="47"/>
      <c r="AR812" s="47"/>
      <c r="AS812" s="47"/>
      <c r="AT812" s="47"/>
      <c r="AU812" s="47"/>
      <c r="AV812" s="47"/>
      <c r="AW812" s="47"/>
      <c r="AX812" s="47"/>
      <c r="AY812" s="47"/>
      <c r="AZ812" s="47"/>
      <c r="BA812" s="47"/>
      <c r="BB812" s="47"/>
      <c r="BC812" s="47"/>
    </row>
    <row r="813" spans="1:55" x14ac:dyDescent="0.25">
      <c r="A813" s="45" t="s">
        <v>1535</v>
      </c>
      <c r="B813" s="46">
        <f t="shared" si="20"/>
        <v>14.5</v>
      </c>
      <c r="C813" s="47"/>
      <c r="D813" s="47"/>
      <c r="E813" s="46">
        <f>40/IF(Общие_или_заединицу="Общие трудозатраты",1,10)</f>
        <v>4</v>
      </c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  <c r="AB813" s="47"/>
      <c r="AC813" s="47"/>
      <c r="AD813" s="46">
        <f>30/IF(Общие_или_заединицу="Общие трудозатраты",1,10)*IF(Пробивка="Стандартная пробивная",1,3.5)</f>
        <v>10.5</v>
      </c>
      <c r="AE813" s="47"/>
      <c r="AF813" s="47"/>
      <c r="AG813" s="47"/>
      <c r="AH813" s="47"/>
      <c r="AI813" s="47"/>
      <c r="AJ813" s="47"/>
      <c r="AK813" s="47"/>
      <c r="AL813" s="47"/>
      <c r="AM813" s="47"/>
      <c r="AN813" s="47"/>
      <c r="AO813" s="47"/>
      <c r="AP813" s="47"/>
      <c r="AQ813" s="47"/>
      <c r="AR813" s="47"/>
      <c r="AS813" s="47"/>
      <c r="AT813" s="47"/>
      <c r="AU813" s="47"/>
      <c r="AV813" s="47"/>
      <c r="AW813" s="47"/>
      <c r="AX813" s="47"/>
      <c r="AY813" s="47"/>
      <c r="AZ813" s="47"/>
      <c r="BA813" s="47"/>
      <c r="BB813" s="47"/>
      <c r="BC813" s="47"/>
    </row>
    <row r="814" spans="1:55" x14ac:dyDescent="0.25">
      <c r="A814" s="45" t="s">
        <v>1536</v>
      </c>
      <c r="B814" s="46">
        <f t="shared" si="20"/>
        <v>2.6</v>
      </c>
      <c r="C814" s="47"/>
      <c r="D814" s="47"/>
      <c r="E814" s="46">
        <f>3/IF(Общие_или_заединицу="Общие трудозатраты",1,5)</f>
        <v>0.6</v>
      </c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6">
        <f>10/IF(Общие_или_заединицу="Общие трудозатраты",1,5)</f>
        <v>2</v>
      </c>
      <c r="T814" s="47"/>
      <c r="U814" s="47"/>
      <c r="V814" s="47"/>
      <c r="W814" s="47"/>
      <c r="X814" s="47"/>
      <c r="Y814" s="47"/>
      <c r="Z814" s="47"/>
      <c r="AA814" s="47"/>
      <c r="AB814" s="47"/>
      <c r="AC814" s="47"/>
      <c r="AD814" s="47"/>
      <c r="AE814" s="47"/>
      <c r="AF814" s="47"/>
      <c r="AG814" s="47"/>
      <c r="AH814" s="47"/>
      <c r="AI814" s="47"/>
      <c r="AJ814" s="47"/>
      <c r="AK814" s="47"/>
      <c r="AL814" s="47"/>
      <c r="AM814" s="47"/>
      <c r="AN814" s="47"/>
      <c r="AO814" s="47"/>
      <c r="AP814" s="47"/>
      <c r="AQ814" s="47"/>
      <c r="AR814" s="47"/>
      <c r="AS814" s="47"/>
      <c r="AT814" s="47"/>
      <c r="AU814" s="47"/>
      <c r="AV814" s="47"/>
      <c r="AW814" s="47"/>
      <c r="AX814" s="47"/>
      <c r="AY814" s="47"/>
      <c r="AZ814" s="47"/>
      <c r="BA814" s="47"/>
      <c r="BB814" s="47"/>
      <c r="BC814" s="47"/>
    </row>
    <row r="815" spans="1:55" x14ac:dyDescent="0.25">
      <c r="A815" s="45" t="s">
        <v>1537</v>
      </c>
      <c r="B815" s="46">
        <f t="shared" si="20"/>
        <v>0.65</v>
      </c>
      <c r="C815" s="47"/>
      <c r="D815" s="47"/>
      <c r="E815" s="46">
        <f>3.75/IF(Общие_или_заединицу="Общие трудозатраты",1,15)</f>
        <v>0.25</v>
      </c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6">
        <f>6/IF(Общие_или_заединицу="Общие трудозатраты",1,15)</f>
        <v>0.4</v>
      </c>
      <c r="T815" s="47"/>
      <c r="U815" s="47"/>
      <c r="V815" s="47"/>
      <c r="W815" s="47"/>
      <c r="X815" s="47"/>
      <c r="Y815" s="47"/>
      <c r="Z815" s="47"/>
      <c r="AA815" s="47"/>
      <c r="AB815" s="47"/>
      <c r="AC815" s="47"/>
      <c r="AD815" s="47"/>
      <c r="AE815" s="47"/>
      <c r="AF815" s="47"/>
      <c r="AG815" s="47"/>
      <c r="AH815" s="47"/>
      <c r="AI815" s="47"/>
      <c r="AJ815" s="47"/>
      <c r="AK815" s="47"/>
      <c r="AL815" s="47"/>
      <c r="AM815" s="47"/>
      <c r="AN815" s="47"/>
      <c r="AO815" s="47"/>
      <c r="AP815" s="47"/>
      <c r="AQ815" s="47"/>
      <c r="AR815" s="47"/>
      <c r="AS815" s="47"/>
      <c r="AT815" s="47"/>
      <c r="AU815" s="47"/>
      <c r="AV815" s="47"/>
      <c r="AW815" s="47"/>
      <c r="AX815" s="47"/>
      <c r="AY815" s="47"/>
      <c r="AZ815" s="47"/>
      <c r="BA815" s="47"/>
      <c r="BB815" s="47"/>
      <c r="BC815" s="47"/>
    </row>
    <row r="816" spans="1:55" x14ac:dyDescent="0.25">
      <c r="A816" s="45" t="s">
        <v>1538</v>
      </c>
      <c r="B816" s="46">
        <f t="shared" si="20"/>
        <v>3.1</v>
      </c>
      <c r="C816" s="47"/>
      <c r="D816" s="47"/>
      <c r="E816" s="46">
        <f>3/IF(Общие_или_заединицу="Общие трудозатраты",1,5)</f>
        <v>0.6</v>
      </c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6">
        <f>12.5/IF(Общие_или_заединицу="Общие трудозатраты",1,5)</f>
        <v>2.5</v>
      </c>
      <c r="T816" s="47"/>
      <c r="U816" s="47"/>
      <c r="V816" s="47"/>
      <c r="W816" s="47"/>
      <c r="X816" s="47"/>
      <c r="Y816" s="47"/>
      <c r="Z816" s="47"/>
      <c r="AA816" s="47"/>
      <c r="AB816" s="47"/>
      <c r="AC816" s="47"/>
      <c r="AD816" s="47"/>
      <c r="AE816" s="47"/>
      <c r="AF816" s="47"/>
      <c r="AG816" s="47"/>
      <c r="AH816" s="47"/>
      <c r="AI816" s="47"/>
      <c r="AJ816" s="47"/>
      <c r="AK816" s="47"/>
      <c r="AL816" s="47"/>
      <c r="AM816" s="47"/>
      <c r="AN816" s="47"/>
      <c r="AO816" s="47"/>
      <c r="AP816" s="47"/>
      <c r="AQ816" s="47"/>
      <c r="AR816" s="47"/>
      <c r="AS816" s="47"/>
      <c r="AT816" s="47"/>
      <c r="AU816" s="47"/>
      <c r="AV816" s="47"/>
      <c r="AW816" s="47"/>
      <c r="AX816" s="47"/>
      <c r="AY816" s="47"/>
      <c r="AZ816" s="47"/>
      <c r="BA816" s="47"/>
      <c r="BB816" s="47"/>
      <c r="BC816" s="47"/>
    </row>
    <row r="817" spans="1:55" ht="22.5" x14ac:dyDescent="0.25">
      <c r="A817" s="45" t="s">
        <v>1539</v>
      </c>
      <c r="B817" s="46">
        <f t="shared" si="20"/>
        <v>11.1</v>
      </c>
      <c r="C817" s="47"/>
      <c r="D817" s="47"/>
      <c r="E817" s="46">
        <f>18/IF(Общие_или_заединицу="Общие трудозатраты",1,30)</f>
        <v>0.6</v>
      </c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  <c r="AB817" s="47"/>
      <c r="AC817" s="47"/>
      <c r="AD817" s="46">
        <f>90/IF(Общие_или_заединицу="Общие трудозатраты",1,30)*IF(Пробивка="Стандартная пробивная",1,3.5)</f>
        <v>10.5</v>
      </c>
      <c r="AE817" s="47"/>
      <c r="AF817" s="47"/>
      <c r="AG817" s="47"/>
      <c r="AH817" s="47"/>
      <c r="AI817" s="47"/>
      <c r="AJ817" s="47"/>
      <c r="AK817" s="47"/>
      <c r="AL817" s="47"/>
      <c r="AM817" s="47"/>
      <c r="AN817" s="47"/>
      <c r="AO817" s="47"/>
      <c r="AP817" s="47"/>
      <c r="AQ817" s="47"/>
      <c r="AR817" s="47"/>
      <c r="AS817" s="47"/>
      <c r="AT817" s="47"/>
      <c r="AU817" s="47"/>
      <c r="AV817" s="47"/>
      <c r="AW817" s="47"/>
      <c r="AX817" s="47"/>
      <c r="AY817" s="47"/>
      <c r="AZ817" s="47"/>
      <c r="BA817" s="47"/>
      <c r="BB817" s="47"/>
      <c r="BC817" s="47"/>
    </row>
    <row r="818" spans="1:55" x14ac:dyDescent="0.25">
      <c r="A818" s="45" t="s">
        <v>1540</v>
      </c>
      <c r="B818" s="46">
        <f t="shared" si="20"/>
        <v>0.45</v>
      </c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6">
        <f>6.75/IF(Общие_или_заединицу="Общие трудозатраты",1,15)</f>
        <v>0.45</v>
      </c>
      <c r="T818" s="47"/>
      <c r="U818" s="47"/>
      <c r="V818" s="47"/>
      <c r="W818" s="47"/>
      <c r="X818" s="47"/>
      <c r="Y818" s="47"/>
      <c r="Z818" s="47"/>
      <c r="AA818" s="47"/>
      <c r="AB818" s="47"/>
      <c r="AC818" s="47"/>
      <c r="AD818" s="47"/>
      <c r="AE818" s="47"/>
      <c r="AF818" s="47"/>
      <c r="AG818" s="47"/>
      <c r="AH818" s="47"/>
      <c r="AI818" s="47"/>
      <c r="AJ818" s="47"/>
      <c r="AK818" s="47"/>
      <c r="AL818" s="47"/>
      <c r="AM818" s="47"/>
      <c r="AN818" s="47"/>
      <c r="AO818" s="47"/>
      <c r="AP818" s="47"/>
      <c r="AQ818" s="47"/>
      <c r="AR818" s="47"/>
      <c r="AS818" s="47"/>
      <c r="AT818" s="47"/>
      <c r="AU818" s="47"/>
      <c r="AV818" s="47"/>
      <c r="AW818" s="47"/>
      <c r="AX818" s="47"/>
      <c r="AY818" s="47"/>
      <c r="AZ818" s="47"/>
      <c r="BA818" s="47"/>
      <c r="BB818" s="47"/>
      <c r="BC818" s="47"/>
    </row>
    <row r="819" spans="1:55" x14ac:dyDescent="0.25">
      <c r="A819" s="45" t="s">
        <v>1541</v>
      </c>
      <c r="B819" s="46">
        <f t="shared" si="20"/>
        <v>0.3</v>
      </c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6">
        <f>4.5/IF(Общие_или_заединицу="Общие трудозатраты",1,15)</f>
        <v>0.3</v>
      </c>
      <c r="T819" s="47"/>
      <c r="U819" s="47"/>
      <c r="V819" s="47"/>
      <c r="W819" s="47"/>
      <c r="X819" s="47"/>
      <c r="Y819" s="47"/>
      <c r="Z819" s="47"/>
      <c r="AA819" s="47"/>
      <c r="AB819" s="47"/>
      <c r="AC819" s="47"/>
      <c r="AD819" s="47"/>
      <c r="AE819" s="47"/>
      <c r="AF819" s="47"/>
      <c r="AG819" s="47"/>
      <c r="AH819" s="47"/>
      <c r="AI819" s="47"/>
      <c r="AJ819" s="47"/>
      <c r="AK819" s="47"/>
      <c r="AL819" s="47"/>
      <c r="AM819" s="47"/>
      <c r="AN819" s="47"/>
      <c r="AO819" s="47"/>
      <c r="AP819" s="47"/>
      <c r="AQ819" s="47"/>
      <c r="AR819" s="47"/>
      <c r="AS819" s="47"/>
      <c r="AT819" s="47"/>
      <c r="AU819" s="47"/>
      <c r="AV819" s="47"/>
      <c r="AW819" s="47"/>
      <c r="AX819" s="47"/>
      <c r="AY819" s="47"/>
      <c r="AZ819" s="47"/>
      <c r="BA819" s="47"/>
      <c r="BB819" s="47"/>
      <c r="BC819" s="47"/>
    </row>
    <row r="820" spans="1:55" x14ac:dyDescent="0.25">
      <c r="A820" s="45" t="s">
        <v>1542</v>
      </c>
      <c r="B820" s="46">
        <f t="shared" si="20"/>
        <v>5.55</v>
      </c>
      <c r="C820" s="47"/>
      <c r="D820" s="47"/>
      <c r="E820" s="46">
        <f>1.5/IF(Общие_или_заединицу="Общие трудозатраты",1,5)</f>
        <v>0.3</v>
      </c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  <c r="AB820" s="47"/>
      <c r="AC820" s="47"/>
      <c r="AD820" s="46">
        <f>7.5/IF(Общие_или_заединицу="Общие трудозатраты",1,5)*IF(Пробивка="Стандартная пробивная",1,3.5)</f>
        <v>5.25</v>
      </c>
      <c r="AE820" s="47"/>
      <c r="AF820" s="47"/>
      <c r="AG820" s="47"/>
      <c r="AH820" s="47"/>
      <c r="AI820" s="47"/>
      <c r="AJ820" s="47"/>
      <c r="AK820" s="47"/>
      <c r="AL820" s="47"/>
      <c r="AM820" s="47"/>
      <c r="AN820" s="47"/>
      <c r="AO820" s="47"/>
      <c r="AP820" s="47"/>
      <c r="AQ820" s="47"/>
      <c r="AR820" s="47"/>
      <c r="AS820" s="47"/>
      <c r="AT820" s="47"/>
      <c r="AU820" s="47"/>
      <c r="AV820" s="47"/>
      <c r="AW820" s="47"/>
      <c r="AX820" s="47"/>
      <c r="AY820" s="47"/>
      <c r="AZ820" s="47"/>
      <c r="BA820" s="47"/>
      <c r="BB820" s="47"/>
      <c r="BC820" s="47"/>
    </row>
    <row r="821" spans="1:55" x14ac:dyDescent="0.25">
      <c r="A821" s="45" t="s">
        <v>1543</v>
      </c>
      <c r="B821" s="46">
        <f t="shared" si="20"/>
        <v>19</v>
      </c>
      <c r="C821" s="47"/>
      <c r="D821" s="47"/>
      <c r="E821" s="46">
        <f>75/IF(Общие_или_заединицу="Общие трудозатраты",1,50)</f>
        <v>1.5</v>
      </c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  <c r="AB821" s="47"/>
      <c r="AC821" s="47"/>
      <c r="AD821" s="46">
        <f>250/IF(Общие_или_заединицу="Общие трудозатраты",1,50)*IF(Пробивка="Стандартная пробивная",1,3.5)</f>
        <v>17.5</v>
      </c>
      <c r="AE821" s="47"/>
      <c r="AF821" s="47"/>
      <c r="AG821" s="47"/>
      <c r="AH821" s="47"/>
      <c r="AI821" s="47"/>
      <c r="AJ821" s="47"/>
      <c r="AK821" s="47"/>
      <c r="AL821" s="47"/>
      <c r="AM821" s="47"/>
      <c r="AN821" s="47"/>
      <c r="AO821" s="47"/>
      <c r="AP821" s="47"/>
      <c r="AQ821" s="47"/>
      <c r="AR821" s="47"/>
      <c r="AS821" s="47"/>
      <c r="AT821" s="47"/>
      <c r="AU821" s="47"/>
      <c r="AV821" s="47"/>
      <c r="AW821" s="47"/>
      <c r="AX821" s="47"/>
      <c r="AY821" s="47"/>
      <c r="AZ821" s="47"/>
      <c r="BA821" s="47"/>
      <c r="BB821" s="47"/>
      <c r="BC821" s="47"/>
    </row>
    <row r="822" spans="1:55" x14ac:dyDescent="0.25">
      <c r="A822" s="45" t="s">
        <v>1544</v>
      </c>
      <c r="B822" s="46">
        <f t="shared" si="20"/>
        <v>4.5</v>
      </c>
      <c r="C822" s="47"/>
      <c r="D822" s="47"/>
      <c r="E822" s="46">
        <f>30/IF(Общие_или_заединицу="Общие трудозатраты",1,100)</f>
        <v>0.3</v>
      </c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  <c r="AB822" s="47"/>
      <c r="AC822" s="47"/>
      <c r="AD822" s="46">
        <f>120/IF(Общие_или_заединицу="Общие трудозатраты",1,100)*IF(Пробивка="Стандартная пробивная",1,3.5)</f>
        <v>4.2</v>
      </c>
      <c r="AE822" s="47"/>
      <c r="AF822" s="47"/>
      <c r="AG822" s="47"/>
      <c r="AH822" s="47"/>
      <c r="AI822" s="47"/>
      <c r="AJ822" s="47"/>
      <c r="AK822" s="47"/>
      <c r="AL822" s="47"/>
      <c r="AM822" s="47"/>
      <c r="AN822" s="47"/>
      <c r="AO822" s="47"/>
      <c r="AP822" s="47"/>
      <c r="AQ822" s="47"/>
      <c r="AR822" s="47"/>
      <c r="AS822" s="47"/>
      <c r="AT822" s="47"/>
      <c r="AU822" s="47"/>
      <c r="AV822" s="47"/>
      <c r="AW822" s="47"/>
      <c r="AX822" s="47"/>
      <c r="AY822" s="47"/>
      <c r="AZ822" s="47"/>
      <c r="BA822" s="47"/>
      <c r="BB822" s="47"/>
      <c r="BC822" s="47"/>
    </row>
    <row r="823" spans="1:55" x14ac:dyDescent="0.25">
      <c r="A823" s="45" t="s">
        <v>1545</v>
      </c>
      <c r="B823" s="46">
        <f t="shared" si="20"/>
        <v>2.35</v>
      </c>
      <c r="C823" s="47"/>
      <c r="D823" s="47"/>
      <c r="E823" s="46">
        <f>25/IF(Общие_или_заединицу="Общие трудозатраты",1,50)</f>
        <v>0.5</v>
      </c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6">
        <f>92.5/IF(Общие_или_заединицу="Общие трудозатраты",1,50)</f>
        <v>1.85</v>
      </c>
      <c r="T823" s="47"/>
      <c r="U823" s="47"/>
      <c r="V823" s="47"/>
      <c r="W823" s="47"/>
      <c r="X823" s="47"/>
      <c r="Y823" s="47"/>
      <c r="Z823" s="47"/>
      <c r="AA823" s="47"/>
      <c r="AB823" s="47"/>
      <c r="AC823" s="47"/>
      <c r="AD823" s="47"/>
      <c r="AE823" s="47"/>
      <c r="AF823" s="47"/>
      <c r="AG823" s="47"/>
      <c r="AH823" s="47"/>
      <c r="AI823" s="47"/>
      <c r="AJ823" s="47"/>
      <c r="AK823" s="47"/>
      <c r="AL823" s="47"/>
      <c r="AM823" s="47"/>
      <c r="AN823" s="47"/>
      <c r="AO823" s="47"/>
      <c r="AP823" s="47"/>
      <c r="AQ823" s="47"/>
      <c r="AR823" s="47"/>
      <c r="AS823" s="47"/>
      <c r="AT823" s="47"/>
      <c r="AU823" s="47"/>
      <c r="AV823" s="47"/>
      <c r="AW823" s="47"/>
      <c r="AX823" s="47"/>
      <c r="AY823" s="47"/>
      <c r="AZ823" s="47"/>
      <c r="BA823" s="47"/>
      <c r="BB823" s="47"/>
      <c r="BC823" s="47"/>
    </row>
    <row r="824" spans="1:55" x14ac:dyDescent="0.25">
      <c r="A824" s="45" t="s">
        <v>1546</v>
      </c>
      <c r="B824" s="46">
        <f t="shared" si="20"/>
        <v>5.75</v>
      </c>
      <c r="C824" s="47"/>
      <c r="D824" s="47"/>
      <c r="E824" s="46">
        <f>2.5/IF(Общие_или_заединицу="Общие трудозатраты",1,5)</f>
        <v>0.5</v>
      </c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  <c r="AB824" s="47"/>
      <c r="AC824" s="47"/>
      <c r="AD824" s="46">
        <f>7.5/IF(Общие_или_заединицу="Общие трудозатраты",1,5)*IF(Пробивка="Стандартная пробивная",1,3.5)</f>
        <v>5.25</v>
      </c>
      <c r="AE824" s="47"/>
      <c r="AF824" s="47"/>
      <c r="AG824" s="47"/>
      <c r="AH824" s="47"/>
      <c r="AI824" s="47"/>
      <c r="AJ824" s="47"/>
      <c r="AK824" s="47"/>
      <c r="AL824" s="47"/>
      <c r="AM824" s="47"/>
      <c r="AN824" s="47"/>
      <c r="AO824" s="47"/>
      <c r="AP824" s="47"/>
      <c r="AQ824" s="47"/>
      <c r="AR824" s="47"/>
      <c r="AS824" s="47"/>
      <c r="AT824" s="47"/>
      <c r="AU824" s="47"/>
      <c r="AV824" s="47"/>
      <c r="AW824" s="47"/>
      <c r="AX824" s="47"/>
      <c r="AY824" s="47"/>
      <c r="AZ824" s="47"/>
      <c r="BA824" s="47"/>
      <c r="BB824" s="47"/>
      <c r="BC824" s="47"/>
    </row>
    <row r="825" spans="1:55" x14ac:dyDescent="0.25">
      <c r="A825" s="45" t="s">
        <v>1514</v>
      </c>
      <c r="B825" s="46">
        <f t="shared" si="20"/>
        <v>10</v>
      </c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  <c r="AB825" s="47"/>
      <c r="AC825" s="47"/>
      <c r="AD825" s="47"/>
      <c r="AE825" s="47"/>
      <c r="AF825" s="47"/>
      <c r="AG825" s="47"/>
      <c r="AH825" s="46">
        <f>50/IF(Общие_или_заединицу="Общие трудозатраты",1,5)</f>
        <v>10</v>
      </c>
      <c r="AI825" s="47"/>
      <c r="AJ825" s="47"/>
      <c r="AK825" s="47"/>
      <c r="AL825" s="47"/>
      <c r="AM825" s="47"/>
      <c r="AN825" s="47"/>
      <c r="AO825" s="47"/>
      <c r="AP825" s="47"/>
      <c r="AQ825" s="47"/>
      <c r="AR825" s="47"/>
      <c r="AS825" s="47"/>
      <c r="AT825" s="47"/>
      <c r="AU825" s="47"/>
      <c r="AV825" s="47"/>
      <c r="AW825" s="47"/>
      <c r="AX825" s="47"/>
      <c r="AY825" s="47"/>
      <c r="AZ825" s="47"/>
      <c r="BA825" s="47"/>
      <c r="BB825" s="47"/>
      <c r="BC825" s="47"/>
    </row>
    <row r="826" spans="1:55" x14ac:dyDescent="0.25">
      <c r="A826" s="45" t="s">
        <v>1549</v>
      </c>
      <c r="B826" s="46">
        <f t="shared" si="20"/>
        <v>47</v>
      </c>
      <c r="C826" s="47"/>
      <c r="D826" s="47"/>
      <c r="E826" s="46">
        <f>7.5/IF(Общие_или_заединицу="Общие трудозатраты",1,5)</f>
        <v>1.5</v>
      </c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  <c r="AB826" s="47"/>
      <c r="AC826" s="47"/>
      <c r="AD826" s="46">
        <f>65/IF(Общие_или_заединицу="Общие трудозатраты",1,5)*IF(Пробивка="Стандартная пробивная",1,3.5)</f>
        <v>45.5</v>
      </c>
      <c r="AE826" s="47"/>
      <c r="AF826" s="47"/>
      <c r="AG826" s="47"/>
      <c r="AH826" s="47"/>
      <c r="AI826" s="47"/>
      <c r="AJ826" s="47"/>
      <c r="AK826" s="47"/>
      <c r="AL826" s="47"/>
      <c r="AM826" s="47"/>
      <c r="AN826" s="47"/>
      <c r="AO826" s="47"/>
      <c r="AP826" s="47"/>
      <c r="AQ826" s="47"/>
      <c r="AR826" s="47"/>
      <c r="AS826" s="47"/>
      <c r="AT826" s="47"/>
      <c r="AU826" s="47"/>
      <c r="AV826" s="47"/>
      <c r="AW826" s="47"/>
      <c r="AX826" s="47"/>
      <c r="AY826" s="47"/>
      <c r="AZ826" s="47"/>
      <c r="BA826" s="47"/>
      <c r="BB826" s="47"/>
      <c r="BC826" s="47"/>
    </row>
    <row r="827" spans="1:55" x14ac:dyDescent="0.25">
      <c r="A827" s="45" t="s">
        <v>1550</v>
      </c>
      <c r="B827" s="46">
        <f t="shared" si="20"/>
        <v>1.4000000000000001</v>
      </c>
      <c r="C827" s="47"/>
      <c r="D827" s="47"/>
      <c r="E827" s="46">
        <f>1.5/IF(Общие_или_заединицу="Общие трудозатраты",1,5)</f>
        <v>0.3</v>
      </c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6">
        <f>5.5/IF(Общие_или_заединицу="Общие трудозатраты",1,5)</f>
        <v>1.1000000000000001</v>
      </c>
      <c r="T827" s="47"/>
      <c r="U827" s="47"/>
      <c r="V827" s="47"/>
      <c r="W827" s="47"/>
      <c r="X827" s="47"/>
      <c r="Y827" s="47"/>
      <c r="Z827" s="47"/>
      <c r="AA827" s="47"/>
      <c r="AB827" s="47"/>
      <c r="AC827" s="47"/>
      <c r="AD827" s="47"/>
      <c r="AE827" s="47"/>
      <c r="AF827" s="47"/>
      <c r="AG827" s="47"/>
      <c r="AH827" s="47"/>
      <c r="AI827" s="47"/>
      <c r="AJ827" s="47"/>
      <c r="AK827" s="47"/>
      <c r="AL827" s="47"/>
      <c r="AM827" s="47"/>
      <c r="AN827" s="47"/>
      <c r="AO827" s="47"/>
      <c r="AP827" s="47"/>
      <c r="AQ827" s="47"/>
      <c r="AR827" s="47"/>
      <c r="AS827" s="47"/>
      <c r="AT827" s="47"/>
      <c r="AU827" s="47"/>
      <c r="AV827" s="47"/>
      <c r="AW827" s="47"/>
      <c r="AX827" s="47"/>
      <c r="AY827" s="47"/>
      <c r="AZ827" s="47"/>
      <c r="BA827" s="47"/>
      <c r="BB827" s="47"/>
      <c r="BC827" s="47"/>
    </row>
    <row r="828" spans="1:55" x14ac:dyDescent="0.25">
      <c r="A828" s="45" t="s">
        <v>602</v>
      </c>
      <c r="B828" s="46">
        <f t="shared" si="20"/>
        <v>58</v>
      </c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6">
        <f>200/IF(Общие_или_заединицу="Общие трудозатраты",1,10)</f>
        <v>20</v>
      </c>
      <c r="N828" s="47"/>
      <c r="O828" s="47"/>
      <c r="P828" s="47"/>
      <c r="Q828" s="47"/>
      <c r="R828" s="47"/>
      <c r="S828" s="47"/>
      <c r="T828" s="47"/>
      <c r="U828" s="47"/>
      <c r="V828" s="47"/>
      <c r="W828" s="46">
        <f>210/IF(Общие_или_заединицу="Общие трудозатраты",1,10)</f>
        <v>21</v>
      </c>
      <c r="X828" s="47"/>
      <c r="Y828" s="47"/>
      <c r="Z828" s="47"/>
      <c r="AA828" s="47"/>
      <c r="AB828" s="47"/>
      <c r="AC828" s="47"/>
      <c r="AD828" s="47"/>
      <c r="AE828" s="47"/>
      <c r="AF828" s="47"/>
      <c r="AG828" s="47"/>
      <c r="AH828" s="47"/>
      <c r="AI828" s="47"/>
      <c r="AJ828" s="47"/>
      <c r="AK828" s="47"/>
      <c r="AL828" s="47"/>
      <c r="AM828" s="46">
        <f>60/IF(Общие_или_заединицу="Общие трудозатраты",1,10)</f>
        <v>6</v>
      </c>
      <c r="AN828" s="47"/>
      <c r="AO828" s="46">
        <f>110/IF(Общие_или_заединицу="Общие трудозатраты",1,10)</f>
        <v>11</v>
      </c>
      <c r="AP828" s="47"/>
      <c r="AQ828" s="47"/>
      <c r="AR828" s="47"/>
      <c r="AS828" s="47"/>
      <c r="AT828" s="47"/>
      <c r="AU828" s="47"/>
      <c r="AV828" s="47"/>
      <c r="AW828" s="47"/>
      <c r="AX828" s="47"/>
      <c r="AY828" s="47"/>
      <c r="AZ828" s="47"/>
      <c r="BA828" s="47"/>
      <c r="BB828" s="47"/>
      <c r="BC828" s="47"/>
    </row>
    <row r="829" spans="1:55" x14ac:dyDescent="0.25">
      <c r="A829" s="45" t="s">
        <v>1551</v>
      </c>
      <c r="B829" s="46">
        <f t="shared" si="20"/>
        <v>12.8</v>
      </c>
      <c r="C829" s="47"/>
      <c r="D829" s="47"/>
      <c r="E829" s="46">
        <f>80/IF(Общие_или_заединицу="Общие трудозатраты",1,10)</f>
        <v>8</v>
      </c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6">
        <f>48/IF(Общие_или_заединицу="Общие трудозатраты",1,10)</f>
        <v>4.8</v>
      </c>
      <c r="T829" s="47"/>
      <c r="U829" s="47"/>
      <c r="V829" s="47"/>
      <c r="W829" s="47"/>
      <c r="X829" s="47"/>
      <c r="Y829" s="47"/>
      <c r="Z829" s="47"/>
      <c r="AA829" s="47"/>
      <c r="AB829" s="47"/>
      <c r="AC829" s="47"/>
      <c r="AD829" s="47"/>
      <c r="AE829" s="47"/>
      <c r="AF829" s="47"/>
      <c r="AG829" s="47"/>
      <c r="AH829" s="47"/>
      <c r="AI829" s="47"/>
      <c r="AJ829" s="47"/>
      <c r="AK829" s="47"/>
      <c r="AL829" s="47"/>
      <c r="AM829" s="47"/>
      <c r="AN829" s="47"/>
      <c r="AO829" s="47"/>
      <c r="AP829" s="47"/>
      <c r="AQ829" s="47"/>
      <c r="AR829" s="47"/>
      <c r="AS829" s="47"/>
      <c r="AT829" s="47"/>
      <c r="AU829" s="47"/>
      <c r="AV829" s="47"/>
      <c r="AW829" s="47"/>
      <c r="AX829" s="47"/>
      <c r="AY829" s="47"/>
      <c r="AZ829" s="47"/>
      <c r="BA829" s="47"/>
      <c r="BB829" s="47"/>
      <c r="BC829" s="47"/>
    </row>
    <row r="830" spans="1:55" x14ac:dyDescent="0.25">
      <c r="A830" s="45" t="s">
        <v>1552</v>
      </c>
      <c r="B830" s="46">
        <f t="shared" si="20"/>
        <v>2.8</v>
      </c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6">
        <f>28/IF(Общие_или_заединицу="Общие трудозатраты",1,10)</f>
        <v>2.8</v>
      </c>
      <c r="AB830" s="47"/>
      <c r="AC830" s="47"/>
      <c r="AD830" s="47"/>
      <c r="AE830" s="47"/>
      <c r="AF830" s="47"/>
      <c r="AG830" s="47"/>
      <c r="AH830" s="47"/>
      <c r="AI830" s="47"/>
      <c r="AJ830" s="47"/>
      <c r="AK830" s="47"/>
      <c r="AL830" s="47"/>
      <c r="AM830" s="47"/>
      <c r="AN830" s="47"/>
      <c r="AO830" s="47"/>
      <c r="AP830" s="47"/>
      <c r="AQ830" s="47"/>
      <c r="AR830" s="47"/>
      <c r="AS830" s="47"/>
      <c r="AT830" s="47"/>
      <c r="AU830" s="47"/>
      <c r="AV830" s="47"/>
      <c r="AW830" s="47"/>
      <c r="AX830" s="47"/>
      <c r="AY830" s="47"/>
      <c r="AZ830" s="47"/>
      <c r="BA830" s="47"/>
      <c r="BB830" s="47"/>
      <c r="BC830" s="47"/>
    </row>
    <row r="831" spans="1:55" x14ac:dyDescent="0.25">
      <c r="A831" s="45" t="s">
        <v>603</v>
      </c>
      <c r="B831" s="46">
        <f t="shared" si="20"/>
        <v>3.5</v>
      </c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6">
        <f>50/IF(Общие_или_заединицу="Общие трудозатраты",1,50)</f>
        <v>1</v>
      </c>
      <c r="Q831" s="46">
        <f>125/IF(Общие_или_заединицу="Общие трудозатраты",1,50)</f>
        <v>2.5</v>
      </c>
      <c r="R831" s="47"/>
      <c r="S831" s="47"/>
      <c r="T831" s="47"/>
      <c r="U831" s="47"/>
      <c r="V831" s="47"/>
      <c r="W831" s="47"/>
      <c r="X831" s="47"/>
      <c r="Y831" s="47"/>
      <c r="Z831" s="47"/>
      <c r="AA831" s="47"/>
      <c r="AB831" s="47"/>
      <c r="AC831" s="47"/>
      <c r="AD831" s="47"/>
      <c r="AE831" s="47"/>
      <c r="AF831" s="47"/>
      <c r="AG831" s="47"/>
      <c r="AH831" s="47"/>
      <c r="AI831" s="47"/>
      <c r="AJ831" s="47"/>
      <c r="AK831" s="47"/>
      <c r="AL831" s="47"/>
      <c r="AM831" s="47"/>
      <c r="AN831" s="47"/>
      <c r="AO831" s="47"/>
      <c r="AP831" s="47"/>
      <c r="AQ831" s="47"/>
      <c r="AR831" s="47"/>
      <c r="AS831" s="47"/>
      <c r="AT831" s="47"/>
      <c r="AU831" s="47"/>
      <c r="AV831" s="47"/>
      <c r="AW831" s="47"/>
      <c r="AX831" s="47"/>
      <c r="AY831" s="47"/>
      <c r="AZ831" s="47"/>
      <c r="BA831" s="47"/>
      <c r="BB831" s="47"/>
      <c r="BC831" s="47"/>
    </row>
    <row r="832" spans="1:55" x14ac:dyDescent="0.25">
      <c r="A832" s="45" t="s">
        <v>1553</v>
      </c>
      <c r="B832" s="46">
        <f t="shared" si="20"/>
        <v>12.9</v>
      </c>
      <c r="C832" s="47"/>
      <c r="D832" s="47"/>
      <c r="E832" s="46">
        <f>400/IF(Общие_или_заединицу="Общие трудозатраты",1,50)</f>
        <v>8</v>
      </c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6">
        <f>245/IF(Общие_или_заединицу="Общие трудозатраты",1,50)</f>
        <v>4.9000000000000004</v>
      </c>
      <c r="T832" s="47"/>
      <c r="U832" s="47"/>
      <c r="V832" s="47"/>
      <c r="W832" s="47"/>
      <c r="X832" s="47"/>
      <c r="Y832" s="47"/>
      <c r="Z832" s="47"/>
      <c r="AA832" s="47"/>
      <c r="AB832" s="47"/>
      <c r="AC832" s="47"/>
      <c r="AD832" s="47"/>
      <c r="AE832" s="47"/>
      <c r="AF832" s="47"/>
      <c r="AG832" s="47"/>
      <c r="AH832" s="47"/>
      <c r="AI832" s="47"/>
      <c r="AJ832" s="47"/>
      <c r="AK832" s="47"/>
      <c r="AL832" s="47"/>
      <c r="AM832" s="47"/>
      <c r="AN832" s="47"/>
      <c r="AO832" s="47"/>
      <c r="AP832" s="47"/>
      <c r="AQ832" s="47"/>
      <c r="AR832" s="47"/>
      <c r="AS832" s="47"/>
      <c r="AT832" s="47"/>
      <c r="AU832" s="47"/>
      <c r="AV832" s="47"/>
      <c r="AW832" s="47"/>
      <c r="AX832" s="47"/>
      <c r="AY832" s="47"/>
      <c r="AZ832" s="47"/>
      <c r="BA832" s="47"/>
      <c r="BB832" s="47"/>
      <c r="BC832" s="47"/>
    </row>
    <row r="833" spans="1:55" x14ac:dyDescent="0.25">
      <c r="A833" s="45" t="s">
        <v>1554</v>
      </c>
      <c r="B833" s="46">
        <f t="shared" si="20"/>
        <v>5.3</v>
      </c>
      <c r="C833" s="47"/>
      <c r="D833" s="47"/>
      <c r="E833" s="46">
        <f>200/IF(Общие_или_заединицу="Общие трудозатраты",1,50)</f>
        <v>4</v>
      </c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6">
        <f>65/IF(Общие_или_заединицу="Общие трудозатраты",1,50)</f>
        <v>1.3</v>
      </c>
      <c r="T833" s="47"/>
      <c r="U833" s="47"/>
      <c r="V833" s="47"/>
      <c r="W833" s="47"/>
      <c r="X833" s="47"/>
      <c r="Y833" s="47"/>
      <c r="Z833" s="47"/>
      <c r="AA833" s="47"/>
      <c r="AB833" s="47"/>
      <c r="AC833" s="47"/>
      <c r="AD833" s="47"/>
      <c r="AE833" s="47"/>
      <c r="AF833" s="47"/>
      <c r="AG833" s="47"/>
      <c r="AH833" s="47"/>
      <c r="AI833" s="47"/>
      <c r="AJ833" s="47"/>
      <c r="AK833" s="47"/>
      <c r="AL833" s="47"/>
      <c r="AM833" s="47"/>
      <c r="AN833" s="47"/>
      <c r="AO833" s="47"/>
      <c r="AP833" s="47"/>
      <c r="AQ833" s="47"/>
      <c r="AR833" s="47"/>
      <c r="AS833" s="47"/>
      <c r="AT833" s="47"/>
      <c r="AU833" s="47"/>
      <c r="AV833" s="47"/>
      <c r="AW833" s="47"/>
      <c r="AX833" s="47"/>
      <c r="AY833" s="47"/>
      <c r="AZ833" s="47"/>
      <c r="BA833" s="47"/>
      <c r="BB833" s="47"/>
      <c r="BC833" s="47"/>
    </row>
    <row r="834" spans="1:55" ht="22.5" x14ac:dyDescent="0.25">
      <c r="A834" s="45" t="s">
        <v>604</v>
      </c>
      <c r="B834" s="46">
        <f t="shared" si="20"/>
        <v>17</v>
      </c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6">
        <f>20/IF(Общие_или_заединицу="Общие трудозатраты",1,4)</f>
        <v>5</v>
      </c>
      <c r="W834" s="46">
        <f>16/IF(Общие_или_заединицу="Общие трудозатраты",1,4)</f>
        <v>4</v>
      </c>
      <c r="X834" s="47"/>
      <c r="Y834" s="47"/>
      <c r="Z834" s="47"/>
      <c r="AA834" s="47"/>
      <c r="AB834" s="47"/>
      <c r="AC834" s="47"/>
      <c r="AD834" s="47"/>
      <c r="AE834" s="47"/>
      <c r="AF834" s="47"/>
      <c r="AG834" s="47"/>
      <c r="AH834" s="47"/>
      <c r="AI834" s="47"/>
      <c r="AJ834" s="47"/>
      <c r="AK834" s="47"/>
      <c r="AL834" s="47"/>
      <c r="AM834" s="46">
        <f>16/IF(Общие_или_заединицу="Общие трудозатраты",1,4)</f>
        <v>4</v>
      </c>
      <c r="AN834" s="47"/>
      <c r="AO834" s="46">
        <f>16/IF(Общие_или_заединицу="Общие трудозатраты",1,4)</f>
        <v>4</v>
      </c>
      <c r="AP834" s="47"/>
      <c r="AQ834" s="47"/>
      <c r="AR834" s="47"/>
      <c r="AS834" s="47"/>
      <c r="AT834" s="47"/>
      <c r="AU834" s="47"/>
      <c r="AV834" s="47"/>
      <c r="AW834" s="47"/>
      <c r="AX834" s="47"/>
      <c r="AY834" s="47"/>
      <c r="AZ834" s="47"/>
      <c r="BA834" s="47"/>
      <c r="BB834" s="47"/>
      <c r="BC834" s="47"/>
    </row>
    <row r="835" spans="1:55" x14ac:dyDescent="0.25">
      <c r="A835" s="45" t="s">
        <v>1555</v>
      </c>
      <c r="B835" s="46">
        <f t="shared" si="20"/>
        <v>3.4</v>
      </c>
      <c r="C835" s="47"/>
      <c r="D835" s="47"/>
      <c r="E835" s="46">
        <f>10/IF(Общие_или_заединицу="Общие трудозатраты",1,4)</f>
        <v>2.5</v>
      </c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6">
        <f>3.6/IF(Общие_или_заединицу="Общие трудозатраты",1,4)</f>
        <v>0.9</v>
      </c>
      <c r="AB835" s="47"/>
      <c r="AC835" s="47"/>
      <c r="AD835" s="47"/>
      <c r="AE835" s="47"/>
      <c r="AF835" s="47"/>
      <c r="AG835" s="47"/>
      <c r="AH835" s="47"/>
      <c r="AI835" s="47"/>
      <c r="AJ835" s="47"/>
      <c r="AK835" s="47"/>
      <c r="AL835" s="47"/>
      <c r="AM835" s="47"/>
      <c r="AN835" s="47"/>
      <c r="AO835" s="47"/>
      <c r="AP835" s="47"/>
      <c r="AQ835" s="47"/>
      <c r="AR835" s="47"/>
      <c r="AS835" s="47"/>
      <c r="AT835" s="47"/>
      <c r="AU835" s="47"/>
      <c r="AV835" s="47"/>
      <c r="AW835" s="47"/>
      <c r="AX835" s="47"/>
      <c r="AY835" s="47"/>
      <c r="AZ835" s="47"/>
      <c r="BA835" s="47"/>
      <c r="BB835" s="47"/>
      <c r="BC835" s="47"/>
    </row>
    <row r="836" spans="1:55" x14ac:dyDescent="0.25">
      <c r="A836" s="45" t="s">
        <v>1556</v>
      </c>
      <c r="B836" s="46">
        <f t="shared" ref="B836:B885" si="21">SUM(C836:BC836)</f>
        <v>0.9</v>
      </c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6">
        <f>3.6/IF(Общие_или_заединицу="Общие трудозатраты",1,4)</f>
        <v>0.9</v>
      </c>
      <c r="AB836" s="47"/>
      <c r="AC836" s="47"/>
      <c r="AD836" s="47"/>
      <c r="AE836" s="47"/>
      <c r="AF836" s="47"/>
      <c r="AG836" s="47"/>
      <c r="AH836" s="47"/>
      <c r="AI836" s="47"/>
      <c r="AJ836" s="47"/>
      <c r="AK836" s="47"/>
      <c r="AL836" s="47"/>
      <c r="AM836" s="47"/>
      <c r="AN836" s="47"/>
      <c r="AO836" s="47"/>
      <c r="AP836" s="47"/>
      <c r="AQ836" s="47"/>
      <c r="AR836" s="47"/>
      <c r="AS836" s="47"/>
      <c r="AT836" s="47"/>
      <c r="AU836" s="47"/>
      <c r="AV836" s="47"/>
      <c r="AW836" s="47"/>
      <c r="AX836" s="47"/>
      <c r="AY836" s="47"/>
      <c r="AZ836" s="47"/>
      <c r="BA836" s="47"/>
      <c r="BB836" s="47"/>
      <c r="BC836" s="47"/>
    </row>
    <row r="837" spans="1:55" x14ac:dyDescent="0.25">
      <c r="A837" s="45" t="s">
        <v>1461</v>
      </c>
      <c r="B837" s="46">
        <f t="shared" si="21"/>
        <v>7.6</v>
      </c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6">
        <f>0.6/IF(Общие_или_заединицу="Общие трудозатраты",1,1)</f>
        <v>0.6</v>
      </c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7"/>
      <c r="AF837" s="47"/>
      <c r="AG837" s="47"/>
      <c r="AH837" s="47"/>
      <c r="AI837" s="47"/>
      <c r="AJ837" s="47"/>
      <c r="AK837" s="47"/>
      <c r="AL837" s="47"/>
      <c r="AM837" s="47"/>
      <c r="AN837" s="47"/>
      <c r="AO837" s="47"/>
      <c r="AP837" s="47"/>
      <c r="AQ837" s="47"/>
      <c r="AR837" s="47"/>
      <c r="AS837" s="47"/>
      <c r="AT837" s="47"/>
      <c r="AU837" s="47"/>
      <c r="AV837" s="46">
        <f>4/IF(Общие_или_заединицу="Общие трудозатраты",1,1)</f>
        <v>4</v>
      </c>
      <c r="AW837" s="46">
        <f>3/IF(Общие_или_заединицу="Общие трудозатраты",1,1)</f>
        <v>3</v>
      </c>
      <c r="AX837" s="47"/>
      <c r="AY837" s="47"/>
      <c r="AZ837" s="47"/>
      <c r="BA837" s="47"/>
      <c r="BB837" s="47"/>
      <c r="BC837" s="47"/>
    </row>
    <row r="838" spans="1:55" x14ac:dyDescent="0.25">
      <c r="A838" s="45" t="s">
        <v>1462</v>
      </c>
      <c r="B838" s="46">
        <f t="shared" si="21"/>
        <v>7</v>
      </c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6">
        <f>3/IF(Общие_или_заединицу="Общие трудозатраты",1,1)</f>
        <v>3</v>
      </c>
      <c r="U838" s="47"/>
      <c r="V838" s="47"/>
      <c r="W838" s="47"/>
      <c r="X838" s="47"/>
      <c r="Y838" s="47"/>
      <c r="Z838" s="47"/>
      <c r="AA838" s="47"/>
      <c r="AB838" s="47"/>
      <c r="AC838" s="47"/>
      <c r="AD838" s="47"/>
      <c r="AE838" s="47"/>
      <c r="AF838" s="47"/>
      <c r="AG838" s="47"/>
      <c r="AH838" s="47"/>
      <c r="AI838" s="47"/>
      <c r="AJ838" s="47"/>
      <c r="AK838" s="47"/>
      <c r="AL838" s="47"/>
      <c r="AM838" s="47"/>
      <c r="AN838" s="47"/>
      <c r="AO838" s="47"/>
      <c r="AP838" s="47"/>
      <c r="AQ838" s="47"/>
      <c r="AR838" s="47"/>
      <c r="AS838" s="47"/>
      <c r="AT838" s="47"/>
      <c r="AU838" s="47"/>
      <c r="AV838" s="46">
        <f>4/IF(Общие_или_заединицу="Общие трудозатраты",1,1)</f>
        <v>4</v>
      </c>
      <c r="AW838" s="47"/>
      <c r="AX838" s="47"/>
      <c r="AY838" s="47"/>
      <c r="AZ838" s="47"/>
      <c r="BA838" s="47"/>
      <c r="BB838" s="47"/>
      <c r="BC838" s="47"/>
    </row>
    <row r="839" spans="1:55" x14ac:dyDescent="0.25">
      <c r="A839" s="45" t="s">
        <v>1463</v>
      </c>
      <c r="B839" s="46">
        <f t="shared" si="21"/>
        <v>12.5</v>
      </c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6">
        <f>16.5/IF(Общие_или_заединицу="Общие трудозатраты",1,3)</f>
        <v>5.5</v>
      </c>
      <c r="U839" s="47"/>
      <c r="V839" s="47"/>
      <c r="W839" s="47"/>
      <c r="X839" s="47"/>
      <c r="Y839" s="47"/>
      <c r="Z839" s="47"/>
      <c r="AA839" s="47"/>
      <c r="AB839" s="47"/>
      <c r="AC839" s="47"/>
      <c r="AD839" s="47"/>
      <c r="AE839" s="47"/>
      <c r="AF839" s="47"/>
      <c r="AG839" s="47"/>
      <c r="AH839" s="47"/>
      <c r="AI839" s="47"/>
      <c r="AJ839" s="47"/>
      <c r="AK839" s="47"/>
      <c r="AL839" s="47"/>
      <c r="AM839" s="47"/>
      <c r="AN839" s="47"/>
      <c r="AO839" s="47"/>
      <c r="AP839" s="47"/>
      <c r="AQ839" s="47"/>
      <c r="AR839" s="47"/>
      <c r="AS839" s="47"/>
      <c r="AT839" s="47"/>
      <c r="AU839" s="47"/>
      <c r="AV839" s="46">
        <f>21/IF(Общие_или_заединицу="Общие трудозатраты",1,3)</f>
        <v>7</v>
      </c>
      <c r="AW839" s="47"/>
      <c r="AX839" s="47"/>
      <c r="AY839" s="47"/>
      <c r="AZ839" s="47"/>
      <c r="BA839" s="47"/>
      <c r="BB839" s="47"/>
      <c r="BC839" s="47"/>
    </row>
    <row r="840" spans="1:55" ht="22.5" x14ac:dyDescent="0.25">
      <c r="A840" s="45" t="s">
        <v>1937</v>
      </c>
      <c r="B840" s="46">
        <f t="shared" si="21"/>
        <v>480</v>
      </c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6">
        <f>480/IF(Общие_или_заединицу="Общие трудозатраты",1,1)</f>
        <v>480</v>
      </c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  <c r="AB840" s="47"/>
      <c r="AC840" s="47"/>
      <c r="AD840" s="47"/>
      <c r="AE840" s="47"/>
      <c r="AF840" s="47"/>
      <c r="AG840" s="47"/>
      <c r="AH840" s="47"/>
      <c r="AI840" s="47"/>
      <c r="AJ840" s="47"/>
      <c r="AK840" s="47"/>
      <c r="AL840" s="47"/>
      <c r="AM840" s="47"/>
      <c r="AN840" s="47"/>
      <c r="AO840" s="47"/>
      <c r="AP840" s="47"/>
      <c r="AQ840" s="47"/>
      <c r="AR840" s="47"/>
      <c r="AS840" s="47"/>
      <c r="AT840" s="47"/>
      <c r="AU840" s="47"/>
      <c r="AV840" s="47"/>
      <c r="AW840" s="47"/>
      <c r="AX840" s="47"/>
      <c r="AY840" s="47"/>
      <c r="AZ840" s="47"/>
      <c r="BA840" s="47"/>
      <c r="BB840" s="47"/>
      <c r="BC840" s="47"/>
    </row>
    <row r="841" spans="1:55" ht="22.5" x14ac:dyDescent="0.25">
      <c r="A841" s="45" t="s">
        <v>587</v>
      </c>
      <c r="B841" s="46">
        <f t="shared" si="21"/>
        <v>1</v>
      </c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6">
        <f>1/IF(Общие_или_заединицу="Общие трудозатраты",1,1)</f>
        <v>1</v>
      </c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  <c r="AB841" s="47"/>
      <c r="AC841" s="47"/>
      <c r="AD841" s="47"/>
      <c r="AE841" s="47"/>
      <c r="AF841" s="47"/>
      <c r="AG841" s="47"/>
      <c r="AH841" s="47"/>
      <c r="AI841" s="47"/>
      <c r="AJ841" s="47"/>
      <c r="AK841" s="47"/>
      <c r="AL841" s="47"/>
      <c r="AM841" s="47"/>
      <c r="AN841" s="47"/>
      <c r="AO841" s="47"/>
      <c r="AP841" s="47"/>
      <c r="AQ841" s="47"/>
      <c r="AR841" s="47"/>
      <c r="AS841" s="47"/>
      <c r="AT841" s="47"/>
      <c r="AU841" s="47"/>
      <c r="AV841" s="47"/>
      <c r="AW841" s="47"/>
      <c r="AX841" s="47"/>
      <c r="AY841" s="47"/>
      <c r="AZ841" s="47"/>
      <c r="BA841" s="47"/>
      <c r="BB841" s="47"/>
      <c r="BC841" s="47"/>
    </row>
    <row r="842" spans="1:55" x14ac:dyDescent="0.25">
      <c r="A842" s="45" t="s">
        <v>1557</v>
      </c>
      <c r="B842" s="46">
        <f t="shared" si="21"/>
        <v>420</v>
      </c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6">
        <f>60/IF(Общие_или_заединицу="Общие трудозатраты",1,1)</f>
        <v>60</v>
      </c>
      <c r="Q842" s="46">
        <f>120/IF(Общие_или_заединицу="Общие трудозатраты",1,1)</f>
        <v>120</v>
      </c>
      <c r="R842" s="47"/>
      <c r="S842" s="47"/>
      <c r="T842" s="47"/>
      <c r="U842" s="47"/>
      <c r="V842" s="47"/>
      <c r="W842" s="47"/>
      <c r="X842" s="47"/>
      <c r="Y842" s="47"/>
      <c r="Z842" s="47"/>
      <c r="AA842" s="47"/>
      <c r="AB842" s="47"/>
      <c r="AC842" s="47"/>
      <c r="AD842" s="47"/>
      <c r="AE842" s="47"/>
      <c r="AF842" s="47"/>
      <c r="AG842" s="47"/>
      <c r="AH842" s="46">
        <f>240/IF(Общие_или_заединицу="Общие трудозатраты",1,1)</f>
        <v>240</v>
      </c>
      <c r="AI842" s="47"/>
      <c r="AJ842" s="47"/>
      <c r="AK842" s="47"/>
      <c r="AL842" s="47"/>
      <c r="AM842" s="47"/>
      <c r="AN842" s="47"/>
      <c r="AO842" s="47"/>
      <c r="AP842" s="47"/>
      <c r="AQ842" s="47"/>
      <c r="AR842" s="47"/>
      <c r="AS842" s="47"/>
      <c r="AT842" s="47"/>
      <c r="AU842" s="47"/>
      <c r="AV842" s="47"/>
      <c r="AW842" s="47"/>
      <c r="AX842" s="47"/>
      <c r="AY842" s="47"/>
      <c r="AZ842" s="47"/>
      <c r="BA842" s="47"/>
      <c r="BB842" s="47"/>
      <c r="BC842" s="47"/>
    </row>
    <row r="843" spans="1:55" x14ac:dyDescent="0.25">
      <c r="A843" s="45" t="s">
        <v>1558</v>
      </c>
      <c r="B843" s="46">
        <f t="shared" si="21"/>
        <v>45</v>
      </c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6">
        <f>30/IF(Общие_или_заединицу="Общие трудозатраты",1,1)</f>
        <v>30</v>
      </c>
      <c r="Q843" s="46">
        <f>15/IF(Общие_или_заединицу="Общие трудозатраты",1,1)</f>
        <v>15</v>
      </c>
      <c r="R843" s="47"/>
      <c r="S843" s="47"/>
      <c r="T843" s="47"/>
      <c r="U843" s="47"/>
      <c r="V843" s="47"/>
      <c r="W843" s="47"/>
      <c r="X843" s="47"/>
      <c r="Y843" s="47"/>
      <c r="Z843" s="47"/>
      <c r="AA843" s="47"/>
      <c r="AB843" s="47"/>
      <c r="AC843" s="47"/>
      <c r="AD843" s="47"/>
      <c r="AE843" s="47"/>
      <c r="AF843" s="47"/>
      <c r="AG843" s="47"/>
      <c r="AH843" s="47"/>
      <c r="AI843" s="47"/>
      <c r="AJ843" s="47"/>
      <c r="AK843" s="47"/>
      <c r="AL843" s="47"/>
      <c r="AM843" s="47"/>
      <c r="AN843" s="47"/>
      <c r="AO843" s="47"/>
      <c r="AP843" s="47"/>
      <c r="AQ843" s="47"/>
      <c r="AR843" s="47"/>
      <c r="AS843" s="47"/>
      <c r="AT843" s="47"/>
      <c r="AU843" s="47"/>
      <c r="AV843" s="47"/>
      <c r="AW843" s="47"/>
      <c r="AX843" s="47"/>
      <c r="AY843" s="47"/>
      <c r="AZ843" s="47"/>
      <c r="BA843" s="47"/>
      <c r="BB843" s="47"/>
      <c r="BC843" s="47"/>
    </row>
    <row r="844" spans="1:55" ht="22.5" x14ac:dyDescent="0.25">
      <c r="A844" s="45" t="s">
        <v>1559</v>
      </c>
      <c r="B844" s="46">
        <f t="shared" si="21"/>
        <v>1</v>
      </c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6">
        <f>1/IF(Общие_или_заединицу="Общие трудозатраты",1,1)</f>
        <v>1</v>
      </c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47"/>
      <c r="AH844" s="47"/>
      <c r="AI844" s="47"/>
      <c r="AJ844" s="47"/>
      <c r="AK844" s="47"/>
      <c r="AL844" s="47"/>
      <c r="AM844" s="47"/>
      <c r="AN844" s="47"/>
      <c r="AO844" s="47"/>
      <c r="AP844" s="47"/>
      <c r="AQ844" s="47"/>
      <c r="AR844" s="47"/>
      <c r="AS844" s="47"/>
      <c r="AT844" s="47"/>
      <c r="AU844" s="47"/>
      <c r="AV844" s="47"/>
      <c r="AW844" s="47"/>
      <c r="AX844" s="47"/>
      <c r="AY844" s="47"/>
      <c r="AZ844" s="47"/>
      <c r="BA844" s="47"/>
      <c r="BB844" s="47"/>
      <c r="BC844" s="47"/>
    </row>
    <row r="845" spans="1:55" x14ac:dyDescent="0.25">
      <c r="A845" s="45" t="s">
        <v>1574</v>
      </c>
      <c r="B845" s="46">
        <f t="shared" si="21"/>
        <v>25</v>
      </c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6">
        <f>42/IF(Общие_или_заединицу="Общие трудозатраты",1,14)</f>
        <v>3</v>
      </c>
      <c r="U845" s="47"/>
      <c r="V845" s="47"/>
      <c r="W845" s="47"/>
      <c r="X845" s="47"/>
      <c r="Y845" s="47"/>
      <c r="Z845" s="47"/>
      <c r="AA845" s="47"/>
      <c r="AB845" s="47"/>
      <c r="AC845" s="47"/>
      <c r="AD845" s="47"/>
      <c r="AE845" s="47"/>
      <c r="AF845" s="47"/>
      <c r="AG845" s="47"/>
      <c r="AH845" s="47"/>
      <c r="AI845" s="47"/>
      <c r="AJ845" s="47"/>
      <c r="AK845" s="47"/>
      <c r="AL845" s="47"/>
      <c r="AM845" s="47"/>
      <c r="AN845" s="47"/>
      <c r="AO845" s="47"/>
      <c r="AP845" s="47"/>
      <c r="AQ845" s="47"/>
      <c r="AR845" s="47"/>
      <c r="AS845" s="47"/>
      <c r="AT845" s="47"/>
      <c r="AU845" s="47"/>
      <c r="AV845" s="47"/>
      <c r="AW845" s="46">
        <f>140/IF(Общие_или_заединицу="Общие трудозатраты",1,14)</f>
        <v>10</v>
      </c>
      <c r="AX845" s="47"/>
      <c r="AY845" s="46">
        <f>168/IF(Общие_или_заединицу="Общие трудозатраты",1,14)</f>
        <v>12</v>
      </c>
      <c r="AZ845" s="47"/>
      <c r="BA845" s="47"/>
      <c r="BB845" s="47"/>
      <c r="BC845" s="47"/>
    </row>
    <row r="846" spans="1:55" x14ac:dyDescent="0.25">
      <c r="A846" s="45" t="s">
        <v>1575</v>
      </c>
      <c r="B846" s="46">
        <f t="shared" si="21"/>
        <v>29</v>
      </c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6">
        <f>18/IF(Общие_или_заединицу="Общие трудозатраты",1,6)</f>
        <v>3</v>
      </c>
      <c r="U846" s="47"/>
      <c r="V846" s="47"/>
      <c r="W846" s="47"/>
      <c r="X846" s="47"/>
      <c r="Y846" s="47"/>
      <c r="Z846" s="47"/>
      <c r="AA846" s="47"/>
      <c r="AB846" s="47"/>
      <c r="AC846" s="47"/>
      <c r="AD846" s="47"/>
      <c r="AE846" s="47"/>
      <c r="AF846" s="47"/>
      <c r="AG846" s="47"/>
      <c r="AH846" s="47"/>
      <c r="AI846" s="47"/>
      <c r="AJ846" s="47"/>
      <c r="AK846" s="47"/>
      <c r="AL846" s="47"/>
      <c r="AM846" s="47"/>
      <c r="AN846" s="47"/>
      <c r="AO846" s="47"/>
      <c r="AP846" s="47"/>
      <c r="AQ846" s="47"/>
      <c r="AR846" s="47"/>
      <c r="AS846" s="47"/>
      <c r="AT846" s="47"/>
      <c r="AU846" s="46">
        <f>72/IF(Общие_или_заединицу="Общие трудозатраты",1,6)</f>
        <v>12</v>
      </c>
      <c r="AV846" s="47"/>
      <c r="AW846" s="47"/>
      <c r="AX846" s="47"/>
      <c r="AY846" s="46">
        <f>84/IF(Общие_или_заединицу="Общие трудозатраты",1,6)</f>
        <v>14</v>
      </c>
      <c r="AZ846" s="47"/>
      <c r="BA846" s="47"/>
      <c r="BB846" s="47"/>
      <c r="BC846" s="47"/>
    </row>
    <row r="847" spans="1:55" x14ac:dyDescent="0.25">
      <c r="A847" s="45" t="s">
        <v>1576</v>
      </c>
      <c r="B847" s="46">
        <f t="shared" si="21"/>
        <v>27</v>
      </c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6">
        <f>168/IF(Общие_или_заединицу="Общие трудозатраты",1,24)</f>
        <v>7</v>
      </c>
      <c r="U847" s="47"/>
      <c r="V847" s="47"/>
      <c r="W847" s="47"/>
      <c r="X847" s="47"/>
      <c r="Y847" s="47"/>
      <c r="Z847" s="47"/>
      <c r="AA847" s="47"/>
      <c r="AB847" s="47"/>
      <c r="AC847" s="47"/>
      <c r="AD847" s="47"/>
      <c r="AE847" s="47"/>
      <c r="AF847" s="47"/>
      <c r="AG847" s="47"/>
      <c r="AH847" s="47"/>
      <c r="AI847" s="47"/>
      <c r="AJ847" s="47"/>
      <c r="AK847" s="47"/>
      <c r="AL847" s="47"/>
      <c r="AM847" s="47"/>
      <c r="AN847" s="47"/>
      <c r="AO847" s="47"/>
      <c r="AP847" s="47"/>
      <c r="AQ847" s="47"/>
      <c r="AR847" s="47"/>
      <c r="AS847" s="47"/>
      <c r="AT847" s="47"/>
      <c r="AU847" s="47"/>
      <c r="AV847" s="47"/>
      <c r="AW847" s="46">
        <f>360/IF(Общие_или_заединицу="Общие трудозатраты",1,24)</f>
        <v>15</v>
      </c>
      <c r="AX847" s="47"/>
      <c r="AY847" s="46">
        <f>120/IF(Общие_или_заединицу="Общие трудозатраты",1,24)</f>
        <v>5</v>
      </c>
      <c r="AZ847" s="47"/>
      <c r="BA847" s="47"/>
      <c r="BB847" s="47"/>
      <c r="BC847" s="47"/>
    </row>
    <row r="848" spans="1:55" x14ac:dyDescent="0.25">
      <c r="A848" s="45" t="s">
        <v>1564</v>
      </c>
      <c r="B848" s="46">
        <f t="shared" si="21"/>
        <v>1</v>
      </c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  <c r="AB848" s="47"/>
      <c r="AC848" s="47"/>
      <c r="AD848" s="47"/>
      <c r="AE848" s="47"/>
      <c r="AF848" s="47"/>
      <c r="AG848" s="47"/>
      <c r="AH848" s="47"/>
      <c r="AI848" s="46">
        <f>1/IF(Общие_или_заединицу="Общие трудозатраты",1,1)</f>
        <v>1</v>
      </c>
      <c r="AJ848" s="47"/>
      <c r="AK848" s="47"/>
      <c r="AL848" s="47"/>
      <c r="AM848" s="47"/>
      <c r="AN848" s="47"/>
      <c r="AO848" s="47"/>
      <c r="AP848" s="47"/>
      <c r="AQ848" s="47"/>
      <c r="AR848" s="47"/>
      <c r="AS848" s="47"/>
      <c r="AT848" s="47"/>
      <c r="AU848" s="47"/>
      <c r="AV848" s="47"/>
      <c r="AW848" s="47"/>
      <c r="AX848" s="47"/>
      <c r="AY848" s="47"/>
      <c r="AZ848" s="47"/>
      <c r="BA848" s="47"/>
      <c r="BB848" s="47"/>
      <c r="BC848" s="47"/>
    </row>
    <row r="849" spans="1:55" ht="22.5" x14ac:dyDescent="0.25">
      <c r="A849" s="45" t="s">
        <v>1577</v>
      </c>
      <c r="B849" s="46">
        <f t="shared" si="21"/>
        <v>50</v>
      </c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  <c r="AB849" s="47"/>
      <c r="AC849" s="47"/>
      <c r="AD849" s="47"/>
      <c r="AE849" s="47"/>
      <c r="AF849" s="47"/>
      <c r="AG849" s="47"/>
      <c r="AH849" s="47"/>
      <c r="AI849" s="47"/>
      <c r="AJ849" s="47"/>
      <c r="AK849" s="47"/>
      <c r="AL849" s="47"/>
      <c r="AM849" s="47"/>
      <c r="AN849" s="47"/>
      <c r="AO849" s="47"/>
      <c r="AP849" s="47"/>
      <c r="AQ849" s="47"/>
      <c r="AR849" s="47"/>
      <c r="AS849" s="47"/>
      <c r="AT849" s="46">
        <f>50/IF(Общие_или_заединицу="Общие трудозатраты",1,1)</f>
        <v>50</v>
      </c>
      <c r="AU849" s="47"/>
      <c r="AV849" s="47"/>
      <c r="AW849" s="47"/>
      <c r="AX849" s="47"/>
      <c r="AY849" s="47"/>
      <c r="AZ849" s="47"/>
      <c r="BA849" s="47"/>
      <c r="BB849" s="47"/>
      <c r="BC849" s="47"/>
    </row>
    <row r="850" spans="1:55" ht="22.5" x14ac:dyDescent="0.25">
      <c r="A850" s="45" t="s">
        <v>1578</v>
      </c>
      <c r="B850" s="46">
        <f t="shared" si="21"/>
        <v>50</v>
      </c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  <c r="AB850" s="47"/>
      <c r="AC850" s="47"/>
      <c r="AD850" s="47"/>
      <c r="AE850" s="47"/>
      <c r="AF850" s="47"/>
      <c r="AG850" s="47"/>
      <c r="AH850" s="47"/>
      <c r="AI850" s="47"/>
      <c r="AJ850" s="47"/>
      <c r="AK850" s="47"/>
      <c r="AL850" s="47"/>
      <c r="AM850" s="47"/>
      <c r="AN850" s="47"/>
      <c r="AO850" s="47"/>
      <c r="AP850" s="47"/>
      <c r="AQ850" s="47"/>
      <c r="AR850" s="47"/>
      <c r="AS850" s="47"/>
      <c r="AT850" s="46">
        <f>50/IF(Общие_или_заединицу="Общие трудозатраты",1,1)</f>
        <v>50</v>
      </c>
      <c r="AU850" s="47"/>
      <c r="AV850" s="47"/>
      <c r="AW850" s="47"/>
      <c r="AX850" s="47"/>
      <c r="AY850" s="47"/>
      <c r="AZ850" s="47"/>
      <c r="BA850" s="47"/>
      <c r="BB850" s="47"/>
      <c r="BC850" s="47"/>
    </row>
    <row r="851" spans="1:55" x14ac:dyDescent="0.25">
      <c r="A851" s="45" t="s">
        <v>748</v>
      </c>
      <c r="B851" s="46">
        <f t="shared" si="21"/>
        <v>16</v>
      </c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  <c r="AB851" s="47"/>
      <c r="AC851" s="47"/>
      <c r="AD851" s="47"/>
      <c r="AE851" s="47"/>
      <c r="AF851" s="47"/>
      <c r="AG851" s="47"/>
      <c r="AH851" s="47"/>
      <c r="AI851" s="47"/>
      <c r="AJ851" s="47"/>
      <c r="AK851" s="47"/>
      <c r="AL851" s="47"/>
      <c r="AM851" s="47"/>
      <c r="AN851" s="47"/>
      <c r="AO851" s="46">
        <f>4/IF(Общие_или_заединицу="Общие трудозатраты",1,1)</f>
        <v>4</v>
      </c>
      <c r="AP851" s="47"/>
      <c r="AQ851" s="46">
        <f>12/IF(Общие_или_заединицу="Общие трудозатраты",1,1)</f>
        <v>12</v>
      </c>
      <c r="AR851" s="47"/>
      <c r="AS851" s="47"/>
      <c r="AT851" s="47"/>
      <c r="AU851" s="47"/>
      <c r="AV851" s="47"/>
      <c r="AW851" s="47"/>
      <c r="AX851" s="47"/>
      <c r="AY851" s="47"/>
      <c r="AZ851" s="47"/>
      <c r="BA851" s="47"/>
      <c r="BB851" s="47"/>
      <c r="BC851" s="47"/>
    </row>
    <row r="852" spans="1:55" x14ac:dyDescent="0.25">
      <c r="A852" s="45" t="s">
        <v>1584</v>
      </c>
      <c r="B852" s="46">
        <f t="shared" si="21"/>
        <v>1.5</v>
      </c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6">
        <f>6/IF(Общие_или_заединицу="Общие трудозатраты",1,4)</f>
        <v>1.5</v>
      </c>
      <c r="U852" s="47"/>
      <c r="V852" s="47"/>
      <c r="W852" s="47"/>
      <c r="X852" s="47"/>
      <c r="Y852" s="47"/>
      <c r="Z852" s="47"/>
      <c r="AA852" s="47"/>
      <c r="AB852" s="47"/>
      <c r="AC852" s="47"/>
      <c r="AD852" s="47"/>
      <c r="AE852" s="47"/>
      <c r="AF852" s="47"/>
      <c r="AG852" s="47"/>
      <c r="AH852" s="47"/>
      <c r="AI852" s="47"/>
      <c r="AJ852" s="47"/>
      <c r="AK852" s="47"/>
      <c r="AL852" s="47"/>
      <c r="AM852" s="47"/>
      <c r="AN852" s="47"/>
      <c r="AO852" s="47"/>
      <c r="AP852" s="47"/>
      <c r="AQ852" s="47"/>
      <c r="AR852" s="47"/>
      <c r="AS852" s="47"/>
      <c r="AT852" s="47"/>
      <c r="AU852" s="47"/>
      <c r="AV852" s="47"/>
      <c r="AW852" s="47"/>
      <c r="AX852" s="47"/>
      <c r="AY852" s="47"/>
      <c r="AZ852" s="47"/>
      <c r="BA852" s="47"/>
      <c r="BB852" s="47"/>
      <c r="BC852" s="47"/>
    </row>
    <row r="853" spans="1:55" x14ac:dyDescent="0.25">
      <c r="A853" s="45" t="s">
        <v>1585</v>
      </c>
      <c r="B853" s="46">
        <f t="shared" si="21"/>
        <v>21</v>
      </c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6">
        <f>4/IF(Общие_или_заединицу="Общие трудозатраты",1,2)</f>
        <v>2</v>
      </c>
      <c r="U853" s="47"/>
      <c r="V853" s="47"/>
      <c r="W853" s="47"/>
      <c r="X853" s="47"/>
      <c r="Y853" s="47"/>
      <c r="Z853" s="47"/>
      <c r="AA853" s="47"/>
      <c r="AB853" s="47"/>
      <c r="AC853" s="47"/>
      <c r="AD853" s="47"/>
      <c r="AE853" s="47"/>
      <c r="AF853" s="47"/>
      <c r="AG853" s="47"/>
      <c r="AH853" s="47"/>
      <c r="AI853" s="47"/>
      <c r="AJ853" s="47"/>
      <c r="AK853" s="47"/>
      <c r="AL853" s="47"/>
      <c r="AM853" s="47"/>
      <c r="AN853" s="47"/>
      <c r="AO853" s="47"/>
      <c r="AP853" s="47"/>
      <c r="AQ853" s="47"/>
      <c r="AR853" s="47"/>
      <c r="AS853" s="47"/>
      <c r="AT853" s="47"/>
      <c r="AU853" s="47"/>
      <c r="AV853" s="46">
        <f>24/IF(Общие_или_заединицу="Общие трудозатраты",1,2)</f>
        <v>12</v>
      </c>
      <c r="AW853" s="47"/>
      <c r="AX853" s="47"/>
      <c r="AY853" s="46">
        <f>10/IF(Общие_или_заединицу="Общие трудозатраты",1,2)</f>
        <v>5</v>
      </c>
      <c r="AZ853" s="47"/>
      <c r="BA853" s="47"/>
      <c r="BB853" s="47"/>
      <c r="BC853" s="46">
        <f>4/IF(Общие_или_заединицу="Общие трудозатраты",1,2)</f>
        <v>2</v>
      </c>
    </row>
    <row r="854" spans="1:55" x14ac:dyDescent="0.25">
      <c r="A854" s="45" t="s">
        <v>1587</v>
      </c>
      <c r="B854" s="46">
        <f t="shared" si="21"/>
        <v>6</v>
      </c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  <c r="AB854" s="47"/>
      <c r="AC854" s="47"/>
      <c r="AD854" s="47"/>
      <c r="AE854" s="47"/>
      <c r="AF854" s="47"/>
      <c r="AG854" s="47"/>
      <c r="AH854" s="47"/>
      <c r="AI854" s="47"/>
      <c r="AJ854" s="47"/>
      <c r="AK854" s="47"/>
      <c r="AL854" s="47"/>
      <c r="AM854" s="47"/>
      <c r="AN854" s="47"/>
      <c r="AO854" s="46">
        <f>4/IF(Общие_или_заединицу="Общие трудозатраты",1,1)</f>
        <v>4</v>
      </c>
      <c r="AP854" s="47"/>
      <c r="AQ854" s="47"/>
      <c r="AR854" s="47"/>
      <c r="AS854" s="47"/>
      <c r="AT854" s="47"/>
      <c r="AU854" s="47"/>
      <c r="AV854" s="47"/>
      <c r="AW854" s="47"/>
      <c r="AX854" s="47"/>
      <c r="AY854" s="47"/>
      <c r="AZ854" s="47"/>
      <c r="BA854" s="47"/>
      <c r="BB854" s="47"/>
      <c r="BC854" s="46">
        <f>2/IF(Общие_или_заединицу="Общие трудозатраты",1,1)</f>
        <v>2</v>
      </c>
    </row>
    <row r="855" spans="1:55" x14ac:dyDescent="0.25">
      <c r="A855" s="45" t="s">
        <v>1586</v>
      </c>
      <c r="B855" s="46">
        <f t="shared" si="21"/>
        <v>0.8</v>
      </c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6">
        <f>1.6/IF(Общие_или_заединицу="Общие трудозатраты",1,2)</f>
        <v>0.8</v>
      </c>
      <c r="AB855" s="47"/>
      <c r="AC855" s="47"/>
      <c r="AD855" s="47"/>
      <c r="AE855" s="47"/>
      <c r="AF855" s="47"/>
      <c r="AG855" s="47"/>
      <c r="AH855" s="47"/>
      <c r="AI855" s="47"/>
      <c r="AJ855" s="47"/>
      <c r="AK855" s="47"/>
      <c r="AL855" s="47"/>
      <c r="AM855" s="47"/>
      <c r="AN855" s="47"/>
      <c r="AO855" s="47"/>
      <c r="AP855" s="47"/>
      <c r="AQ855" s="47"/>
      <c r="AR855" s="47"/>
      <c r="AS855" s="47"/>
      <c r="AT855" s="47"/>
      <c r="AU855" s="47"/>
      <c r="AV855" s="47"/>
      <c r="AW855" s="47"/>
      <c r="AX855" s="47"/>
      <c r="AY855" s="47"/>
      <c r="AZ855" s="47"/>
      <c r="BA855" s="47"/>
      <c r="BB855" s="47"/>
      <c r="BC855" s="47"/>
    </row>
    <row r="856" spans="1:55" x14ac:dyDescent="0.25">
      <c r="A856" s="45" t="s">
        <v>1588</v>
      </c>
      <c r="B856" s="46">
        <f t="shared" si="21"/>
        <v>7.5</v>
      </c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6">
        <f>1.5/IF(Общие_или_заединицу="Общие трудозатраты",1,1)</f>
        <v>1.5</v>
      </c>
      <c r="U856" s="47"/>
      <c r="V856" s="47"/>
      <c r="W856" s="47"/>
      <c r="X856" s="47"/>
      <c r="Y856" s="47"/>
      <c r="Z856" s="47"/>
      <c r="AA856" s="47"/>
      <c r="AB856" s="47"/>
      <c r="AC856" s="47"/>
      <c r="AD856" s="47"/>
      <c r="AE856" s="47"/>
      <c r="AF856" s="47"/>
      <c r="AG856" s="47"/>
      <c r="AH856" s="47"/>
      <c r="AI856" s="47"/>
      <c r="AJ856" s="47"/>
      <c r="AK856" s="47"/>
      <c r="AL856" s="47"/>
      <c r="AM856" s="47"/>
      <c r="AN856" s="47"/>
      <c r="AO856" s="47"/>
      <c r="AP856" s="47"/>
      <c r="AQ856" s="47"/>
      <c r="AR856" s="47"/>
      <c r="AS856" s="47"/>
      <c r="AT856" s="47"/>
      <c r="AU856" s="47"/>
      <c r="AV856" s="47"/>
      <c r="AW856" s="46">
        <f>6/IF(Общие_или_заединицу="Общие трудозатраты",1,1)</f>
        <v>6</v>
      </c>
      <c r="AX856" s="47"/>
      <c r="AY856" s="47"/>
      <c r="AZ856" s="47"/>
      <c r="BA856" s="47"/>
      <c r="BB856" s="47"/>
      <c r="BC856" s="47"/>
    </row>
    <row r="857" spans="1:55" x14ac:dyDescent="0.25">
      <c r="A857" s="45" t="s">
        <v>1589</v>
      </c>
      <c r="B857" s="46">
        <f t="shared" si="21"/>
        <v>7.5</v>
      </c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6">
        <f>1.5/IF(Общие_или_заединицу="Общие трудозатраты",1,1)</f>
        <v>1.5</v>
      </c>
      <c r="U857" s="47"/>
      <c r="V857" s="47"/>
      <c r="W857" s="47"/>
      <c r="X857" s="47"/>
      <c r="Y857" s="47"/>
      <c r="Z857" s="47"/>
      <c r="AA857" s="47"/>
      <c r="AB857" s="47"/>
      <c r="AC857" s="47"/>
      <c r="AD857" s="47"/>
      <c r="AE857" s="47"/>
      <c r="AF857" s="47"/>
      <c r="AG857" s="47"/>
      <c r="AH857" s="47"/>
      <c r="AI857" s="47"/>
      <c r="AJ857" s="47"/>
      <c r="AK857" s="47"/>
      <c r="AL857" s="47"/>
      <c r="AM857" s="47"/>
      <c r="AN857" s="47"/>
      <c r="AO857" s="47"/>
      <c r="AP857" s="47"/>
      <c r="AQ857" s="47"/>
      <c r="AR857" s="47"/>
      <c r="AS857" s="47"/>
      <c r="AT857" s="47"/>
      <c r="AU857" s="47"/>
      <c r="AV857" s="47"/>
      <c r="AW857" s="46">
        <f>6/IF(Общие_или_заединицу="Общие трудозатраты",1,1)</f>
        <v>6</v>
      </c>
      <c r="AX857" s="47"/>
      <c r="AY857" s="47"/>
      <c r="AZ857" s="47"/>
      <c r="BA857" s="47"/>
      <c r="BB857" s="47"/>
      <c r="BC857" s="47"/>
    </row>
    <row r="858" spans="1:55" x14ac:dyDescent="0.25">
      <c r="A858" s="45" t="s">
        <v>1591</v>
      </c>
      <c r="B858" s="46">
        <f t="shared" si="21"/>
        <v>4</v>
      </c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  <c r="AB858" s="47"/>
      <c r="AC858" s="47"/>
      <c r="AD858" s="47"/>
      <c r="AE858" s="47"/>
      <c r="AF858" s="47"/>
      <c r="AG858" s="47"/>
      <c r="AH858" s="47"/>
      <c r="AI858" s="47"/>
      <c r="AJ858" s="47"/>
      <c r="AK858" s="47"/>
      <c r="AL858" s="47"/>
      <c r="AM858" s="47"/>
      <c r="AN858" s="47"/>
      <c r="AO858" s="46">
        <f>2/IF(Общие_или_заединицу="Общие трудозатраты",1,1)</f>
        <v>2</v>
      </c>
      <c r="AP858" s="47"/>
      <c r="AQ858" s="47"/>
      <c r="AR858" s="47"/>
      <c r="AS858" s="47"/>
      <c r="AT858" s="47"/>
      <c r="AU858" s="47"/>
      <c r="AV858" s="47"/>
      <c r="AW858" s="47"/>
      <c r="AX858" s="47"/>
      <c r="AY858" s="47"/>
      <c r="AZ858" s="47"/>
      <c r="BA858" s="47"/>
      <c r="BB858" s="47"/>
      <c r="BC858" s="46">
        <f>2/IF(Общие_или_заединицу="Общие трудозатраты",1,1)</f>
        <v>2</v>
      </c>
    </row>
    <row r="859" spans="1:55" x14ac:dyDescent="0.25">
      <c r="A859" s="45" t="s">
        <v>1593</v>
      </c>
      <c r="B859" s="46">
        <f t="shared" si="21"/>
        <v>4</v>
      </c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  <c r="AB859" s="47"/>
      <c r="AC859" s="47"/>
      <c r="AD859" s="47"/>
      <c r="AE859" s="47"/>
      <c r="AF859" s="47"/>
      <c r="AG859" s="47"/>
      <c r="AH859" s="47"/>
      <c r="AI859" s="47"/>
      <c r="AJ859" s="47"/>
      <c r="AK859" s="47"/>
      <c r="AL859" s="47"/>
      <c r="AM859" s="47"/>
      <c r="AN859" s="47"/>
      <c r="AO859" s="46">
        <f>2/IF(Общие_или_заединицу="Общие трудозатраты",1,1)</f>
        <v>2</v>
      </c>
      <c r="AP859" s="47"/>
      <c r="AQ859" s="47"/>
      <c r="AR859" s="47"/>
      <c r="AS859" s="47"/>
      <c r="AT859" s="47"/>
      <c r="AU859" s="47"/>
      <c r="AV859" s="47"/>
      <c r="AW859" s="47"/>
      <c r="AX859" s="47"/>
      <c r="AY859" s="47"/>
      <c r="AZ859" s="47"/>
      <c r="BA859" s="47"/>
      <c r="BB859" s="47"/>
      <c r="BC859" s="46">
        <f>2/IF(Общие_или_заединицу="Общие трудозатраты",1,1)</f>
        <v>2</v>
      </c>
    </row>
    <row r="860" spans="1:55" x14ac:dyDescent="0.25">
      <c r="A860" s="45" t="s">
        <v>1590</v>
      </c>
      <c r="B860" s="46">
        <f t="shared" si="21"/>
        <v>3.5</v>
      </c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6">
        <f>1/IF(Общие_или_заединицу="Общие трудозатраты",1,2)</f>
        <v>0.5</v>
      </c>
      <c r="AB860" s="47"/>
      <c r="AC860" s="47"/>
      <c r="AD860" s="47"/>
      <c r="AE860" s="47"/>
      <c r="AF860" s="47"/>
      <c r="AG860" s="47"/>
      <c r="AH860" s="47"/>
      <c r="AI860" s="47"/>
      <c r="AJ860" s="47"/>
      <c r="AK860" s="47"/>
      <c r="AL860" s="47"/>
      <c r="AM860" s="47"/>
      <c r="AN860" s="47"/>
      <c r="AO860" s="47"/>
      <c r="AP860" s="47"/>
      <c r="AQ860" s="46">
        <f>6/IF(Общие_или_заединицу="Общие трудозатраты",1,2)</f>
        <v>3</v>
      </c>
      <c r="AR860" s="47"/>
      <c r="AS860" s="47"/>
      <c r="AT860" s="47"/>
      <c r="AU860" s="47"/>
      <c r="AV860" s="47"/>
      <c r="AW860" s="47"/>
      <c r="AX860" s="47"/>
      <c r="AY860" s="47"/>
      <c r="AZ860" s="47"/>
      <c r="BA860" s="47"/>
      <c r="BB860" s="47"/>
      <c r="BC860" s="47"/>
    </row>
    <row r="861" spans="1:55" x14ac:dyDescent="0.25">
      <c r="A861" s="45" t="s">
        <v>1592</v>
      </c>
      <c r="B861" s="46">
        <f t="shared" si="21"/>
        <v>2.9</v>
      </c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6">
        <f>0.6/IF(Общие_или_заединицу="Общие трудозатраты",1,1)</f>
        <v>0.6</v>
      </c>
      <c r="U861" s="47"/>
      <c r="V861" s="47"/>
      <c r="W861" s="47"/>
      <c r="X861" s="47"/>
      <c r="Y861" s="47"/>
      <c r="Z861" s="47"/>
      <c r="AA861" s="47"/>
      <c r="AB861" s="47"/>
      <c r="AC861" s="47"/>
      <c r="AD861" s="47"/>
      <c r="AE861" s="47"/>
      <c r="AF861" s="47"/>
      <c r="AG861" s="47"/>
      <c r="AH861" s="47"/>
      <c r="AI861" s="47"/>
      <c r="AJ861" s="47"/>
      <c r="AK861" s="47"/>
      <c r="AL861" s="47"/>
      <c r="AM861" s="47"/>
      <c r="AN861" s="47"/>
      <c r="AO861" s="47"/>
      <c r="AP861" s="47"/>
      <c r="AQ861" s="47"/>
      <c r="AR861" s="47"/>
      <c r="AS861" s="47"/>
      <c r="AT861" s="47"/>
      <c r="AU861" s="47"/>
      <c r="AV861" s="47"/>
      <c r="AW861" s="46">
        <f>2.3/IF(Общие_или_заединицу="Общие трудозатраты",1,1)</f>
        <v>2.2999999999999998</v>
      </c>
      <c r="AX861" s="47"/>
      <c r="AY861" s="47"/>
      <c r="AZ861" s="47"/>
      <c r="BA861" s="47"/>
      <c r="BB861" s="47"/>
      <c r="BC861" s="47"/>
    </row>
    <row r="862" spans="1:55" x14ac:dyDescent="0.25">
      <c r="A862" s="45" t="s">
        <v>1594</v>
      </c>
      <c r="B862" s="46">
        <f t="shared" si="21"/>
        <v>2.9</v>
      </c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6">
        <f>0.6/IF(Общие_или_заединицу="Общие трудозатраты",1,1)</f>
        <v>0.6</v>
      </c>
      <c r="U862" s="47"/>
      <c r="V862" s="47"/>
      <c r="W862" s="47"/>
      <c r="X862" s="47"/>
      <c r="Y862" s="47"/>
      <c r="Z862" s="47"/>
      <c r="AA862" s="47"/>
      <c r="AB862" s="47"/>
      <c r="AC862" s="47"/>
      <c r="AD862" s="47"/>
      <c r="AE862" s="47"/>
      <c r="AF862" s="47"/>
      <c r="AG862" s="47"/>
      <c r="AH862" s="47"/>
      <c r="AI862" s="47"/>
      <c r="AJ862" s="47"/>
      <c r="AK862" s="47"/>
      <c r="AL862" s="47"/>
      <c r="AM862" s="47"/>
      <c r="AN862" s="47"/>
      <c r="AO862" s="47"/>
      <c r="AP862" s="47"/>
      <c r="AQ862" s="47"/>
      <c r="AR862" s="47"/>
      <c r="AS862" s="47"/>
      <c r="AT862" s="47"/>
      <c r="AU862" s="47"/>
      <c r="AV862" s="47"/>
      <c r="AW862" s="46">
        <f>2.3/IF(Общие_или_заединицу="Общие трудозатраты",1,1)</f>
        <v>2.2999999999999998</v>
      </c>
      <c r="AX862" s="47"/>
      <c r="AY862" s="47"/>
      <c r="AZ862" s="47"/>
      <c r="BA862" s="47"/>
      <c r="BB862" s="47"/>
      <c r="BC862" s="47"/>
    </row>
    <row r="863" spans="1:55" x14ac:dyDescent="0.25">
      <c r="A863" s="45" t="s">
        <v>1596</v>
      </c>
      <c r="B863" s="46">
        <f t="shared" si="21"/>
        <v>8</v>
      </c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  <c r="AB863" s="47"/>
      <c r="AC863" s="47"/>
      <c r="AD863" s="47"/>
      <c r="AE863" s="47"/>
      <c r="AF863" s="47"/>
      <c r="AG863" s="47"/>
      <c r="AH863" s="47"/>
      <c r="AI863" s="47"/>
      <c r="AJ863" s="47"/>
      <c r="AK863" s="47"/>
      <c r="AL863" s="47"/>
      <c r="AM863" s="47"/>
      <c r="AN863" s="47"/>
      <c r="AO863" s="46">
        <f>6/IF(Общие_или_заединицу="Общие трудозатраты",1,1)</f>
        <v>6</v>
      </c>
      <c r="AP863" s="47"/>
      <c r="AQ863" s="47"/>
      <c r="AR863" s="47"/>
      <c r="AS863" s="47"/>
      <c r="AT863" s="47"/>
      <c r="AU863" s="47"/>
      <c r="AV863" s="47"/>
      <c r="AW863" s="47"/>
      <c r="AX863" s="47"/>
      <c r="AY863" s="47"/>
      <c r="AZ863" s="47"/>
      <c r="BA863" s="47"/>
      <c r="BB863" s="47"/>
      <c r="BC863" s="46">
        <f>2/IF(Общие_или_заединицу="Общие трудозатраты",1,1)</f>
        <v>2</v>
      </c>
    </row>
    <row r="864" spans="1:55" x14ac:dyDescent="0.25">
      <c r="A864" s="45" t="s">
        <v>1595</v>
      </c>
      <c r="B864" s="46">
        <f t="shared" si="21"/>
        <v>0.7</v>
      </c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6">
        <f>0.7/IF(Общие_или_заединицу="Общие трудозатраты",1,1)</f>
        <v>0.7</v>
      </c>
      <c r="T864" s="47"/>
      <c r="U864" s="47"/>
      <c r="V864" s="47"/>
      <c r="W864" s="47"/>
      <c r="X864" s="47"/>
      <c r="Y864" s="47"/>
      <c r="Z864" s="47"/>
      <c r="AA864" s="47"/>
      <c r="AB864" s="47"/>
      <c r="AC864" s="47"/>
      <c r="AD864" s="47"/>
      <c r="AE864" s="47"/>
      <c r="AF864" s="47"/>
      <c r="AG864" s="47"/>
      <c r="AH864" s="47"/>
      <c r="AI864" s="47"/>
      <c r="AJ864" s="47"/>
      <c r="AK864" s="47"/>
      <c r="AL864" s="47"/>
      <c r="AM864" s="47"/>
      <c r="AN864" s="47"/>
      <c r="AO864" s="47"/>
      <c r="AP864" s="47"/>
      <c r="AQ864" s="47"/>
      <c r="AR864" s="47"/>
      <c r="AS864" s="47"/>
      <c r="AT864" s="47"/>
      <c r="AU864" s="47"/>
      <c r="AV864" s="47"/>
      <c r="AW864" s="47"/>
      <c r="AX864" s="47"/>
      <c r="AY864" s="47"/>
      <c r="AZ864" s="47"/>
      <c r="BA864" s="47"/>
      <c r="BB864" s="47"/>
      <c r="BC864" s="47"/>
    </row>
    <row r="865" spans="1:55" x14ac:dyDescent="0.25">
      <c r="A865" s="45" t="s">
        <v>1597</v>
      </c>
      <c r="B865" s="46">
        <f t="shared" si="21"/>
        <v>2.2999999999999998</v>
      </c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6">
        <f>0.6/IF(Общие_или_заединицу="Общие трудозатраты",1,2)</f>
        <v>0.3</v>
      </c>
      <c r="T865" s="47"/>
      <c r="U865" s="47"/>
      <c r="V865" s="47"/>
      <c r="W865" s="47"/>
      <c r="X865" s="47"/>
      <c r="Y865" s="47"/>
      <c r="Z865" s="47"/>
      <c r="AA865" s="47"/>
      <c r="AB865" s="47"/>
      <c r="AC865" s="47"/>
      <c r="AD865" s="47"/>
      <c r="AE865" s="47"/>
      <c r="AF865" s="47"/>
      <c r="AG865" s="47"/>
      <c r="AH865" s="47"/>
      <c r="AI865" s="47"/>
      <c r="AJ865" s="47"/>
      <c r="AK865" s="47"/>
      <c r="AL865" s="47"/>
      <c r="AM865" s="47"/>
      <c r="AN865" s="47"/>
      <c r="AO865" s="47"/>
      <c r="AP865" s="47"/>
      <c r="AQ865" s="46">
        <f>4/IF(Общие_или_заединицу="Общие трудозатраты",1,2)</f>
        <v>2</v>
      </c>
      <c r="AR865" s="47"/>
      <c r="AS865" s="47"/>
      <c r="AT865" s="47"/>
      <c r="AU865" s="47"/>
      <c r="AV865" s="47"/>
      <c r="AW865" s="47"/>
      <c r="AX865" s="47"/>
      <c r="AY865" s="47"/>
      <c r="AZ865" s="47"/>
      <c r="BA865" s="47"/>
      <c r="BB865" s="47"/>
      <c r="BC865" s="47"/>
    </row>
    <row r="866" spans="1:55" x14ac:dyDescent="0.25">
      <c r="A866" s="45" t="s">
        <v>758</v>
      </c>
      <c r="B866" s="46">
        <f t="shared" si="21"/>
        <v>10</v>
      </c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  <c r="AB866" s="47"/>
      <c r="AC866" s="47"/>
      <c r="AD866" s="47"/>
      <c r="AE866" s="47"/>
      <c r="AF866" s="47"/>
      <c r="AG866" s="47"/>
      <c r="AH866" s="47"/>
      <c r="AI866" s="46">
        <f>10/IF(Общие_или_заединицу="Общие трудозатраты",1,1)</f>
        <v>10</v>
      </c>
      <c r="AJ866" s="47"/>
      <c r="AK866" s="47"/>
      <c r="AL866" s="47"/>
      <c r="AM866" s="47"/>
      <c r="AN866" s="47"/>
      <c r="AO866" s="47"/>
      <c r="AP866" s="47"/>
      <c r="AQ866" s="47"/>
      <c r="AR866" s="47"/>
      <c r="AS866" s="47"/>
      <c r="AT866" s="47"/>
      <c r="AU866" s="47"/>
      <c r="AV866" s="47"/>
      <c r="AW866" s="47"/>
      <c r="AX866" s="47"/>
      <c r="AY866" s="47"/>
      <c r="AZ866" s="47"/>
      <c r="BA866" s="47"/>
      <c r="BB866" s="47"/>
      <c r="BC866" s="47"/>
    </row>
    <row r="867" spans="1:55" x14ac:dyDescent="0.25">
      <c r="A867" s="45" t="s">
        <v>1598</v>
      </c>
      <c r="B867" s="46">
        <f t="shared" si="21"/>
        <v>9</v>
      </c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6">
        <f>4/IF(Общие_или_заединицу="Общие трудозатраты",1,2)</f>
        <v>2</v>
      </c>
      <c r="AB867" s="47"/>
      <c r="AC867" s="47"/>
      <c r="AD867" s="47"/>
      <c r="AE867" s="47"/>
      <c r="AF867" s="47"/>
      <c r="AG867" s="47"/>
      <c r="AH867" s="47"/>
      <c r="AI867" s="47"/>
      <c r="AJ867" s="47"/>
      <c r="AK867" s="47"/>
      <c r="AL867" s="47"/>
      <c r="AM867" s="47"/>
      <c r="AN867" s="47"/>
      <c r="AO867" s="47"/>
      <c r="AP867" s="47"/>
      <c r="AQ867" s="46">
        <f>10/IF(Общие_или_заединицу="Общие трудозатраты",1,2)</f>
        <v>5</v>
      </c>
      <c r="AR867" s="47"/>
      <c r="AS867" s="47"/>
      <c r="AT867" s="47"/>
      <c r="AU867" s="47"/>
      <c r="AV867" s="47"/>
      <c r="AW867" s="47"/>
      <c r="AX867" s="47"/>
      <c r="AY867" s="47"/>
      <c r="AZ867" s="47"/>
      <c r="BA867" s="47"/>
      <c r="BB867" s="47"/>
      <c r="BC867" s="46">
        <f>4/IF(Общие_или_заединицу="Общие трудозатраты",1,2)</f>
        <v>2</v>
      </c>
    </row>
    <row r="868" spans="1:55" x14ac:dyDescent="0.25">
      <c r="A868" s="45" t="s">
        <v>1600</v>
      </c>
      <c r="B868" s="46">
        <f t="shared" si="21"/>
        <v>67</v>
      </c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6">
        <f>20/IF(Общие_или_заединицу="Общие трудозатраты",1,2)</f>
        <v>10</v>
      </c>
      <c r="U868" s="47"/>
      <c r="V868" s="47"/>
      <c r="W868" s="47"/>
      <c r="X868" s="46">
        <f>4/IF(Общие_или_заединицу="Общие трудозатраты",1,2)</f>
        <v>2</v>
      </c>
      <c r="Y868" s="47"/>
      <c r="Z868" s="47"/>
      <c r="AA868" s="47"/>
      <c r="AB868" s="47"/>
      <c r="AC868" s="47"/>
      <c r="AD868" s="47"/>
      <c r="AE868" s="47"/>
      <c r="AF868" s="47"/>
      <c r="AG868" s="47"/>
      <c r="AH868" s="47"/>
      <c r="AI868" s="47"/>
      <c r="AJ868" s="47"/>
      <c r="AK868" s="47"/>
      <c r="AL868" s="47"/>
      <c r="AM868" s="47"/>
      <c r="AN868" s="47"/>
      <c r="AO868" s="47"/>
      <c r="AP868" s="47"/>
      <c r="AQ868" s="47"/>
      <c r="AR868" s="47"/>
      <c r="AS868" s="47"/>
      <c r="AT868" s="47"/>
      <c r="AU868" s="47"/>
      <c r="AV868" s="46">
        <f>60/IF(Общие_или_заединицу="Общие трудозатраты",1,2)</f>
        <v>30</v>
      </c>
      <c r="AW868" s="47"/>
      <c r="AX868" s="47"/>
      <c r="AY868" s="47"/>
      <c r="AZ868" s="46">
        <f>50/IF(Общие_или_заединицу="Общие трудозатраты",1,2)</f>
        <v>25</v>
      </c>
      <c r="BA868" s="47"/>
      <c r="BB868" s="47"/>
      <c r="BC868" s="47"/>
    </row>
    <row r="869" spans="1:55" ht="22.5" x14ac:dyDescent="0.25">
      <c r="A869" s="45" t="s">
        <v>759</v>
      </c>
      <c r="B869" s="46">
        <f t="shared" si="21"/>
        <v>6</v>
      </c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6">
        <f>6/IF(Общие_или_заединицу="Общие трудозатраты",1,1)</f>
        <v>6</v>
      </c>
      <c r="R869" s="47"/>
      <c r="S869" s="47"/>
      <c r="T869" s="47"/>
      <c r="U869" s="47"/>
      <c r="V869" s="47"/>
      <c r="W869" s="47"/>
      <c r="X869" s="47"/>
      <c r="Y869" s="47"/>
      <c r="Z869" s="47"/>
      <c r="AA869" s="47"/>
      <c r="AB869" s="47"/>
      <c r="AC869" s="47"/>
      <c r="AD869" s="47"/>
      <c r="AE869" s="47"/>
      <c r="AF869" s="47"/>
      <c r="AG869" s="47"/>
      <c r="AH869" s="47"/>
      <c r="AI869" s="47"/>
      <c r="AJ869" s="47"/>
      <c r="AK869" s="47"/>
      <c r="AL869" s="47"/>
      <c r="AM869" s="47"/>
      <c r="AN869" s="47"/>
      <c r="AO869" s="47"/>
      <c r="AP869" s="47"/>
      <c r="AQ869" s="47"/>
      <c r="AR869" s="47"/>
      <c r="AS869" s="47"/>
      <c r="AT869" s="47"/>
      <c r="AU869" s="47"/>
      <c r="AV869" s="47"/>
      <c r="AW869" s="47"/>
      <c r="AX869" s="47"/>
      <c r="AY869" s="47"/>
      <c r="AZ869" s="47"/>
      <c r="BA869" s="47"/>
      <c r="BB869" s="47"/>
      <c r="BC869" s="47"/>
    </row>
    <row r="870" spans="1:55" x14ac:dyDescent="0.25">
      <c r="A870" s="45" t="s">
        <v>1601</v>
      </c>
      <c r="B870" s="46">
        <f t="shared" si="21"/>
        <v>107</v>
      </c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6">
        <f>20/IF(Общие_или_заединицу="Общие трудозатраты",1,2)</f>
        <v>10</v>
      </c>
      <c r="U870" s="47"/>
      <c r="V870" s="47"/>
      <c r="W870" s="47"/>
      <c r="X870" s="46">
        <f>4/IF(Общие_или_заединицу="Общие трудозатраты",1,2)</f>
        <v>2</v>
      </c>
      <c r="Y870" s="47"/>
      <c r="Z870" s="47"/>
      <c r="AA870" s="47"/>
      <c r="AB870" s="47"/>
      <c r="AC870" s="47"/>
      <c r="AD870" s="47"/>
      <c r="AE870" s="46">
        <f>20/IF(Общие_или_заединицу="Общие трудозатраты",1,2)</f>
        <v>10</v>
      </c>
      <c r="AF870" s="47"/>
      <c r="AG870" s="47"/>
      <c r="AH870" s="47"/>
      <c r="AI870" s="47"/>
      <c r="AJ870" s="47"/>
      <c r="AK870" s="47"/>
      <c r="AL870" s="47"/>
      <c r="AM870" s="47"/>
      <c r="AN870" s="47"/>
      <c r="AO870" s="47"/>
      <c r="AP870" s="47"/>
      <c r="AQ870" s="47"/>
      <c r="AR870" s="47"/>
      <c r="AS870" s="47"/>
      <c r="AT870" s="47"/>
      <c r="AU870" s="47"/>
      <c r="AV870" s="46">
        <f>90/IF(Общие_или_заединицу="Общие трудозатраты",1,2)</f>
        <v>45</v>
      </c>
      <c r="AW870" s="47"/>
      <c r="AX870" s="47"/>
      <c r="AY870" s="46">
        <f>20/IF(Общие_или_заединицу="Общие трудозатраты",1,2)</f>
        <v>10</v>
      </c>
      <c r="AZ870" s="46">
        <f>60/IF(Общие_или_заединицу="Общие трудозатраты",1,2)</f>
        <v>30</v>
      </c>
      <c r="BA870" s="47"/>
      <c r="BB870" s="47"/>
      <c r="BC870" s="47"/>
    </row>
    <row r="871" spans="1:55" x14ac:dyDescent="0.25">
      <c r="A871" s="45" t="s">
        <v>1562</v>
      </c>
      <c r="B871" s="46">
        <f t="shared" si="21"/>
        <v>170</v>
      </c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6">
        <f>10/IF(Общие_или_заединицу="Общие трудозатраты",1,1)</f>
        <v>10</v>
      </c>
      <c r="R871" s="47"/>
      <c r="S871" s="47"/>
      <c r="T871" s="47"/>
      <c r="U871" s="47"/>
      <c r="V871" s="47"/>
      <c r="W871" s="47"/>
      <c r="X871" s="47"/>
      <c r="Y871" s="47"/>
      <c r="Z871" s="47"/>
      <c r="AA871" s="47"/>
      <c r="AB871" s="47"/>
      <c r="AC871" s="47"/>
      <c r="AD871" s="47"/>
      <c r="AE871" s="47"/>
      <c r="AF871" s="47"/>
      <c r="AG871" s="47"/>
      <c r="AH871" s="46">
        <f>160/IF(Общие_или_заединицу="Общие трудозатраты",1,1)</f>
        <v>160</v>
      </c>
      <c r="AI871" s="47"/>
      <c r="AJ871" s="47"/>
      <c r="AK871" s="47"/>
      <c r="AL871" s="47"/>
      <c r="AM871" s="47"/>
      <c r="AN871" s="47"/>
      <c r="AO871" s="47"/>
      <c r="AP871" s="47"/>
      <c r="AQ871" s="47"/>
      <c r="AR871" s="47"/>
      <c r="AS871" s="47"/>
      <c r="AT871" s="47"/>
      <c r="AU871" s="47"/>
      <c r="AV871" s="47"/>
      <c r="AW871" s="47"/>
      <c r="AX871" s="47"/>
      <c r="AY871" s="47"/>
      <c r="AZ871" s="47"/>
      <c r="BA871" s="47"/>
      <c r="BB871" s="47"/>
      <c r="BC871" s="47"/>
    </row>
    <row r="872" spans="1:55" ht="22.5" x14ac:dyDescent="0.25">
      <c r="A872" s="45" t="s">
        <v>1563</v>
      </c>
      <c r="B872" s="46">
        <f t="shared" si="21"/>
        <v>120</v>
      </c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  <c r="AB872" s="47"/>
      <c r="AC872" s="47"/>
      <c r="AD872" s="47"/>
      <c r="AE872" s="47"/>
      <c r="AF872" s="47"/>
      <c r="AG872" s="47"/>
      <c r="AH872" s="46">
        <f>120/IF(Общие_или_заединицу="Общие трудозатраты",1,1)</f>
        <v>120</v>
      </c>
      <c r="AI872" s="47"/>
      <c r="AJ872" s="47"/>
      <c r="AK872" s="47"/>
      <c r="AL872" s="47"/>
      <c r="AM872" s="47"/>
      <c r="AN872" s="47"/>
      <c r="AO872" s="47"/>
      <c r="AP872" s="47"/>
      <c r="AQ872" s="47"/>
      <c r="AR872" s="47"/>
      <c r="AS872" s="47"/>
      <c r="AT872" s="47"/>
      <c r="AU872" s="47"/>
      <c r="AV872" s="47"/>
      <c r="AW872" s="47"/>
      <c r="AX872" s="47"/>
      <c r="AY872" s="47"/>
      <c r="AZ872" s="47"/>
      <c r="BA872" s="47"/>
      <c r="BB872" s="47"/>
      <c r="BC872" s="47"/>
    </row>
    <row r="873" spans="1:55" ht="22.5" x14ac:dyDescent="0.25">
      <c r="A873" s="45" t="s">
        <v>1607</v>
      </c>
      <c r="B873" s="46">
        <f t="shared" si="21"/>
        <v>1</v>
      </c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  <c r="AB873" s="47"/>
      <c r="AC873" s="47"/>
      <c r="AD873" s="47"/>
      <c r="AE873" s="47"/>
      <c r="AF873" s="47"/>
      <c r="AG873" s="47"/>
      <c r="AH873" s="47"/>
      <c r="AI873" s="47"/>
      <c r="AJ873" s="47"/>
      <c r="AK873" s="47"/>
      <c r="AL873" s="47"/>
      <c r="AM873" s="47"/>
      <c r="AN873" s="47"/>
      <c r="AO873" s="47"/>
      <c r="AP873" s="47"/>
      <c r="AQ873" s="47"/>
      <c r="AR873" s="47"/>
      <c r="AS873" s="46">
        <f>1/IF(Общие_или_заединицу="Общие трудозатраты",1,1)</f>
        <v>1</v>
      </c>
      <c r="AT873" s="47"/>
      <c r="AU873" s="47"/>
      <c r="AV873" s="47"/>
      <c r="AW873" s="47"/>
      <c r="AX873" s="47"/>
      <c r="AY873" s="47"/>
      <c r="AZ873" s="47"/>
      <c r="BA873" s="47"/>
      <c r="BB873" s="47"/>
      <c r="BC873" s="47"/>
    </row>
    <row r="874" spans="1:55" x14ac:dyDescent="0.25">
      <c r="A874" s="45" t="s">
        <v>1565</v>
      </c>
      <c r="B874" s="46">
        <f t="shared" si="21"/>
        <v>1</v>
      </c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  <c r="AB874" s="47"/>
      <c r="AC874" s="47"/>
      <c r="AD874" s="47"/>
      <c r="AE874" s="47"/>
      <c r="AF874" s="47"/>
      <c r="AG874" s="47"/>
      <c r="AH874" s="47"/>
      <c r="AI874" s="46">
        <f>1/IF(Общие_или_заединицу="Общие трудозатраты",1,1)</f>
        <v>1</v>
      </c>
      <c r="AJ874" s="47"/>
      <c r="AK874" s="47"/>
      <c r="AL874" s="47"/>
      <c r="AM874" s="47"/>
      <c r="AN874" s="47"/>
      <c r="AO874" s="47"/>
      <c r="AP874" s="47"/>
      <c r="AQ874" s="47"/>
      <c r="AR874" s="47"/>
      <c r="AS874" s="47"/>
      <c r="AT874" s="47"/>
      <c r="AU874" s="47"/>
      <c r="AV874" s="47"/>
      <c r="AW874" s="47"/>
      <c r="AX874" s="47"/>
      <c r="AY874" s="47"/>
      <c r="AZ874" s="47"/>
      <c r="BA874" s="47"/>
      <c r="BB874" s="47"/>
      <c r="BC874" s="47"/>
    </row>
    <row r="875" spans="1:55" x14ac:dyDescent="0.25">
      <c r="A875" s="45" t="s">
        <v>1566</v>
      </c>
      <c r="B875" s="46">
        <f t="shared" si="21"/>
        <v>1</v>
      </c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  <c r="AB875" s="47"/>
      <c r="AC875" s="47"/>
      <c r="AD875" s="47"/>
      <c r="AE875" s="47"/>
      <c r="AF875" s="47"/>
      <c r="AG875" s="47"/>
      <c r="AH875" s="47"/>
      <c r="AI875" s="46">
        <f>1/IF(Общие_или_заединицу="Общие трудозатраты",1,1)</f>
        <v>1</v>
      </c>
      <c r="AJ875" s="47"/>
      <c r="AK875" s="47"/>
      <c r="AL875" s="47"/>
      <c r="AM875" s="47"/>
      <c r="AN875" s="47"/>
      <c r="AO875" s="47"/>
      <c r="AP875" s="47"/>
      <c r="AQ875" s="47"/>
      <c r="AR875" s="47"/>
      <c r="AS875" s="47"/>
      <c r="AT875" s="47"/>
      <c r="AU875" s="47"/>
      <c r="AV875" s="47"/>
      <c r="AW875" s="47"/>
      <c r="AX875" s="47"/>
      <c r="AY875" s="47"/>
      <c r="AZ875" s="47"/>
      <c r="BA875" s="47"/>
      <c r="BB875" s="47"/>
      <c r="BC875" s="47"/>
    </row>
    <row r="876" spans="1:55" x14ac:dyDescent="0.25">
      <c r="A876" s="45" t="s">
        <v>1611</v>
      </c>
      <c r="B876" s="46">
        <f t="shared" si="21"/>
        <v>1</v>
      </c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  <c r="AB876" s="47"/>
      <c r="AC876" s="47"/>
      <c r="AD876" s="47"/>
      <c r="AE876" s="47"/>
      <c r="AF876" s="47"/>
      <c r="AG876" s="47"/>
      <c r="AH876" s="47"/>
      <c r="AI876" s="47"/>
      <c r="AJ876" s="47"/>
      <c r="AK876" s="47"/>
      <c r="AL876" s="47"/>
      <c r="AM876" s="47"/>
      <c r="AN876" s="47"/>
      <c r="AO876" s="47"/>
      <c r="AP876" s="47"/>
      <c r="AQ876" s="47"/>
      <c r="AR876" s="47"/>
      <c r="AS876" s="46">
        <f>1/IF(Общие_или_заединицу="Общие трудозатраты",1,1)</f>
        <v>1</v>
      </c>
      <c r="AT876" s="47"/>
      <c r="AU876" s="47"/>
      <c r="AV876" s="47"/>
      <c r="AW876" s="47"/>
      <c r="AX876" s="47"/>
      <c r="AY876" s="47"/>
      <c r="AZ876" s="47"/>
      <c r="BA876" s="47"/>
      <c r="BB876" s="47"/>
      <c r="BC876" s="47"/>
    </row>
    <row r="877" spans="1:55" x14ac:dyDescent="0.25">
      <c r="A877" s="45" t="s">
        <v>1567</v>
      </c>
      <c r="B877" s="48">
        <f t="shared" si="21"/>
        <v>2350</v>
      </c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  <c r="AB877" s="47"/>
      <c r="AC877" s="47"/>
      <c r="AD877" s="47"/>
      <c r="AE877" s="47"/>
      <c r="AF877" s="47"/>
      <c r="AG877" s="47"/>
      <c r="AH877" s="47"/>
      <c r="AI877" s="48">
        <f>9400/IF(Общие_или_заединицу="Общие трудозатраты",1,4)</f>
        <v>2350</v>
      </c>
      <c r="AJ877" s="47"/>
      <c r="AK877" s="47"/>
      <c r="AL877" s="47"/>
      <c r="AM877" s="47"/>
      <c r="AN877" s="47"/>
      <c r="AO877" s="47"/>
      <c r="AP877" s="47"/>
      <c r="AQ877" s="47"/>
      <c r="AR877" s="47"/>
      <c r="AS877" s="47"/>
      <c r="AT877" s="47"/>
      <c r="AU877" s="47"/>
      <c r="AV877" s="47"/>
      <c r="AW877" s="47"/>
      <c r="AX877" s="47"/>
      <c r="AY877" s="47"/>
      <c r="AZ877" s="47"/>
      <c r="BA877" s="47"/>
      <c r="BB877" s="47"/>
      <c r="BC877" s="47"/>
    </row>
    <row r="878" spans="1:55" ht="22.5" x14ac:dyDescent="0.25">
      <c r="A878" s="45" t="s">
        <v>1618</v>
      </c>
      <c r="B878" s="46">
        <f t="shared" si="21"/>
        <v>100</v>
      </c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  <c r="AB878" s="47"/>
      <c r="AC878" s="47"/>
      <c r="AD878" s="47"/>
      <c r="AE878" s="47"/>
      <c r="AF878" s="47"/>
      <c r="AG878" s="47"/>
      <c r="AH878" s="47"/>
      <c r="AI878" s="47"/>
      <c r="AJ878" s="47"/>
      <c r="AK878" s="47"/>
      <c r="AL878" s="47"/>
      <c r="AM878" s="47"/>
      <c r="AN878" s="47"/>
      <c r="AO878" s="47"/>
      <c r="AP878" s="47"/>
      <c r="AQ878" s="47"/>
      <c r="AR878" s="47"/>
      <c r="AS878" s="46">
        <f>400/IF(Общие_или_заединицу="Общие трудозатраты",1,4)</f>
        <v>100</v>
      </c>
      <c r="AT878" s="47"/>
      <c r="AU878" s="47"/>
      <c r="AV878" s="47"/>
      <c r="AW878" s="47"/>
      <c r="AX878" s="47"/>
      <c r="AY878" s="47"/>
      <c r="AZ878" s="47"/>
      <c r="BA878" s="47"/>
      <c r="BB878" s="47"/>
      <c r="BC878" s="47"/>
    </row>
    <row r="879" spans="1:55" x14ac:dyDescent="0.25">
      <c r="A879" s="45" t="s">
        <v>1569</v>
      </c>
      <c r="B879" s="48">
        <f t="shared" si="21"/>
        <v>580</v>
      </c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  <c r="AB879" s="47"/>
      <c r="AC879" s="47"/>
      <c r="AD879" s="47"/>
      <c r="AE879" s="47"/>
      <c r="AF879" s="47"/>
      <c r="AG879" s="47"/>
      <c r="AH879" s="47"/>
      <c r="AI879" s="48">
        <f>1160/IF(Общие_или_заединицу="Общие трудозатраты",1,2)</f>
        <v>580</v>
      </c>
      <c r="AJ879" s="47"/>
      <c r="AK879" s="47"/>
      <c r="AL879" s="47"/>
      <c r="AM879" s="47"/>
      <c r="AN879" s="47"/>
      <c r="AO879" s="47"/>
      <c r="AP879" s="47"/>
      <c r="AQ879" s="47"/>
      <c r="AR879" s="47"/>
      <c r="AS879" s="47"/>
      <c r="AT879" s="47"/>
      <c r="AU879" s="47"/>
      <c r="AV879" s="47"/>
      <c r="AW879" s="47"/>
      <c r="AX879" s="47"/>
      <c r="AY879" s="47"/>
      <c r="AZ879" s="47"/>
      <c r="BA879" s="47"/>
      <c r="BB879" s="47"/>
      <c r="BC879" s="47"/>
    </row>
    <row r="880" spans="1:55" ht="22.5" x14ac:dyDescent="0.25">
      <c r="A880" s="45" t="s">
        <v>1620</v>
      </c>
      <c r="B880" s="46">
        <f t="shared" si="21"/>
        <v>120</v>
      </c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  <c r="AB880" s="47"/>
      <c r="AC880" s="47"/>
      <c r="AD880" s="47"/>
      <c r="AE880" s="47"/>
      <c r="AF880" s="47"/>
      <c r="AG880" s="47"/>
      <c r="AH880" s="47"/>
      <c r="AI880" s="47"/>
      <c r="AJ880" s="47"/>
      <c r="AK880" s="47"/>
      <c r="AL880" s="47"/>
      <c r="AM880" s="47"/>
      <c r="AN880" s="47"/>
      <c r="AO880" s="47"/>
      <c r="AP880" s="47"/>
      <c r="AQ880" s="47"/>
      <c r="AR880" s="47"/>
      <c r="AS880" s="46">
        <f>240/IF(Общие_или_заединицу="Общие трудозатраты",1,2)</f>
        <v>120</v>
      </c>
      <c r="AT880" s="47"/>
      <c r="AU880" s="47"/>
      <c r="AV880" s="47"/>
      <c r="AW880" s="47"/>
      <c r="AX880" s="47"/>
      <c r="AY880" s="47"/>
      <c r="AZ880" s="47"/>
      <c r="BA880" s="47"/>
      <c r="BB880" s="47"/>
      <c r="BC880" s="47"/>
    </row>
    <row r="881" spans="1:55" x14ac:dyDescent="0.25">
      <c r="A881" s="45" t="s">
        <v>874</v>
      </c>
      <c r="B881" s="46">
        <f t="shared" si="21"/>
        <v>7</v>
      </c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6">
        <f>8/IF(Общие_или_заединицу="Общие трудозатраты",1,2)</f>
        <v>4</v>
      </c>
      <c r="O881" s="47"/>
      <c r="P881" s="47"/>
      <c r="Q881" s="47"/>
      <c r="R881" s="47"/>
      <c r="S881" s="47"/>
      <c r="T881" s="46">
        <f>6/IF(Общие_или_заединицу="Общие трудозатраты",1,2)</f>
        <v>3</v>
      </c>
      <c r="U881" s="47"/>
      <c r="V881" s="47"/>
      <c r="W881" s="47"/>
      <c r="X881" s="47"/>
      <c r="Y881" s="47"/>
      <c r="Z881" s="47"/>
      <c r="AA881" s="47"/>
      <c r="AB881" s="47"/>
      <c r="AC881" s="47"/>
      <c r="AD881" s="47"/>
      <c r="AE881" s="47"/>
      <c r="AF881" s="47"/>
      <c r="AG881" s="47"/>
      <c r="AH881" s="47"/>
      <c r="AI881" s="47"/>
      <c r="AJ881" s="47"/>
      <c r="AK881" s="47"/>
      <c r="AL881" s="47"/>
      <c r="AM881" s="47"/>
      <c r="AN881" s="47"/>
      <c r="AO881" s="47"/>
      <c r="AP881" s="47"/>
      <c r="AQ881" s="47"/>
      <c r="AR881" s="47"/>
      <c r="AS881" s="47"/>
      <c r="AT881" s="47"/>
      <c r="AU881" s="47"/>
      <c r="AV881" s="47"/>
      <c r="AW881" s="47"/>
      <c r="AX881" s="47"/>
      <c r="AY881" s="47"/>
      <c r="AZ881" s="47"/>
      <c r="BA881" s="47"/>
      <c r="BB881" s="47"/>
      <c r="BC881" s="47"/>
    </row>
    <row r="882" spans="1:55" x14ac:dyDescent="0.25">
      <c r="A882" s="45" t="s">
        <v>1240</v>
      </c>
      <c r="B882" s="46">
        <f t="shared" si="21"/>
        <v>5.67</v>
      </c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6">
        <f>40/IF(Общие_или_заединицу="Общие трудозатраты",1,8)</f>
        <v>5</v>
      </c>
      <c r="O882" s="47"/>
      <c r="P882" s="47"/>
      <c r="Q882" s="47"/>
      <c r="R882" s="47"/>
      <c r="S882" s="47"/>
      <c r="T882" s="46">
        <f>5.36/IF(Общие_или_заединицу="Общие трудозатраты",1,8)</f>
        <v>0.67</v>
      </c>
      <c r="U882" s="47"/>
      <c r="V882" s="47"/>
      <c r="W882" s="47"/>
      <c r="X882" s="47"/>
      <c r="Y882" s="47"/>
      <c r="Z882" s="47"/>
      <c r="AA882" s="47"/>
      <c r="AB882" s="47"/>
      <c r="AC882" s="47"/>
      <c r="AD882" s="47"/>
      <c r="AE882" s="47"/>
      <c r="AF882" s="47"/>
      <c r="AG882" s="47"/>
      <c r="AH882" s="47"/>
      <c r="AI882" s="47"/>
      <c r="AJ882" s="47"/>
      <c r="AK882" s="47"/>
      <c r="AL882" s="47"/>
      <c r="AM882" s="47"/>
      <c r="AN882" s="47"/>
      <c r="AO882" s="47"/>
      <c r="AP882" s="47"/>
      <c r="AQ882" s="47"/>
      <c r="AR882" s="47"/>
      <c r="AS882" s="47"/>
      <c r="AT882" s="47"/>
      <c r="AU882" s="47"/>
      <c r="AV882" s="47"/>
      <c r="AW882" s="47"/>
      <c r="AX882" s="47"/>
      <c r="AY882" s="47"/>
      <c r="AZ882" s="47"/>
      <c r="BA882" s="47"/>
      <c r="BB882" s="47"/>
      <c r="BC882" s="47"/>
    </row>
    <row r="883" spans="1:55" x14ac:dyDescent="0.25">
      <c r="A883" s="45" t="s">
        <v>705</v>
      </c>
      <c r="B883" s="46">
        <f t="shared" si="21"/>
        <v>5.5</v>
      </c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6">
        <f>76/IF(Общие_или_заединицу="Общие трудозатраты",1,19)</f>
        <v>4</v>
      </c>
      <c r="O883" s="47"/>
      <c r="P883" s="47"/>
      <c r="Q883" s="47"/>
      <c r="R883" s="47"/>
      <c r="S883" s="47"/>
      <c r="T883" s="46">
        <f>28.5/IF(Общие_или_заединицу="Общие трудозатраты",1,19)</f>
        <v>1.5</v>
      </c>
      <c r="U883" s="47"/>
      <c r="V883" s="47"/>
      <c r="W883" s="47"/>
      <c r="X883" s="47"/>
      <c r="Y883" s="47"/>
      <c r="Z883" s="47"/>
      <c r="AA883" s="47"/>
      <c r="AB883" s="47"/>
      <c r="AC883" s="47"/>
      <c r="AD883" s="47"/>
      <c r="AE883" s="47"/>
      <c r="AF883" s="47"/>
      <c r="AG883" s="47"/>
      <c r="AH883" s="47"/>
      <c r="AI883" s="47"/>
      <c r="AJ883" s="47"/>
      <c r="AK883" s="47"/>
      <c r="AL883" s="47"/>
      <c r="AM883" s="47"/>
      <c r="AN883" s="47"/>
      <c r="AO883" s="47"/>
      <c r="AP883" s="47"/>
      <c r="AQ883" s="47"/>
      <c r="AR883" s="47"/>
      <c r="AS883" s="47"/>
      <c r="AT883" s="47"/>
      <c r="AU883" s="47"/>
      <c r="AV883" s="47"/>
      <c r="AW883" s="47"/>
      <c r="AX883" s="47"/>
      <c r="AY883" s="47"/>
      <c r="AZ883" s="47"/>
      <c r="BA883" s="47"/>
      <c r="BB883" s="47"/>
      <c r="BC883" s="47"/>
    </row>
    <row r="884" spans="1:55" x14ac:dyDescent="0.25">
      <c r="A884" s="45" t="s">
        <v>942</v>
      </c>
      <c r="B884" s="46">
        <f t="shared" si="21"/>
        <v>4.9000000000000004</v>
      </c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6">
        <f>4/IF(Общие_или_заединицу="Общие трудозатраты",1,1)</f>
        <v>4</v>
      </c>
      <c r="O884" s="47"/>
      <c r="P884" s="47"/>
      <c r="Q884" s="47"/>
      <c r="R884" s="47"/>
      <c r="S884" s="47"/>
      <c r="T884" s="46">
        <f>0.9/IF(Общие_или_заединицу="Общие трудозатраты",1,1)</f>
        <v>0.9</v>
      </c>
      <c r="U884" s="47"/>
      <c r="V884" s="47"/>
      <c r="W884" s="47"/>
      <c r="X884" s="47"/>
      <c r="Y884" s="47"/>
      <c r="Z884" s="47"/>
      <c r="AA884" s="47"/>
      <c r="AB884" s="47"/>
      <c r="AC884" s="47"/>
      <c r="AD884" s="47"/>
      <c r="AE884" s="47"/>
      <c r="AF884" s="47"/>
      <c r="AG884" s="47"/>
      <c r="AH884" s="47"/>
      <c r="AI884" s="47"/>
      <c r="AJ884" s="47"/>
      <c r="AK884" s="47"/>
      <c r="AL884" s="47"/>
      <c r="AM884" s="47"/>
      <c r="AN884" s="47"/>
      <c r="AO884" s="47"/>
      <c r="AP884" s="47"/>
      <c r="AQ884" s="47"/>
      <c r="AR884" s="47"/>
      <c r="AS884" s="47"/>
      <c r="AT884" s="47"/>
      <c r="AU884" s="47"/>
      <c r="AV884" s="47"/>
      <c r="AW884" s="47"/>
      <c r="AX884" s="47"/>
      <c r="AY884" s="47"/>
      <c r="AZ884" s="47"/>
      <c r="BA884" s="47"/>
      <c r="BB884" s="47"/>
      <c r="BC884" s="47"/>
    </row>
    <row r="885" spans="1:55" x14ac:dyDescent="0.25">
      <c r="A885" s="45" t="s">
        <v>944</v>
      </c>
      <c r="B885" s="46">
        <f t="shared" si="21"/>
        <v>5.6</v>
      </c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6">
        <f>5/IF(Общие_или_заединицу="Общие трудозатраты",1,1)</f>
        <v>5</v>
      </c>
      <c r="O885" s="47"/>
      <c r="P885" s="47"/>
      <c r="Q885" s="47"/>
      <c r="R885" s="47"/>
      <c r="S885" s="47"/>
      <c r="T885" s="46">
        <f>0.6/IF(Общие_или_заединицу="Общие трудозатраты",1,1)</f>
        <v>0.6</v>
      </c>
      <c r="U885" s="47"/>
      <c r="V885" s="47"/>
      <c r="W885" s="47"/>
      <c r="X885" s="47"/>
      <c r="Y885" s="47"/>
      <c r="Z885" s="47"/>
      <c r="AA885" s="47"/>
      <c r="AB885" s="47"/>
      <c r="AC885" s="47"/>
      <c r="AD885" s="47"/>
      <c r="AE885" s="47"/>
      <c r="AF885" s="47"/>
      <c r="AG885" s="47"/>
      <c r="AH885" s="47"/>
      <c r="AI885" s="47"/>
      <c r="AJ885" s="47"/>
      <c r="AK885" s="47"/>
      <c r="AL885" s="47"/>
      <c r="AM885" s="47"/>
      <c r="AN885" s="47"/>
      <c r="AO885" s="47"/>
      <c r="AP885" s="47"/>
      <c r="AQ885" s="47"/>
      <c r="AR885" s="47"/>
      <c r="AS885" s="47"/>
      <c r="AT885" s="47"/>
      <c r="AU885" s="47"/>
      <c r="AV885" s="47"/>
      <c r="AW885" s="47"/>
      <c r="AX885" s="47"/>
      <c r="AY885" s="47"/>
      <c r="AZ885" s="47"/>
      <c r="BA885" s="47"/>
      <c r="BB885" s="47"/>
      <c r="BC885" s="47"/>
    </row>
  </sheetData>
  <mergeCells count="3">
    <mergeCell ref="E2:L2"/>
    <mergeCell ref="M2:T2"/>
    <mergeCell ref="X1:AA1"/>
  </mergeCells>
  <dataValidations count="2">
    <dataValidation type="list" showInputMessage="1" showErrorMessage="1" sqref="E2">
      <formula1>"Общие трудозатраты,Трудозатраты на единицу"</formula1>
    </dataValidation>
    <dataValidation type="list" showInputMessage="1" showErrorMessage="1" sqref="M2">
      <formula1>"Стандартная пробивная,Пробивная по ударам"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9</vt:i4>
      </vt:variant>
    </vt:vector>
  </HeadingPairs>
  <TitlesOfParts>
    <vt:vector size="14" baseType="lpstr">
      <vt:lpstr>Расчет</vt:lpstr>
      <vt:lpstr>Электрика (спец.расчет)</vt:lpstr>
      <vt:lpstr>Покупные_изделия</vt:lpstr>
      <vt:lpstr>Структура</vt:lpstr>
      <vt:lpstr>Трудозатраты</vt:lpstr>
      <vt:lpstr>k_ru_dol</vt:lpstr>
      <vt:lpstr>k_ru_evro</vt:lpstr>
      <vt:lpstr>k_ru_yuan</vt:lpstr>
      <vt:lpstr>дата_расчета</vt:lpstr>
      <vt:lpstr>запас_труд</vt:lpstr>
      <vt:lpstr>наценка_покупное</vt:lpstr>
      <vt:lpstr>Трудозатраты!Общие_или_заединицу</vt:lpstr>
      <vt:lpstr>Трудозатраты!Пробивка</vt:lpstr>
      <vt:lpstr>стоимость_трудочаса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307</dc:creator>
  <cp:lastModifiedBy>307</cp:lastModifiedBy>
  <dcterms:created xsi:type="dcterms:W3CDTF">2019-12-25T13:24:07Z</dcterms:created>
  <dcterms:modified xsi:type="dcterms:W3CDTF">2021-07-13T13:33:15Z</dcterms:modified>
</cp:coreProperties>
</file>