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om/Desktop/"/>
    </mc:Choice>
  </mc:AlternateContent>
  <bookViews>
    <workbookView xWindow="0" yWindow="460" windowWidth="16320" windowHeight="934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90" i="1"/>
  <c r="H109" i="1"/>
  <c r="G109" i="1"/>
  <c r="L109" i="1"/>
  <c r="K109" i="1"/>
  <c r="J109" i="1"/>
  <c r="I109" i="1"/>
  <c r="L138" i="1"/>
  <c r="K138" i="1"/>
  <c r="J138" i="1"/>
  <c r="I138" i="1"/>
  <c r="H138" i="1"/>
  <c r="G138" i="1"/>
  <c r="F67" i="1"/>
  <c r="G72" i="1"/>
  <c r="H72" i="1"/>
  <c r="G67" i="1"/>
  <c r="H67" i="1"/>
  <c r="I67" i="1"/>
  <c r="F32" i="1"/>
  <c r="D32" i="1"/>
  <c r="E32" i="1"/>
  <c r="G35" i="1"/>
  <c r="F130" i="1"/>
  <c r="E130" i="1"/>
  <c r="L134" i="1"/>
  <c r="K134" i="1"/>
  <c r="J134" i="1"/>
  <c r="I134" i="1"/>
  <c r="H134" i="1"/>
  <c r="L132" i="1"/>
  <c r="L139" i="1"/>
  <c r="K132" i="1"/>
  <c r="J132" i="1"/>
  <c r="J139" i="1"/>
  <c r="I132" i="1"/>
  <c r="H132" i="1"/>
  <c r="H139" i="1"/>
  <c r="L129" i="1"/>
  <c r="K129" i="1"/>
  <c r="J129" i="1"/>
  <c r="I129" i="1"/>
  <c r="H129" i="1"/>
  <c r="L128" i="1"/>
  <c r="K128" i="1"/>
  <c r="J128" i="1"/>
  <c r="I128" i="1"/>
  <c r="H128" i="1"/>
  <c r="L114" i="1"/>
  <c r="K114" i="1"/>
  <c r="J114" i="1"/>
  <c r="I114" i="1"/>
  <c r="H114" i="1"/>
  <c r="G128" i="1"/>
  <c r="G114" i="1"/>
  <c r="G134" i="1"/>
  <c r="G87" i="1"/>
  <c r="H87" i="1"/>
  <c r="I87" i="1"/>
  <c r="J87" i="1"/>
  <c r="K87" i="1"/>
  <c r="L87" i="1"/>
  <c r="G132" i="1"/>
  <c r="G129" i="1"/>
  <c r="L35" i="1"/>
  <c r="K35" i="1"/>
  <c r="J35" i="1"/>
  <c r="I35" i="1"/>
  <c r="H35" i="1"/>
  <c r="E35" i="1"/>
  <c r="F35" i="1"/>
  <c r="D35" i="1"/>
  <c r="E67" i="1"/>
  <c r="C67" i="1"/>
  <c r="F56" i="1"/>
  <c r="E56" i="1"/>
  <c r="D56" i="1"/>
  <c r="F30" i="1"/>
  <c r="D30" i="1"/>
  <c r="C30" i="1"/>
  <c r="F29" i="1"/>
  <c r="E29" i="1"/>
  <c r="D29" i="1"/>
  <c r="C29" i="1"/>
  <c r="G64" i="1"/>
  <c r="H64" i="1"/>
  <c r="I64" i="1"/>
  <c r="J64" i="1"/>
  <c r="K64" i="1"/>
  <c r="L64" i="1"/>
  <c r="D98" i="1"/>
  <c r="E98" i="1"/>
  <c r="G113" i="1"/>
  <c r="G115" i="1"/>
  <c r="I139" i="1"/>
  <c r="I72" i="1"/>
  <c r="J72" i="1"/>
  <c r="J115" i="1"/>
  <c r="H115" i="1"/>
  <c r="K139" i="1"/>
  <c r="J67" i="1"/>
  <c r="K67" i="1"/>
  <c r="K113" i="1"/>
  <c r="I113" i="1"/>
  <c r="H113" i="1"/>
  <c r="K72" i="1"/>
  <c r="I115" i="1"/>
  <c r="J113" i="1"/>
  <c r="L72" i="1"/>
  <c r="L115" i="1"/>
  <c r="K115" i="1"/>
  <c r="L67" i="1"/>
  <c r="L113" i="1"/>
  <c r="G139" i="1"/>
  <c r="D104" i="1"/>
  <c r="C104" i="1"/>
  <c r="D101" i="1"/>
  <c r="E104" i="1"/>
  <c r="E101" i="1"/>
  <c r="F142" i="1"/>
  <c r="E142" i="1"/>
  <c r="E139" i="1"/>
  <c r="F139" i="1"/>
  <c r="F112" i="1"/>
  <c r="D111" i="1"/>
  <c r="C111" i="1"/>
  <c r="E111" i="1"/>
  <c r="E121" i="1"/>
  <c r="F111" i="1"/>
  <c r="F121" i="1"/>
  <c r="F98" i="1"/>
  <c r="G95" i="1"/>
  <c r="G97" i="1"/>
  <c r="G111" i="1"/>
  <c r="F95" i="1"/>
  <c r="E95" i="1"/>
  <c r="C98" i="1"/>
  <c r="D95" i="1"/>
  <c r="D24" i="1"/>
  <c r="C33" i="1"/>
  <c r="C31" i="1"/>
  <c r="F20" i="1"/>
  <c r="E20" i="1"/>
  <c r="D20" i="1"/>
  <c r="D18" i="1"/>
  <c r="D14" i="1"/>
  <c r="C11" i="1"/>
  <c r="F11" i="1"/>
  <c r="G11" i="1"/>
  <c r="E11" i="1"/>
  <c r="D11" i="1"/>
  <c r="E18" i="1"/>
  <c r="E16" i="1"/>
  <c r="D16" i="1"/>
  <c r="F16" i="1"/>
  <c r="E14" i="1"/>
  <c r="F14" i="1"/>
  <c r="F18" i="1"/>
  <c r="E33" i="1"/>
  <c r="D33" i="1"/>
  <c r="F33" i="1"/>
  <c r="E31" i="1"/>
  <c r="D31" i="1"/>
  <c r="F31" i="1"/>
  <c r="E76" i="1"/>
  <c r="F89" i="1"/>
  <c r="E89" i="1"/>
  <c r="D89" i="1"/>
  <c r="C89" i="1"/>
  <c r="F76" i="1"/>
  <c r="F83" i="1"/>
  <c r="E83" i="1"/>
  <c r="D76" i="1"/>
  <c r="D83" i="1"/>
  <c r="C76" i="1"/>
  <c r="C83" i="1"/>
  <c r="F62" i="1"/>
  <c r="F69" i="1"/>
  <c r="E62" i="1"/>
  <c r="E69" i="1"/>
  <c r="D62" i="1"/>
  <c r="D69" i="1"/>
  <c r="C62" i="1"/>
  <c r="C69" i="1"/>
  <c r="C45" i="1"/>
  <c r="C40" i="1"/>
  <c r="C23" i="1"/>
  <c r="C22" i="1"/>
  <c r="E23" i="1"/>
  <c r="D23" i="1"/>
  <c r="E22" i="1"/>
  <c r="D22" i="1"/>
  <c r="F23" i="1"/>
  <c r="F22" i="1"/>
  <c r="D45" i="1"/>
  <c r="D40" i="1"/>
  <c r="D21" i="1"/>
  <c r="E45" i="1"/>
  <c r="F45" i="1"/>
  <c r="E40" i="1"/>
  <c r="E21" i="1"/>
  <c r="F40" i="1"/>
  <c r="F21" i="1"/>
  <c r="F91" i="1"/>
  <c r="C90" i="1"/>
  <c r="E90" i="1"/>
  <c r="D90" i="1"/>
  <c r="F90" i="1"/>
  <c r="E25" i="1"/>
  <c r="E102" i="1"/>
  <c r="E30" i="1"/>
  <c r="E24" i="1"/>
  <c r="F24" i="1"/>
  <c r="G38" i="1"/>
  <c r="H11" i="1"/>
  <c r="E141" i="1"/>
  <c r="E143" i="1"/>
  <c r="F141" i="1"/>
  <c r="F143" i="1"/>
  <c r="G142" i="1"/>
  <c r="E12" i="1"/>
  <c r="C95" i="1"/>
  <c r="F101" i="1"/>
  <c r="C46" i="1"/>
  <c r="C49" i="1"/>
  <c r="C51" i="1"/>
  <c r="D12" i="1"/>
  <c r="F12" i="1"/>
  <c r="C21" i="1"/>
  <c r="E91" i="1"/>
  <c r="D46" i="1"/>
  <c r="D49" i="1"/>
  <c r="E46" i="1"/>
  <c r="E49" i="1"/>
  <c r="G56" i="1"/>
  <c r="G98" i="1"/>
  <c r="H38" i="1"/>
  <c r="H56" i="1"/>
  <c r="I11" i="1"/>
  <c r="G41" i="1"/>
  <c r="G40" i="1"/>
  <c r="G42" i="1"/>
  <c r="G101" i="1"/>
  <c r="G103" i="1"/>
  <c r="G44" i="1"/>
  <c r="F25" i="1"/>
  <c r="C24" i="1"/>
  <c r="D26" i="1"/>
  <c r="D51" i="1"/>
  <c r="E51" i="1"/>
  <c r="E26" i="1"/>
  <c r="G96" i="1"/>
  <c r="G124" i="1"/>
  <c r="G117" i="1"/>
  <c r="H117" i="1"/>
  <c r="G112" i="1"/>
  <c r="H98" i="1"/>
  <c r="H65" i="1"/>
  <c r="G102" i="1"/>
  <c r="G104" i="1"/>
  <c r="G45" i="1"/>
  <c r="G46" i="1"/>
  <c r="G49" i="1"/>
  <c r="H41" i="1"/>
  <c r="H42" i="1"/>
  <c r="H40" i="1"/>
  <c r="G39" i="1"/>
  <c r="J11" i="1"/>
  <c r="I38" i="1"/>
  <c r="I56" i="1"/>
  <c r="G57" i="1"/>
  <c r="G71" i="1"/>
  <c r="I117" i="1"/>
  <c r="G123" i="1"/>
  <c r="G130" i="1"/>
  <c r="I98" i="1"/>
  <c r="K11" i="1"/>
  <c r="J38" i="1"/>
  <c r="I42" i="1"/>
  <c r="I40" i="1"/>
  <c r="I41" i="1"/>
  <c r="G50" i="1"/>
  <c r="G118" i="1"/>
  <c r="G76" i="1"/>
  <c r="G83" i="1"/>
  <c r="G108" i="1"/>
  <c r="G120" i="1"/>
  <c r="J56" i="1"/>
  <c r="G119" i="1"/>
  <c r="G51" i="1"/>
  <c r="G107" i="1"/>
  <c r="J98" i="1"/>
  <c r="J41" i="1"/>
  <c r="J42" i="1"/>
  <c r="J40" i="1"/>
  <c r="L11" i="1"/>
  <c r="L38" i="1"/>
  <c r="L56" i="1"/>
  <c r="K38" i="1"/>
  <c r="K56" i="1"/>
  <c r="G121" i="1"/>
  <c r="L117" i="1"/>
  <c r="K117" i="1"/>
  <c r="J117" i="1"/>
  <c r="G88" i="1"/>
  <c r="K98" i="1"/>
  <c r="L98" i="1"/>
  <c r="K42" i="1"/>
  <c r="K40" i="1"/>
  <c r="K41" i="1"/>
  <c r="G89" i="1"/>
  <c r="L41" i="1"/>
  <c r="L42" i="1"/>
  <c r="L40" i="1"/>
  <c r="G141" i="1"/>
  <c r="G143" i="1"/>
  <c r="G59" i="1"/>
  <c r="I95" i="1"/>
  <c r="I97" i="1"/>
  <c r="I111" i="1"/>
  <c r="G62" i="1"/>
  <c r="H142" i="1"/>
  <c r="I96" i="1"/>
  <c r="I124" i="1"/>
  <c r="I65" i="1"/>
  <c r="J95" i="1"/>
  <c r="J97" i="1"/>
  <c r="J111" i="1"/>
  <c r="J96" i="1"/>
  <c r="J124" i="1"/>
  <c r="J65" i="1"/>
  <c r="K95" i="1"/>
  <c r="K97" i="1"/>
  <c r="K111" i="1"/>
  <c r="F46" i="1"/>
  <c r="F49" i="1"/>
  <c r="F26" i="1"/>
  <c r="K96" i="1"/>
  <c r="K124" i="1"/>
  <c r="F51" i="1"/>
  <c r="J39" i="1"/>
  <c r="L39" i="1"/>
  <c r="H39" i="1"/>
  <c r="K39" i="1"/>
  <c r="I39" i="1"/>
  <c r="G66" i="1"/>
  <c r="K57" i="1"/>
  <c r="K71" i="1"/>
  <c r="L57" i="1"/>
  <c r="L71" i="1"/>
  <c r="L118" i="1"/>
  <c r="I57" i="1"/>
  <c r="I71" i="1"/>
  <c r="H57" i="1"/>
  <c r="H71" i="1"/>
  <c r="H118" i="1"/>
  <c r="J57" i="1"/>
  <c r="J71" i="1"/>
  <c r="J118" i="1"/>
  <c r="K65" i="1"/>
  <c r="H101" i="1"/>
  <c r="H103" i="1"/>
  <c r="H112" i="1"/>
  <c r="H76" i="1"/>
  <c r="H83" i="1"/>
  <c r="I118" i="1"/>
  <c r="K118" i="1"/>
  <c r="J76" i="1"/>
  <c r="J83" i="1"/>
  <c r="I76" i="1"/>
  <c r="I83" i="1"/>
  <c r="L119" i="1"/>
  <c r="I119" i="1"/>
  <c r="H119" i="1"/>
  <c r="K119" i="1"/>
  <c r="J119" i="1"/>
  <c r="L76" i="1"/>
  <c r="L83" i="1"/>
  <c r="K76" i="1"/>
  <c r="K83" i="1"/>
  <c r="L95" i="1"/>
  <c r="L97" i="1"/>
  <c r="L111" i="1"/>
  <c r="H102" i="1"/>
  <c r="H123" i="1"/>
  <c r="L96" i="1"/>
  <c r="L124" i="1"/>
  <c r="H104" i="1"/>
  <c r="I101" i="1"/>
  <c r="H66" i="1"/>
  <c r="L65" i="1"/>
  <c r="I103" i="1"/>
  <c r="I112" i="1"/>
  <c r="I102" i="1"/>
  <c r="I123" i="1"/>
  <c r="I130" i="1"/>
  <c r="I44" i="1"/>
  <c r="I45" i="1"/>
  <c r="I46" i="1"/>
  <c r="I49" i="1"/>
  <c r="I50" i="1"/>
  <c r="I120" i="1"/>
  <c r="I108" i="1"/>
  <c r="I51" i="1"/>
  <c r="I107" i="1"/>
  <c r="I104" i="1"/>
  <c r="I121" i="1"/>
  <c r="I141" i="1"/>
  <c r="J101" i="1"/>
  <c r="J103" i="1"/>
  <c r="J112" i="1"/>
  <c r="I66" i="1"/>
  <c r="J44" i="1"/>
  <c r="J45" i="1"/>
  <c r="J46" i="1"/>
  <c r="J49" i="1"/>
  <c r="J50" i="1"/>
  <c r="J108" i="1"/>
  <c r="J102" i="1"/>
  <c r="J123" i="1"/>
  <c r="J130" i="1"/>
  <c r="J104" i="1"/>
  <c r="J66" i="1"/>
  <c r="J51" i="1"/>
  <c r="J107" i="1"/>
  <c r="J121" i="1"/>
  <c r="J141" i="1"/>
  <c r="J120" i="1"/>
  <c r="K101" i="1"/>
  <c r="K103" i="1"/>
  <c r="K112" i="1"/>
  <c r="K44" i="1"/>
  <c r="K45" i="1"/>
  <c r="K46" i="1"/>
  <c r="K49" i="1"/>
  <c r="K50" i="1"/>
  <c r="K102" i="1"/>
  <c r="K123" i="1"/>
  <c r="K130" i="1"/>
  <c r="K120" i="1"/>
  <c r="K108" i="1"/>
  <c r="K51" i="1"/>
  <c r="K107" i="1"/>
  <c r="K104" i="1"/>
  <c r="L101" i="1"/>
  <c r="K121" i="1"/>
  <c r="K141" i="1"/>
  <c r="K66" i="1"/>
  <c r="L103" i="1"/>
  <c r="L112" i="1"/>
  <c r="L44" i="1"/>
  <c r="L45" i="1"/>
  <c r="L46" i="1"/>
  <c r="L49" i="1"/>
  <c r="L50" i="1"/>
  <c r="L102" i="1"/>
  <c r="L123" i="1"/>
  <c r="L130" i="1"/>
  <c r="L120" i="1"/>
  <c r="L108" i="1"/>
  <c r="L104" i="1"/>
  <c r="L66" i="1"/>
  <c r="L51" i="1"/>
  <c r="L107" i="1"/>
  <c r="G65" i="1"/>
  <c r="H95" i="1"/>
  <c r="H97" i="1"/>
  <c r="H44" i="1"/>
  <c r="H45" i="1"/>
  <c r="H46" i="1"/>
  <c r="H49" i="1"/>
  <c r="L121" i="1"/>
  <c r="L141" i="1"/>
  <c r="G91" i="1"/>
  <c r="H50" i="1"/>
  <c r="H51" i="1"/>
  <c r="H96" i="1"/>
  <c r="H124" i="1"/>
  <c r="H130" i="1"/>
  <c r="H111" i="1"/>
  <c r="H88" i="1"/>
  <c r="H107" i="1"/>
  <c r="H108" i="1"/>
  <c r="H120" i="1"/>
  <c r="H121" i="1"/>
  <c r="H141" i="1"/>
  <c r="H143" i="1"/>
  <c r="H89" i="1"/>
  <c r="I88" i="1"/>
  <c r="H59" i="1"/>
  <c r="H62" i="1"/>
  <c r="H69" i="1"/>
  <c r="I142" i="1"/>
  <c r="I143" i="1"/>
  <c r="H90" i="1"/>
  <c r="I89" i="1"/>
  <c r="J88" i="1"/>
  <c r="H91" i="1"/>
  <c r="J89" i="1"/>
  <c r="K88" i="1"/>
  <c r="I59" i="1"/>
  <c r="I62" i="1"/>
  <c r="I69" i="1"/>
  <c r="I91" i="1"/>
  <c r="J142" i="1"/>
  <c r="J143" i="1"/>
  <c r="I90" i="1"/>
  <c r="J90" i="1"/>
  <c r="J59" i="1"/>
  <c r="J62" i="1"/>
  <c r="J69" i="1"/>
  <c r="J91" i="1"/>
  <c r="K142" i="1"/>
  <c r="K143" i="1"/>
  <c r="K89" i="1"/>
  <c r="L88" i="1"/>
  <c r="L89" i="1"/>
  <c r="L90" i="1"/>
  <c r="K59" i="1"/>
  <c r="K62" i="1"/>
  <c r="K69" i="1"/>
  <c r="K91" i="1"/>
  <c r="L142" i="1"/>
  <c r="L143" i="1"/>
  <c r="L59" i="1"/>
  <c r="L62" i="1"/>
  <c r="L69" i="1"/>
  <c r="L91" i="1"/>
  <c r="K90" i="1"/>
</calcChain>
</file>

<file path=xl/sharedStrings.xml><?xml version="1.0" encoding="utf-8"?>
<sst xmlns="http://schemas.openxmlformats.org/spreadsheetml/2006/main" count="134" uniqueCount="114">
  <si>
    <t>Balance Sheet Check</t>
  </si>
  <si>
    <t>2020E</t>
  </si>
  <si>
    <t>2021E</t>
  </si>
  <si>
    <t>2022E</t>
  </si>
  <si>
    <t>2023E</t>
  </si>
  <si>
    <t>2024E</t>
  </si>
  <si>
    <t>2025E</t>
  </si>
  <si>
    <t>Assumptions &amp; Drivers</t>
  </si>
  <si>
    <t>Days in Period</t>
  </si>
  <si>
    <t>Income Statement</t>
  </si>
  <si>
    <t>Support and Maintenance, including annual fees</t>
  </si>
  <si>
    <t>Rental and subscriptions</t>
  </si>
  <si>
    <t>Initial fees and perpetual licences</t>
  </si>
  <si>
    <t>Growth Rate</t>
  </si>
  <si>
    <t>Training and services</t>
  </si>
  <si>
    <t>Gross Margin</t>
  </si>
  <si>
    <t>Research &amp; Development Costs</t>
  </si>
  <si>
    <t>SG&amp;A Costs</t>
  </si>
  <si>
    <t>Amortisation Expense (% of Intangible Assets)</t>
  </si>
  <si>
    <t>Depreciation Expense (% of PP&amp;E)</t>
  </si>
  <si>
    <t>Tax Rate</t>
  </si>
  <si>
    <t>Balance Sheet</t>
  </si>
  <si>
    <t>Receivable Days</t>
  </si>
  <si>
    <t>Inventory Days</t>
  </si>
  <si>
    <t>Payable Days</t>
  </si>
  <si>
    <t>Deferred Tax Assets</t>
  </si>
  <si>
    <t>Retirement Benefit Surplus</t>
  </si>
  <si>
    <t>Revenue</t>
  </si>
  <si>
    <t>Costs of sales</t>
  </si>
  <si>
    <t>Gross Profit</t>
  </si>
  <si>
    <t>Net impairment loss on financial assets</t>
  </si>
  <si>
    <t>Total Operating expenses</t>
  </si>
  <si>
    <t>Income Tax</t>
  </si>
  <si>
    <t>Profit for the Year</t>
  </si>
  <si>
    <t>Finance Revenue</t>
  </si>
  <si>
    <t>Finance Expense</t>
  </si>
  <si>
    <t>EBIT</t>
  </si>
  <si>
    <t>PBT</t>
  </si>
  <si>
    <t>Revenue Growth Rate</t>
  </si>
  <si>
    <t>Trade and other Receivables</t>
  </si>
  <si>
    <t>Treasury Deposits</t>
  </si>
  <si>
    <t>Cash and Cash Equivalents</t>
  </si>
  <si>
    <t>Current Tax Assets</t>
  </si>
  <si>
    <t>Current Assets</t>
  </si>
  <si>
    <t>Goodwill</t>
  </si>
  <si>
    <t>Other intangible assets</t>
  </si>
  <si>
    <t>PP&amp;E</t>
  </si>
  <si>
    <t>Total Assets</t>
  </si>
  <si>
    <t>Trade and other Payables</t>
  </si>
  <si>
    <t>Financial Liabiliites</t>
  </si>
  <si>
    <t>Current Tax Liabilities</t>
  </si>
  <si>
    <t>Total Current Liabiliites</t>
  </si>
  <si>
    <t>Inventories</t>
  </si>
  <si>
    <t>Financial Assets</t>
  </si>
  <si>
    <t>Contract Liabilities</t>
  </si>
  <si>
    <t>Provisions</t>
  </si>
  <si>
    <t>Deferred Tax Liabilities</t>
  </si>
  <si>
    <t>Other Liabilities</t>
  </si>
  <si>
    <t>Retirement Benefit Obligations</t>
  </si>
  <si>
    <t>Total Liabilities</t>
  </si>
  <si>
    <t>Issued share capital</t>
  </si>
  <si>
    <t>Share Premium</t>
  </si>
  <si>
    <t>Other Reserves</t>
  </si>
  <si>
    <t>Retained Earnings</t>
  </si>
  <si>
    <t>Total Equity</t>
  </si>
  <si>
    <t>Balance Check</t>
  </si>
  <si>
    <t>Supporting Schedules</t>
  </si>
  <si>
    <t>Intagible Assets</t>
  </si>
  <si>
    <t>Beginning</t>
  </si>
  <si>
    <t>Additions</t>
  </si>
  <si>
    <t>Amortisation</t>
  </si>
  <si>
    <t>Ending</t>
  </si>
  <si>
    <t>PPE</t>
  </si>
  <si>
    <t>Depreciation</t>
  </si>
  <si>
    <t>Revolver</t>
  </si>
  <si>
    <t>Cash Flow</t>
  </si>
  <si>
    <t>Profit For The Year</t>
  </si>
  <si>
    <t>Income Tax Expense</t>
  </si>
  <si>
    <t>Net Finance Expense</t>
  </si>
  <si>
    <t>Oher Income</t>
  </si>
  <si>
    <t>Changes in Working Capital</t>
  </si>
  <si>
    <t>Cash From Operating Activities</t>
  </si>
  <si>
    <t>Purchases of PP&amp;E</t>
  </si>
  <si>
    <t>Purchase of intangible assets</t>
  </si>
  <si>
    <t>Cash received on acquisition of business</t>
  </si>
  <si>
    <t>Proceeds from disposal of PP&amp;E</t>
  </si>
  <si>
    <t>Proceeds from disposal of Intangibles</t>
  </si>
  <si>
    <t>Purchase of Treasury Deposits</t>
  </si>
  <si>
    <t>Interest Received</t>
  </si>
  <si>
    <t>Cash From Investing Activities</t>
  </si>
  <si>
    <t>Interest Paid</t>
  </si>
  <si>
    <t>Purcase Own Shares</t>
  </si>
  <si>
    <t>Repayment of Borrowings</t>
  </si>
  <si>
    <t>Dividends</t>
  </si>
  <si>
    <t>Change in funding</t>
  </si>
  <si>
    <t>return of value</t>
  </si>
  <si>
    <t>Transaction costs</t>
  </si>
  <si>
    <t>Cash from Financing</t>
  </si>
  <si>
    <t>Net Increase / Decrease in Cash</t>
  </si>
  <si>
    <t>Opening Cash</t>
  </si>
  <si>
    <t>Closing Cash</t>
  </si>
  <si>
    <t>Income Taxes Paid</t>
  </si>
  <si>
    <t>Contract Liabilities (Deferred Revenue)</t>
  </si>
  <si>
    <t>Capital Asset Turnover Ratio (Intangibles)</t>
  </si>
  <si>
    <t>Capex / Dep (PP&amp;E)</t>
  </si>
  <si>
    <t>Trade and other Receivables &amp; Contract Assets</t>
  </si>
  <si>
    <t>Deferred Tax Assets &amp; Other Receivables</t>
  </si>
  <si>
    <t>Contract Liabilities (Def Rev)</t>
  </si>
  <si>
    <t>Total Equity &amp; Liabilities</t>
  </si>
  <si>
    <t>2026E</t>
  </si>
  <si>
    <t>2027E</t>
  </si>
  <si>
    <t>2028E</t>
  </si>
  <si>
    <t>2029E</t>
  </si>
  <si>
    <t>2030E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</si>
</sst>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0.0"/>
    <numFmt numFmtId="166" formatCode="_-* #,##0.0_-;\-* #,##0.0_-;_-* &quot;-&quot;??_-;_-@_-"/>
    <numFmt numFmtId="167" formatCode="_-* #,##0_-;\-* #,##0_-;_-* &quot;-&quot;??_-;_-@_-"/>
    <numFmt numFmtId="168" formatCode="0.0\x"/>
    <numFmt numFmtId="169" formatCode="0\x"/>
    <numFmt numFmtId="170" formatCode="0\ &quot;days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8607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2" fontId="0" fillId="0" borderId="0" xfId="0" applyNumberFormat="1"/>
    <xf numFmtId="165" fontId="0" fillId="0" borderId="0" xfId="0" applyNumberFormat="1"/>
    <xf numFmtId="2" fontId="3" fillId="0" borderId="0" xfId="0" applyNumberFormat="1" applyFont="1"/>
    <xf numFmtId="165" fontId="3" fillId="0" borderId="0" xfId="0" applyNumberFormat="1" applyFont="1"/>
    <xf numFmtId="9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0" fillId="0" borderId="1" xfId="0" applyBorder="1"/>
    <xf numFmtId="167" fontId="0" fillId="0" borderId="0" xfId="1" applyNumberFormat="1" applyFont="1"/>
    <xf numFmtId="167" fontId="3" fillId="0" borderId="1" xfId="1" applyNumberFormat="1" applyFont="1" applyBorder="1"/>
    <xf numFmtId="164" fontId="0" fillId="0" borderId="0" xfId="0" applyNumberFormat="1"/>
    <xf numFmtId="9" fontId="4" fillId="0" borderId="0" xfId="0" applyNumberFormat="1" applyFont="1"/>
    <xf numFmtId="165" fontId="0" fillId="0" borderId="1" xfId="0" applyNumberFormat="1" applyBorder="1"/>
    <xf numFmtId="168" fontId="0" fillId="0" borderId="0" xfId="0" applyNumberFormat="1" applyAlignment="1">
      <alignment horizontal="right"/>
    </xf>
    <xf numFmtId="9" fontId="5" fillId="0" borderId="0" xfId="0" applyNumberFormat="1" applyFont="1"/>
    <xf numFmtId="169" fontId="0" fillId="0" borderId="0" xfId="0" applyNumberFormat="1"/>
    <xf numFmtId="1" fontId="0" fillId="0" borderId="0" xfId="0" applyNumberFormat="1"/>
    <xf numFmtId="9" fontId="6" fillId="0" borderId="0" xfId="0" applyNumberFormat="1" applyFont="1"/>
    <xf numFmtId="166" fontId="0" fillId="0" borderId="0" xfId="0" applyNumberFormat="1"/>
    <xf numFmtId="170" fontId="0" fillId="0" borderId="0" xfId="0" applyNumberFormat="1"/>
    <xf numFmtId="0" fontId="3" fillId="0" borderId="0" xfId="0" applyFont="1" applyFill="1" applyBorder="1"/>
    <xf numFmtId="0" fontId="2" fillId="0" borderId="0" xfId="0" applyFont="1"/>
    <xf numFmtId="166" fontId="7" fillId="0" borderId="0" xfId="0" applyNumberFormat="1" applyFont="1"/>
    <xf numFmtId="0" fontId="3" fillId="0" borderId="0" xfId="0" applyFont="1" applyAlignment="1">
      <alignment horizontal="right"/>
    </xf>
    <xf numFmtId="168" fontId="6" fillId="0" borderId="0" xfId="0" applyNumberFormat="1" applyFont="1" applyAlignment="1">
      <alignment horizontal="right"/>
    </xf>
    <xf numFmtId="170" fontId="6" fillId="0" borderId="0" xfId="0" applyNumberFormat="1" applyFont="1"/>
    <xf numFmtId="170" fontId="6" fillId="0" borderId="0" xfId="0" applyNumberFormat="1" applyFont="1" applyAlignment="1">
      <alignment horizontal="right"/>
    </xf>
    <xf numFmtId="0" fontId="3" fillId="2" borderId="3" xfId="0" applyFont="1" applyFill="1" applyBorder="1"/>
    <xf numFmtId="0" fontId="0" fillId="2" borderId="4" xfId="0" applyFill="1" applyBorder="1"/>
    <xf numFmtId="165" fontId="0" fillId="2" borderId="4" xfId="0" applyNumberFormat="1" applyFill="1" applyBorder="1"/>
    <xf numFmtId="0" fontId="0" fillId="2" borderId="5" xfId="0" applyFill="1" applyBorder="1"/>
    <xf numFmtId="0" fontId="3" fillId="2" borderId="0" xfId="0" applyFont="1" applyFill="1"/>
    <xf numFmtId="0" fontId="0" fillId="2" borderId="0" xfId="0" applyFont="1" applyFill="1"/>
    <xf numFmtId="1" fontId="4" fillId="0" borderId="0" xfId="0" applyNumberFormat="1" applyFont="1"/>
    <xf numFmtId="165" fontId="5" fillId="0" borderId="0" xfId="0" applyNumberFormat="1" applyFont="1"/>
    <xf numFmtId="169" fontId="6" fillId="0" borderId="0" xfId="0" applyNumberFormat="1" applyFont="1"/>
    <xf numFmtId="167" fontId="2" fillId="0" borderId="0" xfId="1" applyNumberFormat="1" applyFont="1"/>
    <xf numFmtId="167" fontId="3" fillId="0" borderId="2" xfId="1" applyNumberFormat="1" applyFont="1" applyBorder="1"/>
    <xf numFmtId="166" fontId="7" fillId="0" borderId="1" xfId="0" applyNumberFormat="1" applyFont="1" applyBorder="1"/>
    <xf numFmtId="166" fontId="8" fillId="0" borderId="1" xfId="0" applyNumberFormat="1" applyFont="1" applyBorder="1"/>
    <xf numFmtId="166" fontId="0" fillId="0" borderId="1" xfId="0" applyNumberFormat="1" applyFont="1" applyBorder="1"/>
    <xf numFmtId="166" fontId="3" fillId="0" borderId="2" xfId="0" applyNumberFormat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164" fontId="0" fillId="0" borderId="0" xfId="1" applyNumberFormat="1" applyFont="1"/>
    <xf numFmtId="164" fontId="7" fillId="0" borderId="0" xfId="0" applyNumberFormat="1" applyFont="1"/>
    <xf numFmtId="164" fontId="2" fillId="0" borderId="0" xfId="0" applyNumberFormat="1" applyFont="1"/>
    <xf numFmtId="164" fontId="2" fillId="0" borderId="0" xfId="1" applyNumberFormat="1" applyFont="1"/>
    <xf numFmtId="164" fontId="0" fillId="0" borderId="1" xfId="0" applyNumberFormat="1" applyBorder="1"/>
    <xf numFmtId="164" fontId="0" fillId="0" borderId="1" xfId="1" applyNumberFormat="1" applyFont="1" applyBorder="1"/>
    <xf numFmtId="164" fontId="0" fillId="0" borderId="0" xfId="0" applyNumberFormat="1" applyFill="1" applyBorder="1"/>
    <xf numFmtId="164" fontId="3" fillId="0" borderId="1" xfId="1" applyNumberFormat="1" applyFont="1" applyBorder="1"/>
    <xf numFmtId="164" fontId="2" fillId="0" borderId="0" xfId="0" applyNumberFormat="1" applyFont="1" applyAlignment="1">
      <alignment horizontal="right"/>
    </xf>
    <xf numFmtId="164" fontId="0" fillId="0" borderId="1" xfId="0" applyNumberFormat="1" applyFont="1" applyBorder="1"/>
    <xf numFmtId="164" fontId="1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986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43"/>
  <sheetViews>
    <sheetView showFormulas="1" tabSelected="1" topLeftCell="D1" zoomScale="60" zoomScaleNormal="60" workbookViewId="0">
      <pane ySplit="3" topLeftCell="A109" activePane="bottomLeft" state="frozen"/>
      <selection pane="bottomLeft" activeCell="E116" sqref="E116"/>
    </sheetView>
  </sheetViews>
  <sheetFormatPr baseColWidth="10" defaultColWidth="8.83203125" defaultRowHeight="15" outlineLevelRow="1" x14ac:dyDescent="0.2"/>
  <cols>
    <col min="2" max="2" width="45" bestFit="1" customWidth="1"/>
    <col min="3" max="3" width="11" bestFit="1" customWidth="1"/>
    <col min="4" max="4" width="14.33203125" bestFit="1" customWidth="1"/>
    <col min="5" max="5" width="16.5" bestFit="1" customWidth="1"/>
    <col min="6" max="6" width="13.33203125" customWidth="1"/>
    <col min="7" max="7" width="19.33203125" customWidth="1"/>
    <col min="8" max="9" width="14" bestFit="1" customWidth="1"/>
    <col min="10" max="12" width="13.5" bestFit="1" customWidth="1"/>
    <col min="13" max="13" width="9.1640625" customWidth="1"/>
    <col min="14" max="14" width="9.5" customWidth="1"/>
    <col min="15" max="15" width="13.5" customWidth="1"/>
    <col min="16" max="16" width="10.1640625" bestFit="1" customWidth="1"/>
    <col min="17" max="17" width="9.5" customWidth="1"/>
    <col min="18" max="18" width="13.5" bestFit="1" customWidth="1"/>
    <col min="19" max="20" width="10.6640625" bestFit="1" customWidth="1"/>
  </cols>
  <sheetData>
    <row r="3" spans="2:20" x14ac:dyDescent="0.2">
      <c r="C3" s="1">
        <v>2016</v>
      </c>
      <c r="D3" s="1">
        <v>2017</v>
      </c>
      <c r="E3" s="1">
        <v>2018</v>
      </c>
      <c r="F3" s="1">
        <v>2019</v>
      </c>
      <c r="G3" s="27" t="s">
        <v>1</v>
      </c>
      <c r="H3" s="27" t="s">
        <v>2</v>
      </c>
      <c r="I3" s="27" t="s">
        <v>3</v>
      </c>
      <c r="J3" s="27" t="s">
        <v>4</v>
      </c>
      <c r="K3" s="27" t="s">
        <v>5</v>
      </c>
      <c r="L3" s="27" t="s">
        <v>6</v>
      </c>
      <c r="M3" s="27" t="s">
        <v>109</v>
      </c>
      <c r="N3" s="27" t="s">
        <v>110</v>
      </c>
      <c r="O3" s="27" t="s">
        <v>111</v>
      </c>
      <c r="P3" s="27" t="s">
        <v>112</v>
      </c>
      <c r="Q3" s="27" t="s">
        <v>113</v>
      </c>
      <c r="R3" s="27"/>
    </row>
    <row r="4" spans="2:20" x14ac:dyDescent="0.2">
      <c r="B4" t="s">
        <v>0</v>
      </c>
    </row>
    <row r="6" spans="2:20" x14ac:dyDescent="0.2">
      <c r="B6" s="35" t="s">
        <v>7</v>
      </c>
      <c r="C6" s="35"/>
      <c r="D6" s="35"/>
      <c r="E6" s="35"/>
      <c r="F6" s="35"/>
      <c r="G6" s="35"/>
      <c r="H6" s="35"/>
      <c r="I6" s="35"/>
      <c r="J6" s="35"/>
      <c r="K6" s="35"/>
      <c r="L6" s="35"/>
    </row>
    <row r="7" spans="2:20" outlineLevel="1" x14ac:dyDescent="0.2"/>
    <row r="8" spans="2:20" outlineLevel="1" x14ac:dyDescent="0.2">
      <c r="B8" t="s">
        <v>8</v>
      </c>
      <c r="C8">
        <v>365</v>
      </c>
      <c r="D8">
        <v>365</v>
      </c>
      <c r="E8">
        <v>365</v>
      </c>
      <c r="F8">
        <v>365</v>
      </c>
      <c r="G8">
        <v>365</v>
      </c>
      <c r="H8">
        <v>365</v>
      </c>
      <c r="I8">
        <v>365</v>
      </c>
      <c r="J8">
        <v>365</v>
      </c>
      <c r="K8">
        <v>365</v>
      </c>
      <c r="L8">
        <v>365</v>
      </c>
    </row>
    <row r="9" spans="2:20" outlineLevel="1" x14ac:dyDescent="0.2"/>
    <row r="10" spans="2:20" outlineLevel="1" x14ac:dyDescent="0.2">
      <c r="B10" s="1" t="s">
        <v>9</v>
      </c>
    </row>
    <row r="11" spans="2:20" outlineLevel="1" x14ac:dyDescent="0.2">
      <c r="B11" t="s">
        <v>27</v>
      </c>
      <c r="C11">
        <f>C38</f>
        <v>201.49</v>
      </c>
      <c r="D11" s="5">
        <f>D13+D15+D17+D19</f>
        <v>215.83100000000002</v>
      </c>
      <c r="E11" s="5">
        <f t="shared" ref="E11:F11" si="0">E13+E15+E17+E19</f>
        <v>486.29999999999995</v>
      </c>
      <c r="F11" s="5">
        <f t="shared" si="0"/>
        <v>766.6</v>
      </c>
      <c r="G11" s="5">
        <f>F11*(1+G12)</f>
        <v>835.59400000000005</v>
      </c>
      <c r="H11" s="5">
        <f t="shared" ref="H11:L11" si="1">G11*(1+H12)</f>
        <v>760.3905400000001</v>
      </c>
      <c r="I11" s="5">
        <f t="shared" si="1"/>
        <v>836.42959400000018</v>
      </c>
      <c r="J11" s="5">
        <f t="shared" si="1"/>
        <v>920.07255340000029</v>
      </c>
      <c r="K11" s="5">
        <f t="shared" si="1"/>
        <v>1012.0798087400004</v>
      </c>
      <c r="L11" s="5">
        <f t="shared" si="1"/>
        <v>1113.2877896140005</v>
      </c>
      <c r="O11" s="14"/>
      <c r="P11" s="14"/>
      <c r="Q11" s="14"/>
      <c r="R11" s="14"/>
      <c r="S11" s="14"/>
      <c r="T11" s="14"/>
    </row>
    <row r="12" spans="2:20" outlineLevel="1" x14ac:dyDescent="0.2">
      <c r="B12" t="s">
        <v>38</v>
      </c>
      <c r="D12" s="8">
        <f t="shared" ref="D12:E12" si="2">D11/C11-1</f>
        <v>7.1174748126457965E-2</v>
      </c>
      <c r="E12" s="8">
        <f t="shared" si="2"/>
        <v>1.2531517715249429</v>
      </c>
      <c r="F12" s="8">
        <f>F11/E11-1</f>
        <v>0.57639317293851544</v>
      </c>
      <c r="G12" s="21">
        <v>0.09</v>
      </c>
      <c r="H12" s="21">
        <v>-0.09</v>
      </c>
      <c r="I12" s="21">
        <v>0.1</v>
      </c>
      <c r="J12" s="21">
        <v>0.1</v>
      </c>
      <c r="K12" s="21">
        <v>0.1</v>
      </c>
      <c r="L12" s="21">
        <v>0.1</v>
      </c>
    </row>
    <row r="13" spans="2:20" outlineLevel="1" x14ac:dyDescent="0.2">
      <c r="B13" s="2" t="s">
        <v>10</v>
      </c>
      <c r="C13">
        <v>63.368000000000002</v>
      </c>
      <c r="D13" s="5">
        <v>71.844999999999999</v>
      </c>
      <c r="E13">
        <v>133.5</v>
      </c>
      <c r="F13">
        <v>194.4</v>
      </c>
    </row>
    <row r="14" spans="2:20" outlineLevel="1" x14ac:dyDescent="0.2">
      <c r="B14" s="2" t="s">
        <v>13</v>
      </c>
      <c r="D14" s="15">
        <f>D13/C13-1</f>
        <v>0.13377414467870219</v>
      </c>
      <c r="E14" s="15">
        <f>E13/D13-1</f>
        <v>0.8581668870485073</v>
      </c>
      <c r="F14" s="15">
        <f>F13/E13-1</f>
        <v>0.45617977528089892</v>
      </c>
    </row>
    <row r="15" spans="2:20" outlineLevel="1" x14ac:dyDescent="0.2">
      <c r="B15" s="2" t="s">
        <v>11</v>
      </c>
      <c r="C15">
        <v>90.617000000000004</v>
      </c>
      <c r="D15" s="5">
        <v>94.188000000000002</v>
      </c>
      <c r="E15">
        <v>72.7</v>
      </c>
      <c r="F15">
        <v>218.2</v>
      </c>
    </row>
    <row r="16" spans="2:20" outlineLevel="1" x14ac:dyDescent="0.2">
      <c r="B16" s="2" t="s">
        <v>13</v>
      </c>
      <c r="D16" s="15">
        <f t="shared" ref="D16:E16" si="3">D15/C15-1</f>
        <v>3.9407616672368251E-2</v>
      </c>
      <c r="E16" s="15">
        <f t="shared" si="3"/>
        <v>-0.2281394657493524</v>
      </c>
      <c r="F16" s="15">
        <f>F15/E15-1</f>
        <v>2.0013755158184314</v>
      </c>
    </row>
    <row r="17" spans="2:20" outlineLevel="1" x14ac:dyDescent="0.2">
      <c r="B17" s="2" t="s">
        <v>12</v>
      </c>
      <c r="C17">
        <v>29.373000000000001</v>
      </c>
      <c r="D17" s="4">
        <v>32.213999999999999</v>
      </c>
      <c r="E17">
        <v>163.1</v>
      </c>
      <c r="F17">
        <v>211.6</v>
      </c>
    </row>
    <row r="18" spans="2:20" outlineLevel="1" x14ac:dyDescent="0.2">
      <c r="B18" s="2" t="s">
        <v>13</v>
      </c>
      <c r="D18" s="15">
        <f>D15/C15-1</f>
        <v>3.9407616672368251E-2</v>
      </c>
      <c r="E18" s="15">
        <f>E15/D15-1</f>
        <v>-0.2281394657493524</v>
      </c>
      <c r="F18" s="15">
        <f>F15/E15-1</f>
        <v>2.0013755158184314</v>
      </c>
    </row>
    <row r="19" spans="2:20" outlineLevel="1" x14ac:dyDescent="0.2">
      <c r="B19" s="3" t="s">
        <v>14</v>
      </c>
      <c r="C19">
        <v>18.132999999999999</v>
      </c>
      <c r="D19" s="4">
        <v>17.584</v>
      </c>
      <c r="E19">
        <v>117</v>
      </c>
      <c r="F19">
        <v>142.4</v>
      </c>
    </row>
    <row r="20" spans="2:20" outlineLevel="1" x14ac:dyDescent="0.2">
      <c r="B20" s="2" t="s">
        <v>13</v>
      </c>
      <c r="D20" s="15">
        <f>D19/C19-1</f>
        <v>-3.0276291843600034E-2</v>
      </c>
      <c r="E20" s="15">
        <f t="shared" ref="E20:F20" si="4">E19/D19-1</f>
        <v>5.6537761601455871</v>
      </c>
      <c r="F20" s="15">
        <f t="shared" si="4"/>
        <v>0.21709401709401721</v>
      </c>
    </row>
    <row r="21" spans="2:20" outlineLevel="1" x14ac:dyDescent="0.2">
      <c r="B21" s="3" t="s">
        <v>15</v>
      </c>
      <c r="C21" s="8">
        <f t="shared" ref="C21" si="5">C40/C38</f>
        <v>0.9270981190133506</v>
      </c>
      <c r="D21" s="8">
        <f t="shared" ref="D21:E21" si="6">D40/D38</f>
        <v>0.93404541241890637</v>
      </c>
      <c r="E21" s="8">
        <f t="shared" si="6"/>
        <v>0.68990335184042773</v>
      </c>
      <c r="F21" s="8">
        <f>F40/F38</f>
        <v>0.74797808505087404</v>
      </c>
      <c r="G21" s="21">
        <v>0.75</v>
      </c>
      <c r="H21" s="21">
        <v>0.75</v>
      </c>
      <c r="I21" s="21">
        <v>0.75</v>
      </c>
      <c r="J21" s="21">
        <v>0.75</v>
      </c>
      <c r="K21" s="21">
        <v>0.75</v>
      </c>
      <c r="L21" s="21">
        <v>0.75</v>
      </c>
    </row>
    <row r="22" spans="2:20" outlineLevel="1" x14ac:dyDescent="0.2">
      <c r="B22" s="3" t="s">
        <v>16</v>
      </c>
      <c r="C22" s="8">
        <f t="shared" ref="C22" si="7">-C41/C38</f>
        <v>0.15945208198918059</v>
      </c>
      <c r="D22" s="8">
        <f t="shared" ref="D22:E22" si="8">-D41/D38</f>
        <v>0.14774791473586654</v>
      </c>
      <c r="E22" s="8">
        <f t="shared" si="8"/>
        <v>0.23915278634587703</v>
      </c>
      <c r="F22" s="8">
        <f>-F41/F38</f>
        <v>0.2321941038351161</v>
      </c>
      <c r="G22" s="21">
        <v>0.15</v>
      </c>
      <c r="H22" s="21">
        <v>0.15</v>
      </c>
      <c r="I22" s="21">
        <v>0.15</v>
      </c>
      <c r="J22" s="21">
        <v>0.15</v>
      </c>
      <c r="K22" s="21">
        <v>0.15</v>
      </c>
      <c r="L22" s="21">
        <v>0.15</v>
      </c>
    </row>
    <row r="23" spans="2:20" outlineLevel="1" x14ac:dyDescent="0.2">
      <c r="B23" s="2" t="s">
        <v>17</v>
      </c>
      <c r="C23" s="8">
        <f t="shared" ref="C23" si="9">-C42/C38</f>
        <v>0.62162886495607717</v>
      </c>
      <c r="D23" s="8">
        <f t="shared" ref="D23:E23" si="10">-D42/D38</f>
        <v>0.57899907321594057</v>
      </c>
      <c r="E23" s="8">
        <f t="shared" si="10"/>
        <v>0.37281513469052024</v>
      </c>
      <c r="F23" s="8">
        <f>-F42/F38</f>
        <v>0.44599530393947295</v>
      </c>
      <c r="G23" s="21">
        <v>0.45</v>
      </c>
      <c r="H23" s="21">
        <v>0.45</v>
      </c>
      <c r="I23" s="21">
        <v>0.45</v>
      </c>
      <c r="J23" s="21">
        <v>0.45</v>
      </c>
      <c r="K23" s="21">
        <v>0.45</v>
      </c>
      <c r="L23" s="21">
        <v>0.45</v>
      </c>
    </row>
    <row r="24" spans="2:20" outlineLevel="1" x14ac:dyDescent="0.2">
      <c r="B24" s="3" t="s">
        <v>18</v>
      </c>
      <c r="C24" s="8">
        <f>C97/C95</f>
        <v>0.2140033067356768</v>
      </c>
      <c r="D24" s="8">
        <f>D97/D95</f>
        <v>0.28169014084507044</v>
      </c>
      <c r="E24" s="8">
        <f>E97/E95</f>
        <v>0.23316582914572864</v>
      </c>
      <c r="F24" s="8">
        <f>F97/F95</f>
        <v>0.13081909251620508</v>
      </c>
      <c r="G24" s="21">
        <v>0.13</v>
      </c>
      <c r="H24" s="21">
        <v>0.13</v>
      </c>
      <c r="I24" s="21">
        <v>0.13</v>
      </c>
      <c r="J24" s="21">
        <v>0.13</v>
      </c>
      <c r="K24" s="21">
        <v>0.13</v>
      </c>
      <c r="L24" s="21">
        <v>0.13</v>
      </c>
    </row>
    <row r="25" spans="2:20" outlineLevel="1" x14ac:dyDescent="0.2">
      <c r="B25" s="3" t="s">
        <v>19</v>
      </c>
      <c r="D25" s="8"/>
      <c r="E25" s="8">
        <f>E103/E101</f>
        <v>0.43243243243243246</v>
      </c>
      <c r="F25" s="8">
        <f>F103/F101</f>
        <v>0.36486486486486486</v>
      </c>
      <c r="G25" s="21">
        <v>0.36</v>
      </c>
      <c r="H25" s="21">
        <v>0.36</v>
      </c>
      <c r="I25" s="21">
        <v>0.36</v>
      </c>
      <c r="J25" s="21">
        <v>0.36</v>
      </c>
      <c r="K25" s="21">
        <v>0.36</v>
      </c>
      <c r="L25" s="21">
        <v>0.36</v>
      </c>
    </row>
    <row r="26" spans="2:20" outlineLevel="1" x14ac:dyDescent="0.2">
      <c r="B26" s="3" t="s">
        <v>20</v>
      </c>
      <c r="D26" s="8">
        <f t="shared" ref="D26:E26" si="11">-D50/D49</f>
        <v>0.18848279246410202</v>
      </c>
      <c r="E26" s="8">
        <f t="shared" si="11"/>
        <v>-0.17391304347826095</v>
      </c>
      <c r="F26" s="8">
        <f>-F50/F49</f>
        <v>0.27623126338329673</v>
      </c>
      <c r="G26" s="21">
        <v>0.28000000000000003</v>
      </c>
      <c r="H26" s="21">
        <v>0.28000000000000003</v>
      </c>
      <c r="I26" s="21">
        <v>0.28000000000000003</v>
      </c>
      <c r="J26" s="21">
        <v>0.28000000000000003</v>
      </c>
      <c r="K26" s="21">
        <v>0.28000000000000003</v>
      </c>
      <c r="L26" s="21">
        <v>0.28000000000000003</v>
      </c>
    </row>
    <row r="27" spans="2:20" outlineLevel="1" x14ac:dyDescent="0.2"/>
    <row r="28" spans="2:20" outlineLevel="1" x14ac:dyDescent="0.2">
      <c r="B28" s="1" t="s">
        <v>21</v>
      </c>
    </row>
    <row r="29" spans="2:20" outlineLevel="1" x14ac:dyDescent="0.2">
      <c r="B29" t="s">
        <v>103</v>
      </c>
      <c r="C29" s="17">
        <f>C38/C65</f>
        <v>9.2139198829339684</v>
      </c>
      <c r="D29" s="17">
        <f>D38/D65</f>
        <v>1.0844221105527638</v>
      </c>
      <c r="E29" s="17">
        <f>E38/E65</f>
        <v>0.71641131408367709</v>
      </c>
      <c r="F29" s="17">
        <f>F38/F65</f>
        <v>1.2787322768974145</v>
      </c>
      <c r="G29" s="28">
        <v>1.3</v>
      </c>
      <c r="H29" s="28">
        <v>1.3</v>
      </c>
      <c r="I29" s="28">
        <v>1.3</v>
      </c>
      <c r="J29" s="28">
        <v>1.3</v>
      </c>
      <c r="K29" s="28">
        <v>1.3</v>
      </c>
      <c r="L29" s="28">
        <v>1.3</v>
      </c>
    </row>
    <row r="30" spans="2:20" outlineLevel="1" x14ac:dyDescent="0.2">
      <c r="B30" t="s">
        <v>104</v>
      </c>
      <c r="C30" s="17">
        <f>C102/C103</f>
        <v>0.9487771112136596</v>
      </c>
      <c r="D30" s="17">
        <f t="shared" ref="D30:F30" si="12">D102/D103</f>
        <v>1.1258544431041415</v>
      </c>
      <c r="E30" s="17">
        <f t="shared" si="12"/>
        <v>3.3124999999999996</v>
      </c>
      <c r="F30" s="17">
        <f t="shared" si="12"/>
        <v>1.3703703703703702</v>
      </c>
      <c r="G30" s="28">
        <v>1.4</v>
      </c>
      <c r="H30" s="28">
        <v>1.4</v>
      </c>
      <c r="I30" s="28">
        <v>1.4</v>
      </c>
      <c r="J30" s="28">
        <v>1.4</v>
      </c>
      <c r="K30" s="28">
        <v>1.4</v>
      </c>
      <c r="L30" s="28">
        <v>1.4</v>
      </c>
    </row>
    <row r="31" spans="2:20" outlineLevel="1" x14ac:dyDescent="0.2">
      <c r="B31" t="s">
        <v>22</v>
      </c>
      <c r="C31" s="23">
        <f t="shared" ref="C31" si="13">(C56/C38)*365</f>
        <v>168.97530894833488</v>
      </c>
      <c r="D31" s="23">
        <f t="shared" ref="D31:E31" si="14">(D56/D38)*365</f>
        <v>412.86607970342908</v>
      </c>
      <c r="E31" s="23">
        <f t="shared" si="14"/>
        <v>223.66851737610526</v>
      </c>
      <c r="F31" s="23">
        <f>(F56/F38)*365</f>
        <v>161.12183668145053</v>
      </c>
      <c r="G31" s="29">
        <v>161</v>
      </c>
      <c r="H31" s="29">
        <v>161</v>
      </c>
      <c r="I31" s="29">
        <v>161</v>
      </c>
      <c r="J31" s="29">
        <v>161</v>
      </c>
      <c r="K31" s="29">
        <v>161</v>
      </c>
      <c r="L31" s="29">
        <v>161</v>
      </c>
    </row>
    <row r="32" spans="2:20" outlineLevel="1" x14ac:dyDescent="0.2">
      <c r="B32" t="s">
        <v>23</v>
      </c>
      <c r="C32" s="23"/>
      <c r="D32" s="19">
        <f>(-D39/(AVERAGE(C57:D57)))</f>
        <v>28.466000000000001</v>
      </c>
      <c r="E32" s="19">
        <f>(-E39/(AVERAGE(D57:E57)))</f>
        <v>158.73684210526318</v>
      </c>
      <c r="F32" s="19">
        <f>(-F39/(AVERAGE(E57:F57)))</f>
        <v>227.29411764705878</v>
      </c>
      <c r="G32" s="39">
        <v>227</v>
      </c>
      <c r="H32" s="39">
        <v>227</v>
      </c>
      <c r="I32" s="39">
        <v>227</v>
      </c>
      <c r="J32" s="39">
        <v>227</v>
      </c>
      <c r="K32" s="39">
        <v>227</v>
      </c>
      <c r="L32" s="39">
        <v>227</v>
      </c>
      <c r="O32" s="30"/>
      <c r="P32" s="30"/>
      <c r="Q32" s="30"/>
      <c r="R32" s="30"/>
      <c r="S32" s="30"/>
      <c r="T32" s="30"/>
    </row>
    <row r="33" spans="2:12" outlineLevel="1" x14ac:dyDescent="0.2">
      <c r="B33" t="s">
        <v>24</v>
      </c>
      <c r="C33" s="23">
        <f>(C71/-C39)*365</f>
        <v>1065.4054054054054</v>
      </c>
      <c r="D33" s="23">
        <f>(D71/-D39)*365</f>
        <v>3313.2860254338502</v>
      </c>
      <c r="E33" s="23">
        <f>(E71/-E39)*365</f>
        <v>356.28647214854107</v>
      </c>
      <c r="F33" s="23">
        <f>(F71/-F39)*365</f>
        <v>296.23188405797106</v>
      </c>
      <c r="G33" s="29">
        <v>290</v>
      </c>
      <c r="H33" s="29">
        <v>290</v>
      </c>
      <c r="I33" s="29">
        <v>290</v>
      </c>
      <c r="J33" s="29">
        <v>290</v>
      </c>
      <c r="K33" s="29">
        <v>290</v>
      </c>
      <c r="L33" s="29">
        <v>290</v>
      </c>
    </row>
    <row r="34" spans="2:12" outlineLevel="1" x14ac:dyDescent="0.2">
      <c r="B34" t="s">
        <v>26</v>
      </c>
      <c r="E34" s="8"/>
    </row>
    <row r="35" spans="2:12" outlineLevel="1" x14ac:dyDescent="0.2">
      <c r="B35" t="s">
        <v>107</v>
      </c>
      <c r="D35" s="8">
        <f>D72/C72-1</f>
        <v>1.091776702836972</v>
      </c>
      <c r="E35" s="8">
        <f>E72/D72-1</f>
        <v>0.47604166666666647</v>
      </c>
      <c r="F35" s="8">
        <f t="shared" ref="F35" si="15">F72/E72-1</f>
        <v>0.23218066337332388</v>
      </c>
      <c r="G35" s="21">
        <f>G12</f>
        <v>0.09</v>
      </c>
      <c r="H35" s="21">
        <f t="shared" ref="H35:L35" si="16">H12</f>
        <v>-0.09</v>
      </c>
      <c r="I35" s="21">
        <f t="shared" si="16"/>
        <v>0.1</v>
      </c>
      <c r="J35" s="21">
        <f t="shared" si="16"/>
        <v>0.1</v>
      </c>
      <c r="K35" s="21">
        <f t="shared" si="16"/>
        <v>0.1</v>
      </c>
      <c r="L35" s="21">
        <f t="shared" si="16"/>
        <v>0.1</v>
      </c>
    </row>
    <row r="37" spans="2:12" x14ac:dyDescent="0.2">
      <c r="B37" s="35" t="s">
        <v>9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</row>
    <row r="38" spans="2:12" outlineLevel="1" x14ac:dyDescent="0.2">
      <c r="B38" t="s">
        <v>27</v>
      </c>
      <c r="C38" s="12">
        <v>201.49</v>
      </c>
      <c r="D38" s="12">
        <v>215.8</v>
      </c>
      <c r="E38" s="12">
        <v>486.3</v>
      </c>
      <c r="F38" s="12">
        <v>766.6</v>
      </c>
      <c r="G38" s="12">
        <f t="shared" ref="G38:L38" si="17">G11</f>
        <v>835.59400000000005</v>
      </c>
      <c r="H38" s="12">
        <f t="shared" si="17"/>
        <v>760.3905400000001</v>
      </c>
      <c r="I38" s="12">
        <f t="shared" si="17"/>
        <v>836.42959400000018</v>
      </c>
      <c r="J38" s="12">
        <f t="shared" si="17"/>
        <v>920.07255340000029</v>
      </c>
      <c r="K38" s="12">
        <f t="shared" si="17"/>
        <v>1012.0798087400004</v>
      </c>
      <c r="L38" s="12">
        <f t="shared" si="17"/>
        <v>1113.2877896140005</v>
      </c>
    </row>
    <row r="39" spans="2:12" outlineLevel="1" x14ac:dyDescent="0.2">
      <c r="B39" t="s">
        <v>28</v>
      </c>
      <c r="C39" s="12">
        <v>-14.689</v>
      </c>
      <c r="D39" s="12">
        <v>-14.233000000000001</v>
      </c>
      <c r="E39" s="12">
        <v>-150.80000000000001</v>
      </c>
      <c r="F39" s="12">
        <v>-193.2</v>
      </c>
      <c r="G39" s="12">
        <f>(G38-G40)*-1</f>
        <v>-208.89850000000001</v>
      </c>
      <c r="H39" s="12">
        <f t="shared" ref="H39:L39" si="18">(H38-H40)*-1</f>
        <v>-190.09763500000008</v>
      </c>
      <c r="I39" s="12">
        <f t="shared" si="18"/>
        <v>-209.10739850000004</v>
      </c>
      <c r="J39" s="12">
        <f t="shared" si="18"/>
        <v>-230.01813835000007</v>
      </c>
      <c r="K39" s="12">
        <f t="shared" si="18"/>
        <v>-253.01995218500008</v>
      </c>
      <c r="L39" s="12">
        <f t="shared" si="18"/>
        <v>-278.32194740350019</v>
      </c>
    </row>
    <row r="40" spans="2:12" outlineLevel="1" x14ac:dyDescent="0.2">
      <c r="B40" s="9" t="s">
        <v>29</v>
      </c>
      <c r="C40" s="13">
        <f>SUM(C38:C39)</f>
        <v>186.80100000000002</v>
      </c>
      <c r="D40" s="13">
        <f>SUM(D38:D39)</f>
        <v>201.56700000000001</v>
      </c>
      <c r="E40" s="13">
        <f>SUM(E38:E39)</f>
        <v>335.5</v>
      </c>
      <c r="F40" s="13">
        <f>SUM(F38:F39)</f>
        <v>573.40000000000009</v>
      </c>
      <c r="G40" s="13">
        <f t="shared" ref="G40:L40" si="19">G21*G38</f>
        <v>626.69550000000004</v>
      </c>
      <c r="H40" s="13">
        <f t="shared" si="19"/>
        <v>570.29290500000002</v>
      </c>
      <c r="I40" s="13">
        <f t="shared" si="19"/>
        <v>627.32219550000013</v>
      </c>
      <c r="J40" s="13">
        <f t="shared" si="19"/>
        <v>690.05441505000022</v>
      </c>
      <c r="K40" s="13">
        <f t="shared" si="19"/>
        <v>759.05985655500035</v>
      </c>
      <c r="L40" s="13">
        <f t="shared" si="19"/>
        <v>834.96584221050034</v>
      </c>
    </row>
    <row r="41" spans="2:12" outlineLevel="1" x14ac:dyDescent="0.2">
      <c r="B41" t="s">
        <v>16</v>
      </c>
      <c r="C41" s="12">
        <v>-32.128</v>
      </c>
      <c r="D41" s="12">
        <v>-31.884</v>
      </c>
      <c r="E41" s="12">
        <v>-116.3</v>
      </c>
      <c r="F41" s="12">
        <v>-178</v>
      </c>
      <c r="G41" s="12">
        <f t="shared" ref="G41:L42" si="20">(G22*G$38)*-1</f>
        <v>-125.3391</v>
      </c>
      <c r="H41" s="12">
        <f t="shared" si="20"/>
        <v>-114.05858100000002</v>
      </c>
      <c r="I41" s="12">
        <f t="shared" si="20"/>
        <v>-125.46443910000002</v>
      </c>
      <c r="J41" s="12">
        <f t="shared" si="20"/>
        <v>-138.01088301000004</v>
      </c>
      <c r="K41" s="12">
        <f t="shared" si="20"/>
        <v>-151.81197131100006</v>
      </c>
      <c r="L41" s="12">
        <f t="shared" si="20"/>
        <v>-166.99316844210009</v>
      </c>
    </row>
    <row r="42" spans="2:12" outlineLevel="1" x14ac:dyDescent="0.2">
      <c r="B42" s="3" t="s">
        <v>17</v>
      </c>
      <c r="C42" s="12">
        <v>-125.252</v>
      </c>
      <c r="D42" s="12">
        <v>-124.94799999999999</v>
      </c>
      <c r="E42" s="12">
        <v>-181.3</v>
      </c>
      <c r="F42" s="12">
        <v>-341.9</v>
      </c>
      <c r="G42" s="12">
        <f t="shared" si="20"/>
        <v>-376.01730000000003</v>
      </c>
      <c r="H42" s="12">
        <f t="shared" si="20"/>
        <v>-342.17574300000007</v>
      </c>
      <c r="I42" s="12">
        <f t="shared" si="20"/>
        <v>-376.39331730000009</v>
      </c>
      <c r="J42" s="12">
        <f t="shared" si="20"/>
        <v>-414.03264903000013</v>
      </c>
      <c r="K42" s="12">
        <f t="shared" si="20"/>
        <v>-455.43591393300022</v>
      </c>
      <c r="L42" s="12">
        <f t="shared" si="20"/>
        <v>-500.97950532630023</v>
      </c>
    </row>
    <row r="43" spans="2:12" outlineLevel="1" x14ac:dyDescent="0.2">
      <c r="B43" s="3" t="s">
        <v>30</v>
      </c>
      <c r="C43" s="12">
        <v>0</v>
      </c>
      <c r="D43" s="12">
        <v>0</v>
      </c>
      <c r="E43" s="12">
        <v>-1.2</v>
      </c>
      <c r="F43" s="12">
        <v>-6.3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</row>
    <row r="44" spans="2:12" outlineLevel="1" x14ac:dyDescent="0.2">
      <c r="B44" s="3" t="s">
        <v>73</v>
      </c>
      <c r="C44" s="12"/>
      <c r="D44" s="12"/>
      <c r="E44" s="12"/>
      <c r="F44" s="12"/>
      <c r="G44" s="12">
        <f t="shared" ref="G44:L44" si="21">(G103+G97)*-1</f>
        <v>-84.091000000000008</v>
      </c>
      <c r="H44" s="12">
        <f t="shared" si="21"/>
        <v>-90.601863999999992</v>
      </c>
      <c r="I44" s="12">
        <f t="shared" si="21"/>
        <v>-84.09563281600002</v>
      </c>
      <c r="J44" s="12">
        <f t="shared" si="21"/>
        <v>-92.859685565504009</v>
      </c>
      <c r="K44" s="12">
        <f t="shared" si="21"/>
        <v>-102.5511900733366</v>
      </c>
      <c r="L44" s="12">
        <f t="shared" si="21"/>
        <v>-113.27024220893708</v>
      </c>
    </row>
    <row r="45" spans="2:12" outlineLevel="1" x14ac:dyDescent="0.2">
      <c r="B45" s="3" t="s">
        <v>31</v>
      </c>
      <c r="C45" s="12">
        <f>SUM(C41:C43)</f>
        <v>-157.38</v>
      </c>
      <c r="D45" s="12">
        <f>SUM(D41:D43)</f>
        <v>-156.83199999999999</v>
      </c>
      <c r="E45" s="12">
        <f>SUM(E41:E43)</f>
        <v>-298.8</v>
      </c>
      <c r="F45" s="12">
        <f>SUM(F41:F43)</f>
        <v>-526.19999999999993</v>
      </c>
      <c r="G45" s="12">
        <f>SUM(G41:G44)</f>
        <v>-585.44740000000002</v>
      </c>
      <c r="H45" s="12">
        <f t="shared" ref="H45:L45" si="22">SUM(H41:H44)</f>
        <v>-546.83618800000011</v>
      </c>
      <c r="I45" s="12">
        <f t="shared" si="22"/>
        <v>-585.95338921600012</v>
      </c>
      <c r="J45" s="12">
        <f t="shared" si="22"/>
        <v>-644.90321760550421</v>
      </c>
      <c r="K45" s="12">
        <f t="shared" si="22"/>
        <v>-709.79907531733681</v>
      </c>
      <c r="L45" s="12">
        <f t="shared" si="22"/>
        <v>-781.24291597733736</v>
      </c>
    </row>
    <row r="46" spans="2:12" outlineLevel="1" x14ac:dyDescent="0.2">
      <c r="B46" s="9" t="s">
        <v>36</v>
      </c>
      <c r="C46" s="13">
        <f>C40+C45</f>
        <v>29.421000000000021</v>
      </c>
      <c r="D46" s="13">
        <f>D40+D45</f>
        <v>44.735000000000014</v>
      </c>
      <c r="E46" s="13">
        <f>E40+E45</f>
        <v>36.699999999999989</v>
      </c>
      <c r="F46" s="13">
        <f>F40+F45</f>
        <v>47.200000000000159</v>
      </c>
      <c r="G46" s="13">
        <f t="shared" ref="G46" si="23">G40+G45</f>
        <v>41.248100000000022</v>
      </c>
      <c r="H46" s="13">
        <f t="shared" ref="H46" si="24">H40+H45</f>
        <v>23.456716999999912</v>
      </c>
      <c r="I46" s="13">
        <f t="shared" ref="I46" si="25">I40+I45</f>
        <v>41.368806284000016</v>
      </c>
      <c r="J46" s="13">
        <f t="shared" ref="J46" si="26">J40+J45</f>
        <v>45.151197444496006</v>
      </c>
      <c r="K46" s="13">
        <f t="shared" ref="K46" si="27">K40+K45</f>
        <v>49.260781237663537</v>
      </c>
      <c r="L46" s="13">
        <f t="shared" ref="L46" si="28">L40+L45</f>
        <v>53.72292623316298</v>
      </c>
    </row>
    <row r="47" spans="2:12" outlineLevel="1" x14ac:dyDescent="0.2">
      <c r="B47" s="3" t="s">
        <v>34</v>
      </c>
      <c r="C47" s="12">
        <v>0.63300000000000001</v>
      </c>
      <c r="D47" s="12">
        <v>0.77700000000000002</v>
      </c>
      <c r="E47" s="12">
        <v>0.5</v>
      </c>
      <c r="F47" s="12">
        <v>0.2</v>
      </c>
      <c r="G47" s="40">
        <v>0.2</v>
      </c>
      <c r="H47" s="40">
        <v>0.2</v>
      </c>
      <c r="I47" s="40">
        <v>0.2</v>
      </c>
      <c r="J47" s="40">
        <v>0.2</v>
      </c>
      <c r="K47" s="40">
        <v>0.2</v>
      </c>
      <c r="L47" s="40">
        <v>0.2</v>
      </c>
    </row>
    <row r="48" spans="2:12" outlineLevel="1" x14ac:dyDescent="0.2">
      <c r="B48" s="3" t="s">
        <v>35</v>
      </c>
      <c r="C48" s="12">
        <v>-0.626</v>
      </c>
      <c r="D48" s="12">
        <v>-0.39600000000000002</v>
      </c>
      <c r="E48" s="12">
        <v>-3.7</v>
      </c>
      <c r="F48" s="12">
        <v>-0.7</v>
      </c>
      <c r="G48" s="40">
        <v>-0.7</v>
      </c>
      <c r="H48" s="40">
        <v>-0.7</v>
      </c>
      <c r="I48" s="40">
        <v>-0.7</v>
      </c>
      <c r="J48" s="40">
        <v>-0.7</v>
      </c>
      <c r="K48" s="40">
        <v>-0.7</v>
      </c>
      <c r="L48" s="40">
        <v>-0.7</v>
      </c>
    </row>
    <row r="49" spans="2:22" outlineLevel="1" x14ac:dyDescent="0.2">
      <c r="B49" s="9" t="s">
        <v>37</v>
      </c>
      <c r="C49" s="13">
        <f>SUM(C46:C48)</f>
        <v>29.428000000000019</v>
      </c>
      <c r="D49" s="13">
        <f>SUM(D46:D48)+1.753</f>
        <v>46.869000000000014</v>
      </c>
      <c r="E49" s="13">
        <f>SUM(E46:E48)+1</f>
        <v>34.499999999999986</v>
      </c>
      <c r="F49" s="13">
        <f>SUM(F46:F48)</f>
        <v>46.700000000000159</v>
      </c>
      <c r="G49" s="13">
        <f t="shared" ref="G49:L49" si="29">SUM(G46:G48)</f>
        <v>40.748100000000022</v>
      </c>
      <c r="H49" s="13">
        <f t="shared" si="29"/>
        <v>22.956716999999912</v>
      </c>
      <c r="I49" s="13">
        <f t="shared" si="29"/>
        <v>40.868806284000016</v>
      </c>
      <c r="J49" s="13">
        <f t="shared" si="29"/>
        <v>44.651197444496006</v>
      </c>
      <c r="K49" s="13">
        <f t="shared" si="29"/>
        <v>48.760781237663537</v>
      </c>
      <c r="L49" s="13">
        <f t="shared" si="29"/>
        <v>53.22292623316298</v>
      </c>
    </row>
    <row r="50" spans="2:22" outlineLevel="1" x14ac:dyDescent="0.2">
      <c r="B50" s="3" t="s">
        <v>32</v>
      </c>
      <c r="C50" s="12">
        <v>-8.9550000000000001</v>
      </c>
      <c r="D50" s="12">
        <v>-8.8339999999999996</v>
      </c>
      <c r="E50" s="12">
        <v>6</v>
      </c>
      <c r="F50" s="12">
        <v>-12.9</v>
      </c>
      <c r="G50" s="12">
        <f t="shared" ref="G50:L50" si="30">(G49*G26)*-1</f>
        <v>-11.409468000000007</v>
      </c>
      <c r="H50" s="12">
        <f t="shared" si="30"/>
        <v>-6.4278807599999759</v>
      </c>
      <c r="I50" s="12">
        <f t="shared" si="30"/>
        <v>-11.443265759520006</v>
      </c>
      <c r="J50" s="12">
        <f t="shared" si="30"/>
        <v>-12.502335284458884</v>
      </c>
      <c r="K50" s="12">
        <f t="shared" si="30"/>
        <v>-13.653018746545792</v>
      </c>
      <c r="L50" s="12">
        <f t="shared" si="30"/>
        <v>-14.902419345285637</v>
      </c>
    </row>
    <row r="51" spans="2:22" ht="16" outlineLevel="1" thickBot="1" x14ac:dyDescent="0.25">
      <c r="B51" s="10" t="s">
        <v>33</v>
      </c>
      <c r="C51" s="41">
        <f>C49+C50</f>
        <v>20.47300000000002</v>
      </c>
      <c r="D51" s="41">
        <f>D49+D50</f>
        <v>38.035000000000011</v>
      </c>
      <c r="E51" s="41">
        <f>E49+E50</f>
        <v>40.499999999999986</v>
      </c>
      <c r="F51" s="41">
        <f>F49+F50</f>
        <v>33.800000000000161</v>
      </c>
      <c r="G51" s="41">
        <f t="shared" ref="G51:L51" si="31">G49+G50</f>
        <v>29.338632000000015</v>
      </c>
      <c r="H51" s="41">
        <f t="shared" si="31"/>
        <v>16.528836239999936</v>
      </c>
      <c r="I51" s="41">
        <f t="shared" si="31"/>
        <v>29.425540524480009</v>
      </c>
      <c r="J51" s="41">
        <f t="shared" si="31"/>
        <v>32.148862160037126</v>
      </c>
      <c r="K51" s="41">
        <f t="shared" si="31"/>
        <v>35.107762491117747</v>
      </c>
      <c r="L51" s="41">
        <f t="shared" si="31"/>
        <v>38.320506887877343</v>
      </c>
      <c r="S51" s="5"/>
    </row>
    <row r="52" spans="2:22" ht="16" outlineLevel="1" thickTop="1" x14ac:dyDescent="0.2">
      <c r="O52" s="8"/>
      <c r="P52" s="8"/>
      <c r="Q52" s="8"/>
      <c r="R52" s="8"/>
      <c r="S52" s="8"/>
      <c r="T52" s="8"/>
      <c r="U52" s="8"/>
      <c r="V52" s="8"/>
    </row>
    <row r="53" spans="2:22" outlineLevel="1" x14ac:dyDescent="0.2">
      <c r="B53" s="24" t="s">
        <v>93</v>
      </c>
      <c r="F53" s="14"/>
      <c r="G53" s="4">
        <v>66</v>
      </c>
      <c r="H53" s="4">
        <v>66</v>
      </c>
      <c r="I53" s="4">
        <v>66</v>
      </c>
      <c r="J53" s="4">
        <v>66</v>
      </c>
      <c r="K53" s="4">
        <v>66</v>
      </c>
      <c r="L53" s="4">
        <v>66</v>
      </c>
    </row>
    <row r="55" spans="2:22" x14ac:dyDescent="0.2">
      <c r="B55" s="35" t="s">
        <v>21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</row>
    <row r="56" spans="2:22" outlineLevel="1" x14ac:dyDescent="0.2">
      <c r="B56" s="26" t="s">
        <v>105</v>
      </c>
      <c r="C56" s="14">
        <v>93.278999999999996</v>
      </c>
      <c r="D56" s="14">
        <f>171.4+72.7</f>
        <v>244.10000000000002</v>
      </c>
      <c r="E56" s="14">
        <f>230.4+67.6</f>
        <v>298</v>
      </c>
      <c r="F56" s="48">
        <f>237.9+100.5</f>
        <v>338.4</v>
      </c>
      <c r="G56" s="14">
        <f t="shared" ref="G56:L56" si="32">(G31/G8)*G38</f>
        <v>368.57707945205482</v>
      </c>
      <c r="H56" s="14">
        <f t="shared" si="32"/>
        <v>335.40514230136995</v>
      </c>
      <c r="I56" s="14">
        <f t="shared" si="32"/>
        <v>368.94565653150693</v>
      </c>
      <c r="J56" s="14">
        <f t="shared" si="32"/>
        <v>405.8402221846577</v>
      </c>
      <c r="K56" s="14">
        <f t="shared" si="32"/>
        <v>446.42424440312351</v>
      </c>
      <c r="L56" s="14">
        <f t="shared" si="32"/>
        <v>491.06666884343588</v>
      </c>
    </row>
    <row r="57" spans="2:22" outlineLevel="1" x14ac:dyDescent="0.2">
      <c r="B57" s="26" t="s">
        <v>52</v>
      </c>
      <c r="C57" s="14">
        <v>0</v>
      </c>
      <c r="D57" s="14">
        <v>1</v>
      </c>
      <c r="E57" s="14">
        <v>0.9</v>
      </c>
      <c r="F57" s="48">
        <v>0.8</v>
      </c>
      <c r="G57" s="49">
        <f>-G39/G32</f>
        <v>0.9202577092511014</v>
      </c>
      <c r="H57" s="49">
        <f t="shared" ref="H57:L57" si="33">-H39/H32</f>
        <v>0.83743451541850256</v>
      </c>
      <c r="I57" s="49">
        <f t="shared" si="33"/>
        <v>0.92117796696035259</v>
      </c>
      <c r="J57" s="49">
        <f t="shared" si="33"/>
        <v>1.013295763656388</v>
      </c>
      <c r="K57" s="49">
        <f t="shared" si="33"/>
        <v>1.1146253400220267</v>
      </c>
      <c r="L57" s="49">
        <f t="shared" si="33"/>
        <v>1.2260878740242298</v>
      </c>
    </row>
    <row r="58" spans="2:22" outlineLevel="1" x14ac:dyDescent="0.2">
      <c r="B58" s="26" t="s">
        <v>40</v>
      </c>
      <c r="C58" s="14">
        <v>45.485999999999997</v>
      </c>
      <c r="D58" s="14">
        <v>0</v>
      </c>
      <c r="E58" s="14">
        <v>0.2</v>
      </c>
      <c r="F58" s="48">
        <v>0.6</v>
      </c>
      <c r="G58" s="50">
        <v>0</v>
      </c>
      <c r="H58" s="50">
        <v>0</v>
      </c>
      <c r="I58" s="50">
        <v>0</v>
      </c>
      <c r="J58" s="50">
        <v>0</v>
      </c>
      <c r="K58" s="50">
        <v>0</v>
      </c>
      <c r="L58" s="50">
        <v>0</v>
      </c>
    </row>
    <row r="59" spans="2:22" outlineLevel="1" x14ac:dyDescent="0.2">
      <c r="B59" s="26" t="s">
        <v>41</v>
      </c>
      <c r="C59" s="14">
        <v>85.462000000000003</v>
      </c>
      <c r="D59" s="14">
        <v>22.4</v>
      </c>
      <c r="E59" s="14">
        <v>105.6</v>
      </c>
      <c r="F59" s="48">
        <v>127.2</v>
      </c>
      <c r="G59" s="14">
        <f t="shared" ref="G59:L59" si="34">G143</f>
        <v>48.972430139010285</v>
      </c>
      <c r="H59" s="14">
        <f t="shared" si="34"/>
        <v>69.73832294649921</v>
      </c>
      <c r="I59" s="14">
        <f t="shared" si="34"/>
        <v>-17.273744024770934</v>
      </c>
      <c r="J59" s="14">
        <f t="shared" si="34"/>
        <v>-106.78804589722061</v>
      </c>
      <c r="K59" s="14">
        <f t="shared" si="34"/>
        <v>-199.11197822235115</v>
      </c>
      <c r="L59" s="14">
        <f t="shared" si="34"/>
        <v>-294.59190888365373</v>
      </c>
    </row>
    <row r="60" spans="2:22" outlineLevel="1" x14ac:dyDescent="0.2">
      <c r="B60" s="26" t="s">
        <v>53</v>
      </c>
      <c r="C60" s="14">
        <v>0</v>
      </c>
      <c r="D60" s="14">
        <v>0</v>
      </c>
      <c r="E60" s="14">
        <v>0.5</v>
      </c>
      <c r="F60" s="48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</row>
    <row r="61" spans="2:22" outlineLevel="1" x14ac:dyDescent="0.2">
      <c r="B61" s="26" t="s">
        <v>42</v>
      </c>
      <c r="C61" s="14">
        <v>3.5569999999999999</v>
      </c>
      <c r="D61" s="14">
        <v>5.2</v>
      </c>
      <c r="E61" s="14">
        <v>11.1</v>
      </c>
      <c r="F61" s="48">
        <v>10.8</v>
      </c>
      <c r="G61" s="50">
        <v>10.8</v>
      </c>
      <c r="H61" s="50">
        <v>10.8</v>
      </c>
      <c r="I61" s="50">
        <v>10.8</v>
      </c>
      <c r="J61" s="50">
        <v>10.8</v>
      </c>
      <c r="K61" s="50">
        <v>10.8</v>
      </c>
      <c r="L61" s="50">
        <v>10.8</v>
      </c>
    </row>
    <row r="62" spans="2:22" outlineLevel="1" x14ac:dyDescent="0.2">
      <c r="B62" s="42" t="s">
        <v>43</v>
      </c>
      <c r="C62" s="52">
        <f t="shared" ref="C62:L62" si="35">SUM(C56:C61)</f>
        <v>227.78399999999996</v>
      </c>
      <c r="D62" s="52">
        <f t="shared" si="35"/>
        <v>272.7</v>
      </c>
      <c r="E62" s="52">
        <f t="shared" si="35"/>
        <v>416.29999999999995</v>
      </c>
      <c r="F62" s="53">
        <f t="shared" si="35"/>
        <v>477.8</v>
      </c>
      <c r="G62" s="52">
        <f t="shared" si="35"/>
        <v>429.26976730031618</v>
      </c>
      <c r="H62" s="52">
        <f t="shared" si="35"/>
        <v>416.78089976328766</v>
      </c>
      <c r="I62" s="52">
        <f t="shared" si="35"/>
        <v>363.3930904736963</v>
      </c>
      <c r="J62" s="52">
        <f t="shared" si="35"/>
        <v>310.86547205109349</v>
      </c>
      <c r="K62" s="52">
        <f t="shared" si="35"/>
        <v>259.22689152079437</v>
      </c>
      <c r="L62" s="52">
        <f t="shared" si="35"/>
        <v>208.5008478338064</v>
      </c>
    </row>
    <row r="63" spans="2:22" outlineLevel="1" x14ac:dyDescent="0.2">
      <c r="B63" s="26"/>
      <c r="C63" s="14"/>
      <c r="D63" s="14"/>
      <c r="E63" s="14"/>
      <c r="F63" s="14"/>
      <c r="G63" s="14"/>
      <c r="H63" s="14"/>
      <c r="I63" s="14"/>
      <c r="J63" s="14"/>
      <c r="K63" s="14"/>
      <c r="L63" s="14"/>
    </row>
    <row r="64" spans="2:22" outlineLevel="1" x14ac:dyDescent="0.2">
      <c r="B64" s="26" t="s">
        <v>44</v>
      </c>
      <c r="C64" s="54">
        <v>54.305</v>
      </c>
      <c r="D64" s="14">
        <v>42.4</v>
      </c>
      <c r="E64" s="14">
        <v>1283.5</v>
      </c>
      <c r="F64" s="48">
        <v>1285.3</v>
      </c>
      <c r="G64" s="50">
        <f>F64</f>
        <v>1285.3</v>
      </c>
      <c r="H64" s="50">
        <f t="shared" ref="H64:L64" si="36">G64</f>
        <v>1285.3</v>
      </c>
      <c r="I64" s="50">
        <f t="shared" si="36"/>
        <v>1285.3</v>
      </c>
      <c r="J64" s="50">
        <f t="shared" si="36"/>
        <v>1285.3</v>
      </c>
      <c r="K64" s="50">
        <f t="shared" si="36"/>
        <v>1285.3</v>
      </c>
      <c r="L64" s="50">
        <f t="shared" si="36"/>
        <v>1285.3</v>
      </c>
    </row>
    <row r="65" spans="2:12" outlineLevel="1" x14ac:dyDescent="0.2">
      <c r="B65" s="26" t="s">
        <v>45</v>
      </c>
      <c r="C65" s="54">
        <v>21.867999999999999</v>
      </c>
      <c r="D65" s="14">
        <v>199</v>
      </c>
      <c r="E65" s="14">
        <v>678.8</v>
      </c>
      <c r="F65" s="48">
        <v>599.5</v>
      </c>
      <c r="G65" s="14">
        <f>G98</f>
        <v>642.76461538461535</v>
      </c>
      <c r="H65" s="14">
        <f t="shared" ref="H65:L65" si="37">H98</f>
        <v>584.9158000000001</v>
      </c>
      <c r="I65" s="14">
        <f t="shared" si="37"/>
        <v>643.4073800000001</v>
      </c>
      <c r="J65" s="14">
        <f t="shared" si="37"/>
        <v>707.7481180000002</v>
      </c>
      <c r="K65" s="14">
        <f t="shared" si="37"/>
        <v>778.52292980000027</v>
      </c>
      <c r="L65" s="14">
        <f t="shared" si="37"/>
        <v>856.3752227800004</v>
      </c>
    </row>
    <row r="66" spans="2:12" outlineLevel="1" x14ac:dyDescent="0.2">
      <c r="B66" s="26" t="s">
        <v>46</v>
      </c>
      <c r="C66" s="54">
        <v>7.1</v>
      </c>
      <c r="D66" s="14">
        <v>7.4</v>
      </c>
      <c r="E66" s="14">
        <v>14.8</v>
      </c>
      <c r="F66" s="48">
        <v>17.100000000000001</v>
      </c>
      <c r="G66" s="49">
        <f>G104</f>
        <v>19.562400000000004</v>
      </c>
      <c r="H66" s="49">
        <f t="shared" ref="H66:L66" si="38">H104</f>
        <v>22.379385599999999</v>
      </c>
      <c r="I66" s="49">
        <f t="shared" si="38"/>
        <v>25.6020171264</v>
      </c>
      <c r="J66" s="49">
        <f t="shared" si="38"/>
        <v>29.288707592601597</v>
      </c>
      <c r="K66" s="49">
        <f t="shared" si="38"/>
        <v>33.506281485936228</v>
      </c>
      <c r="L66" s="49">
        <f t="shared" si="38"/>
        <v>38.331186019911044</v>
      </c>
    </row>
    <row r="67" spans="2:12" outlineLevel="1" x14ac:dyDescent="0.2">
      <c r="B67" s="26" t="s">
        <v>106</v>
      </c>
      <c r="C67" s="54">
        <f>3.594+1.5</f>
        <v>5.0939999999999994</v>
      </c>
      <c r="D67" s="14">
        <v>2.1</v>
      </c>
      <c r="E67" s="14">
        <f>9+1.2</f>
        <v>10.199999999999999</v>
      </c>
      <c r="F67" s="48">
        <f>11.8+2.2</f>
        <v>14</v>
      </c>
      <c r="G67" s="14">
        <f>F67*(1+G12)</f>
        <v>15.260000000000002</v>
      </c>
      <c r="H67" s="14">
        <f t="shared" ref="H67:L67" si="39">G67*(1+H12)</f>
        <v>13.886600000000001</v>
      </c>
      <c r="I67" s="14">
        <f t="shared" si="39"/>
        <v>15.275260000000003</v>
      </c>
      <c r="J67" s="14">
        <f t="shared" si="39"/>
        <v>16.802786000000005</v>
      </c>
      <c r="K67" s="14">
        <f t="shared" si="39"/>
        <v>18.483064600000006</v>
      </c>
      <c r="L67" s="14">
        <f t="shared" si="39"/>
        <v>20.331371060000009</v>
      </c>
    </row>
    <row r="68" spans="2:12" outlineLevel="1" x14ac:dyDescent="0.2">
      <c r="B68" s="26" t="s">
        <v>26</v>
      </c>
      <c r="C68" s="54">
        <v>1.222</v>
      </c>
      <c r="D68" s="14">
        <v>0</v>
      </c>
      <c r="E68" s="14">
        <v>5.6</v>
      </c>
      <c r="F68" s="48">
        <v>7.1</v>
      </c>
      <c r="G68" s="50">
        <v>7.1</v>
      </c>
      <c r="H68" s="50">
        <v>7.1</v>
      </c>
      <c r="I68" s="50">
        <v>7.1</v>
      </c>
      <c r="J68" s="50">
        <v>7.1</v>
      </c>
      <c r="K68" s="50">
        <v>7.1</v>
      </c>
      <c r="L68" s="50">
        <v>7.1</v>
      </c>
    </row>
    <row r="69" spans="2:12" outlineLevel="1" x14ac:dyDescent="0.2">
      <c r="B69" s="43" t="s">
        <v>47</v>
      </c>
      <c r="C69" s="46">
        <f>SUM(C62:C68)</f>
        <v>317.37299999999993</v>
      </c>
      <c r="D69" s="46">
        <f>SUM(D62:D68)+1.6</f>
        <v>525.19999999999993</v>
      </c>
      <c r="E69" s="46">
        <f t="shared" ref="E69:L69" si="40">SUM(E62:E68)</f>
        <v>2409.1999999999998</v>
      </c>
      <c r="F69" s="55">
        <f t="shared" si="40"/>
        <v>2400.7999999999997</v>
      </c>
      <c r="G69" s="46">
        <f t="shared" si="40"/>
        <v>2399.2567826849313</v>
      </c>
      <c r="H69" s="46">
        <f t="shared" si="40"/>
        <v>2330.3626853632877</v>
      </c>
      <c r="I69" s="46">
        <f t="shared" si="40"/>
        <v>2340.0777476000958</v>
      </c>
      <c r="J69" s="46">
        <f t="shared" si="40"/>
        <v>2357.1050836436953</v>
      </c>
      <c r="K69" s="46">
        <f t="shared" si="40"/>
        <v>2382.1391674067308</v>
      </c>
      <c r="L69" s="46">
        <f t="shared" si="40"/>
        <v>2415.9386276937175</v>
      </c>
    </row>
    <row r="70" spans="2:12" outlineLevel="1" x14ac:dyDescent="0.2">
      <c r="B70" s="26"/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 spans="2:12" outlineLevel="1" x14ac:dyDescent="0.2">
      <c r="B71" s="26" t="s">
        <v>48</v>
      </c>
      <c r="C71" s="54">
        <v>42.875999999999998</v>
      </c>
      <c r="D71" s="14">
        <v>129.19999999999999</v>
      </c>
      <c r="E71" s="14">
        <v>147.19999999999999</v>
      </c>
      <c r="F71" s="48">
        <v>156.80000000000001</v>
      </c>
      <c r="G71" s="48">
        <f>(G33/G8)*-G39</f>
        <v>165.97415068493152</v>
      </c>
      <c r="H71" s="48">
        <f t="shared" ref="H71:L71" si="41">(H33/H8)*-H39</f>
        <v>151.03647712328774</v>
      </c>
      <c r="I71" s="48">
        <f t="shared" si="41"/>
        <v>166.14012483561646</v>
      </c>
      <c r="J71" s="48">
        <f t="shared" si="41"/>
        <v>182.75413731917814</v>
      </c>
      <c r="K71" s="48">
        <f t="shared" si="41"/>
        <v>201.02955105109595</v>
      </c>
      <c r="L71" s="48">
        <f t="shared" si="41"/>
        <v>221.13250615620561</v>
      </c>
    </row>
    <row r="72" spans="2:12" outlineLevel="1" x14ac:dyDescent="0.2">
      <c r="B72" s="26" t="s">
        <v>102</v>
      </c>
      <c r="C72" s="54">
        <v>45.893999999999998</v>
      </c>
      <c r="D72" s="14">
        <v>96</v>
      </c>
      <c r="E72" s="14">
        <v>141.69999999999999</v>
      </c>
      <c r="F72" s="48">
        <v>174.6</v>
      </c>
      <c r="G72" s="48">
        <f>F72*(1+G12)</f>
        <v>190.31400000000002</v>
      </c>
      <c r="H72" s="48">
        <f t="shared" ref="H72:L72" si="42">G72*(1+H12)</f>
        <v>173.18574000000004</v>
      </c>
      <c r="I72" s="48">
        <f t="shared" si="42"/>
        <v>190.50431400000005</v>
      </c>
      <c r="J72" s="48">
        <f t="shared" si="42"/>
        <v>209.55474540000006</v>
      </c>
      <c r="K72" s="48">
        <f t="shared" si="42"/>
        <v>230.51021994000007</v>
      </c>
      <c r="L72" s="48">
        <f t="shared" si="42"/>
        <v>253.56124193400009</v>
      </c>
    </row>
    <row r="73" spans="2:12" outlineLevel="1" x14ac:dyDescent="0.2">
      <c r="B73" s="26" t="s">
        <v>49</v>
      </c>
      <c r="C73" s="54">
        <v>0.19600000000000001</v>
      </c>
      <c r="D73" s="14">
        <v>1.9</v>
      </c>
      <c r="E73" s="14">
        <v>0</v>
      </c>
      <c r="F73" s="48">
        <v>0.1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</row>
    <row r="74" spans="2:12" outlineLevel="1" x14ac:dyDescent="0.2">
      <c r="B74" s="26" t="s">
        <v>55</v>
      </c>
      <c r="C74" s="54">
        <v>0</v>
      </c>
      <c r="D74" s="14">
        <v>0</v>
      </c>
      <c r="E74" s="14">
        <v>0</v>
      </c>
      <c r="F74" s="48">
        <v>1.9</v>
      </c>
      <c r="G74" s="56">
        <v>1.9</v>
      </c>
      <c r="H74" s="56">
        <v>1.9</v>
      </c>
      <c r="I74" s="56">
        <v>1.9</v>
      </c>
      <c r="J74" s="56">
        <v>1.9</v>
      </c>
      <c r="K74" s="56">
        <v>1.9</v>
      </c>
      <c r="L74" s="56">
        <v>1.9</v>
      </c>
    </row>
    <row r="75" spans="2:12" outlineLevel="1" x14ac:dyDescent="0.2">
      <c r="B75" s="26" t="s">
        <v>50</v>
      </c>
      <c r="C75" s="54">
        <v>0.86499999999999999</v>
      </c>
      <c r="D75" s="14">
        <v>8.6</v>
      </c>
      <c r="E75" s="14">
        <v>12.1</v>
      </c>
      <c r="F75" s="48">
        <v>12.8</v>
      </c>
      <c r="G75" s="56">
        <v>12.8</v>
      </c>
      <c r="H75" s="56">
        <v>12.8</v>
      </c>
      <c r="I75" s="56">
        <v>12.8</v>
      </c>
      <c r="J75" s="56">
        <v>12.8</v>
      </c>
      <c r="K75" s="56">
        <v>12.8</v>
      </c>
      <c r="L75" s="56">
        <v>12.8</v>
      </c>
    </row>
    <row r="76" spans="2:12" outlineLevel="1" x14ac:dyDescent="0.2">
      <c r="B76" s="42" t="s">
        <v>51</v>
      </c>
      <c r="C76" s="52">
        <f>SUM(C71:C75)</f>
        <v>89.830999999999989</v>
      </c>
      <c r="D76" s="52">
        <f>SUM(D71:D75)</f>
        <v>235.7</v>
      </c>
      <c r="E76" s="52">
        <f>SUM(E71:E75)+10</f>
        <v>311</v>
      </c>
      <c r="F76" s="52">
        <f t="shared" ref="F76:L76" si="43">SUM(F71:F75)</f>
        <v>346.2</v>
      </c>
      <c r="G76" s="52">
        <f t="shared" si="43"/>
        <v>370.98815068493155</v>
      </c>
      <c r="H76" s="52">
        <f t="shared" si="43"/>
        <v>338.92221712328779</v>
      </c>
      <c r="I76" s="52">
        <f t="shared" si="43"/>
        <v>371.34443883561647</v>
      </c>
      <c r="J76" s="52">
        <f t="shared" si="43"/>
        <v>407.00888271917819</v>
      </c>
      <c r="K76" s="52">
        <f t="shared" si="43"/>
        <v>446.23977099109601</v>
      </c>
      <c r="L76" s="52">
        <f t="shared" si="43"/>
        <v>489.39374809020569</v>
      </c>
    </row>
    <row r="77" spans="2:12" outlineLevel="1" x14ac:dyDescent="0.2">
      <c r="B77" s="26"/>
      <c r="C77" s="14"/>
      <c r="D77" s="14"/>
      <c r="E77" s="14"/>
      <c r="F77" s="14"/>
      <c r="G77" s="14"/>
      <c r="H77" s="14"/>
      <c r="I77" s="14"/>
      <c r="J77" s="14"/>
      <c r="K77" s="14"/>
      <c r="L77" s="14"/>
    </row>
    <row r="78" spans="2:12" outlineLevel="1" x14ac:dyDescent="0.2">
      <c r="B78" s="26" t="s">
        <v>56</v>
      </c>
      <c r="C78" s="54">
        <v>3.3809999999999998</v>
      </c>
      <c r="D78" s="14">
        <v>75.7</v>
      </c>
      <c r="E78" s="14">
        <v>130.5</v>
      </c>
      <c r="F78" s="48">
        <v>111.3</v>
      </c>
      <c r="G78" s="48">
        <v>122.43</v>
      </c>
      <c r="H78" s="48">
        <v>134.67300000000003</v>
      </c>
      <c r="I78" s="48">
        <v>148.14030000000005</v>
      </c>
      <c r="J78" s="48">
        <v>162.95433000000008</v>
      </c>
      <c r="K78" s="48">
        <v>179.24976300000012</v>
      </c>
      <c r="L78" s="48">
        <v>197.17473930000014</v>
      </c>
    </row>
    <row r="79" spans="2:12" outlineLevel="1" x14ac:dyDescent="0.2">
      <c r="B79" s="26" t="s">
        <v>57</v>
      </c>
      <c r="C79" s="54">
        <v>3.81</v>
      </c>
      <c r="D79" s="14">
        <v>3.4</v>
      </c>
      <c r="E79" s="14">
        <v>2.2000000000000002</v>
      </c>
      <c r="F79" s="48">
        <v>3.1</v>
      </c>
      <c r="G79" s="50">
        <v>3.1</v>
      </c>
      <c r="H79" s="50">
        <v>3.1</v>
      </c>
      <c r="I79" s="50">
        <v>3.1</v>
      </c>
      <c r="J79" s="50">
        <v>3.1</v>
      </c>
      <c r="K79" s="50">
        <v>3.1</v>
      </c>
      <c r="L79" s="50">
        <v>3.1</v>
      </c>
    </row>
    <row r="80" spans="2:12" outlineLevel="1" x14ac:dyDescent="0.2">
      <c r="B80" s="26" t="s">
        <v>74</v>
      </c>
      <c r="C80" s="54"/>
      <c r="D80" s="14"/>
      <c r="E80" s="14"/>
      <c r="F80" s="48"/>
      <c r="G80" s="50"/>
      <c r="H80" s="14"/>
      <c r="I80" s="14"/>
      <c r="J80" s="14"/>
      <c r="K80" s="14"/>
      <c r="L80" s="14"/>
    </row>
    <row r="81" spans="2:20" outlineLevel="1" x14ac:dyDescent="0.2">
      <c r="B81" s="26" t="s">
        <v>55</v>
      </c>
      <c r="C81" s="54">
        <v>0</v>
      </c>
      <c r="D81" s="14">
        <v>0</v>
      </c>
      <c r="E81" s="14">
        <v>0</v>
      </c>
      <c r="F81" s="48">
        <v>2.6</v>
      </c>
      <c r="G81" s="50">
        <v>2.6</v>
      </c>
      <c r="H81" s="50">
        <v>2.6</v>
      </c>
      <c r="I81" s="50">
        <v>2.6</v>
      </c>
      <c r="J81" s="50">
        <v>2.6</v>
      </c>
      <c r="K81" s="50">
        <v>2.6</v>
      </c>
      <c r="L81" s="50">
        <v>2.6</v>
      </c>
    </row>
    <row r="82" spans="2:20" outlineLevel="1" x14ac:dyDescent="0.2">
      <c r="B82" s="26" t="s">
        <v>58</v>
      </c>
      <c r="C82" s="54">
        <v>0</v>
      </c>
      <c r="D82" s="14">
        <v>5.2</v>
      </c>
      <c r="E82" s="14">
        <v>10.8</v>
      </c>
      <c r="F82" s="48">
        <v>13.1</v>
      </c>
      <c r="G82" s="50">
        <v>13.1</v>
      </c>
      <c r="H82" s="50">
        <v>13.1</v>
      </c>
      <c r="I82" s="50">
        <v>13.1</v>
      </c>
      <c r="J82" s="50">
        <v>13.1</v>
      </c>
      <c r="K82" s="50">
        <v>13.1</v>
      </c>
      <c r="L82" s="50">
        <v>13.1</v>
      </c>
    </row>
    <row r="83" spans="2:20" outlineLevel="1" x14ac:dyDescent="0.2">
      <c r="B83" s="43" t="s">
        <v>59</v>
      </c>
      <c r="C83" s="46">
        <f>SUM(C78:C82)+C76</f>
        <v>97.021999999999991</v>
      </c>
      <c r="D83" s="46">
        <f t="shared" ref="D83:L83" si="44">SUM(D78:D82)+D76</f>
        <v>320</v>
      </c>
      <c r="E83" s="46">
        <f t="shared" si="44"/>
        <v>454.5</v>
      </c>
      <c r="F83" s="46">
        <f t="shared" si="44"/>
        <v>476.29999999999995</v>
      </c>
      <c r="G83" s="46">
        <f t="shared" si="44"/>
        <v>512.21815068493152</v>
      </c>
      <c r="H83" s="46">
        <f t="shared" si="44"/>
        <v>492.39521712328781</v>
      </c>
      <c r="I83" s="46">
        <f t="shared" si="44"/>
        <v>538.28473883561651</v>
      </c>
      <c r="J83" s="46">
        <f t="shared" si="44"/>
        <v>588.76321271917823</v>
      </c>
      <c r="K83" s="46">
        <f t="shared" si="44"/>
        <v>644.28953399109605</v>
      </c>
      <c r="L83" s="46">
        <f t="shared" si="44"/>
        <v>705.36848739020581</v>
      </c>
    </row>
    <row r="84" spans="2:20" outlineLevel="1" x14ac:dyDescent="0.2">
      <c r="B84" s="26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2:20" outlineLevel="1" x14ac:dyDescent="0.2">
      <c r="B85" s="26" t="s">
        <v>60</v>
      </c>
      <c r="C85" s="48">
        <v>2.2749999999999999</v>
      </c>
      <c r="D85" s="48">
        <v>2.2999999999999998</v>
      </c>
      <c r="E85" s="14">
        <v>5.7</v>
      </c>
      <c r="F85" s="48">
        <v>5.7</v>
      </c>
      <c r="G85" s="51">
        <v>5.7</v>
      </c>
      <c r="H85" s="51">
        <v>5.7</v>
      </c>
      <c r="I85" s="51">
        <v>5.7</v>
      </c>
      <c r="J85" s="51">
        <v>5.7</v>
      </c>
      <c r="K85" s="51">
        <v>5.7</v>
      </c>
      <c r="L85" s="51">
        <v>5.7</v>
      </c>
    </row>
    <row r="86" spans="2:20" outlineLevel="1" x14ac:dyDescent="0.2">
      <c r="B86" s="26" t="s">
        <v>61</v>
      </c>
      <c r="C86" s="48">
        <v>27.288</v>
      </c>
      <c r="D86" s="48">
        <v>27.3</v>
      </c>
      <c r="E86" s="14">
        <v>574.5</v>
      </c>
      <c r="F86" s="48">
        <v>574.5</v>
      </c>
      <c r="G86" s="51">
        <v>574.5</v>
      </c>
      <c r="H86" s="51">
        <v>574.5</v>
      </c>
      <c r="I86" s="51">
        <v>574.5</v>
      </c>
      <c r="J86" s="51">
        <v>574.5</v>
      </c>
      <c r="K86" s="51">
        <v>574.5</v>
      </c>
      <c r="L86" s="51">
        <v>574.5</v>
      </c>
    </row>
    <row r="87" spans="2:20" outlineLevel="1" x14ac:dyDescent="0.2">
      <c r="B87" s="26" t="s">
        <v>62</v>
      </c>
      <c r="C87" s="48">
        <v>12.896000000000001</v>
      </c>
      <c r="D87" s="48">
        <v>-4.2</v>
      </c>
      <c r="E87" s="48">
        <v>1179.4000000000001</v>
      </c>
      <c r="F87" s="48">
        <v>1178.8</v>
      </c>
      <c r="G87" s="50">
        <f>F87</f>
        <v>1178.8</v>
      </c>
      <c r="H87" s="50">
        <f t="shared" ref="H87:L87" si="45">G87</f>
        <v>1178.8</v>
      </c>
      <c r="I87" s="50">
        <f t="shared" si="45"/>
        <v>1178.8</v>
      </c>
      <c r="J87" s="50">
        <f t="shared" si="45"/>
        <v>1178.8</v>
      </c>
      <c r="K87" s="50">
        <f t="shared" si="45"/>
        <v>1178.8</v>
      </c>
      <c r="L87" s="50">
        <f t="shared" si="45"/>
        <v>1178.8</v>
      </c>
    </row>
    <row r="88" spans="2:20" outlineLevel="1" x14ac:dyDescent="0.2">
      <c r="B88" s="26" t="s">
        <v>63</v>
      </c>
      <c r="C88" s="48">
        <v>178.22300000000001</v>
      </c>
      <c r="D88" s="48">
        <v>181.1</v>
      </c>
      <c r="E88" s="14">
        <v>195.1</v>
      </c>
      <c r="F88" s="48">
        <v>165.5</v>
      </c>
      <c r="G88" s="14">
        <f>F88+G51-G53</f>
        <v>128.83863200000002</v>
      </c>
      <c r="H88" s="14">
        <f t="shared" ref="H88:L88" si="46">G88+H51-H53</f>
        <v>79.367468239999965</v>
      </c>
      <c r="I88" s="14">
        <f t="shared" si="46"/>
        <v>42.793008764479978</v>
      </c>
      <c r="J88" s="14">
        <f t="shared" si="46"/>
        <v>8.9418709245171044</v>
      </c>
      <c r="K88" s="14">
        <f t="shared" si="46"/>
        <v>-21.950366584365149</v>
      </c>
      <c r="L88" s="14">
        <f t="shared" si="46"/>
        <v>-49.629859696487806</v>
      </c>
    </row>
    <row r="89" spans="2:20" outlineLevel="1" x14ac:dyDescent="0.2">
      <c r="B89" s="44" t="s">
        <v>64</v>
      </c>
      <c r="C89" s="57">
        <f>SUM(C85:C88)</f>
        <v>220.68200000000002</v>
      </c>
      <c r="D89" s="57">
        <f t="shared" ref="D89:L89" si="47">SUM(D85:D88)</f>
        <v>206.5</v>
      </c>
      <c r="E89" s="58">
        <f t="shared" si="47"/>
        <v>1954.7</v>
      </c>
      <c r="F89" s="58">
        <f t="shared" si="47"/>
        <v>1924.5</v>
      </c>
      <c r="G89" s="52">
        <f t="shared" si="47"/>
        <v>1887.838632</v>
      </c>
      <c r="H89" s="52">
        <f t="shared" si="47"/>
        <v>1838.3674682399999</v>
      </c>
      <c r="I89" s="52">
        <f t="shared" si="47"/>
        <v>1801.79300876448</v>
      </c>
      <c r="J89" s="52">
        <f t="shared" si="47"/>
        <v>1767.9418709245172</v>
      </c>
      <c r="K89" s="52">
        <f t="shared" si="47"/>
        <v>1737.0496334156348</v>
      </c>
      <c r="L89" s="52">
        <f t="shared" si="47"/>
        <v>1709.3701403035122</v>
      </c>
    </row>
    <row r="90" spans="2:20" ht="16" outlineLevel="1" thickBot="1" x14ac:dyDescent="0.25">
      <c r="B90" s="45" t="s">
        <v>108</v>
      </c>
      <c r="C90" s="47">
        <f>C89+C83</f>
        <v>317.70400000000001</v>
      </c>
      <c r="D90" s="47">
        <f t="shared" ref="D90:L90" si="48">D89+D83</f>
        <v>526.5</v>
      </c>
      <c r="E90" s="47">
        <f t="shared" si="48"/>
        <v>2409.1999999999998</v>
      </c>
      <c r="F90" s="47">
        <f t="shared" si="48"/>
        <v>2400.8000000000002</v>
      </c>
      <c r="G90" s="47">
        <f>ROUND(G89+G83,0)</f>
        <v>2400</v>
      </c>
      <c r="H90" s="47">
        <f t="shared" si="48"/>
        <v>2330.7626853632878</v>
      </c>
      <c r="I90" s="47">
        <f t="shared" si="48"/>
        <v>2340.0777476000967</v>
      </c>
      <c r="J90" s="47">
        <f t="shared" si="48"/>
        <v>2356.7050836436956</v>
      </c>
      <c r="K90" s="47">
        <f t="shared" si="48"/>
        <v>2381.3391674067307</v>
      </c>
      <c r="L90" s="47">
        <f t="shared" si="48"/>
        <v>2414.7386276937182</v>
      </c>
    </row>
    <row r="91" spans="2:20" ht="16" outlineLevel="1" thickTop="1" x14ac:dyDescent="0.2">
      <c r="B91" s="22" t="s">
        <v>65</v>
      </c>
      <c r="C91" s="22"/>
      <c r="D91" s="22"/>
      <c r="E91" s="22">
        <f>E89+E83-E69</f>
        <v>0</v>
      </c>
      <c r="F91" s="22">
        <f>F89+F83-F69</f>
        <v>0</v>
      </c>
      <c r="G91" s="14">
        <f t="shared" ref="G91:L91" si="49">G89+G83-G69</f>
        <v>0.8000000000001819</v>
      </c>
      <c r="H91" s="14">
        <f t="shared" si="49"/>
        <v>0.40000000000009095</v>
      </c>
      <c r="I91" s="14">
        <f t="shared" si="49"/>
        <v>0</v>
      </c>
      <c r="J91" s="14">
        <f t="shared" si="49"/>
        <v>-0.3999999999996362</v>
      </c>
      <c r="K91" s="14">
        <f t="shared" si="49"/>
        <v>-0.8000000000001819</v>
      </c>
      <c r="L91" s="14">
        <f t="shared" si="49"/>
        <v>-1.1999999999993634</v>
      </c>
      <c r="O91" s="14"/>
    </row>
    <row r="92" spans="2:20" x14ac:dyDescent="0.2">
      <c r="E92" s="14"/>
      <c r="F92" s="14"/>
      <c r="G92" s="14"/>
      <c r="H92" s="14"/>
      <c r="I92" s="14"/>
      <c r="J92" s="14"/>
      <c r="K92" s="14"/>
      <c r="L92" s="14"/>
    </row>
    <row r="93" spans="2:20" x14ac:dyDescent="0.2">
      <c r="B93" s="35" t="s">
        <v>66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</row>
    <row r="94" spans="2:20" outlineLevel="1" x14ac:dyDescent="0.2">
      <c r="B94" t="s">
        <v>67</v>
      </c>
      <c r="O94" s="14"/>
      <c r="P94" s="14"/>
      <c r="Q94" s="14"/>
      <c r="R94" s="14"/>
      <c r="S94" s="14"/>
      <c r="T94" s="14"/>
    </row>
    <row r="95" spans="2:20" outlineLevel="1" x14ac:dyDescent="0.2">
      <c r="B95" t="s">
        <v>68</v>
      </c>
      <c r="C95" s="5">
        <f>C97+C98</f>
        <v>27.821999999999999</v>
      </c>
      <c r="D95" s="5">
        <f>C98</f>
        <v>21.867999999999999</v>
      </c>
      <c r="E95" s="5">
        <f t="shared" ref="E95:F95" si="50">D98</f>
        <v>199</v>
      </c>
      <c r="F95" s="5">
        <f t="shared" si="50"/>
        <v>678.8</v>
      </c>
      <c r="G95" s="5">
        <f>F98</f>
        <v>599.5</v>
      </c>
      <c r="H95" s="5">
        <f t="shared" ref="H95:L95" si="51">G98</f>
        <v>642.76461538461535</v>
      </c>
      <c r="I95" s="5">
        <f t="shared" si="51"/>
        <v>584.9158000000001</v>
      </c>
      <c r="J95" s="5">
        <f t="shared" si="51"/>
        <v>643.4073800000001</v>
      </c>
      <c r="K95" s="5">
        <f t="shared" si="51"/>
        <v>707.7481180000002</v>
      </c>
      <c r="L95" s="5">
        <f t="shared" si="51"/>
        <v>778.52292980000027</v>
      </c>
      <c r="O95" s="5"/>
      <c r="P95" s="5"/>
      <c r="Q95" s="5"/>
    </row>
    <row r="96" spans="2:20" outlineLevel="1" x14ac:dyDescent="0.2">
      <c r="B96" t="s">
        <v>69</v>
      </c>
      <c r="C96" s="5"/>
      <c r="D96" s="5">
        <v>177.1</v>
      </c>
      <c r="E96" s="5">
        <v>479.8</v>
      </c>
      <c r="F96" s="5">
        <v>79.3</v>
      </c>
      <c r="G96" s="5">
        <f>G98+G97-G95</f>
        <v>121.1996153846153</v>
      </c>
      <c r="H96" s="5">
        <f>H98+H97-H95</f>
        <v>25.710584615384732</v>
      </c>
      <c r="I96" s="5">
        <f t="shared" ref="I96:L96" si="52">I98+I97-I95</f>
        <v>134.53063400000008</v>
      </c>
      <c r="J96" s="5">
        <f t="shared" si="52"/>
        <v>147.9836974000001</v>
      </c>
      <c r="K96" s="5">
        <f t="shared" si="52"/>
        <v>162.78206714000009</v>
      </c>
      <c r="L96" s="5">
        <f t="shared" si="52"/>
        <v>179.06027385400023</v>
      </c>
      <c r="O96" s="5"/>
      <c r="P96" s="5"/>
      <c r="Q96" s="5"/>
    </row>
    <row r="97" spans="2:22" outlineLevel="1" x14ac:dyDescent="0.2">
      <c r="B97" t="s">
        <v>70</v>
      </c>
      <c r="C97" s="5">
        <v>5.9539999999999997</v>
      </c>
      <c r="D97" s="5">
        <v>6.16</v>
      </c>
      <c r="E97" s="5">
        <v>46.4</v>
      </c>
      <c r="F97" s="5">
        <v>88.8</v>
      </c>
      <c r="G97" s="5">
        <f t="shared" ref="G97:L97" si="53">G95*G24</f>
        <v>77.935000000000002</v>
      </c>
      <c r="H97" s="5">
        <f t="shared" si="53"/>
        <v>83.559399999999997</v>
      </c>
      <c r="I97" s="5">
        <f t="shared" si="53"/>
        <v>76.039054000000021</v>
      </c>
      <c r="J97" s="5">
        <f t="shared" si="53"/>
        <v>83.642959400000009</v>
      </c>
      <c r="K97" s="5">
        <f t="shared" si="53"/>
        <v>92.007255340000029</v>
      </c>
      <c r="L97" s="5">
        <f t="shared" si="53"/>
        <v>101.20798087400004</v>
      </c>
      <c r="O97" s="5"/>
      <c r="P97" s="5"/>
      <c r="Q97" s="5"/>
      <c r="V97" s="8"/>
    </row>
    <row r="98" spans="2:22" outlineLevel="1" x14ac:dyDescent="0.2">
      <c r="B98" s="11" t="s">
        <v>71</v>
      </c>
      <c r="C98" s="16">
        <f>C65</f>
        <v>21.867999999999999</v>
      </c>
      <c r="D98" s="16">
        <f>D65</f>
        <v>199</v>
      </c>
      <c r="E98" s="16">
        <f>E65</f>
        <v>678.8</v>
      </c>
      <c r="F98" s="16">
        <f>F65</f>
        <v>599.5</v>
      </c>
      <c r="G98" s="16">
        <f t="shared" ref="G98:L98" si="54">G38/G29</f>
        <v>642.76461538461535</v>
      </c>
      <c r="H98" s="16">
        <f t="shared" si="54"/>
        <v>584.9158000000001</v>
      </c>
      <c r="I98" s="16">
        <f t="shared" si="54"/>
        <v>643.4073800000001</v>
      </c>
      <c r="J98" s="16">
        <f t="shared" si="54"/>
        <v>707.7481180000002</v>
      </c>
      <c r="K98" s="16">
        <f t="shared" si="54"/>
        <v>778.52292980000027</v>
      </c>
      <c r="L98" s="16">
        <f t="shared" si="54"/>
        <v>856.3752227800004</v>
      </c>
      <c r="O98" s="5"/>
      <c r="Q98" s="5"/>
    </row>
    <row r="99" spans="2:22" outlineLevel="1" x14ac:dyDescent="0.2">
      <c r="B99" s="2"/>
      <c r="C99" s="37"/>
      <c r="D99" s="37"/>
      <c r="E99" s="37"/>
      <c r="F99" s="37"/>
      <c r="G99" s="38"/>
      <c r="H99" s="38"/>
      <c r="I99" s="38"/>
      <c r="J99" s="38"/>
      <c r="K99" s="38"/>
      <c r="L99" s="38"/>
      <c r="O99" s="5"/>
      <c r="U99" s="14"/>
    </row>
    <row r="100" spans="2:22" outlineLevel="1" x14ac:dyDescent="0.2">
      <c r="B100" t="s">
        <v>72</v>
      </c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O100" s="5"/>
    </row>
    <row r="101" spans="2:22" outlineLevel="1" x14ac:dyDescent="0.2">
      <c r="B101" t="s">
        <v>68</v>
      </c>
      <c r="C101" s="5"/>
      <c r="D101" s="5">
        <f>C104</f>
        <v>7.1</v>
      </c>
      <c r="E101" s="5">
        <f>D66</f>
        <v>7.4</v>
      </c>
      <c r="F101" s="5">
        <f t="shared" ref="F101:L101" si="55">E104</f>
        <v>14.8</v>
      </c>
      <c r="G101" s="5">
        <f>F104</f>
        <v>17.100000000000001</v>
      </c>
      <c r="H101" s="5">
        <f t="shared" si="55"/>
        <v>19.562400000000004</v>
      </c>
      <c r="I101" s="5">
        <f t="shared" si="55"/>
        <v>22.379385599999999</v>
      </c>
      <c r="J101" s="5">
        <f t="shared" si="55"/>
        <v>25.6020171264</v>
      </c>
      <c r="K101" s="5">
        <f t="shared" si="55"/>
        <v>29.288707592601597</v>
      </c>
      <c r="L101" s="5">
        <f t="shared" si="55"/>
        <v>33.506281485936228</v>
      </c>
      <c r="O101" s="5"/>
    </row>
    <row r="102" spans="2:22" outlineLevel="1" x14ac:dyDescent="0.2">
      <c r="B102" t="s">
        <v>69</v>
      </c>
      <c r="C102" s="5">
        <v>2.056</v>
      </c>
      <c r="D102" s="5">
        <v>2.8</v>
      </c>
      <c r="E102" s="5">
        <f>18-E101</f>
        <v>10.6</v>
      </c>
      <c r="F102" s="5">
        <v>7.4</v>
      </c>
      <c r="G102" s="5">
        <f t="shared" ref="G102:L102" si="56">G103*G30</f>
        <v>8.6183999999999994</v>
      </c>
      <c r="H102" s="5">
        <f t="shared" si="56"/>
        <v>9.8594495999999996</v>
      </c>
      <c r="I102" s="5">
        <f t="shared" si="56"/>
        <v>11.279210342399999</v>
      </c>
      <c r="J102" s="5">
        <f t="shared" si="56"/>
        <v>12.903416631705598</v>
      </c>
      <c r="K102" s="5">
        <f t="shared" si="56"/>
        <v>14.761508626671203</v>
      </c>
      <c r="L102" s="5">
        <f t="shared" si="56"/>
        <v>16.887165868911858</v>
      </c>
      <c r="O102" s="5"/>
    </row>
    <row r="103" spans="2:22" outlineLevel="1" x14ac:dyDescent="0.2">
      <c r="B103" t="s">
        <v>73</v>
      </c>
      <c r="C103" s="5">
        <v>2.1669999999999998</v>
      </c>
      <c r="D103" s="5">
        <v>2.4870000000000001</v>
      </c>
      <c r="E103" s="5">
        <v>3.2</v>
      </c>
      <c r="F103" s="5">
        <v>5.4</v>
      </c>
      <c r="G103" s="5">
        <f t="shared" ref="G103:L103" si="57">G101*G25</f>
        <v>6.1560000000000006</v>
      </c>
      <c r="H103" s="5">
        <f t="shared" si="57"/>
        <v>7.0424640000000007</v>
      </c>
      <c r="I103" s="5">
        <f t="shared" si="57"/>
        <v>8.056578816</v>
      </c>
      <c r="J103" s="5">
        <f t="shared" si="57"/>
        <v>9.2167261655039994</v>
      </c>
      <c r="K103" s="5">
        <f t="shared" si="57"/>
        <v>10.543934733336574</v>
      </c>
      <c r="L103" s="5">
        <f t="shared" si="57"/>
        <v>12.062261334937041</v>
      </c>
      <c r="O103" s="5"/>
      <c r="Q103" s="5"/>
    </row>
    <row r="104" spans="2:22" outlineLevel="1" x14ac:dyDescent="0.2">
      <c r="B104" s="11" t="s">
        <v>71</v>
      </c>
      <c r="C104" s="16">
        <f>C66</f>
        <v>7.1</v>
      </c>
      <c r="D104" s="16">
        <f>D66</f>
        <v>7.4</v>
      </c>
      <c r="E104" s="16">
        <f>E66</f>
        <v>14.8</v>
      </c>
      <c r="F104" s="16">
        <v>17.100000000000001</v>
      </c>
      <c r="G104" s="16">
        <f t="shared" ref="G104:L104" si="58">G101+G102-G103</f>
        <v>19.562400000000004</v>
      </c>
      <c r="H104" s="16">
        <f t="shared" si="58"/>
        <v>22.379385599999999</v>
      </c>
      <c r="I104" s="16">
        <f t="shared" si="58"/>
        <v>25.6020171264</v>
      </c>
      <c r="J104" s="16">
        <f t="shared" si="58"/>
        <v>29.288707592601597</v>
      </c>
      <c r="K104" s="16">
        <f t="shared" si="58"/>
        <v>33.506281485936228</v>
      </c>
      <c r="L104" s="16">
        <f t="shared" si="58"/>
        <v>38.331186019911044</v>
      </c>
      <c r="O104" s="5"/>
    </row>
    <row r="105" spans="2:22" outlineLevel="1" x14ac:dyDescent="0.2">
      <c r="B105" s="2"/>
      <c r="D105" s="8"/>
      <c r="E105" s="8"/>
      <c r="F105" s="8"/>
      <c r="G105" s="18"/>
      <c r="H105" s="18"/>
      <c r="I105" s="18"/>
      <c r="J105" s="18"/>
      <c r="K105" s="18"/>
      <c r="L105" s="18"/>
      <c r="O105" s="5"/>
    </row>
    <row r="106" spans="2:22" x14ac:dyDescent="0.2">
      <c r="B106" s="31" t="s">
        <v>75</v>
      </c>
      <c r="C106" s="32"/>
      <c r="D106" s="33"/>
      <c r="E106" s="32"/>
      <c r="F106" s="32"/>
      <c r="G106" s="32"/>
      <c r="H106" s="32"/>
      <c r="I106" s="32"/>
      <c r="J106" s="32"/>
      <c r="K106" s="32"/>
      <c r="L106" s="34"/>
      <c r="O106" s="5"/>
    </row>
    <row r="107" spans="2:22" x14ac:dyDescent="0.2">
      <c r="B107" t="s">
        <v>76</v>
      </c>
      <c r="E107">
        <v>40.5</v>
      </c>
      <c r="F107">
        <v>33.799999999999997</v>
      </c>
      <c r="G107" s="5">
        <f t="shared" ref="G107:L107" si="59">G51</f>
        <v>29.338632000000015</v>
      </c>
      <c r="H107" s="5">
        <f t="shared" si="59"/>
        <v>16.528836239999936</v>
      </c>
      <c r="I107" s="5">
        <f t="shared" si="59"/>
        <v>29.425540524480009</v>
      </c>
      <c r="J107" s="5">
        <f t="shared" si="59"/>
        <v>32.148862160037126</v>
      </c>
      <c r="K107" s="5">
        <f t="shared" si="59"/>
        <v>35.107762491117747</v>
      </c>
      <c r="L107" s="5">
        <f t="shared" si="59"/>
        <v>38.320506887877343</v>
      </c>
      <c r="O107" s="5"/>
    </row>
    <row r="108" spans="2:22" x14ac:dyDescent="0.2">
      <c r="B108" t="s">
        <v>77</v>
      </c>
      <c r="E108">
        <v>-6</v>
      </c>
      <c r="F108">
        <v>12.9</v>
      </c>
      <c r="G108" s="5">
        <f t="shared" ref="G108:L108" si="60">-G50</f>
        <v>11.409468000000007</v>
      </c>
      <c r="H108" s="5">
        <f t="shared" si="60"/>
        <v>6.4278807599999759</v>
      </c>
      <c r="I108" s="5">
        <f t="shared" si="60"/>
        <v>11.443265759520006</v>
      </c>
      <c r="J108" s="5">
        <f t="shared" si="60"/>
        <v>12.502335284458884</v>
      </c>
      <c r="K108" s="5">
        <f t="shared" si="60"/>
        <v>13.653018746545792</v>
      </c>
      <c r="L108" s="5">
        <f t="shared" si="60"/>
        <v>14.902419345285637</v>
      </c>
      <c r="O108" s="5"/>
    </row>
    <row r="109" spans="2:22" x14ac:dyDescent="0.2">
      <c r="B109" t="s">
        <v>78</v>
      </c>
      <c r="E109">
        <v>3.2</v>
      </c>
      <c r="F109">
        <v>0.5</v>
      </c>
      <c r="G109" s="5">
        <f t="shared" ref="G109:L109" si="61">F47+(-F48)</f>
        <v>0.89999999999999991</v>
      </c>
      <c r="H109" s="5">
        <f t="shared" si="61"/>
        <v>0.89999999999999991</v>
      </c>
      <c r="I109" s="5">
        <f t="shared" si="61"/>
        <v>0.89999999999999991</v>
      </c>
      <c r="J109" s="5">
        <f t="shared" si="61"/>
        <v>0.89999999999999991</v>
      </c>
      <c r="K109" s="5">
        <f t="shared" si="61"/>
        <v>0.89999999999999991</v>
      </c>
      <c r="L109" s="5">
        <f t="shared" si="61"/>
        <v>0.89999999999999991</v>
      </c>
      <c r="O109" s="5"/>
    </row>
    <row r="110" spans="2:22" x14ac:dyDescent="0.2">
      <c r="B110" t="s">
        <v>79</v>
      </c>
      <c r="E110">
        <v>0.5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O110" s="5"/>
    </row>
    <row r="111" spans="2:22" x14ac:dyDescent="0.2">
      <c r="B111" t="s">
        <v>70</v>
      </c>
      <c r="C111">
        <f t="shared" ref="C111:L111" si="62">C97</f>
        <v>5.9539999999999997</v>
      </c>
      <c r="D111">
        <f t="shared" si="62"/>
        <v>6.16</v>
      </c>
      <c r="E111">
        <f t="shared" si="62"/>
        <v>46.4</v>
      </c>
      <c r="F111">
        <f t="shared" si="62"/>
        <v>88.8</v>
      </c>
      <c r="G111" s="5">
        <f t="shared" si="62"/>
        <v>77.935000000000002</v>
      </c>
      <c r="H111" s="5">
        <f t="shared" si="62"/>
        <v>83.559399999999997</v>
      </c>
      <c r="I111" s="5">
        <f t="shared" si="62"/>
        <v>76.039054000000021</v>
      </c>
      <c r="J111" s="5">
        <f t="shared" si="62"/>
        <v>83.642959400000009</v>
      </c>
      <c r="K111" s="5">
        <f t="shared" si="62"/>
        <v>92.007255340000029</v>
      </c>
      <c r="L111" s="5">
        <f t="shared" si="62"/>
        <v>101.20798087400004</v>
      </c>
      <c r="O111" s="5"/>
    </row>
    <row r="112" spans="2:22" x14ac:dyDescent="0.2">
      <c r="B112" t="s">
        <v>73</v>
      </c>
      <c r="E112">
        <v>3.2</v>
      </c>
      <c r="F112">
        <f t="shared" ref="F112:L112" si="63">F103</f>
        <v>5.4</v>
      </c>
      <c r="G112" s="5">
        <f t="shared" si="63"/>
        <v>6.1560000000000006</v>
      </c>
      <c r="H112" s="5">
        <f t="shared" si="63"/>
        <v>7.0424640000000007</v>
      </c>
      <c r="I112" s="5">
        <f t="shared" si="63"/>
        <v>8.056578816</v>
      </c>
      <c r="J112" s="5">
        <f t="shared" si="63"/>
        <v>9.2167261655039994</v>
      </c>
      <c r="K112" s="5">
        <f t="shared" si="63"/>
        <v>10.543934733336574</v>
      </c>
      <c r="L112" s="5">
        <f t="shared" si="63"/>
        <v>12.062261334937041</v>
      </c>
      <c r="O112" s="5"/>
    </row>
    <row r="113" spans="2:15" x14ac:dyDescent="0.2">
      <c r="B113" t="s">
        <v>25</v>
      </c>
      <c r="G113" s="5">
        <f t="shared" ref="G113:L113" si="64">(F67-G67)</f>
        <v>-1.2600000000000016</v>
      </c>
      <c r="H113" s="5">
        <f t="shared" si="64"/>
        <v>1.3734000000000002</v>
      </c>
      <c r="I113" s="5">
        <f t="shared" si="64"/>
        <v>-1.3886600000000016</v>
      </c>
      <c r="J113" s="5">
        <f t="shared" si="64"/>
        <v>-1.5275260000000017</v>
      </c>
      <c r="K113" s="5">
        <f t="shared" si="64"/>
        <v>-1.6802786000000012</v>
      </c>
      <c r="L113" s="5">
        <f t="shared" si="64"/>
        <v>-1.8483064600000034</v>
      </c>
      <c r="O113" s="5"/>
    </row>
    <row r="114" spans="2:15" x14ac:dyDescent="0.2">
      <c r="B114" t="s">
        <v>56</v>
      </c>
      <c r="G114" s="5">
        <f t="shared" ref="G114:L114" si="65">(G78-F78)</f>
        <v>11.13000000000001</v>
      </c>
      <c r="H114" s="5">
        <f t="shared" si="65"/>
        <v>12.243000000000023</v>
      </c>
      <c r="I114" s="5">
        <f t="shared" si="65"/>
        <v>13.467300000000023</v>
      </c>
      <c r="J114" s="5">
        <f t="shared" si="65"/>
        <v>14.814030000000031</v>
      </c>
      <c r="K114" s="5">
        <f t="shared" si="65"/>
        <v>16.295433000000031</v>
      </c>
      <c r="L114" s="5">
        <f t="shared" si="65"/>
        <v>17.924976300000026</v>
      </c>
      <c r="O114" s="5"/>
    </row>
    <row r="115" spans="2:15" x14ac:dyDescent="0.2">
      <c r="B115" t="s">
        <v>54</v>
      </c>
      <c r="G115" s="5">
        <f t="shared" ref="G115:L115" si="66">(G72-F72)</f>
        <v>15.714000000000027</v>
      </c>
      <c r="H115" s="5">
        <f t="shared" si="66"/>
        <v>-17.128259999999983</v>
      </c>
      <c r="I115" s="5">
        <f t="shared" si="66"/>
        <v>17.318574000000012</v>
      </c>
      <c r="J115" s="5">
        <f t="shared" si="66"/>
        <v>19.050431400000008</v>
      </c>
      <c r="K115" s="5">
        <f t="shared" si="66"/>
        <v>20.955474540000012</v>
      </c>
      <c r="L115" s="5">
        <f t="shared" si="66"/>
        <v>23.051021994000024</v>
      </c>
      <c r="O115" s="5"/>
    </row>
    <row r="116" spans="2:15" x14ac:dyDescent="0.2">
      <c r="B116" s="2" t="s">
        <v>80</v>
      </c>
      <c r="O116" s="5"/>
    </row>
    <row r="117" spans="2:15" x14ac:dyDescent="0.2">
      <c r="B117" t="s">
        <v>39</v>
      </c>
      <c r="E117">
        <v>-28.4</v>
      </c>
      <c r="F117">
        <v>-51.4</v>
      </c>
      <c r="G117" s="22">
        <f t="shared" ref="G117:L117" si="67">(F56-G56)</f>
        <v>-30.177079452054841</v>
      </c>
      <c r="H117" s="22">
        <f t="shared" si="67"/>
        <v>33.171937150684869</v>
      </c>
      <c r="I117" s="22">
        <f t="shared" si="67"/>
        <v>-33.540514230136978</v>
      </c>
      <c r="J117" s="22">
        <f t="shared" si="67"/>
        <v>-36.894565653150778</v>
      </c>
      <c r="K117" s="22">
        <f t="shared" si="67"/>
        <v>-40.584022218465805</v>
      </c>
      <c r="L117" s="22">
        <f t="shared" si="67"/>
        <v>-44.642424440312368</v>
      </c>
      <c r="O117" s="5"/>
    </row>
    <row r="118" spans="2:15" x14ac:dyDescent="0.2">
      <c r="B118" t="s">
        <v>48</v>
      </c>
      <c r="E118">
        <v>28.9</v>
      </c>
      <c r="F118">
        <v>69.2</v>
      </c>
      <c r="G118" s="22">
        <f t="shared" ref="G118:L118" si="68">(G71-F71)</f>
        <v>9.1741506849315044</v>
      </c>
      <c r="H118" s="22">
        <f t="shared" si="68"/>
        <v>-14.937673561643777</v>
      </c>
      <c r="I118" s="22">
        <f t="shared" si="68"/>
        <v>15.103647712328723</v>
      </c>
      <c r="J118" s="22">
        <f t="shared" si="68"/>
        <v>16.61401248356168</v>
      </c>
      <c r="K118" s="22">
        <f t="shared" si="68"/>
        <v>18.275413731917808</v>
      </c>
      <c r="L118" s="22">
        <f t="shared" si="68"/>
        <v>20.102955105109658</v>
      </c>
      <c r="O118" s="5"/>
    </row>
    <row r="119" spans="2:15" x14ac:dyDescent="0.2">
      <c r="B119" t="s">
        <v>52</v>
      </c>
      <c r="E119">
        <v>0</v>
      </c>
      <c r="F119">
        <v>0</v>
      </c>
      <c r="G119" s="14">
        <f t="shared" ref="G119:L119" si="69">(F57-G57)</f>
        <v>-0.12025770925110135</v>
      </c>
      <c r="H119" s="14">
        <f t="shared" si="69"/>
        <v>8.282319383259884E-2</v>
      </c>
      <c r="I119" s="14">
        <f t="shared" si="69"/>
        <v>-8.3743451541850034E-2</v>
      </c>
      <c r="J119" s="14">
        <f t="shared" si="69"/>
        <v>-9.211779669603537E-2</v>
      </c>
      <c r="K119" s="14">
        <f t="shared" si="69"/>
        <v>-0.10132957636563877</v>
      </c>
      <c r="L119" s="14">
        <f t="shared" si="69"/>
        <v>-0.11146253400220307</v>
      </c>
      <c r="O119" s="5"/>
    </row>
    <row r="120" spans="2:15" x14ac:dyDescent="0.2">
      <c r="B120" s="25" t="s">
        <v>101</v>
      </c>
      <c r="E120">
        <v>-28.6</v>
      </c>
      <c r="F120">
        <v>-32.4</v>
      </c>
      <c r="G120" s="5">
        <f t="shared" ref="G120:L120" si="70">G50</f>
        <v>-11.409468000000007</v>
      </c>
      <c r="H120" s="5">
        <f t="shared" si="70"/>
        <v>-6.4278807599999759</v>
      </c>
      <c r="I120" s="5">
        <f t="shared" si="70"/>
        <v>-11.443265759520006</v>
      </c>
      <c r="J120" s="5">
        <f t="shared" si="70"/>
        <v>-12.502335284458884</v>
      </c>
      <c r="K120" s="5">
        <f t="shared" si="70"/>
        <v>-13.653018746545792</v>
      </c>
      <c r="L120" s="5">
        <f t="shared" si="70"/>
        <v>-14.902419345285637</v>
      </c>
      <c r="O120" s="5"/>
    </row>
    <row r="121" spans="2:15" x14ac:dyDescent="0.2">
      <c r="B121" s="1" t="s">
        <v>81</v>
      </c>
      <c r="C121" s="1"/>
      <c r="D121" s="1"/>
      <c r="E121" s="1">
        <f>SUM(E107:E120)+9.9-7</f>
        <v>62.599999999999994</v>
      </c>
      <c r="F121" s="1">
        <f>SUM(F107:F120)+9.9</f>
        <v>136.69999999999999</v>
      </c>
      <c r="G121" s="7">
        <f>SUM(G107:G120)</f>
        <v>118.79044552362564</v>
      </c>
      <c r="H121" s="7">
        <f t="shared" ref="H121:L121" si="71">SUM(H107:H120)</f>
        <v>122.83592702287366</v>
      </c>
      <c r="I121" s="7">
        <f t="shared" si="71"/>
        <v>125.29777737112995</v>
      </c>
      <c r="J121" s="7">
        <f t="shared" si="71"/>
        <v>137.87281215925603</v>
      </c>
      <c r="K121" s="7">
        <f t="shared" si="71"/>
        <v>151.71964344154077</v>
      </c>
      <c r="L121" s="7">
        <f t="shared" si="71"/>
        <v>166.96750906160955</v>
      </c>
      <c r="O121" s="5"/>
    </row>
    <row r="122" spans="2:15" x14ac:dyDescent="0.2">
      <c r="O122" s="5"/>
    </row>
    <row r="123" spans="2:15" x14ac:dyDescent="0.2">
      <c r="B123" t="s">
        <v>82</v>
      </c>
      <c r="E123">
        <v>-4.9000000000000004</v>
      </c>
      <c r="F123">
        <v>-7.4</v>
      </c>
      <c r="G123" s="5">
        <f t="shared" ref="G123:L123" si="72">-G102</f>
        <v>-8.6183999999999994</v>
      </c>
      <c r="H123" s="5">
        <f t="shared" si="72"/>
        <v>-9.8594495999999996</v>
      </c>
      <c r="I123" s="5">
        <f t="shared" si="72"/>
        <v>-11.279210342399999</v>
      </c>
      <c r="J123" s="5">
        <f t="shared" si="72"/>
        <v>-12.903416631705598</v>
      </c>
      <c r="K123" s="5">
        <f t="shared" si="72"/>
        <v>-14.761508626671203</v>
      </c>
      <c r="L123" s="5">
        <f t="shared" si="72"/>
        <v>-16.887165868911858</v>
      </c>
      <c r="O123" s="5"/>
    </row>
    <row r="124" spans="2:15" x14ac:dyDescent="0.2">
      <c r="B124" t="s">
        <v>83</v>
      </c>
      <c r="E124">
        <v>-1.2</v>
      </c>
      <c r="F124">
        <v>-0.2</v>
      </c>
      <c r="G124" s="5">
        <f t="shared" ref="G124:L124" si="73">-G96</f>
        <v>-121.1996153846153</v>
      </c>
      <c r="H124" s="5">
        <f t="shared" si="73"/>
        <v>-25.710584615384732</v>
      </c>
      <c r="I124" s="5">
        <f t="shared" si="73"/>
        <v>-134.53063400000008</v>
      </c>
      <c r="J124" s="5">
        <f t="shared" si="73"/>
        <v>-147.9836974000001</v>
      </c>
      <c r="K124" s="5">
        <f t="shared" si="73"/>
        <v>-162.78206714000009</v>
      </c>
      <c r="L124" s="5">
        <f t="shared" si="73"/>
        <v>-179.06027385400023</v>
      </c>
      <c r="O124" s="5"/>
    </row>
    <row r="125" spans="2:15" x14ac:dyDescent="0.2">
      <c r="B125" t="s">
        <v>84</v>
      </c>
      <c r="E125">
        <v>132.19999999999999</v>
      </c>
      <c r="F125">
        <v>-19.399999999999999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O125" s="5"/>
    </row>
    <row r="126" spans="2:15" x14ac:dyDescent="0.2">
      <c r="B126" t="s">
        <v>85</v>
      </c>
      <c r="E126">
        <v>3.3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O126" s="5"/>
    </row>
    <row r="127" spans="2:15" x14ac:dyDescent="0.2">
      <c r="B127" t="s">
        <v>86</v>
      </c>
      <c r="E127">
        <v>3.1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O127" s="5"/>
    </row>
    <row r="128" spans="2:15" x14ac:dyDescent="0.2">
      <c r="B128" t="s">
        <v>87</v>
      </c>
      <c r="E128">
        <v>0</v>
      </c>
      <c r="F128">
        <v>-0.4</v>
      </c>
      <c r="G128">
        <f t="shared" ref="G128:L128" si="74">G58-F58</f>
        <v>-0.6</v>
      </c>
      <c r="H128" s="14">
        <f t="shared" si="74"/>
        <v>0</v>
      </c>
      <c r="I128" s="14">
        <f t="shared" si="74"/>
        <v>0</v>
      </c>
      <c r="J128" s="14">
        <f t="shared" si="74"/>
        <v>0</v>
      </c>
      <c r="K128" s="14">
        <f t="shared" si="74"/>
        <v>0</v>
      </c>
      <c r="L128" s="14">
        <f t="shared" si="74"/>
        <v>0</v>
      </c>
      <c r="O128" s="5"/>
    </row>
    <row r="129" spans="2:15" x14ac:dyDescent="0.2">
      <c r="B129" t="s">
        <v>88</v>
      </c>
      <c r="E129">
        <v>0.5</v>
      </c>
      <c r="F129">
        <v>0.2</v>
      </c>
      <c r="G129">
        <f t="shared" ref="G129:L129" si="75">G47</f>
        <v>0.2</v>
      </c>
      <c r="H129">
        <f t="shared" si="75"/>
        <v>0.2</v>
      </c>
      <c r="I129">
        <f t="shared" si="75"/>
        <v>0.2</v>
      </c>
      <c r="J129">
        <f t="shared" si="75"/>
        <v>0.2</v>
      </c>
      <c r="K129">
        <f t="shared" si="75"/>
        <v>0.2</v>
      </c>
      <c r="L129">
        <f t="shared" si="75"/>
        <v>0.2</v>
      </c>
      <c r="O129" s="5"/>
    </row>
    <row r="130" spans="2:15" x14ac:dyDescent="0.2">
      <c r="B130" s="1" t="s">
        <v>89</v>
      </c>
      <c r="E130" s="7">
        <f t="shared" ref="E130:L130" si="76">SUM(E123:E129)</f>
        <v>133</v>
      </c>
      <c r="F130" s="7">
        <f t="shared" si="76"/>
        <v>-27.2</v>
      </c>
      <c r="G130" s="7">
        <f t="shared" si="76"/>
        <v>-130.21801538461531</v>
      </c>
      <c r="H130" s="7">
        <f t="shared" si="76"/>
        <v>-35.370034215384727</v>
      </c>
      <c r="I130" s="7">
        <f t="shared" si="76"/>
        <v>-145.60984434240009</v>
      </c>
      <c r="J130" s="7">
        <f t="shared" si="76"/>
        <v>-160.6871140317057</v>
      </c>
      <c r="K130" s="7">
        <f t="shared" si="76"/>
        <v>-177.34357576667131</v>
      </c>
      <c r="L130" s="7">
        <f t="shared" si="76"/>
        <v>-195.74743972291211</v>
      </c>
      <c r="O130" s="5"/>
    </row>
    <row r="132" spans="2:15" x14ac:dyDescent="0.2">
      <c r="B132" t="s">
        <v>90</v>
      </c>
      <c r="E132">
        <v>-3.5</v>
      </c>
      <c r="F132">
        <v>-0.7</v>
      </c>
      <c r="G132">
        <f t="shared" ref="G132:L132" si="77">G48</f>
        <v>-0.7</v>
      </c>
      <c r="H132">
        <f t="shared" si="77"/>
        <v>-0.7</v>
      </c>
      <c r="I132">
        <f t="shared" si="77"/>
        <v>-0.7</v>
      </c>
      <c r="J132">
        <f t="shared" si="77"/>
        <v>-0.7</v>
      </c>
      <c r="K132">
        <f t="shared" si="77"/>
        <v>-0.7</v>
      </c>
      <c r="L132">
        <f t="shared" si="77"/>
        <v>-0.7</v>
      </c>
    </row>
    <row r="133" spans="2:15" x14ac:dyDescent="0.2">
      <c r="B133" t="s">
        <v>91</v>
      </c>
      <c r="E133">
        <v>0</v>
      </c>
      <c r="F133">
        <v>-9.3000000000000007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2:15" x14ac:dyDescent="0.2">
      <c r="B134" t="s">
        <v>92</v>
      </c>
      <c r="E134">
        <v>10</v>
      </c>
      <c r="F134">
        <v>-10</v>
      </c>
      <c r="G134">
        <f t="shared" ref="G134:L134" si="78">G73-F73</f>
        <v>-0.1</v>
      </c>
      <c r="H134">
        <f t="shared" si="78"/>
        <v>0</v>
      </c>
      <c r="I134">
        <f t="shared" si="78"/>
        <v>0</v>
      </c>
      <c r="J134">
        <f t="shared" si="78"/>
        <v>0</v>
      </c>
      <c r="K134">
        <f t="shared" si="78"/>
        <v>0</v>
      </c>
      <c r="L134">
        <f t="shared" si="78"/>
        <v>0</v>
      </c>
    </row>
    <row r="135" spans="2:15" x14ac:dyDescent="0.2">
      <c r="B135" t="s">
        <v>94</v>
      </c>
      <c r="E135">
        <v>-18.100000000000001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2:15" x14ac:dyDescent="0.2">
      <c r="B136" t="s">
        <v>95</v>
      </c>
      <c r="E136">
        <v>-100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2:15" x14ac:dyDescent="0.2">
      <c r="B137" t="s">
        <v>96</v>
      </c>
      <c r="E137">
        <v>-1.7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2:15" x14ac:dyDescent="0.2">
      <c r="B138" t="s">
        <v>93</v>
      </c>
      <c r="E138">
        <v>0</v>
      </c>
      <c r="F138">
        <v>-66</v>
      </c>
      <c r="G138" s="4">
        <f t="shared" ref="G138:L138" si="79">-G53</f>
        <v>-66</v>
      </c>
      <c r="H138" s="4">
        <f t="shared" si="79"/>
        <v>-66</v>
      </c>
      <c r="I138" s="4">
        <f t="shared" si="79"/>
        <v>-66</v>
      </c>
      <c r="J138" s="4">
        <f t="shared" si="79"/>
        <v>-66</v>
      </c>
      <c r="K138" s="4">
        <f t="shared" si="79"/>
        <v>-66</v>
      </c>
      <c r="L138" s="4">
        <f t="shared" si="79"/>
        <v>-66</v>
      </c>
    </row>
    <row r="139" spans="2:15" x14ac:dyDescent="0.2">
      <c r="B139" s="1" t="s">
        <v>97</v>
      </c>
      <c r="C139" s="1"/>
      <c r="D139" s="1"/>
      <c r="E139" s="1">
        <f>SUM(E132:E138)</f>
        <v>-113.3</v>
      </c>
      <c r="F139" s="1">
        <f>SUM(F132:F138)</f>
        <v>-86</v>
      </c>
      <c r="G139" s="6">
        <f>SUM(G132:G138)</f>
        <v>-66.8</v>
      </c>
      <c r="H139" s="6">
        <f t="shared" ref="H139:L139" si="80">SUM(H132:H138)</f>
        <v>-66.7</v>
      </c>
      <c r="I139" s="6">
        <f t="shared" si="80"/>
        <v>-66.7</v>
      </c>
      <c r="J139" s="6">
        <f t="shared" si="80"/>
        <v>-66.7</v>
      </c>
      <c r="K139" s="6">
        <f t="shared" si="80"/>
        <v>-66.7</v>
      </c>
      <c r="L139" s="6">
        <f t="shared" si="80"/>
        <v>-66.7</v>
      </c>
    </row>
    <row r="141" spans="2:15" x14ac:dyDescent="0.2">
      <c r="B141" t="s">
        <v>98</v>
      </c>
      <c r="E141">
        <f>E139+E130+E121</f>
        <v>82.3</v>
      </c>
      <c r="F141">
        <f>F139+F130+F121</f>
        <v>23.499999999999986</v>
      </c>
      <c r="G141" s="5">
        <f t="shared" ref="G141:L141" si="81">G121+G130+G139</f>
        <v>-78.227569860989675</v>
      </c>
      <c r="H141" s="5">
        <f t="shared" si="81"/>
        <v>20.765892807488925</v>
      </c>
      <c r="I141" s="5">
        <f t="shared" si="81"/>
        <v>-87.012066971270144</v>
      </c>
      <c r="J141" s="5">
        <f t="shared" si="81"/>
        <v>-89.514301872449678</v>
      </c>
      <c r="K141" s="5">
        <f t="shared" si="81"/>
        <v>-92.323932325130542</v>
      </c>
      <c r="L141" s="5">
        <f t="shared" si="81"/>
        <v>-95.479930661302561</v>
      </c>
    </row>
    <row r="142" spans="2:15" x14ac:dyDescent="0.2">
      <c r="B142" t="s">
        <v>99</v>
      </c>
      <c r="E142">
        <f>D59</f>
        <v>22.4</v>
      </c>
      <c r="F142">
        <f>E59</f>
        <v>105.6</v>
      </c>
      <c r="G142">
        <f>F143</f>
        <v>127.19999999999996</v>
      </c>
      <c r="H142" s="5">
        <f>G143</f>
        <v>48.972430139010285</v>
      </c>
      <c r="I142" s="5">
        <f t="shared" ref="I142:L142" si="82">H143</f>
        <v>69.73832294649921</v>
      </c>
      <c r="J142" s="5">
        <f t="shared" si="82"/>
        <v>-17.273744024770934</v>
      </c>
      <c r="K142" s="5">
        <f t="shared" si="82"/>
        <v>-106.78804589722061</v>
      </c>
      <c r="L142" s="5">
        <f t="shared" si="82"/>
        <v>-199.11197822235115</v>
      </c>
    </row>
    <row r="143" spans="2:15" x14ac:dyDescent="0.2">
      <c r="B143" t="s">
        <v>100</v>
      </c>
      <c r="E143">
        <f>E141+E142</f>
        <v>104.69999999999999</v>
      </c>
      <c r="F143">
        <f>F141+F142-1.9</f>
        <v>127.19999999999996</v>
      </c>
      <c r="G143" s="5">
        <f>G141+G142</f>
        <v>48.972430139010285</v>
      </c>
      <c r="H143" s="5">
        <f t="shared" ref="H143:L143" si="83">H141+H142</f>
        <v>69.73832294649921</v>
      </c>
      <c r="I143" s="5">
        <f t="shared" si="83"/>
        <v>-17.273744024770934</v>
      </c>
      <c r="J143" s="5">
        <f t="shared" si="83"/>
        <v>-106.78804589722061</v>
      </c>
      <c r="K143" s="5">
        <f t="shared" si="83"/>
        <v>-199.11197822235115</v>
      </c>
      <c r="L143" s="5">
        <f t="shared" si="83"/>
        <v>-294.59190888365373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2020-04-21T15:47:00Z</dcterms:created>
  <dcterms:modified xsi:type="dcterms:W3CDTF">2020-04-24T15:14:00Z</dcterms:modified>
  <cp:category/>
</cp:coreProperties>
</file>