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Owner\Documents\Python\elvtr\Module_6\"/>
    </mc:Choice>
  </mc:AlternateContent>
  <xr:revisionPtr revIDLastSave="0" documentId="13_ncr:1_{8DD9CC32-E0DF-471E-B3F4-D5B5D49CF6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dustrial Building Sales" sheetId="1" r:id="rId1"/>
    <sheet name="Summary" sheetId="4" r:id="rId2"/>
  </sheets>
  <definedNames>
    <definedName name="_xlnm._FilterDatabase" localSheetId="0" hidden="1">'Industrial Building Sales'!$A$1:$N$1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8" i="1" l="1"/>
  <c r="K69" i="1"/>
  <c r="K70" i="1"/>
  <c r="K71" i="1"/>
  <c r="G49" i="1"/>
  <c r="H49" i="1" s="1"/>
  <c r="H36" i="1"/>
  <c r="H19" i="1"/>
  <c r="F19" i="1"/>
  <c r="K19" i="1" s="1"/>
  <c r="H24" i="1"/>
  <c r="H34" i="1"/>
  <c r="K34" i="1"/>
  <c r="H37" i="1"/>
  <c r="H16" i="1"/>
  <c r="K29" i="1"/>
  <c r="K60" i="1"/>
  <c r="H60" i="1"/>
  <c r="K56" i="1"/>
  <c r="H56" i="1"/>
  <c r="K57" i="1"/>
  <c r="H57" i="1"/>
  <c r="K45" i="1"/>
  <c r="G45" i="1"/>
  <c r="H45" i="1" s="1"/>
  <c r="K14" i="1" l="1"/>
  <c r="H15" i="1"/>
  <c r="H26" i="1"/>
  <c r="H30" i="1"/>
  <c r="H31" i="1"/>
  <c r="H29" i="1"/>
  <c r="H14" i="1"/>
  <c r="K43" i="1"/>
  <c r="H43" i="1"/>
  <c r="K53" i="1"/>
  <c r="G53" i="1"/>
  <c r="H53" i="1" s="1"/>
  <c r="K66" i="1"/>
  <c r="K63" i="1"/>
  <c r="G46" i="1"/>
  <c r="H46" i="1" s="1"/>
  <c r="I5" i="1"/>
  <c r="G25" i="1"/>
  <c r="H25" i="1" s="1"/>
  <c r="K25" i="1"/>
  <c r="G17" i="1"/>
  <c r="H17" i="1" s="1"/>
  <c r="H41" i="1"/>
  <c r="H23" i="1"/>
  <c r="K17" i="1"/>
  <c r="K23" i="1"/>
  <c r="K32" i="1"/>
  <c r="G32" i="1"/>
  <c r="H32" i="1" s="1"/>
  <c r="G35" i="1"/>
  <c r="H35" i="1" s="1"/>
  <c r="G40" i="1"/>
  <c r="H40" i="1" s="1"/>
  <c r="K40" i="1"/>
  <c r="H47" i="1"/>
  <c r="K58" i="1"/>
  <c r="H58" i="1"/>
  <c r="H6" i="1"/>
  <c r="K27" i="1"/>
  <c r="H27" i="1"/>
  <c r="K28" i="1"/>
  <c r="H28" i="1"/>
  <c r="H9" i="1"/>
  <c r="K67" i="1" l="1"/>
  <c r="H67" i="1"/>
  <c r="G7" i="1" l="1"/>
  <c r="H7" i="1" s="1"/>
  <c r="H38" i="1" l="1"/>
  <c r="H66" i="1" l="1"/>
  <c r="H63" i="1" l="1"/>
  <c r="K18" i="1"/>
  <c r="G18" i="1"/>
  <c r="H18" i="1" s="1"/>
  <c r="H13" i="1"/>
  <c r="K44" i="1" l="1"/>
  <c r="H44" i="1"/>
  <c r="G2" i="1"/>
  <c r="H2" i="1" s="1"/>
  <c r="H4" i="1" l="1"/>
  <c r="H48" i="1"/>
  <c r="K50" i="1"/>
  <c r="H50" i="1"/>
  <c r="K51" i="1"/>
  <c r="H51" i="1"/>
  <c r="H5" i="1"/>
  <c r="K21" i="1"/>
  <c r="H21" i="1"/>
  <c r="G39" i="1"/>
  <c r="H39" i="1" s="1"/>
  <c r="K22" i="1"/>
  <c r="H22" i="1"/>
  <c r="H11" i="1"/>
  <c r="H8" i="1"/>
  <c r="G62" i="1" l="1"/>
  <c r="H62" i="1" s="1"/>
  <c r="G10" i="1"/>
  <c r="G3" i="1"/>
  <c r="H3" i="1" s="1"/>
  <c r="G33" i="1"/>
  <c r="H33" i="1" s="1"/>
  <c r="K59" i="1"/>
  <c r="K20" i="1"/>
  <c r="K62" i="1"/>
  <c r="H20" i="1"/>
  <c r="H12" i="1"/>
  <c r="H59" i="1"/>
  <c r="H10" i="1" l="1"/>
  <c r="K42" i="1"/>
  <c r="G42" i="1"/>
  <c r="H42" i="1" s="1"/>
  <c r="K61" i="1"/>
  <c r="K65" i="1"/>
  <c r="K64" i="1"/>
  <c r="K55" i="1"/>
  <c r="K52" i="1"/>
  <c r="K54" i="1"/>
  <c r="H61" i="1"/>
  <c r="H65" i="1"/>
  <c r="H64" i="1"/>
  <c r="H55" i="1"/>
  <c r="H52" i="1"/>
  <c r="H54" i="1"/>
</calcChain>
</file>

<file path=xl/sharedStrings.xml><?xml version="1.0" encoding="utf-8"?>
<sst xmlns="http://schemas.openxmlformats.org/spreadsheetml/2006/main" count="320" uniqueCount="106">
  <si>
    <t>Address</t>
  </si>
  <si>
    <t>Zoning</t>
  </si>
  <si>
    <t>Red Deer</t>
  </si>
  <si>
    <t>I1 - Light Industrial</t>
  </si>
  <si>
    <t>8060 Edgar Industrial Crescent</t>
  </si>
  <si>
    <t>8156 Edgar Industrial Close</t>
  </si>
  <si>
    <t>4728 78A Street Close</t>
  </si>
  <si>
    <t>I2 - Heavy Industrial</t>
  </si>
  <si>
    <t>5200 Duncan Avenue</t>
  </si>
  <si>
    <t>Blackfalds</t>
  </si>
  <si>
    <t>Type</t>
  </si>
  <si>
    <t>Sold</t>
  </si>
  <si>
    <t>Municipality</t>
  </si>
  <si>
    <t>List</t>
  </si>
  <si>
    <t>7575 Edgar Industrial Drive</t>
  </si>
  <si>
    <t>7610 Edgar Industrial Court</t>
  </si>
  <si>
    <t>Lacombe County</t>
  </si>
  <si>
    <t>I-BI Business Industrial</t>
  </si>
  <si>
    <t>257, 27312 TWP 394</t>
  </si>
  <si>
    <t>245, 27312 - TWP 394</t>
  </si>
  <si>
    <t>8164 Edgar Industrial Close</t>
  </si>
  <si>
    <t>8022 Edgar Industrial Cr</t>
  </si>
  <si>
    <t>8080 Edgar Industrial Cr</t>
  </si>
  <si>
    <t>7880 Edgar Industrial Dr</t>
  </si>
  <si>
    <t>Leased</t>
  </si>
  <si>
    <t>84 Burnt Park Drive</t>
  </si>
  <si>
    <t>7980 Edgar Industrial Drive</t>
  </si>
  <si>
    <t>8112 Edgar Industrial Drive</t>
  </si>
  <si>
    <t>45-27312 Township Road 394</t>
  </si>
  <si>
    <t>8009 Edgar Industrial Cr</t>
  </si>
  <si>
    <t>N/A</t>
  </si>
  <si>
    <t>41 Queensgate Cr</t>
  </si>
  <si>
    <t>5200 Blindman Dr</t>
  </si>
  <si>
    <t>Red Deer County</t>
  </si>
  <si>
    <t>MI - Medium Industrial</t>
  </si>
  <si>
    <t>4115 Henry St</t>
  </si>
  <si>
    <t>253 Burnt Park Dr</t>
  </si>
  <si>
    <t>BSI - Business Service Indust</t>
  </si>
  <si>
    <t>29-27123 Hwy 597</t>
  </si>
  <si>
    <t>47-27123 Hwy 597</t>
  </si>
  <si>
    <t>4100 77 Street</t>
  </si>
  <si>
    <t>144, 27323 TWP 394</t>
  </si>
  <si>
    <t>8145 Edgar Industrial Close</t>
  </si>
  <si>
    <t>5424 Blackfalds Industrial Way</t>
  </si>
  <si>
    <t>108 Poplar Street</t>
  </si>
  <si>
    <t>7552 Edgar Industrial Dr</t>
  </si>
  <si>
    <t>Row Labels</t>
  </si>
  <si>
    <t>Grand Total</t>
  </si>
  <si>
    <t>Sum of Parcel 
Acres</t>
  </si>
  <si>
    <t>Sum of Building
SF</t>
  </si>
  <si>
    <t>Sum of Footprint 
SF</t>
  </si>
  <si>
    <t>99 Quinn Avenue</t>
  </si>
  <si>
    <t>Lat</t>
  </si>
  <si>
    <t>Long</t>
  </si>
  <si>
    <t>8014 Edgar Industrial Cr</t>
  </si>
  <si>
    <t>4766 62 St</t>
  </si>
  <si>
    <t>4719 78A Street Cl</t>
  </si>
  <si>
    <t>6767 Goldenwest Ave</t>
  </si>
  <si>
    <t>7764 Edgar Industrial Way</t>
  </si>
  <si>
    <t>Average Price</t>
  </si>
  <si>
    <t>Average Price PSF</t>
  </si>
  <si>
    <t>Average Rate PSF</t>
  </si>
  <si>
    <t>6763 76 Street</t>
  </si>
  <si>
    <t>19 Belich Cr</t>
  </si>
  <si>
    <t>8037 Edgar Industrial Cr</t>
  </si>
  <si>
    <t>7550 Edgar Industrial Dr</t>
  </si>
  <si>
    <t>18 Burnt Valley Ave</t>
  </si>
  <si>
    <t>36 Belich Cr</t>
  </si>
  <si>
    <t>8045 Edgar Industrial Cr</t>
  </si>
  <si>
    <t>8005 Edgar Industrial Ave</t>
  </si>
  <si>
    <t>4329 78 Street Cr</t>
  </si>
  <si>
    <t>104 Poplar St</t>
  </si>
  <si>
    <t>8014B Edgar Industrial Cr</t>
  </si>
  <si>
    <t>7690 Edgar Industrial Court</t>
  </si>
  <si>
    <t>123 Queensland Cr</t>
  </si>
  <si>
    <t>8130 49 Ave Close</t>
  </si>
  <si>
    <t>8113 49 Ave Close</t>
  </si>
  <si>
    <t>6525 67 St</t>
  </si>
  <si>
    <t>7449 49 Ave Cr</t>
  </si>
  <si>
    <t>6718 Golden West Avenue</t>
  </si>
  <si>
    <t>4601 63 Street</t>
  </si>
  <si>
    <t>8351 Chiles Industrial Way</t>
  </si>
  <si>
    <t>10 Belich Crescent</t>
  </si>
  <si>
    <t>4731 78A St</t>
  </si>
  <si>
    <t>6521 67 St</t>
  </si>
  <si>
    <t>7615 Edgar Industrial Drive</t>
  </si>
  <si>
    <t>121 Poplar St</t>
  </si>
  <si>
    <t>7948 Edgar Industrial Way</t>
  </si>
  <si>
    <t>7651 49 Ave</t>
  </si>
  <si>
    <t>4 Burnt Basin St</t>
  </si>
  <si>
    <t>21-27123 Hwy 597</t>
  </si>
  <si>
    <t>7932 Edgar Industrial Way</t>
  </si>
  <si>
    <t>280 Burnt Park Dr</t>
  </si>
  <si>
    <t>4436 Industry Avenue</t>
  </si>
  <si>
    <t>239 Clearview Drive</t>
  </si>
  <si>
    <t>7911 Edgar Industrial Drive</t>
  </si>
  <si>
    <t>7750 Edgar Industrial Drive</t>
  </si>
  <si>
    <t>Active</t>
  </si>
  <si>
    <t>Parcel Acres</t>
  </si>
  <si>
    <t>Building SF</t>
  </si>
  <si>
    <t>Site Coverage %</t>
  </si>
  <si>
    <t>Lease Rate PSF</t>
  </si>
  <si>
    <t>Asking Price/Price Sold</t>
  </si>
  <si>
    <t>Price PSF</t>
  </si>
  <si>
    <t>Date Sold/Leased</t>
  </si>
  <si>
    <t>Footprint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</si>
</sst>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_(* #,##0_);_(* \(#,##0\);_(* &quot;-&quot;??_);_(@_)"/>
    <numFmt numFmtId="167" formatCode="&quot;$&quot;#,##0"/>
    <numFmt numFmtId="168" formatCode="&quot;$&quot;#,##0.00"/>
    <numFmt numFmtId="169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Font="1" applyBorder="1" applyAlignment="1">
      <alignment horizontal="right" vertical="center"/>
    </xf>
    <xf numFmtId="167" fontId="0" fillId="0" borderId="0" xfId="0" applyNumberFormat="1" applyFont="1" applyBorder="1" applyAlignment="1">
      <alignment horizontal="right" vertical="center"/>
    </xf>
    <xf numFmtId="166" fontId="0" fillId="0" borderId="0" xfId="1" applyNumberFormat="1" applyFont="1" applyBorder="1" applyAlignment="1">
      <alignment horizontal="right" vertical="center"/>
    </xf>
    <xf numFmtId="10" fontId="0" fillId="0" borderId="0" xfId="2" applyNumberFormat="1" applyFont="1" applyBorder="1" applyAlignment="1">
      <alignment horizontal="right" vertical="center"/>
    </xf>
    <xf numFmtId="168" fontId="0" fillId="0" borderId="0" xfId="0" applyNumberFormat="1" applyFont="1" applyBorder="1" applyAlignment="1">
      <alignment horizontal="right" vertical="center"/>
    </xf>
    <xf numFmtId="165" fontId="0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0" fillId="2" borderId="0" xfId="0" applyFont="1" applyFill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166" fontId="4" fillId="0" borderId="0" xfId="1" applyNumberFormat="1" applyFont="1" applyBorder="1" applyAlignment="1">
      <alignment horizontal="right" vertical="center"/>
    </xf>
    <xf numFmtId="10" fontId="4" fillId="0" borderId="0" xfId="2" applyNumberFormat="1" applyFont="1" applyBorder="1" applyAlignment="1">
      <alignment horizontal="right" vertical="center"/>
    </xf>
    <xf numFmtId="168" fontId="4" fillId="0" borderId="0" xfId="0" applyNumberFormat="1" applyFont="1" applyBorder="1" applyAlignment="1">
      <alignment horizontal="right" vertical="center"/>
    </xf>
    <xf numFmtId="165" fontId="4" fillId="0" borderId="0" xfId="0" applyNumberFormat="1" applyFont="1" applyBorder="1" applyAlignment="1">
      <alignment horizontal="right" vertical="center"/>
    </xf>
    <xf numFmtId="167" fontId="4" fillId="0" borderId="0" xfId="0" applyNumberFormat="1" applyFont="1" applyBorder="1" applyAlignment="1">
      <alignment horizontal="right" vertical="center"/>
    </xf>
    <xf numFmtId="0" fontId="4" fillId="0" borderId="0" xfId="0" applyFont="1" applyAlignment="1">
      <alignment horizontal="right"/>
    </xf>
    <xf numFmtId="166" fontId="4" fillId="0" borderId="0" xfId="1" applyNumberFormat="1" applyFont="1" applyFill="1" applyAlignment="1">
      <alignment horizontal="right"/>
    </xf>
    <xf numFmtId="2" fontId="4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 wrapText="1"/>
    </xf>
    <xf numFmtId="166" fontId="5" fillId="0" borderId="0" xfId="1" applyNumberFormat="1" applyFont="1" applyBorder="1" applyAlignment="1">
      <alignment horizontal="right" vertical="center" wrapText="1"/>
    </xf>
    <xf numFmtId="10" fontId="5" fillId="0" borderId="0" xfId="2" applyNumberFormat="1" applyFont="1" applyBorder="1" applyAlignment="1">
      <alignment horizontal="right" vertical="center" wrapText="1"/>
    </xf>
    <xf numFmtId="168" fontId="5" fillId="0" borderId="0" xfId="0" applyNumberFormat="1" applyFont="1" applyBorder="1" applyAlignment="1">
      <alignment horizontal="right" vertical="center" wrapText="1"/>
    </xf>
    <xf numFmtId="167" fontId="5" fillId="0" borderId="0" xfId="0" applyNumberFormat="1" applyFont="1" applyBorder="1" applyAlignment="1">
      <alignment horizontal="right" vertical="center" wrapText="1"/>
    </xf>
    <xf numFmtId="165" fontId="5" fillId="0" borderId="0" xfId="0" applyNumberFormat="1" applyFont="1" applyBorder="1" applyAlignment="1">
      <alignment horizontal="right" vertical="center" wrapText="1"/>
    </xf>
    <xf numFmtId="0" fontId="0" fillId="0" borderId="0" xfId="0" pivotButton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9" fontId="4" fillId="0" borderId="0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168" fontId="0" fillId="0" borderId="0" xfId="0" applyNumberFormat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4" fillId="0" borderId="0" xfId="0" applyFont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28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67" formatCode="&quot;$&quot;#,##0"/>
    </dxf>
    <dxf>
      <numFmt numFmtId="168" formatCode="&quot;$&quot;#,##0.00"/>
    </dxf>
    <dxf>
      <numFmt numFmtId="168" formatCode="&quot;$&quot;#,##0.00"/>
    </dxf>
    <dxf>
      <numFmt numFmtId="3" formatCode="#,##0"/>
    </dxf>
    <dxf>
      <numFmt numFmtId="3" formatCode="#,##0"/>
    </dxf>
    <dxf>
      <numFmt numFmtId="1" formatCode="0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" formatCode="#,##0"/>
      <alignment horizontal="right"/>
    </dxf>
    <dxf>
      <numFmt numFmtId="168" formatCode="&quot;$&quot;#,##0.00"/>
      <alignment horizontal="right"/>
    </dxf>
    <dxf>
      <numFmt numFmtId="167" formatCode="&quot;$&quot;#,##0"/>
      <alignment horizontal="right"/>
    </dxf>
    <dxf>
      <numFmt numFmtId="168" formatCode="&quot;$&quot;#,##0.00"/>
      <alignment horizontal="right"/>
    </dxf>
    <dxf>
      <font>
        <color rgb="FF0070C0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tt Salomons" refreshedDate="44106.374468287038" createdVersion="6" refreshedVersion="6" minRefreshableVersion="3" recordCount="41" xr:uid="{F29270C5-FE45-4825-AF56-9CA1886C2B9B}">
  <cacheSource type="worksheet">
    <worksheetSource ref="A1:N39" sheet="Industrial Building Sales"/>
  </cacheSource>
  <cacheFields count="14">
    <cacheField name="Type" numFmtId="0">
      <sharedItems count="3">
        <s v="Leased"/>
        <s v="List"/>
        <s v="Sold"/>
      </sharedItems>
    </cacheField>
    <cacheField name="Address" numFmtId="0">
      <sharedItems count="40">
        <s v="245, 27312 - TWP 394"/>
        <s v="47-27123 Hwy 597"/>
        <s v="7552 Edgar Industrial Dr"/>
        <s v="7980 Edgar Industrial Drive"/>
        <s v="8014 Edgar Industrial Cr"/>
        <s v="8112 Edgar Industrial Drive"/>
        <s v="8164 Edgar Industrial Close"/>
        <s v="84 Burnt Park Drive"/>
        <s v="5424 Blackfalds Industrial Way"/>
        <s v="144, 27323 TWP 394"/>
        <s v="257, 27312 TWP 394"/>
        <s v="29-27123 Hwy 597"/>
        <s v="45-27312 Township Road 394"/>
        <s v="41 Queensgate Cr"/>
        <s v="4719 78A Street Cl"/>
        <s v="4766 62 St"/>
        <s v="6767 Goldenwest Ave"/>
        <s v="7575 Edgar Industrial Drive"/>
        <s v="7610 Edgar Industrial Court"/>
        <s v="7880 Edgar Industrial Dr"/>
        <s v="8005 Edgar Industrial Avenue"/>
        <s v="8009 Edgar Industrial Cr"/>
        <s v="8018B Edgar Industrial Cr"/>
        <s v="8022 Edgar Industrial Cr"/>
        <s v="8080 Edgar Industrial Cr"/>
        <s v="8145 Edgar Industrial Close"/>
        <s v="108 Poplar Street"/>
        <s v="225 Burnt Ridge Road"/>
        <s v="240 Burnt Park Way"/>
        <s v="253 Burnt Park Dr"/>
        <s v="4115 Henry St"/>
        <s v="4128 Henry Street"/>
        <s v="5200 Blindman Dr"/>
        <s v="5200 Duncan Avenue"/>
        <s v="4100 77 Street"/>
        <s v="4728 78A Street Close"/>
        <s v="7764 Edgar Industrial Way"/>
        <s v="8060 Edgar Industrial Crescent"/>
        <s v="8156 Edgar Industrial Close"/>
        <s v="99 Quinn Avenue"/>
      </sharedItems>
    </cacheField>
    <cacheField name="Municipality" numFmtId="0">
      <sharedItems count="4">
        <s v="Lacombe County"/>
        <s v="Red Deer"/>
        <s v="Blackfalds"/>
        <s v="Red Deer County"/>
      </sharedItems>
    </cacheField>
    <cacheField name="Zoning" numFmtId="0">
      <sharedItems/>
    </cacheField>
    <cacheField name="Parcel _x000a_Acres" numFmtId="0">
      <sharedItems containsSemiMixedTypes="0" containsString="0" containsNumber="1" minValue="0.72" maxValue="19.989999999999998"/>
    </cacheField>
    <cacheField name="Building_x000a_SF" numFmtId="166">
      <sharedItems containsSemiMixedTypes="0" containsString="0" containsNumber="1" containsInteger="1" minValue="7000" maxValue="113495"/>
    </cacheField>
    <cacheField name="Footprint _x000a_SF" numFmtId="166">
      <sharedItems containsSemiMixedTypes="0" containsString="0" containsNumber="1" minValue="7000" maxValue="103221"/>
    </cacheField>
    <cacheField name="Site Coverage _x000a_%" numFmtId="10">
      <sharedItems containsSemiMixedTypes="0" containsString="0" containsNumber="1" minValue="1.0494555949101404E-2" maxValue="0.27667442572305151"/>
    </cacheField>
    <cacheField name="Lease _x000a_Rate/NER_x000a_PSF" numFmtId="168">
      <sharedItems containsMixedTypes="1" containsNumber="1" minValue="5" maxValue="18" count="19">
        <n v="10"/>
        <n v="7.12"/>
        <s v="TBD"/>
        <n v="10.07"/>
        <n v="6"/>
        <n v="18"/>
        <n v="8.15"/>
        <n v="9.99"/>
        <n v="12"/>
        <n v="12.5"/>
        <n v="5"/>
        <s v="N/A"/>
        <s v="Market"/>
        <n v="11"/>
        <n v="8"/>
        <n v="7"/>
        <n v="9"/>
        <n v="14.5"/>
        <n v="9.5"/>
      </sharedItems>
    </cacheField>
    <cacheField name="Asking Price/_x000a_Price Sold" numFmtId="0">
      <sharedItems containsMixedTypes="1" containsNumber="1" containsInteger="1" minValue="1310000" maxValue="7500000" count="22">
        <s v="N/A"/>
        <n v="5400000"/>
        <n v="5099000"/>
        <n v="5995000"/>
        <n v="2795000"/>
        <n v="3500000"/>
        <n v="1750000"/>
        <s v="Market"/>
        <n v="1595000"/>
        <n v="7000000"/>
        <n v="7500000"/>
        <n v="1395000"/>
        <n v="5200000"/>
        <n v="3000000"/>
        <n v="4700000"/>
        <n v="1310000"/>
        <n v="3100000"/>
        <n v="1950000"/>
        <n v="5000000"/>
        <n v="6500000"/>
        <n v="2100000"/>
        <n v="1485000"/>
      </sharedItems>
    </cacheField>
    <cacheField name="Price _x000a_PSF" numFmtId="168">
      <sharedItems containsMixedTypes="1" containsNumber="1" minValue="64.350064350064343" maxValue="749.375" count="25">
        <s v="N/A"/>
        <n v="164.83516483516485"/>
        <n v="115.88636363636364"/>
        <n v="749.375"/>
        <n v="226.90371813606106"/>
        <n v="209.3176245439866"/>
        <n v="123.58757062146893"/>
        <n v="175.27472527472528"/>
        <n v="265.15151515151513"/>
        <n v="155.92515592515593"/>
        <n v="174.375"/>
        <n v="187.10074038435837"/>
        <n v="151.60349854227405"/>
        <n v="64.350064350064343"/>
        <n v="167.85714285714286"/>
        <n v="187.14285714285714"/>
        <n v="250.64683053040105"/>
        <n v="109.39691444600281"/>
        <n v="126.52462169138114"/>
        <n v="100.60985047828375"/>
        <n v="91.807292122059977"/>
        <n v="177.60487144790258"/>
        <n v="110.52631578947368"/>
        <n v="105.56621880998081"/>
        <n v="161.7180930202471"/>
      </sharedItems>
    </cacheField>
    <cacheField name="Date_x000a_Sold/Leased" numFmtId="165">
      <sharedItems containsDate="1" containsMixedTypes="1" minDate="2018-06-01T00:00:00" maxDate="2020-10-01T00:00:00"/>
    </cacheField>
    <cacheField name="Lat" numFmtId="0">
      <sharedItems containsSemiMixedTypes="0" containsString="0" containsNumber="1" minValue="52.219405999999999" maxValue="52.381475000000002"/>
    </cacheField>
    <cacheField name="Long" numFmtId="0">
      <sharedItems containsSemiMixedTypes="0" containsString="0" containsNumber="1" minValue="-113.871337" maxValue="-113.7824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x v="0"/>
    <s v="I-BI Business Industrial"/>
    <n v="3.77"/>
    <n v="22500"/>
    <n v="16727"/>
    <n v="0.10185652035181816"/>
    <x v="0"/>
    <x v="0"/>
    <x v="0"/>
    <d v="2020-03-01T00:00:00"/>
    <n v="52.380355000000002"/>
    <n v="-113.822562"/>
  </r>
  <r>
    <x v="0"/>
    <x v="1"/>
    <x v="0"/>
    <s v="I-BI Business Industrial"/>
    <n v="10.23"/>
    <n v="28100"/>
    <n v="25000"/>
    <n v="5.6101762313439191E-2"/>
    <x v="1"/>
    <x v="0"/>
    <x v="0"/>
    <d v="2020-06-01T00:00:00"/>
    <n v="52.366047999999999"/>
    <n v="-113.787437"/>
  </r>
  <r>
    <x v="0"/>
    <x v="2"/>
    <x v="1"/>
    <s v="I1 - Light Industrial"/>
    <n v="18"/>
    <n v="113495"/>
    <n v="103221"/>
    <n v="0.13164600550964187"/>
    <x v="2"/>
    <x v="0"/>
    <x v="0"/>
    <d v="2020-08-01T00:00:00"/>
    <n v="52.301549000000001"/>
    <n v="-113.857428"/>
  </r>
  <r>
    <x v="0"/>
    <x v="3"/>
    <x v="1"/>
    <s v="I1 - Light Industrial"/>
    <n v="3.01"/>
    <n v="20810"/>
    <n v="17850"/>
    <n v="0.1361394067525146"/>
    <x v="3"/>
    <x v="0"/>
    <x v="0"/>
    <d v="2019-10-01T00:00:00"/>
    <n v="52.313614999999999"/>
    <n v="-113.85107600000001"/>
  </r>
  <r>
    <x v="0"/>
    <x v="4"/>
    <x v="1"/>
    <s v="I1 - Light Industrial"/>
    <n v="4.59"/>
    <n v="16600"/>
    <n v="16600"/>
    <n v="8.3024741372929131E-2"/>
    <x v="4"/>
    <x v="0"/>
    <x v="0"/>
    <d v="2020-09-30T00:00:00"/>
    <n v="52.313071999999998"/>
    <n v="-113.859274"/>
  </r>
  <r>
    <x v="0"/>
    <x v="5"/>
    <x v="1"/>
    <s v="I1 - Light Industrial"/>
    <n v="8.44"/>
    <n v="35500"/>
    <n v="29500"/>
    <n v="8.0240143790337684E-2"/>
    <x v="5"/>
    <x v="0"/>
    <x v="0"/>
    <d v="2019-04-01T00:00:00"/>
    <n v="52.316079000000002"/>
    <n v="-113.841708"/>
  </r>
  <r>
    <x v="0"/>
    <x v="6"/>
    <x v="1"/>
    <s v="I1 - Light Industrial"/>
    <n v="3.06"/>
    <n v="16387"/>
    <n v="16387"/>
    <n v="0.12293913586248702"/>
    <x v="6"/>
    <x v="0"/>
    <x v="0"/>
    <d v="2020-09-01T00:00:00"/>
    <n v="52.316274"/>
    <n v="-113.83183699999999"/>
  </r>
  <r>
    <x v="0"/>
    <x v="7"/>
    <x v="1"/>
    <s v="I1 - Light Industrial"/>
    <n v="5.21"/>
    <n v="21400"/>
    <n v="17700"/>
    <n v="7.7991571622700581E-2"/>
    <x v="7"/>
    <x v="0"/>
    <x v="0"/>
    <d v="2018-06-01T00:00:00"/>
    <n v="52.300733999999999"/>
    <n v="-113.866086"/>
  </r>
  <r>
    <x v="1"/>
    <x v="8"/>
    <x v="2"/>
    <s v="I2 - Heavy Industrial"/>
    <n v="4.97"/>
    <n v="32760"/>
    <n v="30590.489160000001"/>
    <n v="0.14130000000000001"/>
    <x v="8"/>
    <x v="1"/>
    <x v="1"/>
    <s v="N/A"/>
    <n v="52.368954000000002"/>
    <n v="-113.785888"/>
  </r>
  <r>
    <x v="1"/>
    <x v="9"/>
    <x v="0"/>
    <s v="I-BI Business Industrial"/>
    <n v="8.76"/>
    <n v="33750"/>
    <n v="27388"/>
    <n v="7.1774196929863185E-2"/>
    <x v="9"/>
    <x v="0"/>
    <x v="0"/>
    <s v="N/A"/>
    <n v="52.373894"/>
    <n v="-113.83694300000001"/>
  </r>
  <r>
    <x v="1"/>
    <x v="10"/>
    <x v="0"/>
    <s v="I-BI Business Industrial"/>
    <n v="7.75"/>
    <n v="44000"/>
    <n v="38000"/>
    <n v="0.1125625759056844"/>
    <x v="10"/>
    <x v="2"/>
    <x v="2"/>
    <s v="N/A"/>
    <n v="52.381475000000002"/>
    <n v="-113.82156000000001"/>
  </r>
  <r>
    <x v="1"/>
    <x v="11"/>
    <x v="0"/>
    <s v="I-BI Business Industrial"/>
    <n v="17.5"/>
    <n v="8000"/>
    <n v="8000"/>
    <n v="1.0494555949101404E-2"/>
    <x v="11"/>
    <x v="3"/>
    <x v="3"/>
    <s v="N/A"/>
    <n v="52.363456999999997"/>
    <n v="-113.79085000000001"/>
  </r>
  <r>
    <x v="1"/>
    <x v="12"/>
    <x v="0"/>
    <s v="I-BI Business Industrial"/>
    <n v="4"/>
    <n v="12318"/>
    <n v="12318"/>
    <n v="7.069559228650138E-2"/>
    <x v="11"/>
    <x v="4"/>
    <x v="4"/>
    <s v="N/A"/>
    <n v="52.380929999999999"/>
    <n v="-113.827444"/>
  </r>
  <r>
    <x v="1"/>
    <x v="13"/>
    <x v="1"/>
    <s v="I1 - Light Industrial"/>
    <n v="2.63"/>
    <n v="10000"/>
    <n v="10000"/>
    <n v="8.7288369348514527E-2"/>
    <x v="8"/>
    <x v="0"/>
    <x v="0"/>
    <s v="N/A"/>
    <n v="52.316566000000002"/>
    <n v="-113.868179"/>
  </r>
  <r>
    <x v="1"/>
    <x v="14"/>
    <x v="1"/>
    <s v="I1 - Light Industrial"/>
    <n v="1.93"/>
    <n v="16721"/>
    <n v="16721"/>
    <n v="0.19889188636244692"/>
    <x v="11"/>
    <x v="5"/>
    <x v="5"/>
    <s v="N/A"/>
    <n v="52.310138999999999"/>
    <n v="-113.804124"/>
  </r>
  <r>
    <x v="1"/>
    <x v="15"/>
    <x v="1"/>
    <s v="I1 - Light Industrial"/>
    <n v="2.1"/>
    <n v="14160"/>
    <n v="14160"/>
    <n v="0.15479470024924569"/>
    <x v="12"/>
    <x v="6"/>
    <x v="6"/>
    <s v="N/A"/>
    <n v="52.282691999999997"/>
    <n v="-113.811212"/>
  </r>
  <r>
    <x v="1"/>
    <x v="16"/>
    <x v="1"/>
    <s v="I1 - Light Industrial"/>
    <n v="4.38"/>
    <n v="30520"/>
    <n v="30520"/>
    <n v="0.15996410766024716"/>
    <x v="13"/>
    <x v="7"/>
    <x v="0"/>
    <s v="N/A"/>
    <n v="52.295594999999999"/>
    <n v="-113.842651"/>
  </r>
  <r>
    <x v="1"/>
    <x v="17"/>
    <x v="1"/>
    <s v="I1 - Light Industrial"/>
    <n v="0.9"/>
    <n v="9100"/>
    <n v="9100"/>
    <n v="0.2321191715131109"/>
    <x v="11"/>
    <x v="8"/>
    <x v="7"/>
    <s v="N/A"/>
    <n v="52.303424999999997"/>
    <n v="-113.854969"/>
  </r>
  <r>
    <x v="1"/>
    <x v="18"/>
    <x v="1"/>
    <s v="I1 - Light Industrial"/>
    <n v="3.76"/>
    <n v="26400"/>
    <n v="22000"/>
    <n v="0.13432194283258114"/>
    <x v="11"/>
    <x v="9"/>
    <x v="8"/>
    <s v="N/A"/>
    <n v="52.303345999999998"/>
    <n v="-113.859559"/>
  </r>
  <r>
    <x v="1"/>
    <x v="19"/>
    <x v="1"/>
    <s v="I1 - Light Industrial"/>
    <n v="19.989999999999998"/>
    <n v="48100"/>
    <n v="45200"/>
    <n v="5.1908415180960545E-2"/>
    <x v="11"/>
    <x v="10"/>
    <x v="9"/>
    <s v="N/A"/>
    <n v="52.309057000000003"/>
    <n v="-113.858064"/>
  </r>
  <r>
    <x v="1"/>
    <x v="20"/>
    <x v="1"/>
    <s v="I1 - Light Industrial"/>
    <n v="0.72"/>
    <n v="8000"/>
    <n v="8000"/>
    <n v="0.25507601265177021"/>
    <x v="11"/>
    <x v="11"/>
    <x v="10"/>
    <s v="N/A"/>
    <n v="52.315071000000003"/>
    <n v="-113.848949"/>
  </r>
  <r>
    <x v="1"/>
    <x v="21"/>
    <x v="1"/>
    <s v="I1 - Light Industrial"/>
    <n v="4.3"/>
    <n v="41040"/>
    <n v="35288.8272"/>
    <n v="0.18839999999999998"/>
    <x v="14"/>
    <x v="0"/>
    <x v="0"/>
    <s v="N/A"/>
    <n v="52.313045000000002"/>
    <n v="-113.854924"/>
  </r>
  <r>
    <x v="1"/>
    <x v="22"/>
    <x v="1"/>
    <s v="I1 - Light Industrial"/>
    <n v="3"/>
    <n v="16032"/>
    <n v="16032"/>
    <n v="0.12268135904499541"/>
    <x v="15"/>
    <x v="0"/>
    <x v="0"/>
    <s v="N/A"/>
    <n v="52.313136999999998"/>
    <n v="-113.85727300000001"/>
  </r>
  <r>
    <x v="1"/>
    <x v="23"/>
    <x v="1"/>
    <s v="I1 - Light Industrial"/>
    <n v="7.74"/>
    <n v="37413"/>
    <n v="30218"/>
    <n v="8.9626592445478978E-2"/>
    <x v="12"/>
    <x v="9"/>
    <x v="11"/>
    <s v="N/A"/>
    <n v="52.314121"/>
    <n v="-113.858994"/>
  </r>
  <r>
    <x v="1"/>
    <x v="24"/>
    <x v="1"/>
    <s v="I1 - Light Industrial"/>
    <n v="3.06"/>
    <n v="34300"/>
    <n v="28050"/>
    <n v="0.21043771043771042"/>
    <x v="11"/>
    <x v="12"/>
    <x v="12"/>
    <s v="N/A"/>
    <n v="52.316502"/>
    <n v="-113.84702"/>
  </r>
  <r>
    <x v="1"/>
    <x v="25"/>
    <x v="1"/>
    <s v="I1 - Light Industrial"/>
    <n v="10.23"/>
    <n v="46620"/>
    <n v="46620"/>
    <n v="0.10461856636210141"/>
    <x v="11"/>
    <x v="13"/>
    <x v="13"/>
    <s v="N/A"/>
    <n v="52.315213"/>
    <n v="-113.833609"/>
  </r>
  <r>
    <x v="1"/>
    <x v="7"/>
    <x v="1"/>
    <s v="I1 - Light Industrial"/>
    <n v="5.21"/>
    <n v="21400"/>
    <n v="17700"/>
    <n v="7.7991571622700581E-2"/>
    <x v="12"/>
    <x v="7"/>
    <x v="0"/>
    <s v="N/A"/>
    <n v="52.300733999999999"/>
    <n v="-113.866086"/>
  </r>
  <r>
    <x v="1"/>
    <x v="26"/>
    <x v="3"/>
    <s v="BSI - Business Service Indust"/>
    <n v="1.02"/>
    <n v="11180"/>
    <n v="11180"/>
    <n v="0.25162498424530511"/>
    <x v="16"/>
    <x v="0"/>
    <x v="0"/>
    <s v="N/A"/>
    <n v="52.219405999999999"/>
    <n v="-113.804834"/>
  </r>
  <r>
    <x v="1"/>
    <x v="27"/>
    <x v="3"/>
    <s v="MI - Medium Industrial"/>
    <n v="6.02"/>
    <n v="16840"/>
    <n v="14090"/>
    <n v="5.3731211236496657E-2"/>
    <x v="17"/>
    <x v="0"/>
    <x v="0"/>
    <s v="N/A"/>
    <n v="52.292344999999997"/>
    <n v="-113.869169"/>
  </r>
  <r>
    <x v="1"/>
    <x v="28"/>
    <x v="3"/>
    <s v="BSI - Business Service Indust"/>
    <n v="6.01"/>
    <n v="28000"/>
    <n v="20840"/>
    <n v="7.9604088074818682E-2"/>
    <x v="11"/>
    <x v="14"/>
    <x v="14"/>
    <s v="N/A"/>
    <n v="52.293430000000001"/>
    <n v="-113.871337"/>
  </r>
  <r>
    <x v="1"/>
    <x v="29"/>
    <x v="3"/>
    <s v="BSI - Business Service Indust"/>
    <n v="1.6"/>
    <n v="12564"/>
    <n v="12564"/>
    <n v="0.18026859504132231"/>
    <x v="18"/>
    <x v="0"/>
    <x v="0"/>
    <s v="N/A"/>
    <n v="52.289523000000003"/>
    <n v="-113.86326800000001"/>
  </r>
  <r>
    <x v="1"/>
    <x v="30"/>
    <x v="3"/>
    <s v="MI - Medium Industrial"/>
    <n v="6.52"/>
    <n v="7000"/>
    <n v="7000"/>
    <n v="2.4646915332916453E-2"/>
    <x v="11"/>
    <x v="15"/>
    <x v="15"/>
    <s v="N/A"/>
    <n v="52.340083999999997"/>
    <n v="-113.782454"/>
  </r>
  <r>
    <x v="1"/>
    <x v="31"/>
    <x v="3"/>
    <s v="MI - Medium Industrial"/>
    <n v="7.83"/>
    <n v="12368"/>
    <n v="9610"/>
    <n v="2.8175637719350711E-2"/>
    <x v="16"/>
    <x v="16"/>
    <x v="16"/>
    <s v="N/A"/>
    <n v="52.342365999999998"/>
    <n v="-113.78400999999999"/>
  </r>
  <r>
    <x v="1"/>
    <x v="32"/>
    <x v="3"/>
    <s v="MI - Medium Industrial"/>
    <n v="6.37"/>
    <n v="17825"/>
    <n v="17825"/>
    <n v="6.4239512291460341E-2"/>
    <x v="11"/>
    <x v="17"/>
    <x v="17"/>
    <s v="N/A"/>
    <n v="52.348534000000001"/>
    <n v="-113.79055099999999"/>
  </r>
  <r>
    <x v="2"/>
    <x v="33"/>
    <x v="2"/>
    <s v="I2 - Heavy Industrial"/>
    <n v="10.01"/>
    <n v="39518"/>
    <n v="39518"/>
    <n v="9.0630214597156741E-2"/>
    <x v="11"/>
    <x v="18"/>
    <x v="18"/>
    <d v="2019-12-02T00:00:00"/>
    <n v="52.380288999999998"/>
    <n v="-113.817311"/>
  </r>
  <r>
    <x v="2"/>
    <x v="34"/>
    <x v="1"/>
    <s v="I2 - Heavy Industrial"/>
    <n v="16.63"/>
    <n v="64606"/>
    <n v="56000"/>
    <n v="7.730505735206987E-2"/>
    <x v="11"/>
    <x v="19"/>
    <x v="19"/>
    <d v="2020-02-03T00:00:00"/>
    <n v="52.305301"/>
    <n v="-113.79805899999999"/>
  </r>
  <r>
    <x v="2"/>
    <x v="35"/>
    <x v="1"/>
    <s v="I1 - Light Industrial"/>
    <n v="1.29"/>
    <n v="22874"/>
    <n v="15547"/>
    <n v="0.27667442572305151"/>
    <x v="11"/>
    <x v="20"/>
    <x v="20"/>
    <d v="2019-03-11T00:00:00"/>
    <n v="52.303384999999999"/>
    <n v="-113.79754200000001"/>
  </r>
  <r>
    <x v="2"/>
    <x v="36"/>
    <x v="1"/>
    <s v="I1 - Light Industrial"/>
    <n v="1"/>
    <n v="11824"/>
    <n v="10672"/>
    <n v="0.24499540863177227"/>
    <x v="11"/>
    <x v="20"/>
    <x v="21"/>
    <d v="2019-05-24T00:00:00"/>
    <n v="52.305472000000002"/>
    <n v="-113.852991"/>
  </r>
  <r>
    <x v="2"/>
    <x v="37"/>
    <x v="1"/>
    <s v="I1 - Light Industrial"/>
    <n v="2.0299999999999998"/>
    <n v="19000"/>
    <n v="17500"/>
    <n v="0.19790380291947693"/>
    <x v="11"/>
    <x v="20"/>
    <x v="22"/>
    <d v="2019-11-19T00:00:00"/>
    <n v="52.316541000000001"/>
    <n v="-113.85119"/>
  </r>
  <r>
    <x v="2"/>
    <x v="38"/>
    <x v="1"/>
    <s v="I1 - Light Industrial"/>
    <n v="2.0299999999999998"/>
    <n v="14067"/>
    <n v="14067"/>
    <n v="0.15908073118104468"/>
    <x v="11"/>
    <x v="21"/>
    <x v="23"/>
    <d v="2019-10-07T00:00:00"/>
    <n v="52.316336999999997"/>
    <n v="-113.833367"/>
  </r>
  <r>
    <x v="2"/>
    <x v="39"/>
    <x v="1"/>
    <s v="I1 - Light Industrial"/>
    <n v="2.92"/>
    <n v="30918"/>
    <n v="24748"/>
    <n v="0.19456709058203456"/>
    <x v="11"/>
    <x v="18"/>
    <x v="24"/>
    <d v="2020-06-19T00:00:00"/>
    <n v="52.312111999999999"/>
    <n v="-113.869260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68BA7-B497-438D-9C93-21EB03CB7311}" name="PivotTable1" cacheId="0" applyNumberFormats="0" applyBorderFormats="0" applyFontFormats="0" applyPatternFormats="0" applyAlignmentFormats="0" applyWidthHeightFormats="1" dataCaption="Values" errorCaption="N/A" showError="1" updatedVersion="6" minRefreshableVersion="3" useAutoFormatting="1" itemPrintTitles="1" createdVersion="6" indent="0" outline="1" outlineData="1" multipleFieldFilters="0">
  <location ref="A3:G7" firstHeaderRow="0" firstDataRow="1" firstDataCol="1"/>
  <pivotFields count="14">
    <pivotField axis="axisRow" showAll="0">
      <items count="4">
        <item x="0"/>
        <item x="1"/>
        <item x="2"/>
        <item t="default"/>
      </items>
    </pivotField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dataField="1" showAll="0"/>
    <pivotField dataField="1" numFmtId="166" showAll="0"/>
    <pivotField dataField="1" numFmtId="166" showAll="0"/>
    <pivotField numFmtId="10" showAll="0"/>
    <pivotField dataField="1" showAll="0">
      <items count="20">
        <item x="10"/>
        <item x="4"/>
        <item x="15"/>
        <item x="1"/>
        <item x="14"/>
        <item x="6"/>
        <item x="16"/>
        <item x="18"/>
        <item x="7"/>
        <item x="0"/>
        <item x="3"/>
        <item x="13"/>
        <item x="8"/>
        <item x="9"/>
        <item x="17"/>
        <item x="5"/>
        <item x="12"/>
        <item x="11"/>
        <item x="2"/>
        <item t="default"/>
      </items>
    </pivotField>
    <pivotField dataField="1" showAll="0">
      <items count="23">
        <item x="15"/>
        <item x="11"/>
        <item x="21"/>
        <item x="8"/>
        <item x="6"/>
        <item x="17"/>
        <item x="20"/>
        <item x="4"/>
        <item x="13"/>
        <item x="16"/>
        <item x="5"/>
        <item x="14"/>
        <item x="18"/>
        <item x="2"/>
        <item x="12"/>
        <item x="1"/>
        <item x="3"/>
        <item x="19"/>
        <item x="9"/>
        <item x="10"/>
        <item x="7"/>
        <item x="0"/>
        <item t="default"/>
      </items>
    </pivotField>
    <pivotField dataField="1" showAll="0">
      <items count="26">
        <item x="13"/>
        <item x="20"/>
        <item x="19"/>
        <item x="23"/>
        <item x="17"/>
        <item x="22"/>
        <item x="2"/>
        <item x="6"/>
        <item x="18"/>
        <item x="12"/>
        <item x="9"/>
        <item x="24"/>
        <item x="1"/>
        <item x="14"/>
        <item x="10"/>
        <item x="7"/>
        <item x="21"/>
        <item x="11"/>
        <item x="15"/>
        <item x="5"/>
        <item x="4"/>
        <item x="16"/>
        <item x="8"/>
        <item x="3"/>
        <item x="0"/>
        <item t="default"/>
      </items>
    </pivotField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Parcel _x000a_Acres" fld="4" baseField="0" baseItem="0"/>
    <dataField name="Sum of Building_x000a_SF" fld="5" baseField="0" baseItem="0" numFmtId="3"/>
    <dataField name="Sum of Footprint _x000a_SF" fld="6" baseField="0" baseItem="0" numFmtId="3"/>
    <dataField name="Average Rate PSF" fld="8" subtotal="average" baseField="0" baseItem="0" numFmtId="168"/>
    <dataField name="Average Price" fld="9" subtotal="average" baseField="0" baseItem="0" numFmtId="167"/>
    <dataField name="Average Price PSF" fld="10" subtotal="average" baseField="0" baseItem="0" numFmtId="168"/>
  </dataFields>
  <formats count="12">
    <format dxfId="11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B9CF7-A121-4BE8-83CC-525B396271B6}" name="PivotTable2" cacheId="0" applyNumberFormats="0" applyBorderFormats="0" applyFontFormats="0" applyPatternFormats="0" applyAlignmentFormats="0" applyWidthHeightFormats="1" dataCaption="Values" errorCaption="N/A" showError="1" updatedVersion="6" minRefreshableVersion="3" useAutoFormatting="1" itemPrintTitles="1" createdVersion="6" indent="0" outline="1" outlineData="1" multipleFieldFilters="0">
  <location ref="A13:G18" firstHeaderRow="0" firstDataRow="1" firstDataCol="1"/>
  <pivotFields count="14">
    <pivotField showAll="0"/>
    <pivotField showAll="0">
      <items count="41">
        <item x="26"/>
        <item x="9"/>
        <item x="27"/>
        <item x="28"/>
        <item x="0"/>
        <item x="29"/>
        <item x="10"/>
        <item x="11"/>
        <item x="13"/>
        <item x="34"/>
        <item x="30"/>
        <item x="31"/>
        <item x="12"/>
        <item x="14"/>
        <item x="1"/>
        <item x="35"/>
        <item x="15"/>
        <item x="32"/>
        <item x="33"/>
        <item x="8"/>
        <item x="16"/>
        <item x="2"/>
        <item x="17"/>
        <item x="18"/>
        <item x="36"/>
        <item x="19"/>
        <item x="3"/>
        <item x="20"/>
        <item x="21"/>
        <item x="4"/>
        <item x="22"/>
        <item x="23"/>
        <item x="37"/>
        <item x="24"/>
        <item x="5"/>
        <item x="25"/>
        <item x="38"/>
        <item x="6"/>
        <item x="7"/>
        <item x="39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dataField="1" showAll="0"/>
    <pivotField dataField="1" numFmtId="166" showAll="0"/>
    <pivotField dataField="1" numFmtId="166" showAll="0"/>
    <pivotField numFmtId="10" showAll="0"/>
    <pivotField dataField="1" showAll="0">
      <items count="20">
        <item x="10"/>
        <item x="4"/>
        <item x="15"/>
        <item x="1"/>
        <item x="14"/>
        <item x="6"/>
        <item x="16"/>
        <item x="18"/>
        <item x="7"/>
        <item x="0"/>
        <item x="3"/>
        <item x="13"/>
        <item x="8"/>
        <item x="9"/>
        <item x="17"/>
        <item x="5"/>
        <item x="12"/>
        <item x="11"/>
        <item x="2"/>
        <item t="default"/>
      </items>
    </pivotField>
    <pivotField dataField="1" showAll="0">
      <items count="23">
        <item x="15"/>
        <item x="11"/>
        <item x="21"/>
        <item x="8"/>
        <item x="6"/>
        <item x="17"/>
        <item x="20"/>
        <item x="4"/>
        <item x="13"/>
        <item x="16"/>
        <item x="5"/>
        <item x="14"/>
        <item x="18"/>
        <item x="2"/>
        <item x="12"/>
        <item x="1"/>
        <item x="3"/>
        <item x="19"/>
        <item x="9"/>
        <item x="10"/>
        <item x="7"/>
        <item x="0"/>
        <item t="default"/>
      </items>
    </pivotField>
    <pivotField dataField="1" showAll="0">
      <items count="26">
        <item x="13"/>
        <item x="20"/>
        <item x="19"/>
        <item x="23"/>
        <item x="17"/>
        <item x="22"/>
        <item x="2"/>
        <item x="6"/>
        <item x="18"/>
        <item x="12"/>
        <item x="9"/>
        <item x="24"/>
        <item x="1"/>
        <item x="14"/>
        <item x="10"/>
        <item x="7"/>
        <item x="21"/>
        <item x="11"/>
        <item x="15"/>
        <item x="5"/>
        <item x="4"/>
        <item x="16"/>
        <item x="8"/>
        <item x="3"/>
        <item x="0"/>
        <item t="default"/>
      </items>
    </pivotField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Parcel _x000a_Acres" fld="4" baseField="0" baseItem="0"/>
    <dataField name="Sum of Building_x000a_SF" fld="5" baseField="0" baseItem="0" numFmtId="3"/>
    <dataField name="Sum of Footprint _x000a_SF" fld="6" baseField="0" baseItem="0" numFmtId="3"/>
    <dataField name="Average Rate PSF" fld="8" subtotal="average" baseField="2" baseItem="0" numFmtId="168"/>
    <dataField name="Average Price" fld="9" subtotal="average" baseField="2" baseItem="0" numFmtId="167"/>
    <dataField name="Average Price PSF" fld="10" subtotal="average" baseField="2" baseItem="0" numFmtId="168"/>
  </dataFields>
  <formats count="10">
    <format dxfId="21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8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" type="button" dataOnly="0" labelOnly="1" outline="0" axis="axisRow" fieldPosition="0"/>
    </format>
    <format dxfId="14">
      <pivotArea dataOnly="0" labelOnly="1" fieldPosition="0">
        <references count="1">
          <reference field="2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"/>
  <sheetViews>
    <sheetView tabSelected="1" workbookViewId="0">
      <pane ySplit="1" topLeftCell="A2" activePane="bottomLeft" state="frozen"/>
      <selection pane="bottomLeft" activeCell="I9" sqref="I9"/>
    </sheetView>
  </sheetViews>
  <sheetFormatPr defaultRowHeight="15" x14ac:dyDescent="0.25"/>
  <cols>
    <col min="1" max="1" width="14" style="1" customWidth="1"/>
    <col min="2" max="2" width="30.28515625" style="1" customWidth="1"/>
    <col min="3" max="3" width="18.85546875" style="1" customWidth="1"/>
    <col min="4" max="4" width="29.5703125" style="1" customWidth="1"/>
    <col min="5" max="5" width="10.5703125" style="1" customWidth="1"/>
    <col min="6" max="6" width="12.5703125" style="3" customWidth="1"/>
    <col min="7" max="7" width="11.28515625" style="3" customWidth="1"/>
    <col min="8" max="8" width="11.28515625" style="4" customWidth="1"/>
    <col min="9" max="9" width="12.7109375" style="5" customWidth="1"/>
    <col min="10" max="10" width="15" style="2" customWidth="1"/>
    <col min="11" max="11" width="12.7109375" style="5" customWidth="1"/>
    <col min="12" max="12" width="15" style="6" customWidth="1"/>
    <col min="13" max="14" width="14.28515625" style="9" customWidth="1"/>
    <col min="15" max="15" width="20.28515625" style="1" bestFit="1" customWidth="1"/>
    <col min="16" max="16" width="15.140625" style="1" customWidth="1"/>
    <col min="17" max="16384" width="9.140625" style="1"/>
  </cols>
  <sheetData>
    <row r="1" spans="1:15" ht="45" x14ac:dyDescent="0.25">
      <c r="A1" s="18" t="s">
        <v>10</v>
      </c>
      <c r="B1" s="19" t="s">
        <v>0</v>
      </c>
      <c r="C1" s="19" t="s">
        <v>12</v>
      </c>
      <c r="D1" s="19" t="s">
        <v>1</v>
      </c>
      <c r="E1" s="20" t="s">
        <v>98</v>
      </c>
      <c r="F1" s="21" t="s">
        <v>99</v>
      </c>
      <c r="G1" s="21" t="s">
        <v>105</v>
      </c>
      <c r="H1" s="22" t="s">
        <v>100</v>
      </c>
      <c r="I1" s="23" t="s">
        <v>101</v>
      </c>
      <c r="J1" s="24" t="s">
        <v>102</v>
      </c>
      <c r="K1" s="23" t="s">
        <v>103</v>
      </c>
      <c r="L1" s="25" t="s">
        <v>104</v>
      </c>
      <c r="M1" s="25" t="s">
        <v>52</v>
      </c>
      <c r="N1" s="25" t="s">
        <v>53</v>
      </c>
      <c r="O1" s="9"/>
    </row>
    <row r="2" spans="1:15" x14ac:dyDescent="0.25">
      <c r="A2" s="1" t="s">
        <v>24</v>
      </c>
      <c r="B2" s="9" t="s">
        <v>41</v>
      </c>
      <c r="C2" s="9" t="s">
        <v>16</v>
      </c>
      <c r="D2" s="9" t="s">
        <v>17</v>
      </c>
      <c r="E2" s="9">
        <v>13.76</v>
      </c>
      <c r="F2" s="10">
        <v>33750</v>
      </c>
      <c r="G2" s="10">
        <f>12724/2+21026</f>
        <v>27388</v>
      </c>
      <c r="H2" s="11">
        <f t="shared" ref="H2:H33" si="0">G2/E2/43560</f>
        <v>4.5693456766395454E-2</v>
      </c>
      <c r="I2" s="12">
        <v>11</v>
      </c>
      <c r="J2" s="14"/>
      <c r="L2" s="13">
        <v>44301</v>
      </c>
      <c r="M2" s="9">
        <v>52.373894</v>
      </c>
      <c r="N2" s="9">
        <v>-113.83694300000001</v>
      </c>
    </row>
    <row r="3" spans="1:15" x14ac:dyDescent="0.25">
      <c r="A3" s="8" t="s">
        <v>24</v>
      </c>
      <c r="B3" s="9" t="s">
        <v>19</v>
      </c>
      <c r="C3" s="9" t="s">
        <v>16</v>
      </c>
      <c r="D3" s="9" t="s">
        <v>17</v>
      </c>
      <c r="E3" s="9">
        <v>3.77</v>
      </c>
      <c r="F3" s="10">
        <v>22500</v>
      </c>
      <c r="G3" s="10">
        <f>12500+4227</f>
        <v>16727</v>
      </c>
      <c r="H3" s="11">
        <f t="shared" si="0"/>
        <v>0.10185652035181816</v>
      </c>
      <c r="I3" s="12">
        <v>10</v>
      </c>
      <c r="J3" s="14"/>
      <c r="L3" s="13">
        <v>43891</v>
      </c>
      <c r="M3" s="1">
        <v>52.380355000000002</v>
      </c>
      <c r="N3" s="1">
        <v>-113.822562</v>
      </c>
    </row>
    <row r="4" spans="1:15" x14ac:dyDescent="0.25">
      <c r="A4" s="1" t="s">
        <v>24</v>
      </c>
      <c r="B4" s="9" t="s">
        <v>39</v>
      </c>
      <c r="C4" s="9" t="s">
        <v>16</v>
      </c>
      <c r="D4" s="9" t="s">
        <v>17</v>
      </c>
      <c r="E4" s="9">
        <v>10.23</v>
      </c>
      <c r="F4" s="10">
        <v>28100</v>
      </c>
      <c r="G4" s="10">
        <v>25000</v>
      </c>
      <c r="H4" s="11">
        <f t="shared" si="0"/>
        <v>5.6101762313439191E-2</v>
      </c>
      <c r="I4" s="12">
        <v>7.12</v>
      </c>
      <c r="J4" s="14"/>
      <c r="L4" s="13">
        <v>43983</v>
      </c>
      <c r="M4" s="1">
        <v>52.366047999999999</v>
      </c>
      <c r="N4" s="1">
        <v>-113.787437</v>
      </c>
    </row>
    <row r="5" spans="1:15" x14ac:dyDescent="0.25">
      <c r="A5" s="1" t="s">
        <v>24</v>
      </c>
      <c r="B5" s="9" t="s">
        <v>31</v>
      </c>
      <c r="C5" s="9" t="s">
        <v>2</v>
      </c>
      <c r="D5" s="9" t="s">
        <v>3</v>
      </c>
      <c r="E5" s="9">
        <v>2.63</v>
      </c>
      <c r="F5" s="10">
        <v>10000</v>
      </c>
      <c r="G5" s="10">
        <v>10000</v>
      </c>
      <c r="H5" s="11">
        <f t="shared" si="0"/>
        <v>8.7288369348514527E-2</v>
      </c>
      <c r="I5" s="12">
        <f>(13+14.5+15+16)/4</f>
        <v>14.625</v>
      </c>
      <c r="J5" s="14"/>
      <c r="L5" s="13">
        <v>44287</v>
      </c>
      <c r="M5" s="9">
        <v>52.316566000000002</v>
      </c>
      <c r="N5" s="9">
        <v>-113.868179</v>
      </c>
    </row>
    <row r="6" spans="1:15" x14ac:dyDescent="0.25">
      <c r="A6" s="1" t="s">
        <v>24</v>
      </c>
      <c r="B6" s="1" t="s">
        <v>57</v>
      </c>
      <c r="C6" s="1" t="s">
        <v>2</v>
      </c>
      <c r="D6" s="1" t="s">
        <v>3</v>
      </c>
      <c r="E6" s="1">
        <v>4.38</v>
      </c>
      <c r="F6" s="3">
        <v>30520</v>
      </c>
      <c r="G6" s="3">
        <v>30520</v>
      </c>
      <c r="H6" s="4">
        <f t="shared" si="0"/>
        <v>0.15996410766024716</v>
      </c>
      <c r="I6" s="5">
        <v>5</v>
      </c>
      <c r="J6" s="14"/>
      <c r="L6" s="6">
        <v>44136</v>
      </c>
      <c r="M6" s="9">
        <v>52.295594999999999</v>
      </c>
      <c r="N6" s="9">
        <v>-113.842651</v>
      </c>
    </row>
    <row r="7" spans="1:15" x14ac:dyDescent="0.25">
      <c r="A7" s="1" t="s">
        <v>24</v>
      </c>
      <c r="B7" s="1" t="s">
        <v>45</v>
      </c>
      <c r="C7" s="1" t="s">
        <v>2</v>
      </c>
      <c r="D7" s="1" t="s">
        <v>3</v>
      </c>
      <c r="E7" s="1">
        <v>18</v>
      </c>
      <c r="F7" s="3">
        <v>113495</v>
      </c>
      <c r="G7" s="3">
        <f>98161+5060</f>
        <v>103221</v>
      </c>
      <c r="H7" s="4">
        <f t="shared" si="0"/>
        <v>0.13164600550964187</v>
      </c>
      <c r="I7" s="5">
        <v>4</v>
      </c>
      <c r="J7" s="14"/>
      <c r="L7" s="6">
        <v>44044</v>
      </c>
      <c r="M7" s="9">
        <v>52.301549000000001</v>
      </c>
      <c r="N7" s="9">
        <v>-113.857428</v>
      </c>
    </row>
    <row r="8" spans="1:15" x14ac:dyDescent="0.25">
      <c r="A8" s="1" t="s">
        <v>24</v>
      </c>
      <c r="B8" s="15" t="s">
        <v>26</v>
      </c>
      <c r="C8" s="9" t="s">
        <v>2</v>
      </c>
      <c r="D8" s="9" t="s">
        <v>3</v>
      </c>
      <c r="E8" s="9">
        <v>3.01</v>
      </c>
      <c r="F8" s="16">
        <v>20810</v>
      </c>
      <c r="G8" s="10">
        <v>17850</v>
      </c>
      <c r="H8" s="11">
        <f t="shared" si="0"/>
        <v>0.1361394067525146</v>
      </c>
      <c r="I8" s="12">
        <v>10.07</v>
      </c>
      <c r="J8" s="14"/>
      <c r="L8" s="13">
        <v>43739</v>
      </c>
      <c r="M8" s="9">
        <v>52.313614999999999</v>
      </c>
      <c r="N8" s="9">
        <v>-113.85107600000001</v>
      </c>
    </row>
    <row r="9" spans="1:15" x14ac:dyDescent="0.25">
      <c r="A9" s="1" t="s">
        <v>24</v>
      </c>
      <c r="B9" s="9" t="s">
        <v>54</v>
      </c>
      <c r="C9" s="9" t="s">
        <v>2</v>
      </c>
      <c r="D9" s="9" t="s">
        <v>3</v>
      </c>
      <c r="E9" s="9">
        <v>4.59</v>
      </c>
      <c r="F9" s="10">
        <v>22558</v>
      </c>
      <c r="G9" s="10">
        <v>16600</v>
      </c>
      <c r="H9" s="11">
        <f t="shared" si="0"/>
        <v>8.3024741372929131E-2</v>
      </c>
      <c r="I9" s="12">
        <v>6</v>
      </c>
      <c r="J9" s="14"/>
      <c r="L9" s="13">
        <v>44104</v>
      </c>
      <c r="M9" s="9">
        <v>52.313071999999998</v>
      </c>
      <c r="N9" s="9">
        <v>-113.859274</v>
      </c>
    </row>
    <row r="10" spans="1:15" x14ac:dyDescent="0.25">
      <c r="A10" s="1" t="s">
        <v>24</v>
      </c>
      <c r="B10" s="9" t="s">
        <v>21</v>
      </c>
      <c r="C10" s="9" t="s">
        <v>2</v>
      </c>
      <c r="D10" s="9" t="s">
        <v>3</v>
      </c>
      <c r="E10" s="9">
        <v>7.74</v>
      </c>
      <c r="F10" s="10">
        <v>37413</v>
      </c>
      <c r="G10" s="10">
        <f>6874+23344</f>
        <v>30218</v>
      </c>
      <c r="H10" s="11">
        <f t="shared" si="0"/>
        <v>8.9626592445478978E-2</v>
      </c>
      <c r="I10" s="12">
        <v>4</v>
      </c>
      <c r="J10" s="14"/>
      <c r="L10" s="13">
        <v>44287</v>
      </c>
      <c r="M10" s="9">
        <v>52.314121</v>
      </c>
      <c r="N10" s="9">
        <v>-113.858994</v>
      </c>
    </row>
    <row r="11" spans="1:15" x14ac:dyDescent="0.25">
      <c r="A11" s="1" t="s">
        <v>24</v>
      </c>
      <c r="B11" s="15" t="s">
        <v>27</v>
      </c>
      <c r="C11" s="9" t="s">
        <v>2</v>
      </c>
      <c r="D11" s="9" t="s">
        <v>3</v>
      </c>
      <c r="E11" s="9">
        <v>8.44</v>
      </c>
      <c r="F11" s="16">
        <v>35500</v>
      </c>
      <c r="G11" s="10">
        <v>29500</v>
      </c>
      <c r="H11" s="11">
        <f t="shared" si="0"/>
        <v>8.0240143790337684E-2</v>
      </c>
      <c r="I11" s="12">
        <v>18</v>
      </c>
      <c r="J11" s="14"/>
      <c r="L11" s="13">
        <v>43556</v>
      </c>
      <c r="M11" s="9">
        <v>52.316079000000002</v>
      </c>
      <c r="N11" s="9">
        <v>-113.841708</v>
      </c>
    </row>
    <row r="12" spans="1:15" x14ac:dyDescent="0.25">
      <c r="A12" s="1" t="s">
        <v>24</v>
      </c>
      <c r="B12" s="9" t="s">
        <v>20</v>
      </c>
      <c r="C12" s="9" t="s">
        <v>2</v>
      </c>
      <c r="D12" s="9" t="s">
        <v>3</v>
      </c>
      <c r="E12" s="9">
        <v>3.06</v>
      </c>
      <c r="F12" s="10">
        <v>16387</v>
      </c>
      <c r="G12" s="10">
        <v>16387</v>
      </c>
      <c r="H12" s="11">
        <f t="shared" si="0"/>
        <v>0.12293913586248702</v>
      </c>
      <c r="I12" s="12">
        <v>8.15</v>
      </c>
      <c r="J12" s="14"/>
      <c r="L12" s="13">
        <v>44075</v>
      </c>
      <c r="M12" s="9">
        <v>52.316274</v>
      </c>
      <c r="N12" s="9">
        <v>-113.83183699999999</v>
      </c>
    </row>
    <row r="13" spans="1:15" x14ac:dyDescent="0.25">
      <c r="A13" s="1" t="s">
        <v>24</v>
      </c>
      <c r="B13" s="9" t="s">
        <v>44</v>
      </c>
      <c r="C13" s="9" t="s">
        <v>33</v>
      </c>
      <c r="D13" s="9" t="s">
        <v>37</v>
      </c>
      <c r="E13" s="9">
        <v>1.02</v>
      </c>
      <c r="F13" s="10">
        <v>11180</v>
      </c>
      <c r="G13" s="10">
        <v>11180</v>
      </c>
      <c r="H13" s="11">
        <f t="shared" si="0"/>
        <v>0.25162498424530511</v>
      </c>
      <c r="I13" s="12">
        <v>7.5</v>
      </c>
      <c r="J13" s="14"/>
      <c r="L13" s="13">
        <v>44348</v>
      </c>
      <c r="M13" s="1">
        <v>52.219405999999999</v>
      </c>
      <c r="N13" s="1">
        <v>-113.804834</v>
      </c>
    </row>
    <row r="14" spans="1:15" x14ac:dyDescent="0.25">
      <c r="A14" s="1" t="s">
        <v>24</v>
      </c>
      <c r="B14" s="1" t="s">
        <v>76</v>
      </c>
      <c r="C14" s="1" t="s">
        <v>2</v>
      </c>
      <c r="D14" s="1" t="s">
        <v>3</v>
      </c>
      <c r="E14" s="1">
        <v>2.77</v>
      </c>
      <c r="F14" s="3">
        <v>25505</v>
      </c>
      <c r="G14" s="3">
        <v>20300</v>
      </c>
      <c r="H14" s="4">
        <f t="shared" si="0"/>
        <v>0.1682396661064203</v>
      </c>
      <c r="I14" s="5">
        <v>4.2300000000000004</v>
      </c>
      <c r="J14" s="2">
        <v>2900000</v>
      </c>
      <c r="K14" s="5">
        <f>J14/F14</f>
        <v>113.70319545187218</v>
      </c>
      <c r="L14" s="6">
        <v>44593</v>
      </c>
      <c r="M14" s="9">
        <v>52.316080052029299</v>
      </c>
      <c r="N14" s="9">
        <v>-113.808384078464</v>
      </c>
    </row>
    <row r="15" spans="1:15" s="7" customFormat="1" x14ac:dyDescent="0.25">
      <c r="A15" s="1" t="s">
        <v>24</v>
      </c>
      <c r="B15" s="33" t="s">
        <v>81</v>
      </c>
      <c r="C15" s="33" t="s">
        <v>2</v>
      </c>
      <c r="D15" s="33" t="s">
        <v>3</v>
      </c>
      <c r="E15" s="33">
        <v>1.75</v>
      </c>
      <c r="F15" s="3">
        <v>9500</v>
      </c>
      <c r="G15" s="3">
        <v>9500</v>
      </c>
      <c r="H15" s="4">
        <f t="shared" si="0"/>
        <v>0.12462285189557916</v>
      </c>
      <c r="I15" s="34">
        <v>8.6300000000000008</v>
      </c>
      <c r="J15" s="35"/>
      <c r="K15" s="34"/>
      <c r="L15" s="6">
        <v>44593</v>
      </c>
      <c r="M15" s="37">
        <v>52.323821541520999</v>
      </c>
      <c r="N15" s="37">
        <v>-113.80785307959501</v>
      </c>
    </row>
    <row r="16" spans="1:15" x14ac:dyDescent="0.25">
      <c r="A16" s="1" t="s">
        <v>24</v>
      </c>
      <c r="B16" s="1" t="s">
        <v>86</v>
      </c>
      <c r="C16" s="1" t="s">
        <v>33</v>
      </c>
      <c r="D16" s="1" t="s">
        <v>37</v>
      </c>
      <c r="E16" s="1">
        <v>3.52</v>
      </c>
      <c r="F16" s="3">
        <v>11764</v>
      </c>
      <c r="G16" s="3">
        <v>11764</v>
      </c>
      <c r="H16" s="4">
        <f t="shared" si="0"/>
        <v>7.6722806578178482E-2</v>
      </c>
      <c r="I16" s="5">
        <v>9</v>
      </c>
      <c r="L16" s="6">
        <v>44593</v>
      </c>
      <c r="M16" s="9">
        <v>52.217706767077203</v>
      </c>
      <c r="N16" s="9">
        <v>-113.803089782924</v>
      </c>
    </row>
    <row r="17" spans="1:18" x14ac:dyDescent="0.25">
      <c r="A17" s="1" t="s">
        <v>24</v>
      </c>
      <c r="B17" s="1" t="s">
        <v>67</v>
      </c>
      <c r="C17" s="1" t="s">
        <v>33</v>
      </c>
      <c r="D17" s="1" t="s">
        <v>37</v>
      </c>
      <c r="E17" s="1">
        <v>1.5</v>
      </c>
      <c r="F17" s="3">
        <v>11300</v>
      </c>
      <c r="G17" s="3">
        <f>F17-2300</f>
        <v>9000</v>
      </c>
      <c r="H17" s="4">
        <f t="shared" si="0"/>
        <v>0.13774104683195593</v>
      </c>
      <c r="I17" s="5">
        <v>12.56</v>
      </c>
      <c r="J17" s="2">
        <v>2440000</v>
      </c>
      <c r="K17" s="5">
        <f t="shared" ref="K17:K23" si="1">J17/F17</f>
        <v>215.92920353982302</v>
      </c>
      <c r="L17" s="6">
        <v>44593</v>
      </c>
      <c r="M17" s="32">
        <v>52.279670564009798</v>
      </c>
      <c r="N17" s="32">
        <v>-113.86693738432901</v>
      </c>
    </row>
    <row r="18" spans="1:18" x14ac:dyDescent="0.25">
      <c r="A18" s="1" t="s">
        <v>97</v>
      </c>
      <c r="B18" s="9" t="s">
        <v>43</v>
      </c>
      <c r="C18" s="9" t="s">
        <v>9</v>
      </c>
      <c r="D18" s="9" t="s">
        <v>7</v>
      </c>
      <c r="E18" s="9">
        <v>4.97</v>
      </c>
      <c r="F18" s="10">
        <v>32760</v>
      </c>
      <c r="G18" s="10">
        <f>0.1413*E18*43560</f>
        <v>30590.489160000001</v>
      </c>
      <c r="H18" s="11">
        <f t="shared" si="0"/>
        <v>0.14130000000000001</v>
      </c>
      <c r="I18" s="12">
        <v>12</v>
      </c>
      <c r="J18" s="14">
        <v>5400000</v>
      </c>
      <c r="K18" s="5">
        <f t="shared" si="1"/>
        <v>164.83516483516485</v>
      </c>
      <c r="L18" s="13"/>
      <c r="M18" s="1">
        <v>52.368954000000002</v>
      </c>
      <c r="N18" s="1">
        <v>-113.785888</v>
      </c>
    </row>
    <row r="19" spans="1:18" x14ac:dyDescent="0.25">
      <c r="A19" s="1" t="s">
        <v>97</v>
      </c>
      <c r="B19" s="1" t="s">
        <v>90</v>
      </c>
      <c r="C19" s="1" t="s">
        <v>16</v>
      </c>
      <c r="D19" s="1" t="s">
        <v>17</v>
      </c>
      <c r="E19" s="1">
        <v>12</v>
      </c>
      <c r="F19" s="3">
        <f>G19+1188</f>
        <v>18238</v>
      </c>
      <c r="G19" s="3">
        <v>17050</v>
      </c>
      <c r="H19" s="4">
        <f t="shared" si="0"/>
        <v>3.2617845117845115E-2</v>
      </c>
      <c r="J19" s="2">
        <v>2490000</v>
      </c>
      <c r="K19" s="5">
        <f t="shared" si="1"/>
        <v>136.52812808421976</v>
      </c>
      <c r="M19" s="9">
        <v>52.362935526647497</v>
      </c>
      <c r="N19" s="9">
        <v>-113.787246347791</v>
      </c>
    </row>
    <row r="20" spans="1:18" s="7" customFormat="1" x14ac:dyDescent="0.25">
      <c r="A20" s="1" t="s">
        <v>97</v>
      </c>
      <c r="B20" s="9" t="s">
        <v>18</v>
      </c>
      <c r="C20" s="9" t="s">
        <v>16</v>
      </c>
      <c r="D20" s="9" t="s">
        <v>17</v>
      </c>
      <c r="E20" s="9">
        <v>7.75</v>
      </c>
      <c r="F20" s="10">
        <v>44000</v>
      </c>
      <c r="G20" s="10">
        <v>38000</v>
      </c>
      <c r="H20" s="11">
        <f t="shared" si="0"/>
        <v>0.1125625759056844</v>
      </c>
      <c r="I20" s="12">
        <v>5</v>
      </c>
      <c r="J20" s="14">
        <v>4999000</v>
      </c>
      <c r="K20" s="5">
        <f t="shared" si="1"/>
        <v>113.61363636363636</v>
      </c>
      <c r="L20" s="13"/>
      <c r="M20" s="9">
        <v>52.381475000000002</v>
      </c>
      <c r="N20" s="9">
        <v>-113.82156000000001</v>
      </c>
    </row>
    <row r="21" spans="1:18" x14ac:dyDescent="0.25">
      <c r="A21" s="1" t="s">
        <v>97</v>
      </c>
      <c r="B21" s="9" t="s">
        <v>38</v>
      </c>
      <c r="C21" s="9" t="s">
        <v>16</v>
      </c>
      <c r="D21" s="9" t="s">
        <v>17</v>
      </c>
      <c r="E21" s="9">
        <v>17.5</v>
      </c>
      <c r="F21" s="10">
        <v>8000</v>
      </c>
      <c r="G21" s="10">
        <v>8000</v>
      </c>
      <c r="H21" s="11">
        <f t="shared" si="0"/>
        <v>1.0494555949101404E-2</v>
      </c>
      <c r="I21" s="12"/>
      <c r="J21" s="14">
        <v>5995000</v>
      </c>
      <c r="K21" s="5">
        <f t="shared" si="1"/>
        <v>749.375</v>
      </c>
      <c r="L21" s="13"/>
      <c r="M21" s="1">
        <v>52.363456999999997</v>
      </c>
      <c r="N21" s="1">
        <v>-113.79085000000001</v>
      </c>
    </row>
    <row r="22" spans="1:18" x14ac:dyDescent="0.25">
      <c r="A22" s="1" t="s">
        <v>97</v>
      </c>
      <c r="B22" s="9" t="s">
        <v>28</v>
      </c>
      <c r="C22" s="9" t="s">
        <v>16</v>
      </c>
      <c r="D22" s="9" t="s">
        <v>17</v>
      </c>
      <c r="E22" s="17">
        <v>4</v>
      </c>
      <c r="F22" s="10">
        <v>12318</v>
      </c>
      <c r="G22" s="10">
        <v>12318</v>
      </c>
      <c r="H22" s="11">
        <f t="shared" si="0"/>
        <v>7.069559228650138E-2</v>
      </c>
      <c r="I22" s="12"/>
      <c r="J22" s="14">
        <v>2795000</v>
      </c>
      <c r="K22" s="5">
        <f t="shared" si="1"/>
        <v>226.90371813606106</v>
      </c>
      <c r="L22" s="13"/>
      <c r="M22" s="1">
        <v>52.380929999999999</v>
      </c>
      <c r="N22" s="1">
        <v>-113.827444</v>
      </c>
      <c r="Q22" s="9"/>
      <c r="R22" s="9"/>
    </row>
    <row r="23" spans="1:18" x14ac:dyDescent="0.25">
      <c r="A23" s="1" t="s">
        <v>97</v>
      </c>
      <c r="B23" s="1" t="s">
        <v>66</v>
      </c>
      <c r="C23" s="1" t="s">
        <v>2</v>
      </c>
      <c r="D23" s="1" t="s">
        <v>3</v>
      </c>
      <c r="E23" s="1">
        <v>1</v>
      </c>
      <c r="F23" s="3">
        <v>10740</v>
      </c>
      <c r="G23" s="3">
        <v>8740</v>
      </c>
      <c r="H23" s="4">
        <f t="shared" si="0"/>
        <v>0.20064279155188247</v>
      </c>
      <c r="I23" s="5">
        <v>10</v>
      </c>
      <c r="J23" s="2">
        <v>1490000</v>
      </c>
      <c r="K23" s="5">
        <f t="shared" si="1"/>
        <v>138.73370577281193</v>
      </c>
      <c r="M23" s="32">
        <v>52.300937721832497</v>
      </c>
      <c r="N23" s="32">
        <v>-113.87104182087501</v>
      </c>
    </row>
    <row r="24" spans="1:18" x14ac:dyDescent="0.25">
      <c r="A24" s="1" t="s">
        <v>97</v>
      </c>
      <c r="B24" s="1" t="s">
        <v>89</v>
      </c>
      <c r="C24" s="1" t="s">
        <v>2</v>
      </c>
      <c r="D24" s="1" t="s">
        <v>3</v>
      </c>
      <c r="E24" s="1">
        <v>1.47</v>
      </c>
      <c r="F24" s="3">
        <v>12500</v>
      </c>
      <c r="G24" s="3">
        <v>12500</v>
      </c>
      <c r="H24" s="4">
        <f t="shared" si="0"/>
        <v>0.19521123417227312</v>
      </c>
      <c r="I24" s="5">
        <v>10</v>
      </c>
      <c r="M24" s="9">
        <v>52.298252056936903</v>
      </c>
      <c r="N24" s="9">
        <v>-113.86589704657899</v>
      </c>
    </row>
    <row r="25" spans="1:18" x14ac:dyDescent="0.25">
      <c r="A25" s="1" t="s">
        <v>97</v>
      </c>
      <c r="B25" s="1" t="s">
        <v>70</v>
      </c>
      <c r="C25" s="1" t="s">
        <v>2</v>
      </c>
      <c r="D25" s="1" t="s">
        <v>7</v>
      </c>
      <c r="E25" s="1">
        <v>2.92</v>
      </c>
      <c r="F25" s="3">
        <v>15100</v>
      </c>
      <c r="G25" s="3">
        <f>15100-2400</f>
        <v>12700</v>
      </c>
      <c r="H25" s="4">
        <f t="shared" si="0"/>
        <v>9.9846535089374439E-2</v>
      </c>
      <c r="I25" s="5">
        <v>12</v>
      </c>
      <c r="J25" s="2">
        <v>2600000</v>
      </c>
      <c r="K25" s="5">
        <f>J25/F25</f>
        <v>172.18543046357615</v>
      </c>
      <c r="M25" s="32">
        <v>52.310388163467799</v>
      </c>
      <c r="N25" s="32">
        <v>-113.79745736077599</v>
      </c>
    </row>
    <row r="26" spans="1:18" x14ac:dyDescent="0.25">
      <c r="A26" s="1" t="s">
        <v>97</v>
      </c>
      <c r="B26" s="1" t="s">
        <v>80</v>
      </c>
      <c r="C26" s="1" t="s">
        <v>2</v>
      </c>
      <c r="D26" s="1" t="s">
        <v>3</v>
      </c>
      <c r="E26" s="1">
        <v>0.5</v>
      </c>
      <c r="F26" s="3">
        <v>10000</v>
      </c>
      <c r="G26" s="3">
        <v>10000</v>
      </c>
      <c r="H26" s="4">
        <f t="shared" si="0"/>
        <v>0.4591368227731864</v>
      </c>
      <c r="I26" s="5">
        <v>10</v>
      </c>
      <c r="M26" s="9">
        <v>52.286092329028797</v>
      </c>
      <c r="N26" s="9">
        <v>-113.804114714904</v>
      </c>
    </row>
    <row r="27" spans="1:18" x14ac:dyDescent="0.25">
      <c r="A27" s="1" t="s">
        <v>97</v>
      </c>
      <c r="B27" s="1" t="s">
        <v>56</v>
      </c>
      <c r="C27" s="1" t="s">
        <v>2</v>
      </c>
      <c r="D27" s="1" t="s">
        <v>3</v>
      </c>
      <c r="E27" s="1">
        <v>1.93</v>
      </c>
      <c r="F27" s="3">
        <v>16721</v>
      </c>
      <c r="G27" s="3">
        <v>16721</v>
      </c>
      <c r="H27" s="4">
        <f t="shared" si="0"/>
        <v>0.19889188636244692</v>
      </c>
      <c r="J27" s="14">
        <v>3500000</v>
      </c>
      <c r="K27" s="5">
        <f>J27/F27</f>
        <v>209.3176245439866</v>
      </c>
      <c r="M27" s="9">
        <v>52.310138999999999</v>
      </c>
      <c r="N27" s="9">
        <v>-113.804124</v>
      </c>
    </row>
    <row r="28" spans="1:18" x14ac:dyDescent="0.25">
      <c r="A28" s="1" t="s">
        <v>97</v>
      </c>
      <c r="B28" s="1" t="s">
        <v>55</v>
      </c>
      <c r="C28" s="1" t="s">
        <v>2</v>
      </c>
      <c r="D28" s="1" t="s">
        <v>3</v>
      </c>
      <c r="E28" s="1">
        <v>2.1</v>
      </c>
      <c r="F28" s="3">
        <v>14160</v>
      </c>
      <c r="G28" s="3">
        <v>14160</v>
      </c>
      <c r="H28" s="4">
        <f t="shared" si="0"/>
        <v>0.15479470024924569</v>
      </c>
      <c r="J28" s="14">
        <v>1750000</v>
      </c>
      <c r="K28" s="5">
        <f>J28/F28</f>
        <v>123.58757062146893</v>
      </c>
      <c r="M28" s="9">
        <v>52.282691999999997</v>
      </c>
      <c r="N28" s="9">
        <v>-113.811212</v>
      </c>
    </row>
    <row r="29" spans="1:18" x14ac:dyDescent="0.25">
      <c r="A29" s="1" t="s">
        <v>97</v>
      </c>
      <c r="B29" s="1" t="s">
        <v>77</v>
      </c>
      <c r="C29" s="1" t="s">
        <v>2</v>
      </c>
      <c r="D29" s="1" t="s">
        <v>3</v>
      </c>
      <c r="E29" s="1">
        <v>8.32</v>
      </c>
      <c r="F29" s="3">
        <v>26403</v>
      </c>
      <c r="G29" s="3">
        <v>19938</v>
      </c>
      <c r="H29" s="4">
        <f t="shared" si="0"/>
        <v>5.5013641661368927E-2</v>
      </c>
      <c r="I29" s="5">
        <v>12</v>
      </c>
      <c r="J29" s="2">
        <v>5400000</v>
      </c>
      <c r="K29" s="5">
        <f>J29/F29</f>
        <v>204.52221338484264</v>
      </c>
      <c r="M29" s="9">
        <v>52.287703265369501</v>
      </c>
      <c r="N29" s="9">
        <v>-113.846369485389</v>
      </c>
    </row>
    <row r="30" spans="1:18" x14ac:dyDescent="0.25">
      <c r="A30" s="1" t="s">
        <v>97</v>
      </c>
      <c r="B30" s="33" t="s">
        <v>79</v>
      </c>
      <c r="C30" s="33" t="s">
        <v>2</v>
      </c>
      <c r="D30" s="33" t="s">
        <v>3</v>
      </c>
      <c r="E30" s="33">
        <v>0.9</v>
      </c>
      <c r="F30" s="3">
        <v>8000</v>
      </c>
      <c r="G30" s="3">
        <v>8000</v>
      </c>
      <c r="H30" s="4">
        <f t="shared" si="0"/>
        <v>0.20406081012141616</v>
      </c>
      <c r="I30" s="34">
        <v>10.75</v>
      </c>
      <c r="J30" s="35"/>
      <c r="K30" s="34"/>
      <c r="L30" s="36"/>
      <c r="M30" s="37">
        <v>52.291191027429498</v>
      </c>
      <c r="N30" s="37">
        <v>-113.847139134675</v>
      </c>
    </row>
    <row r="31" spans="1:18" x14ac:dyDescent="0.25">
      <c r="A31" s="1" t="s">
        <v>97</v>
      </c>
      <c r="B31" s="1" t="s">
        <v>78</v>
      </c>
      <c r="C31" s="1" t="s">
        <v>2</v>
      </c>
      <c r="D31" s="1" t="s">
        <v>3</v>
      </c>
      <c r="E31" s="1">
        <v>4</v>
      </c>
      <c r="F31" s="3">
        <v>26250</v>
      </c>
      <c r="G31" s="3">
        <v>18750</v>
      </c>
      <c r="H31" s="4">
        <f t="shared" si="0"/>
        <v>0.10761019283746556</v>
      </c>
      <c r="I31" s="5">
        <v>9.75</v>
      </c>
      <c r="M31" s="9">
        <v>52.301182048513603</v>
      </c>
      <c r="N31" s="9">
        <v>-113.80729037744899</v>
      </c>
    </row>
    <row r="32" spans="1:18" x14ac:dyDescent="0.25">
      <c r="A32" s="1" t="s">
        <v>97</v>
      </c>
      <c r="B32" s="1" t="s">
        <v>65</v>
      </c>
      <c r="C32" s="1" t="s">
        <v>2</v>
      </c>
      <c r="D32" s="1" t="s">
        <v>3</v>
      </c>
      <c r="E32" s="1">
        <v>12.5</v>
      </c>
      <c r="F32" s="3">
        <v>108724</v>
      </c>
      <c r="G32" s="3">
        <f>F32-15215-15898</f>
        <v>77611</v>
      </c>
      <c r="H32" s="4">
        <f t="shared" si="0"/>
        <v>0.14253627180899908</v>
      </c>
      <c r="J32" s="2">
        <v>19450000</v>
      </c>
      <c r="K32" s="5">
        <f>J32/F32</f>
        <v>178.89334461572423</v>
      </c>
      <c r="M32" s="32">
        <v>52.299529393940603</v>
      </c>
      <c r="N32" s="32">
        <v>-113.85894549795</v>
      </c>
    </row>
    <row r="33" spans="1:14" x14ac:dyDescent="0.25">
      <c r="A33" s="1" t="s">
        <v>97</v>
      </c>
      <c r="B33" s="9" t="s">
        <v>15</v>
      </c>
      <c r="C33" s="9" t="s">
        <v>2</v>
      </c>
      <c r="D33" s="9" t="s">
        <v>3</v>
      </c>
      <c r="E33" s="9">
        <v>3.76</v>
      </c>
      <c r="F33" s="10">
        <v>26400</v>
      </c>
      <c r="G33" s="10">
        <f>4400+17600</f>
        <v>22000</v>
      </c>
      <c r="H33" s="11">
        <f t="shared" si="0"/>
        <v>0.13432194283258114</v>
      </c>
      <c r="I33" s="12">
        <v>10</v>
      </c>
      <c r="J33" s="14"/>
      <c r="L33" s="13"/>
      <c r="M33" s="9">
        <v>52.303345999999998</v>
      </c>
      <c r="N33" s="9">
        <v>-113.859559</v>
      </c>
    </row>
    <row r="34" spans="1:14" x14ac:dyDescent="0.25">
      <c r="A34" s="1" t="s">
        <v>97</v>
      </c>
      <c r="B34" s="1" t="s">
        <v>88</v>
      </c>
      <c r="C34" s="1" t="s">
        <v>2</v>
      </c>
      <c r="D34" s="1" t="s">
        <v>3</v>
      </c>
      <c r="E34" s="1">
        <v>1.98</v>
      </c>
      <c r="F34" s="3">
        <v>17000</v>
      </c>
      <c r="G34" s="3">
        <v>17000</v>
      </c>
      <c r="H34" s="4">
        <f t="shared" ref="H34:H65" si="2">G34/E34/43560</f>
        <v>0.19710419159454973</v>
      </c>
      <c r="I34" s="5">
        <v>10</v>
      </c>
      <c r="J34" s="2">
        <v>1995000</v>
      </c>
      <c r="K34" s="5">
        <f>J34/F34</f>
        <v>117.35294117647059</v>
      </c>
      <c r="M34" s="9">
        <v>52.305123234457199</v>
      </c>
      <c r="N34" s="9">
        <v>-113.809696473304</v>
      </c>
    </row>
    <row r="35" spans="1:14" x14ac:dyDescent="0.25">
      <c r="A35" s="1" t="s">
        <v>97</v>
      </c>
      <c r="B35" s="1" t="s">
        <v>73</v>
      </c>
      <c r="C35" s="1" t="s">
        <v>2</v>
      </c>
      <c r="D35" s="1" t="s">
        <v>3</v>
      </c>
      <c r="E35" s="1">
        <v>3.48</v>
      </c>
      <c r="F35" s="3">
        <v>24355</v>
      </c>
      <c r="G35" s="3">
        <f>F35-4715</f>
        <v>19640</v>
      </c>
      <c r="H35" s="4">
        <f t="shared" si="2"/>
        <v>0.12956102297795088</v>
      </c>
      <c r="I35" s="5">
        <v>12</v>
      </c>
      <c r="M35" s="32">
        <v>52.306917813965697</v>
      </c>
      <c r="N35" s="32">
        <v>-113.859284709235</v>
      </c>
    </row>
    <row r="36" spans="1:14" x14ac:dyDescent="0.25">
      <c r="A36" s="1" t="s">
        <v>97</v>
      </c>
      <c r="B36" s="18" t="s">
        <v>91</v>
      </c>
      <c r="C36" s="1" t="s">
        <v>2</v>
      </c>
      <c r="D36" s="1" t="s">
        <v>3</v>
      </c>
      <c r="E36" s="1">
        <v>1</v>
      </c>
      <c r="F36" s="3">
        <v>13280</v>
      </c>
      <c r="G36" s="3">
        <v>13280</v>
      </c>
      <c r="H36" s="4">
        <f t="shared" si="2"/>
        <v>0.30486685032139577</v>
      </c>
      <c r="I36" s="5">
        <v>10</v>
      </c>
      <c r="M36" s="9">
        <v>52.3110806983725</v>
      </c>
      <c r="N36" s="9">
        <v>-113.851164834101</v>
      </c>
    </row>
    <row r="37" spans="1:14" x14ac:dyDescent="0.25">
      <c r="A37" s="1" t="s">
        <v>97</v>
      </c>
      <c r="B37" s="18" t="s">
        <v>87</v>
      </c>
      <c r="C37" s="1" t="s">
        <v>2</v>
      </c>
      <c r="D37" s="1" t="s">
        <v>3</v>
      </c>
      <c r="E37" s="1">
        <v>1.7</v>
      </c>
      <c r="F37" s="3">
        <v>23758</v>
      </c>
      <c r="G37" s="3">
        <v>20000</v>
      </c>
      <c r="H37" s="4">
        <f t="shared" si="2"/>
        <v>0.27008048398422735</v>
      </c>
      <c r="I37" s="5">
        <v>11</v>
      </c>
      <c r="M37" s="9">
        <v>52.311447927805197</v>
      </c>
      <c r="N37" s="9">
        <v>-113.850868169192</v>
      </c>
    </row>
    <row r="38" spans="1:14" x14ac:dyDescent="0.25">
      <c r="A38" s="1" t="s">
        <v>97</v>
      </c>
      <c r="B38" s="19" t="s">
        <v>69</v>
      </c>
      <c r="C38" s="9" t="s">
        <v>2</v>
      </c>
      <c r="D38" s="9" t="s">
        <v>3</v>
      </c>
      <c r="E38" s="9">
        <v>0.72</v>
      </c>
      <c r="F38" s="10">
        <v>8000</v>
      </c>
      <c r="G38" s="10">
        <v>8000</v>
      </c>
      <c r="H38" s="11">
        <f t="shared" si="2"/>
        <v>0.25507601265177021</v>
      </c>
      <c r="I38" s="12">
        <v>10</v>
      </c>
      <c r="J38" s="14"/>
      <c r="L38" s="13"/>
      <c r="M38" s="9">
        <v>52.315071000000003</v>
      </c>
      <c r="N38" s="9">
        <v>-113.848949</v>
      </c>
    </row>
    <row r="39" spans="1:14" x14ac:dyDescent="0.25">
      <c r="A39" s="1" t="s">
        <v>97</v>
      </c>
      <c r="B39" s="19" t="s">
        <v>29</v>
      </c>
      <c r="C39" s="9" t="s">
        <v>2</v>
      </c>
      <c r="D39" s="9" t="s">
        <v>3</v>
      </c>
      <c r="E39" s="9">
        <v>4.3</v>
      </c>
      <c r="F39" s="10">
        <v>41040</v>
      </c>
      <c r="G39" s="10">
        <f>4.3*43560*0.1884</f>
        <v>35288.8272</v>
      </c>
      <c r="H39" s="11">
        <f t="shared" si="2"/>
        <v>0.18839999999999998</v>
      </c>
      <c r="I39" s="12">
        <v>8</v>
      </c>
      <c r="J39" s="14"/>
      <c r="L39" s="13"/>
      <c r="M39" s="9">
        <v>52.313045000000002</v>
      </c>
      <c r="N39" s="9">
        <v>-113.854924</v>
      </c>
    </row>
    <row r="40" spans="1:14" x14ac:dyDescent="0.25">
      <c r="A40" s="1" t="s">
        <v>97</v>
      </c>
      <c r="B40" s="18" t="s">
        <v>64</v>
      </c>
      <c r="C40" s="1" t="s">
        <v>2</v>
      </c>
      <c r="D40" s="1" t="s">
        <v>3</v>
      </c>
      <c r="E40" s="1">
        <v>8.01</v>
      </c>
      <c r="F40" s="3">
        <v>45190</v>
      </c>
      <c r="G40" s="3">
        <f>F40-1005</f>
        <v>44185</v>
      </c>
      <c r="H40" s="4">
        <f t="shared" si="2"/>
        <v>0.12663520920245469</v>
      </c>
      <c r="I40" s="5">
        <v>8.75</v>
      </c>
      <c r="J40" s="2">
        <v>4500000</v>
      </c>
      <c r="K40" s="5">
        <f>J40/F40</f>
        <v>99.579552998450978</v>
      </c>
      <c r="M40" s="32">
        <v>52.314341721649697</v>
      </c>
      <c r="N40" s="32">
        <v>-113.855504225939</v>
      </c>
    </row>
    <row r="41" spans="1:14" x14ac:dyDescent="0.25">
      <c r="A41" s="1" t="s">
        <v>97</v>
      </c>
      <c r="B41" s="18" t="s">
        <v>68</v>
      </c>
      <c r="C41" s="1" t="s">
        <v>2</v>
      </c>
      <c r="D41" s="1" t="s">
        <v>3</v>
      </c>
      <c r="E41" s="1">
        <v>1.1000000000000001</v>
      </c>
      <c r="F41" s="3">
        <v>16120</v>
      </c>
      <c r="G41" s="3">
        <v>16120</v>
      </c>
      <c r="H41" s="4">
        <f t="shared" si="2"/>
        <v>0.33642207195926205</v>
      </c>
      <c r="I41" s="5">
        <v>11</v>
      </c>
      <c r="M41" s="32">
        <v>52.315581856175903</v>
      </c>
      <c r="N41" s="32">
        <v>-113.85368561431901</v>
      </c>
    </row>
    <row r="42" spans="1:14" x14ac:dyDescent="0.25">
      <c r="A42" s="1" t="s">
        <v>97</v>
      </c>
      <c r="B42" s="19" t="s">
        <v>22</v>
      </c>
      <c r="C42" s="9" t="s">
        <v>2</v>
      </c>
      <c r="D42" s="9" t="s">
        <v>3</v>
      </c>
      <c r="E42" s="9">
        <v>3.06</v>
      </c>
      <c r="F42" s="10">
        <v>34300</v>
      </c>
      <c r="G42" s="10">
        <f>6250+21800</f>
        <v>28050</v>
      </c>
      <c r="H42" s="11">
        <f t="shared" si="2"/>
        <v>0.21043771043771042</v>
      </c>
      <c r="I42" s="12"/>
      <c r="J42" s="14">
        <v>5200000</v>
      </c>
      <c r="K42" s="5">
        <f>J42/F42</f>
        <v>151.60349854227405</v>
      </c>
      <c r="L42" s="13"/>
      <c r="M42" s="9">
        <v>52.316502</v>
      </c>
      <c r="N42" s="9">
        <v>-113.84702</v>
      </c>
    </row>
    <row r="43" spans="1:14" x14ac:dyDescent="0.25">
      <c r="A43" s="1" t="s">
        <v>97</v>
      </c>
      <c r="B43" s="18" t="s">
        <v>75</v>
      </c>
      <c r="C43" s="1" t="s">
        <v>2</v>
      </c>
      <c r="D43" s="1" t="s">
        <v>3</v>
      </c>
      <c r="E43" s="1">
        <v>0.93</v>
      </c>
      <c r="F43" s="3">
        <v>10800</v>
      </c>
      <c r="G43" s="3">
        <v>10800</v>
      </c>
      <c r="H43" s="4">
        <f t="shared" si="2"/>
        <v>0.26659557451346305</v>
      </c>
      <c r="I43" s="5">
        <v>10</v>
      </c>
      <c r="J43" s="2">
        <v>1200000</v>
      </c>
      <c r="K43" s="5">
        <f>J43/F43</f>
        <v>111.11111111111111</v>
      </c>
      <c r="M43" s="9">
        <v>52.316766742721398</v>
      </c>
      <c r="N43" s="9">
        <v>-113.80978260147801</v>
      </c>
    </row>
    <row r="44" spans="1:14" x14ac:dyDescent="0.25">
      <c r="A44" s="1" t="s">
        <v>97</v>
      </c>
      <c r="B44" s="19" t="s">
        <v>42</v>
      </c>
      <c r="C44" s="9" t="s">
        <v>2</v>
      </c>
      <c r="D44" s="9" t="s">
        <v>3</v>
      </c>
      <c r="E44" s="9">
        <v>10.23</v>
      </c>
      <c r="F44" s="10">
        <v>46620</v>
      </c>
      <c r="G44" s="10">
        <v>46620</v>
      </c>
      <c r="H44" s="11">
        <f t="shared" si="2"/>
        <v>0.10461856636210141</v>
      </c>
      <c r="I44" s="12"/>
      <c r="J44" s="14">
        <v>3000000</v>
      </c>
      <c r="K44" s="5">
        <f>J44/F44</f>
        <v>64.350064350064343</v>
      </c>
      <c r="L44" s="13"/>
      <c r="M44" s="9">
        <v>52.315213</v>
      </c>
      <c r="N44" s="9">
        <v>-113.833609</v>
      </c>
    </row>
    <row r="45" spans="1:14" x14ac:dyDescent="0.25">
      <c r="A45" s="1" t="s">
        <v>97</v>
      </c>
      <c r="B45" s="18" t="s">
        <v>82</v>
      </c>
      <c r="C45" s="1" t="s">
        <v>33</v>
      </c>
      <c r="D45" s="1" t="s">
        <v>37</v>
      </c>
      <c r="E45" s="1">
        <v>4.5199999999999996</v>
      </c>
      <c r="F45" s="3">
        <v>20338</v>
      </c>
      <c r="G45" s="3">
        <f>3728+12932+2400</f>
        <v>19060</v>
      </c>
      <c r="H45" s="4">
        <f t="shared" si="2"/>
        <v>9.6804732766116522E-2</v>
      </c>
      <c r="J45" s="2">
        <v>3400000</v>
      </c>
      <c r="K45" s="5">
        <f>J45/F45</f>
        <v>167.17474677942766</v>
      </c>
      <c r="M45" s="9">
        <v>52.276252853662001</v>
      </c>
      <c r="N45" s="9">
        <v>-113.87261164164499</v>
      </c>
    </row>
    <row r="46" spans="1:14" x14ac:dyDescent="0.25">
      <c r="A46" s="1" t="s">
        <v>97</v>
      </c>
      <c r="B46" s="18" t="s">
        <v>71</v>
      </c>
      <c r="C46" s="1" t="s">
        <v>33</v>
      </c>
      <c r="D46" s="1" t="s">
        <v>37</v>
      </c>
      <c r="E46" s="1">
        <v>1.02</v>
      </c>
      <c r="F46" s="3">
        <v>7600</v>
      </c>
      <c r="G46" s="3">
        <f>F46-1600</f>
        <v>6000</v>
      </c>
      <c r="H46" s="4">
        <f t="shared" si="2"/>
        <v>0.13504024199211365</v>
      </c>
      <c r="I46" s="5">
        <v>12</v>
      </c>
      <c r="M46" s="9">
        <v>52.219940000000001</v>
      </c>
      <c r="N46" s="32">
        <v>-113.80459999999999</v>
      </c>
    </row>
    <row r="47" spans="1:14" x14ac:dyDescent="0.25">
      <c r="A47" s="1" t="s">
        <v>97</v>
      </c>
      <c r="B47" s="18" t="s">
        <v>63</v>
      </c>
      <c r="C47" s="1" t="s">
        <v>33</v>
      </c>
      <c r="D47" s="1" t="s">
        <v>37</v>
      </c>
      <c r="E47" s="1">
        <v>3.01</v>
      </c>
      <c r="F47" s="3">
        <v>8925</v>
      </c>
      <c r="G47" s="3">
        <v>8124</v>
      </c>
      <c r="H47" s="4">
        <f t="shared" si="2"/>
        <v>6.1960590501816723E-2</v>
      </c>
      <c r="M47" s="9">
        <v>52.278345000000002</v>
      </c>
      <c r="N47" s="9">
        <v>-113.871314</v>
      </c>
    </row>
    <row r="48" spans="1:14" x14ac:dyDescent="0.25">
      <c r="A48" s="1" t="s">
        <v>97</v>
      </c>
      <c r="B48" s="19" t="s">
        <v>36</v>
      </c>
      <c r="C48" s="9" t="s">
        <v>33</v>
      </c>
      <c r="D48" s="9" t="s">
        <v>37</v>
      </c>
      <c r="E48" s="9">
        <v>1.6</v>
      </c>
      <c r="F48" s="10">
        <v>12564</v>
      </c>
      <c r="G48" s="10">
        <v>12564</v>
      </c>
      <c r="H48" s="11">
        <f t="shared" si="2"/>
        <v>0.18026859504132231</v>
      </c>
      <c r="I48" s="12">
        <v>9.5</v>
      </c>
      <c r="J48" s="14"/>
      <c r="L48" s="13"/>
      <c r="M48" s="1">
        <v>52.289523000000003</v>
      </c>
      <c r="N48" s="1">
        <v>-113.86326800000001</v>
      </c>
    </row>
    <row r="49" spans="1:14" x14ac:dyDescent="0.25">
      <c r="A49" s="1" t="s">
        <v>97</v>
      </c>
      <c r="B49" s="18" t="s">
        <v>92</v>
      </c>
      <c r="C49" s="1" t="s">
        <v>33</v>
      </c>
      <c r="D49" s="1" t="s">
        <v>34</v>
      </c>
      <c r="E49" s="1">
        <v>3.01</v>
      </c>
      <c r="F49" s="3">
        <v>16215</v>
      </c>
      <c r="G49" s="3">
        <f>F49-3621</f>
        <v>12594</v>
      </c>
      <c r="H49" s="4">
        <f t="shared" si="2"/>
        <v>9.6052643621353975E-2</v>
      </c>
      <c r="I49" s="5">
        <v>11</v>
      </c>
      <c r="M49" s="9">
        <v>52.292738589028801</v>
      </c>
      <c r="N49" s="9">
        <v>-113.86570391644101</v>
      </c>
    </row>
    <row r="50" spans="1:14" x14ac:dyDescent="0.25">
      <c r="A50" s="1" t="s">
        <v>97</v>
      </c>
      <c r="B50" s="19" t="s">
        <v>35</v>
      </c>
      <c r="C50" s="9" t="s">
        <v>33</v>
      </c>
      <c r="D50" s="9" t="s">
        <v>34</v>
      </c>
      <c r="E50" s="9">
        <v>6.52</v>
      </c>
      <c r="F50" s="10">
        <v>7000</v>
      </c>
      <c r="G50" s="10">
        <v>7000</v>
      </c>
      <c r="H50" s="11">
        <f t="shared" si="2"/>
        <v>2.4646915332916453E-2</v>
      </c>
      <c r="I50" s="12"/>
      <c r="J50" s="14">
        <v>1310000</v>
      </c>
      <c r="K50" s="5">
        <f t="shared" ref="K50:K71" si="3">J50/F50</f>
        <v>187.14285714285714</v>
      </c>
      <c r="L50" s="13"/>
      <c r="M50" s="1">
        <v>52.340083999999997</v>
      </c>
      <c r="N50" s="1">
        <v>-113.782454</v>
      </c>
    </row>
    <row r="51" spans="1:14" x14ac:dyDescent="0.25">
      <c r="A51" s="1" t="s">
        <v>11</v>
      </c>
      <c r="B51" s="9" t="s">
        <v>32</v>
      </c>
      <c r="C51" s="9" t="s">
        <v>33</v>
      </c>
      <c r="D51" s="9" t="s">
        <v>34</v>
      </c>
      <c r="E51" s="9">
        <v>6.37</v>
      </c>
      <c r="F51" s="10">
        <v>17825</v>
      </c>
      <c r="G51" s="10">
        <v>17825</v>
      </c>
      <c r="H51" s="11">
        <f t="shared" si="2"/>
        <v>6.4239512291460341E-2</v>
      </c>
      <c r="I51" s="12"/>
      <c r="J51" s="14">
        <v>1100000</v>
      </c>
      <c r="K51" s="5">
        <f t="shared" si="3"/>
        <v>61.711079943899016</v>
      </c>
      <c r="L51" s="13">
        <v>44484</v>
      </c>
      <c r="M51" s="1">
        <v>52.348534000000001</v>
      </c>
      <c r="N51" s="1">
        <v>-113.79055099999999</v>
      </c>
    </row>
    <row r="52" spans="1:14" x14ac:dyDescent="0.25">
      <c r="A52" s="1" t="s">
        <v>11</v>
      </c>
      <c r="B52" s="9" t="s">
        <v>8</v>
      </c>
      <c r="C52" s="9" t="s">
        <v>9</v>
      </c>
      <c r="D52" s="9" t="s">
        <v>7</v>
      </c>
      <c r="E52" s="9">
        <v>10.01</v>
      </c>
      <c r="F52" s="10">
        <v>39518</v>
      </c>
      <c r="G52" s="10">
        <v>39518</v>
      </c>
      <c r="H52" s="11">
        <f t="shared" si="2"/>
        <v>9.0630214597156741E-2</v>
      </c>
      <c r="I52" s="12"/>
      <c r="J52" s="14">
        <v>5000000</v>
      </c>
      <c r="K52" s="5">
        <f t="shared" si="3"/>
        <v>126.52462169138114</v>
      </c>
      <c r="L52" s="13">
        <v>43801</v>
      </c>
      <c r="M52" s="1">
        <v>52.380288999999998</v>
      </c>
      <c r="N52" s="1">
        <v>-113.817311</v>
      </c>
    </row>
    <row r="53" spans="1:14" x14ac:dyDescent="0.25">
      <c r="A53" s="1" t="s">
        <v>11</v>
      </c>
      <c r="B53" s="1" t="s">
        <v>74</v>
      </c>
      <c r="C53" s="1" t="s">
        <v>2</v>
      </c>
      <c r="D53" s="1" t="s">
        <v>3</v>
      </c>
      <c r="E53" s="1">
        <v>4.72</v>
      </c>
      <c r="F53" s="3">
        <v>34811</v>
      </c>
      <c r="G53" s="3">
        <f>24000+(10811/2)</f>
        <v>29405.5</v>
      </c>
      <c r="H53" s="4">
        <f t="shared" si="2"/>
        <v>0.14302063392009465</v>
      </c>
      <c r="J53" s="14">
        <v>9300000</v>
      </c>
      <c r="K53" s="5">
        <f t="shared" si="3"/>
        <v>267.15693315331362</v>
      </c>
      <c r="L53" s="6">
        <v>44286</v>
      </c>
      <c r="M53" s="1">
        <v>52.316026999999998</v>
      </c>
      <c r="N53" s="1">
        <v>-113.88341699999999</v>
      </c>
    </row>
    <row r="54" spans="1:14" x14ac:dyDescent="0.25">
      <c r="A54" s="1" t="s">
        <v>11</v>
      </c>
      <c r="B54" s="9" t="s">
        <v>40</v>
      </c>
      <c r="C54" s="9" t="s">
        <v>2</v>
      </c>
      <c r="D54" s="9" t="s">
        <v>7</v>
      </c>
      <c r="E54" s="9">
        <v>16.63</v>
      </c>
      <c r="F54" s="10">
        <v>64606</v>
      </c>
      <c r="G54" s="10">
        <v>56000</v>
      </c>
      <c r="H54" s="11">
        <f t="shared" si="2"/>
        <v>7.730505735206987E-2</v>
      </c>
      <c r="I54" s="12"/>
      <c r="J54" s="14">
        <v>6500000</v>
      </c>
      <c r="K54" s="5">
        <f t="shared" si="3"/>
        <v>100.60985047828375</v>
      </c>
      <c r="L54" s="13">
        <v>43864</v>
      </c>
      <c r="M54" s="9">
        <v>52.305301</v>
      </c>
      <c r="N54" s="9">
        <v>-113.79805899999999</v>
      </c>
    </row>
    <row r="55" spans="1:14" x14ac:dyDescent="0.25">
      <c r="A55" s="1" t="s">
        <v>11</v>
      </c>
      <c r="B55" s="9" t="s">
        <v>6</v>
      </c>
      <c r="C55" s="9" t="s">
        <v>2</v>
      </c>
      <c r="D55" s="9" t="s">
        <v>3</v>
      </c>
      <c r="E55" s="9">
        <v>1.29</v>
      </c>
      <c r="F55" s="10">
        <v>22874</v>
      </c>
      <c r="G55" s="10">
        <v>15547</v>
      </c>
      <c r="H55" s="11">
        <f t="shared" si="2"/>
        <v>0.27667442572305151</v>
      </c>
      <c r="I55" s="12"/>
      <c r="J55" s="14">
        <v>2100000</v>
      </c>
      <c r="K55" s="5">
        <f t="shared" si="3"/>
        <v>91.807292122059977</v>
      </c>
      <c r="L55" s="13">
        <v>43535</v>
      </c>
      <c r="M55" s="9">
        <v>52.303384999999999</v>
      </c>
      <c r="N55" s="9">
        <v>-113.79754200000001</v>
      </c>
    </row>
    <row r="56" spans="1:14" x14ac:dyDescent="0.25">
      <c r="A56" s="1" t="s">
        <v>11</v>
      </c>
      <c r="B56" s="1" t="s">
        <v>83</v>
      </c>
      <c r="C56" s="1" t="s">
        <v>2</v>
      </c>
      <c r="D56" s="1" t="s">
        <v>3</v>
      </c>
      <c r="E56" s="1">
        <v>0.81</v>
      </c>
      <c r="F56" s="3">
        <v>10840</v>
      </c>
      <c r="G56" s="3">
        <v>10840</v>
      </c>
      <c r="H56" s="4">
        <f t="shared" si="2"/>
        <v>0.30722488634946549</v>
      </c>
      <c r="J56" s="2">
        <v>1050000</v>
      </c>
      <c r="K56" s="5">
        <f t="shared" si="3"/>
        <v>96.863468634686342</v>
      </c>
      <c r="L56" s="6">
        <v>43617</v>
      </c>
      <c r="M56" s="9">
        <v>52.310418412626099</v>
      </c>
      <c r="N56" s="9">
        <v>-113.80481161804001</v>
      </c>
    </row>
    <row r="57" spans="1:14" x14ac:dyDescent="0.25">
      <c r="A57" s="1" t="s">
        <v>11</v>
      </c>
      <c r="B57" s="1" t="s">
        <v>84</v>
      </c>
      <c r="C57" s="1" t="s">
        <v>2</v>
      </c>
      <c r="D57" s="1" t="s">
        <v>3</v>
      </c>
      <c r="E57" s="1">
        <v>1.43</v>
      </c>
      <c r="F57" s="3">
        <v>11040</v>
      </c>
      <c r="G57" s="3">
        <v>11040</v>
      </c>
      <c r="H57" s="4">
        <f t="shared" si="2"/>
        <v>0.17723323508447478</v>
      </c>
      <c r="J57" s="2">
        <v>850000</v>
      </c>
      <c r="K57" s="5">
        <f t="shared" si="3"/>
        <v>76.992753623188406</v>
      </c>
      <c r="L57" s="6">
        <v>43831</v>
      </c>
      <c r="M57" s="9">
        <v>52.287602335967897</v>
      </c>
      <c r="N57" s="9">
        <v>-113.845698249916</v>
      </c>
    </row>
    <row r="58" spans="1:14" x14ac:dyDescent="0.25">
      <c r="A58" s="1" t="s">
        <v>11</v>
      </c>
      <c r="B58" s="1" t="s">
        <v>62</v>
      </c>
      <c r="C58" s="1" t="s">
        <v>2</v>
      </c>
      <c r="D58" s="1" t="s">
        <v>3</v>
      </c>
      <c r="E58" s="1">
        <v>13.46</v>
      </c>
      <c r="F58" s="3">
        <v>21819</v>
      </c>
      <c r="G58" s="3">
        <v>15819</v>
      </c>
      <c r="H58" s="4">
        <f t="shared" si="2"/>
        <v>2.6980257798844855E-2</v>
      </c>
      <c r="J58" s="2">
        <v>4500000</v>
      </c>
      <c r="K58" s="5">
        <f t="shared" si="3"/>
        <v>206.24226591502818</v>
      </c>
      <c r="L58" s="6">
        <v>44409</v>
      </c>
      <c r="M58" s="32">
        <v>52.302638921802597</v>
      </c>
      <c r="N58" s="32">
        <v>-113.848647800104</v>
      </c>
    </row>
    <row r="59" spans="1:14" x14ac:dyDescent="0.25">
      <c r="A59" s="1" t="s">
        <v>11</v>
      </c>
      <c r="B59" s="9" t="s">
        <v>14</v>
      </c>
      <c r="C59" s="9" t="s">
        <v>2</v>
      </c>
      <c r="D59" s="9" t="s">
        <v>3</v>
      </c>
      <c r="E59" s="9">
        <v>0.9</v>
      </c>
      <c r="F59" s="10">
        <v>9100</v>
      </c>
      <c r="G59" s="10">
        <v>9100</v>
      </c>
      <c r="H59" s="11">
        <f t="shared" si="2"/>
        <v>0.2321191715131109</v>
      </c>
      <c r="I59" s="12"/>
      <c r="J59" s="14">
        <v>1300000</v>
      </c>
      <c r="K59" s="5">
        <f t="shared" si="3"/>
        <v>142.85714285714286</v>
      </c>
      <c r="L59" s="13">
        <v>44348</v>
      </c>
      <c r="M59" s="9">
        <v>52.303424999999997</v>
      </c>
      <c r="N59" s="9">
        <v>-113.854969</v>
      </c>
    </row>
    <row r="60" spans="1:14" x14ac:dyDescent="0.25">
      <c r="A60" s="1" t="s">
        <v>11</v>
      </c>
      <c r="B60" s="1" t="s">
        <v>85</v>
      </c>
      <c r="C60" s="1" t="s">
        <v>2</v>
      </c>
      <c r="D60" s="1" t="s">
        <v>3</v>
      </c>
      <c r="E60" s="1">
        <v>1.06</v>
      </c>
      <c r="F60" s="3">
        <v>11400</v>
      </c>
      <c r="G60" s="3">
        <v>11400</v>
      </c>
      <c r="H60" s="4">
        <f t="shared" si="2"/>
        <v>0.24689432922709079</v>
      </c>
      <c r="J60" s="2">
        <v>1550000</v>
      </c>
      <c r="K60" s="5">
        <f t="shared" si="3"/>
        <v>135.96491228070175</v>
      </c>
      <c r="L60" s="6">
        <v>44136</v>
      </c>
      <c r="M60" s="9">
        <v>52.305891399904397</v>
      </c>
      <c r="N60" s="9">
        <v>-113.854496645133</v>
      </c>
    </row>
    <row r="61" spans="1:14" x14ac:dyDescent="0.25">
      <c r="A61" s="1" t="s">
        <v>11</v>
      </c>
      <c r="B61" s="9" t="s">
        <v>58</v>
      </c>
      <c r="C61" s="9" t="s">
        <v>2</v>
      </c>
      <c r="D61" s="9" t="s">
        <v>3</v>
      </c>
      <c r="E61" s="9">
        <v>1</v>
      </c>
      <c r="F61" s="10">
        <v>11824</v>
      </c>
      <c r="G61" s="10">
        <v>10672</v>
      </c>
      <c r="H61" s="11">
        <f t="shared" si="2"/>
        <v>0.24499540863177227</v>
      </c>
      <c r="I61" s="12"/>
      <c r="J61" s="14">
        <v>2100000</v>
      </c>
      <c r="K61" s="5">
        <f t="shared" si="3"/>
        <v>177.60487144790258</v>
      </c>
      <c r="L61" s="13">
        <v>43609</v>
      </c>
      <c r="M61" s="9">
        <v>52.305472000000002</v>
      </c>
      <c r="N61" s="9">
        <v>-113.852991</v>
      </c>
    </row>
    <row r="62" spans="1:14" x14ac:dyDescent="0.25">
      <c r="A62" s="1" t="s">
        <v>11</v>
      </c>
      <c r="B62" s="9" t="s">
        <v>23</v>
      </c>
      <c r="C62" s="9" t="s">
        <v>2</v>
      </c>
      <c r="D62" s="9" t="s">
        <v>3</v>
      </c>
      <c r="E62" s="9">
        <v>19.989999999999998</v>
      </c>
      <c r="F62" s="10">
        <v>48100</v>
      </c>
      <c r="G62" s="10">
        <f>31700+8000+5100+400</f>
        <v>45200</v>
      </c>
      <c r="H62" s="11">
        <f t="shared" si="2"/>
        <v>5.1908415180960545E-2</v>
      </c>
      <c r="I62" s="12"/>
      <c r="J62" s="14">
        <v>2900000</v>
      </c>
      <c r="K62" s="5">
        <f t="shared" si="3"/>
        <v>60.29106029106029</v>
      </c>
      <c r="L62" s="13">
        <v>44348</v>
      </c>
      <c r="M62" s="9">
        <v>52.309057000000003</v>
      </c>
      <c r="N62" s="9">
        <v>-113.858064</v>
      </c>
    </row>
    <row r="63" spans="1:14" x14ac:dyDescent="0.25">
      <c r="A63" s="1" t="s">
        <v>11</v>
      </c>
      <c r="B63" s="9" t="s">
        <v>72</v>
      </c>
      <c r="C63" s="9" t="s">
        <v>2</v>
      </c>
      <c r="D63" s="9" t="s">
        <v>3</v>
      </c>
      <c r="E63" s="9">
        <v>3</v>
      </c>
      <c r="F63" s="10">
        <v>16032</v>
      </c>
      <c r="G63" s="10">
        <v>16032</v>
      </c>
      <c r="H63" s="11">
        <f t="shared" si="2"/>
        <v>0.12268135904499541</v>
      </c>
      <c r="I63" s="12"/>
      <c r="J63" s="14">
        <v>2600000</v>
      </c>
      <c r="K63" s="5">
        <f t="shared" si="3"/>
        <v>162.1756487025948</v>
      </c>
      <c r="L63" s="13">
        <v>44210</v>
      </c>
      <c r="M63" s="9">
        <v>52.313136999999998</v>
      </c>
      <c r="N63" s="9">
        <v>-113.85727300000001</v>
      </c>
    </row>
    <row r="64" spans="1:14" x14ac:dyDescent="0.25">
      <c r="A64" s="1" t="s">
        <v>11</v>
      </c>
      <c r="B64" s="9" t="s">
        <v>4</v>
      </c>
      <c r="C64" s="9" t="s">
        <v>2</v>
      </c>
      <c r="D64" s="9" t="s">
        <v>3</v>
      </c>
      <c r="E64" s="9">
        <v>2.0299999999999998</v>
      </c>
      <c r="F64" s="10">
        <v>19000</v>
      </c>
      <c r="G64" s="10">
        <v>17500</v>
      </c>
      <c r="H64" s="11">
        <f t="shared" si="2"/>
        <v>0.19790380291947693</v>
      </c>
      <c r="I64" s="12"/>
      <c r="J64" s="14">
        <v>2100000</v>
      </c>
      <c r="K64" s="5">
        <f t="shared" si="3"/>
        <v>110.52631578947368</v>
      </c>
      <c r="L64" s="13">
        <v>43788</v>
      </c>
      <c r="M64" s="9">
        <v>52.316541000000001</v>
      </c>
      <c r="N64" s="9">
        <v>-113.85119</v>
      </c>
    </row>
    <row r="65" spans="1:14" x14ac:dyDescent="0.25">
      <c r="A65" s="1" t="s">
        <v>11</v>
      </c>
      <c r="B65" s="1" t="s">
        <v>5</v>
      </c>
      <c r="C65" s="1" t="s">
        <v>2</v>
      </c>
      <c r="D65" s="1" t="s">
        <v>3</v>
      </c>
      <c r="E65" s="1">
        <v>2.0299999999999998</v>
      </c>
      <c r="F65" s="3">
        <v>14067</v>
      </c>
      <c r="G65" s="3">
        <v>14067</v>
      </c>
      <c r="H65" s="4">
        <f t="shared" si="2"/>
        <v>0.15908073118104468</v>
      </c>
      <c r="J65" s="14">
        <v>1485000</v>
      </c>
      <c r="K65" s="5">
        <f t="shared" si="3"/>
        <v>105.56621880998081</v>
      </c>
      <c r="L65" s="6">
        <v>43745</v>
      </c>
      <c r="M65" s="9">
        <v>52.316336999999997</v>
      </c>
      <c r="N65" s="9">
        <v>-113.833367</v>
      </c>
    </row>
    <row r="66" spans="1:14" x14ac:dyDescent="0.25">
      <c r="A66" s="1" t="s">
        <v>11</v>
      </c>
      <c r="B66" s="15" t="s">
        <v>25</v>
      </c>
      <c r="C66" s="9" t="s">
        <v>2</v>
      </c>
      <c r="D66" s="9" t="s">
        <v>3</v>
      </c>
      <c r="E66" s="9">
        <v>5.21</v>
      </c>
      <c r="F66" s="16">
        <v>21400</v>
      </c>
      <c r="G66" s="10">
        <v>17700</v>
      </c>
      <c r="H66" s="11">
        <f t="shared" ref="H66:H67" si="4">G66/E66/43560</f>
        <v>7.7991571622700581E-2</v>
      </c>
      <c r="I66" s="12"/>
      <c r="J66" s="14">
        <v>3190000</v>
      </c>
      <c r="K66" s="5">
        <f t="shared" si="3"/>
        <v>149.06542056074767</v>
      </c>
      <c r="L66" s="13">
        <v>44228</v>
      </c>
      <c r="M66" s="9">
        <v>52.300733999999999</v>
      </c>
      <c r="N66" s="9">
        <v>-113.866086</v>
      </c>
    </row>
    <row r="67" spans="1:14" x14ac:dyDescent="0.25">
      <c r="A67" s="1" t="s">
        <v>11</v>
      </c>
      <c r="B67" s="1" t="s">
        <v>51</v>
      </c>
      <c r="C67" s="1" t="s">
        <v>2</v>
      </c>
      <c r="D67" s="1" t="s">
        <v>3</v>
      </c>
      <c r="E67" s="1">
        <v>2.92</v>
      </c>
      <c r="F67" s="3">
        <v>30918</v>
      </c>
      <c r="G67" s="3">
        <v>24748</v>
      </c>
      <c r="H67" s="4">
        <f t="shared" si="4"/>
        <v>0.19456709058203456</v>
      </c>
      <c r="J67" s="14">
        <v>5000000</v>
      </c>
      <c r="K67" s="5">
        <f t="shared" si="3"/>
        <v>161.7180930202471</v>
      </c>
      <c r="L67" s="6">
        <v>44001</v>
      </c>
      <c r="M67" s="9">
        <v>52.312111999999999</v>
      </c>
      <c r="N67" s="9">
        <v>-113.86926099999999</v>
      </c>
    </row>
    <row r="68" spans="1:14" x14ac:dyDescent="0.25">
      <c r="A68" s="1" t="s">
        <v>11</v>
      </c>
      <c r="B68" s="1" t="s">
        <v>93</v>
      </c>
      <c r="C68" s="1" t="s">
        <v>33</v>
      </c>
      <c r="D68" s="1" t="s">
        <v>34</v>
      </c>
      <c r="E68" s="1">
        <v>2.39</v>
      </c>
      <c r="F68" s="3">
        <v>7200</v>
      </c>
      <c r="G68" s="3">
        <v>7200</v>
      </c>
      <c r="H68" s="4">
        <v>6.9158684601818871E-2</v>
      </c>
      <c r="J68" s="2">
        <v>663500</v>
      </c>
      <c r="K68" s="5">
        <f t="shared" si="3"/>
        <v>92.152777777777771</v>
      </c>
      <c r="L68" s="6">
        <v>44537</v>
      </c>
      <c r="M68" s="9">
        <v>52.345962999999998</v>
      </c>
      <c r="N68" s="9">
        <v>-113.78259799999999</v>
      </c>
    </row>
    <row r="69" spans="1:14" x14ac:dyDescent="0.25">
      <c r="A69" s="1" t="s">
        <v>11</v>
      </c>
      <c r="B69" s="1" t="s">
        <v>94</v>
      </c>
      <c r="C69" s="1" t="s">
        <v>33</v>
      </c>
      <c r="D69" s="1" t="s">
        <v>34</v>
      </c>
      <c r="E69" s="1">
        <v>3.21</v>
      </c>
      <c r="F69" s="3">
        <v>28500</v>
      </c>
      <c r="G69" s="3">
        <v>26500</v>
      </c>
      <c r="H69" s="4">
        <v>0.18951909351229657</v>
      </c>
      <c r="J69" s="2">
        <v>4800000</v>
      </c>
      <c r="K69" s="5">
        <f t="shared" si="3"/>
        <v>168.42105263157896</v>
      </c>
      <c r="L69" s="6">
        <v>44491</v>
      </c>
      <c r="M69" s="9">
        <v>52.212176999999997</v>
      </c>
      <c r="N69" s="9">
        <v>-113.774091</v>
      </c>
    </row>
    <row r="70" spans="1:14" x14ac:dyDescent="0.25">
      <c r="A70" s="1" t="s">
        <v>11</v>
      </c>
      <c r="B70" s="1" t="s">
        <v>95</v>
      </c>
      <c r="C70" s="1" t="s">
        <v>2</v>
      </c>
      <c r="D70" s="1" t="s">
        <v>3</v>
      </c>
      <c r="E70" s="1">
        <v>1.98</v>
      </c>
      <c r="F70" s="3">
        <v>15090</v>
      </c>
      <c r="G70" s="3">
        <v>15090</v>
      </c>
      <c r="H70" s="4">
        <v>0.1749589559506915</v>
      </c>
      <c r="J70" s="2">
        <v>1997500</v>
      </c>
      <c r="K70" s="5">
        <f t="shared" si="3"/>
        <v>132.37243207422134</v>
      </c>
      <c r="L70" s="6">
        <v>44587</v>
      </c>
      <c r="M70" s="9">
        <v>52.310673999999999</v>
      </c>
      <c r="N70" s="9">
        <v>-113.85371000000001</v>
      </c>
    </row>
    <row r="71" spans="1:14" x14ac:dyDescent="0.25">
      <c r="A71" s="1" t="s">
        <v>11</v>
      </c>
      <c r="B71" s="1" t="s">
        <v>96</v>
      </c>
      <c r="C71" s="1" t="s">
        <v>2</v>
      </c>
      <c r="D71" s="1" t="s">
        <v>3</v>
      </c>
      <c r="E71" s="1">
        <v>2.62</v>
      </c>
      <c r="F71" s="3">
        <v>30902</v>
      </c>
      <c r="G71" s="3">
        <v>30902</v>
      </c>
      <c r="H71" s="4">
        <v>0.27076805529269093</v>
      </c>
      <c r="J71" s="2">
        <v>3400000</v>
      </c>
      <c r="K71" s="5">
        <f t="shared" si="3"/>
        <v>110.02524108471944</v>
      </c>
      <c r="L71" s="6">
        <v>44481</v>
      </c>
      <c r="M71" s="9">
        <v>52.307727</v>
      </c>
      <c r="N71" s="9">
        <v>-113.855599</v>
      </c>
    </row>
  </sheetData>
  <autoFilter ref="A1:N1" xr:uid="{00000000-0001-0000-0000-000000000000}">
    <sortState xmlns:xlrd2="http://schemas.microsoft.com/office/spreadsheetml/2017/richdata2" ref="A2:N71">
      <sortCondition ref="A1"/>
    </sortState>
  </autoFilter>
  <sortState xmlns:xlrd2="http://schemas.microsoft.com/office/spreadsheetml/2017/richdata2" ref="A2:N67">
    <sortCondition ref="A2:A67"/>
    <sortCondition ref="C2:C67"/>
    <sortCondition ref="B2:B67"/>
  </sortState>
  <conditionalFormatting sqref="A61:A1048576 A1:A59">
    <cfRule type="cellIs" dxfId="27" priority="7" operator="equal">
      <formula>"Sold"</formula>
    </cfRule>
    <cfRule type="cellIs" dxfId="26" priority="8" operator="equal">
      <formula>"List"</formula>
    </cfRule>
    <cfRule type="cellIs" dxfId="25" priority="9" operator="equal">
      <formula>"Leased"</formula>
    </cfRule>
  </conditionalFormatting>
  <conditionalFormatting sqref="A60">
    <cfRule type="cellIs" dxfId="24" priority="1" operator="equal">
      <formula>"Sold"</formula>
    </cfRule>
    <cfRule type="cellIs" dxfId="23" priority="2" operator="equal">
      <formula>"List"</formula>
    </cfRule>
    <cfRule type="cellIs" dxfId="22" priority="3" operator="equal">
      <formula>"Leased"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12E27-7B24-4A9D-9D55-49C10F2EB41A}">
  <dimension ref="A3:G18"/>
  <sheetViews>
    <sheetView workbookViewId="0">
      <selection activeCell="B23" sqref="B23"/>
    </sheetView>
  </sheetViews>
  <sheetFormatPr defaultRowHeight="15" x14ac:dyDescent="0.25"/>
  <cols>
    <col min="1" max="1" width="24.28515625" style="27" customWidth="1"/>
    <col min="2" max="2" width="19.7109375" style="27" bestFit="1" customWidth="1"/>
    <col min="3" max="3" width="18.28515625" style="27" bestFit="1" customWidth="1"/>
    <col min="4" max="4" width="19.7109375" style="27" bestFit="1" customWidth="1"/>
    <col min="5" max="7" width="19.85546875" style="27" customWidth="1"/>
    <col min="8" max="16384" width="9.140625" style="27"/>
  </cols>
  <sheetData>
    <row r="3" spans="1:7" x14ac:dyDescent="0.25">
      <c r="A3" s="26" t="s">
        <v>46</v>
      </c>
      <c r="B3" s="27" t="s">
        <v>48</v>
      </c>
      <c r="C3" s="27" t="s">
        <v>49</v>
      </c>
      <c r="D3" s="27" t="s">
        <v>50</v>
      </c>
      <c r="E3" s="27" t="s">
        <v>61</v>
      </c>
      <c r="F3" s="27" t="s">
        <v>59</v>
      </c>
      <c r="G3" s="27" t="s">
        <v>60</v>
      </c>
    </row>
    <row r="4" spans="1:7" x14ac:dyDescent="0.25">
      <c r="A4" s="27" t="s">
        <v>24</v>
      </c>
      <c r="B4" s="28">
        <v>56.309999999999995</v>
      </c>
      <c r="C4" s="29">
        <v>274792</v>
      </c>
      <c r="D4" s="29">
        <v>242985</v>
      </c>
      <c r="E4" s="30">
        <v>9.9042857142857148</v>
      </c>
      <c r="F4" s="31" t="s">
        <v>30</v>
      </c>
      <c r="G4" s="30" t="s">
        <v>30</v>
      </c>
    </row>
    <row r="5" spans="1:7" x14ac:dyDescent="0.25">
      <c r="A5" s="27" t="s">
        <v>13</v>
      </c>
      <c r="B5" s="28">
        <v>148.30000000000001</v>
      </c>
      <c r="C5" s="29">
        <v>596411</v>
      </c>
      <c r="D5" s="29">
        <v>539015.31636000006</v>
      </c>
      <c r="E5" s="30">
        <v>9.954545454545455</v>
      </c>
      <c r="F5" s="31">
        <v>4017000</v>
      </c>
      <c r="G5" s="30">
        <v>204.63116978691426</v>
      </c>
    </row>
    <row r="6" spans="1:7" x14ac:dyDescent="0.25">
      <c r="A6" s="27" t="s">
        <v>11</v>
      </c>
      <c r="B6" s="28">
        <v>35.910000000000004</v>
      </c>
      <c r="C6" s="29">
        <v>202807</v>
      </c>
      <c r="D6" s="29">
        <v>178052</v>
      </c>
      <c r="E6" s="30" t="s">
        <v>30</v>
      </c>
      <c r="F6" s="31">
        <v>3469285.7142857141</v>
      </c>
      <c r="G6" s="30">
        <v>124.90818047990415</v>
      </c>
    </row>
    <row r="7" spans="1:7" x14ac:dyDescent="0.25">
      <c r="A7" s="27" t="s">
        <v>47</v>
      </c>
      <c r="B7" s="28">
        <v>240.52</v>
      </c>
      <c r="C7" s="29">
        <v>1074010</v>
      </c>
      <c r="D7" s="29">
        <v>960052.31636000006</v>
      </c>
      <c r="E7" s="30">
        <v>9.9349999999999987</v>
      </c>
      <c r="F7" s="31">
        <v>3857250</v>
      </c>
      <c r="G7" s="30">
        <v>181.37863123903628</v>
      </c>
    </row>
    <row r="13" spans="1:7" x14ac:dyDescent="0.25">
      <c r="A13" s="26" t="s">
        <v>46</v>
      </c>
      <c r="B13" s="27" t="s">
        <v>48</v>
      </c>
      <c r="C13" s="27" t="s">
        <v>49</v>
      </c>
      <c r="D13" s="27" t="s">
        <v>50</v>
      </c>
      <c r="E13" s="27" t="s">
        <v>61</v>
      </c>
      <c r="F13" s="27" t="s">
        <v>59</v>
      </c>
      <c r="G13" s="27" t="s">
        <v>60</v>
      </c>
    </row>
    <row r="14" spans="1:7" x14ac:dyDescent="0.25">
      <c r="A14" s="27" t="s">
        <v>9</v>
      </c>
      <c r="B14" s="28">
        <v>14.98</v>
      </c>
      <c r="C14" s="29">
        <v>72278</v>
      </c>
      <c r="D14" s="29">
        <v>70108.489159999997</v>
      </c>
      <c r="E14" s="30">
        <v>12</v>
      </c>
      <c r="F14" s="31">
        <v>5200000</v>
      </c>
      <c r="G14" s="30">
        <v>145.67989326327299</v>
      </c>
    </row>
    <row r="15" spans="1:7" x14ac:dyDescent="0.25">
      <c r="A15" s="27" t="s">
        <v>16</v>
      </c>
      <c r="B15" s="28">
        <v>52.01</v>
      </c>
      <c r="C15" s="29">
        <v>148668</v>
      </c>
      <c r="D15" s="29">
        <v>127433</v>
      </c>
      <c r="E15" s="30">
        <v>8.6550000000000011</v>
      </c>
      <c r="F15" s="31">
        <v>4629666.666666667</v>
      </c>
      <c r="G15" s="30">
        <v>364.05502725747488</v>
      </c>
    </row>
    <row r="16" spans="1:7" x14ac:dyDescent="0.25">
      <c r="A16" s="27" t="s">
        <v>2</v>
      </c>
      <c r="B16" s="28">
        <v>138.15999999999997</v>
      </c>
      <c r="C16" s="29">
        <v>747287</v>
      </c>
      <c r="D16" s="29">
        <v>669401.82719999994</v>
      </c>
      <c r="E16" s="30">
        <v>10.023333333333333</v>
      </c>
      <c r="F16" s="31">
        <v>3815000</v>
      </c>
      <c r="G16" s="30">
        <v>150.30123576409977</v>
      </c>
    </row>
    <row r="17" spans="1:7" x14ac:dyDescent="0.25">
      <c r="A17" s="27" t="s">
        <v>33</v>
      </c>
      <c r="B17" s="28">
        <v>35.369999999999997</v>
      </c>
      <c r="C17" s="29">
        <v>105777</v>
      </c>
      <c r="D17" s="29">
        <v>93109</v>
      </c>
      <c r="E17" s="30">
        <v>10.5</v>
      </c>
      <c r="F17" s="31">
        <v>2765000</v>
      </c>
      <c r="G17" s="30">
        <v>178.76093624410098</v>
      </c>
    </row>
    <row r="18" spans="1:7" x14ac:dyDescent="0.25">
      <c r="A18" s="27" t="s">
        <v>47</v>
      </c>
      <c r="B18" s="28">
        <v>240.52000000000004</v>
      </c>
      <c r="C18" s="29">
        <v>1074010</v>
      </c>
      <c r="D18" s="29">
        <v>960052.31636000006</v>
      </c>
      <c r="E18" s="30">
        <v>9.9349999999999987</v>
      </c>
      <c r="F18" s="31">
        <v>3857250</v>
      </c>
      <c r="G18" s="30">
        <v>181.37863123903628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Industrial Building Sales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Field</dc:creator>
  <cp:lastModifiedBy>Brett Salomons</cp:lastModifiedBy>
  <dcterms:created xsi:type="dcterms:W3CDTF">2020-03-06T19:58:08Z</dcterms:created>
  <dcterms:modified xsi:type="dcterms:W3CDTF">2022-03-10T04:35:04Z</dcterms:modified>
</cp:coreProperties>
</file>