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 activeTab="1"/>
  </bookViews>
  <sheets>
    <sheet name="Space Marines" sheetId="1" r:id="rId1"/>
    <sheet name="Chaos Space Marines" sheetId="6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6" l="1"/>
  <c r="AA22" i="6"/>
  <c r="AA23" i="6"/>
  <c r="AA24" i="6"/>
  <c r="AA25" i="6"/>
  <c r="AA26" i="6"/>
  <c r="AA27" i="6"/>
  <c r="AA29" i="6"/>
  <c r="AA30" i="6"/>
  <c r="AA31" i="6"/>
  <c r="AA32" i="6"/>
  <c r="AA33" i="6"/>
  <c r="AA34" i="6"/>
  <c r="AA35" i="6"/>
  <c r="AA36" i="6"/>
  <c r="AA15" i="6"/>
  <c r="AA16" i="6"/>
  <c r="AA17" i="6"/>
  <c r="AA18" i="6"/>
  <c r="AA19" i="6"/>
  <c r="AA14" i="6"/>
  <c r="T15" i="6"/>
  <c r="T16" i="6"/>
  <c r="T17" i="6"/>
  <c r="T18" i="6"/>
  <c r="T19" i="6"/>
  <c r="T21" i="6"/>
  <c r="T22" i="6"/>
  <c r="T23" i="6"/>
  <c r="T24" i="6"/>
  <c r="T25" i="6"/>
  <c r="T26" i="6"/>
  <c r="T27" i="6"/>
  <c r="T29" i="6"/>
  <c r="T30" i="6"/>
  <c r="T31" i="6"/>
  <c r="T32" i="6"/>
  <c r="T33" i="6"/>
  <c r="T34" i="6"/>
  <c r="T35" i="6"/>
  <c r="T36" i="6"/>
  <c r="T14" i="6"/>
  <c r="Z39" i="6" l="1"/>
  <c r="Y39" i="6"/>
  <c r="X39" i="6"/>
  <c r="S39" i="6"/>
  <c r="R39" i="6"/>
  <c r="Q39" i="6"/>
  <c r="T39" i="6" s="1"/>
  <c r="AA39" i="6" l="1"/>
  <c r="AC39" i="6" s="1"/>
  <c r="V39" i="6"/>
  <c r="Q12" i="6"/>
  <c r="T12" i="6" s="1"/>
  <c r="R12" i="6"/>
  <c r="S12" i="6"/>
  <c r="X12" i="6"/>
  <c r="Y12" i="6"/>
  <c r="Z12" i="6"/>
  <c r="Q9" i="6"/>
  <c r="T9" i="6" s="1"/>
  <c r="R9" i="6"/>
  <c r="S9" i="6"/>
  <c r="X9" i="6"/>
  <c r="Y9" i="6"/>
  <c r="Z9" i="6"/>
  <c r="Q15" i="6"/>
  <c r="R15" i="6"/>
  <c r="U15" i="6" s="1"/>
  <c r="S15" i="6"/>
  <c r="X15" i="6"/>
  <c r="Y15" i="6"/>
  <c r="Z15" i="6"/>
  <c r="Q16" i="6"/>
  <c r="R16" i="6"/>
  <c r="S16" i="6"/>
  <c r="X16" i="6"/>
  <c r="Y16" i="6"/>
  <c r="Z16" i="6"/>
  <c r="Q17" i="6"/>
  <c r="R17" i="6"/>
  <c r="S17" i="6"/>
  <c r="X17" i="6"/>
  <c r="Y17" i="6"/>
  <c r="Z17" i="6"/>
  <c r="Q18" i="6"/>
  <c r="R18" i="6"/>
  <c r="S18" i="6"/>
  <c r="X18" i="6"/>
  <c r="Y18" i="6"/>
  <c r="Z18" i="6"/>
  <c r="Q19" i="6"/>
  <c r="R19" i="6"/>
  <c r="S19" i="6"/>
  <c r="U19" i="6"/>
  <c r="X19" i="6"/>
  <c r="Y19" i="6"/>
  <c r="Z19" i="6"/>
  <c r="Q21" i="6"/>
  <c r="R21" i="6"/>
  <c r="S21" i="6"/>
  <c r="X21" i="6"/>
  <c r="Y21" i="6"/>
  <c r="AB21" i="6" s="1"/>
  <c r="Z21" i="6"/>
  <c r="Q22" i="6"/>
  <c r="R22" i="6"/>
  <c r="S22" i="6"/>
  <c r="X22" i="6"/>
  <c r="Y22" i="6"/>
  <c r="Z22" i="6"/>
  <c r="Q23" i="6"/>
  <c r="R23" i="6"/>
  <c r="S23" i="6"/>
  <c r="X23" i="6"/>
  <c r="Y23" i="6"/>
  <c r="Z23" i="6"/>
  <c r="Q24" i="6"/>
  <c r="R24" i="6"/>
  <c r="S24" i="6"/>
  <c r="X24" i="6"/>
  <c r="Y24" i="6"/>
  <c r="Z24" i="6"/>
  <c r="Q25" i="6"/>
  <c r="R25" i="6"/>
  <c r="S25" i="6"/>
  <c r="X25" i="6"/>
  <c r="Y25" i="6"/>
  <c r="Z25" i="6"/>
  <c r="Q26" i="6"/>
  <c r="R26" i="6"/>
  <c r="S26" i="6"/>
  <c r="X26" i="6"/>
  <c r="Y26" i="6"/>
  <c r="Z26" i="6"/>
  <c r="Q27" i="6"/>
  <c r="R27" i="6"/>
  <c r="S27" i="6"/>
  <c r="X27" i="6"/>
  <c r="Y27" i="6"/>
  <c r="Z27" i="6"/>
  <c r="Q29" i="6"/>
  <c r="R29" i="6"/>
  <c r="S29" i="6"/>
  <c r="X29" i="6"/>
  <c r="Y29" i="6"/>
  <c r="Z29" i="6"/>
  <c r="AB29" i="6"/>
  <c r="Q30" i="6"/>
  <c r="R30" i="6"/>
  <c r="S30" i="6"/>
  <c r="X30" i="6"/>
  <c r="Y30" i="6"/>
  <c r="Z30" i="6"/>
  <c r="Q31" i="6"/>
  <c r="R31" i="6"/>
  <c r="S31" i="6"/>
  <c r="X31" i="6"/>
  <c r="Y31" i="6"/>
  <c r="Z31" i="6"/>
  <c r="Q32" i="6"/>
  <c r="R32" i="6"/>
  <c r="S32" i="6"/>
  <c r="X32" i="6"/>
  <c r="Y32" i="6"/>
  <c r="Z32" i="6"/>
  <c r="Q33" i="6"/>
  <c r="R33" i="6"/>
  <c r="S33" i="6"/>
  <c r="X33" i="6"/>
  <c r="Y33" i="6"/>
  <c r="Z33" i="6"/>
  <c r="Q34" i="6"/>
  <c r="R34" i="6"/>
  <c r="S34" i="6"/>
  <c r="X34" i="6"/>
  <c r="Y34" i="6"/>
  <c r="Z34" i="6"/>
  <c r="Q35" i="6"/>
  <c r="R35" i="6"/>
  <c r="S35" i="6"/>
  <c r="X35" i="6"/>
  <c r="Y35" i="6"/>
  <c r="AB35" i="6" s="1"/>
  <c r="Z35" i="6"/>
  <c r="Q36" i="6"/>
  <c r="R36" i="6"/>
  <c r="S36" i="6"/>
  <c r="X36" i="6"/>
  <c r="Y36" i="6"/>
  <c r="AB36" i="6" s="1"/>
  <c r="Z36" i="6"/>
  <c r="S14" i="6"/>
  <c r="Z14" i="6"/>
  <c r="Y14" i="6"/>
  <c r="X14" i="6"/>
  <c r="R14" i="6"/>
  <c r="Q14" i="6"/>
  <c r="Z11" i="6"/>
  <c r="Y11" i="6"/>
  <c r="X11" i="6"/>
  <c r="S11" i="6"/>
  <c r="R11" i="6"/>
  <c r="Q11" i="6"/>
  <c r="Z10" i="6"/>
  <c r="Y10" i="6"/>
  <c r="X10" i="6"/>
  <c r="S10" i="6"/>
  <c r="R10" i="6"/>
  <c r="Q10" i="6"/>
  <c r="Z8" i="6"/>
  <c r="Y8" i="6"/>
  <c r="X8" i="6"/>
  <c r="AA8" i="6" s="1"/>
  <c r="S8" i="6"/>
  <c r="R8" i="6"/>
  <c r="Q8" i="6"/>
  <c r="T8" i="6" s="1"/>
  <c r="Z7" i="6"/>
  <c r="Y7" i="6"/>
  <c r="X7" i="6"/>
  <c r="AA7" i="6" s="1"/>
  <c r="S7" i="6"/>
  <c r="R7" i="6"/>
  <c r="Q7" i="6"/>
  <c r="T7" i="6" s="1"/>
  <c r="Z6" i="6"/>
  <c r="Y6" i="6"/>
  <c r="X6" i="6"/>
  <c r="AA6" i="6" s="1"/>
  <c r="S6" i="6"/>
  <c r="R6" i="6"/>
  <c r="Q6" i="6"/>
  <c r="T6" i="6" s="1"/>
  <c r="Z5" i="6"/>
  <c r="Y5" i="6"/>
  <c r="X5" i="6"/>
  <c r="AA5" i="6" s="1"/>
  <c r="S5" i="6"/>
  <c r="R5" i="6"/>
  <c r="Q5" i="6"/>
  <c r="T5" i="6" s="1"/>
  <c r="Z4" i="6"/>
  <c r="Y4" i="6"/>
  <c r="X4" i="6"/>
  <c r="AA4" i="6" s="1"/>
  <c r="S4" i="6"/>
  <c r="R4" i="6"/>
  <c r="Q4" i="6"/>
  <c r="T4" i="6" l="1"/>
  <c r="V4" i="6" s="1"/>
  <c r="AC8" i="6"/>
  <c r="AA10" i="6"/>
  <c r="T10" i="6"/>
  <c r="AA12" i="6"/>
  <c r="AC12" i="6" s="1"/>
  <c r="AB39" i="6"/>
  <c r="T11" i="6"/>
  <c r="AA11" i="6"/>
  <c r="AB9" i="6"/>
  <c r="AA9" i="6"/>
  <c r="AC4" i="6"/>
  <c r="U12" i="6"/>
  <c r="V12" i="6"/>
  <c r="U9" i="6"/>
  <c r="V9" i="6"/>
  <c r="AC9" i="6"/>
  <c r="AB32" i="6"/>
  <c r="AB30" i="6"/>
  <c r="AB27" i="6"/>
  <c r="AB33" i="6"/>
  <c r="AB31" i="6"/>
  <c r="AB23" i="6"/>
  <c r="AB17" i="6"/>
  <c r="U34" i="6"/>
  <c r="U27" i="6"/>
  <c r="AD27" i="6" s="1"/>
  <c r="AB26" i="6"/>
  <c r="AB25" i="6"/>
  <c r="AB24" i="6"/>
  <c r="U24" i="6"/>
  <c r="V7" i="6"/>
  <c r="U36" i="6"/>
  <c r="AB34" i="6"/>
  <c r="U32" i="6"/>
  <c r="AB22" i="6"/>
  <c r="AC18" i="6"/>
  <c r="V6" i="6"/>
  <c r="V11" i="6"/>
  <c r="U33" i="6"/>
  <c r="U22" i="6"/>
  <c r="V34" i="6"/>
  <c r="AC35" i="6"/>
  <c r="AC34" i="6"/>
  <c r="AC32" i="6"/>
  <c r="V30" i="6"/>
  <c r="AC27" i="6"/>
  <c r="AC26" i="6"/>
  <c r="AC24" i="6"/>
  <c r="V24" i="6"/>
  <c r="V22" i="6"/>
  <c r="AC19" i="6"/>
  <c r="AB19" i="6"/>
  <c r="AD19" i="6" s="1"/>
  <c r="AC16" i="6"/>
  <c r="AB16" i="6"/>
  <c r="V25" i="6"/>
  <c r="V17" i="6"/>
  <c r="U17" i="6"/>
  <c r="V36" i="6"/>
  <c r="AC31" i="6"/>
  <c r="AC23" i="6"/>
  <c r="V18" i="6"/>
  <c r="U18" i="6"/>
  <c r="U16" i="6"/>
  <c r="V16" i="6"/>
  <c r="AC15" i="6"/>
  <c r="AB15" i="6"/>
  <c r="AD15" i="6" s="1"/>
  <c r="AC36" i="6"/>
  <c r="AC30" i="6"/>
  <c r="V26" i="6"/>
  <c r="V29" i="6"/>
  <c r="V21" i="6"/>
  <c r="V35" i="6"/>
  <c r="AC33" i="6"/>
  <c r="V31" i="6"/>
  <c r="AC29" i="6"/>
  <c r="V27" i="6"/>
  <c r="AC25" i="6"/>
  <c r="V23" i="6"/>
  <c r="AC21" i="6"/>
  <c r="V19" i="6"/>
  <c r="AC17" i="6"/>
  <c r="V15" i="6"/>
  <c r="AC6" i="6"/>
  <c r="AB14" i="6"/>
  <c r="AC5" i="6"/>
  <c r="U8" i="6"/>
  <c r="AC11" i="6"/>
  <c r="AB7" i="6"/>
  <c r="AC10" i="6"/>
  <c r="AB10" i="6"/>
  <c r="U7" i="6"/>
  <c r="AC7" i="6"/>
  <c r="V5" i="6"/>
  <c r="U4" i="6"/>
  <c r="AB4" i="6"/>
  <c r="U6" i="6"/>
  <c r="AB8" i="6"/>
  <c r="P9" i="5"/>
  <c r="Q9" i="5"/>
  <c r="R9" i="5"/>
  <c r="S9" i="5"/>
  <c r="T9" i="5" s="1"/>
  <c r="W9" i="5"/>
  <c r="X9" i="5"/>
  <c r="Z9" i="5" s="1"/>
  <c r="Y9" i="5"/>
  <c r="AD9" i="6" l="1"/>
  <c r="AB12" i="6"/>
  <c r="AD12" i="6" s="1"/>
  <c r="U5" i="6"/>
  <c r="U10" i="6"/>
  <c r="U39" i="6"/>
  <c r="AD39" i="6" s="1"/>
  <c r="AD34" i="6"/>
  <c r="AD17" i="6"/>
  <c r="AD24" i="6"/>
  <c r="AB11" i="6"/>
  <c r="AB18" i="6"/>
  <c r="AD33" i="6"/>
  <c r="AC22" i="6"/>
  <c r="U11" i="6"/>
  <c r="U35" i="6"/>
  <c r="AD35" i="6" s="1"/>
  <c r="AB5" i="6"/>
  <c r="AD5" i="6" s="1"/>
  <c r="V33" i="6"/>
  <c r="U21" i="6"/>
  <c r="AD21" i="6" s="1"/>
  <c r="U26" i="6"/>
  <c r="AD26" i="6" s="1"/>
  <c r="U25" i="6"/>
  <c r="AD25" i="6" s="1"/>
  <c r="U23" i="6"/>
  <c r="AD23" i="6" s="1"/>
  <c r="AD16" i="6"/>
  <c r="V32" i="6"/>
  <c r="U30" i="6"/>
  <c r="U29" i="6"/>
  <c r="AD29" i="6" s="1"/>
  <c r="U31" i="6"/>
  <c r="AD31" i="6" s="1"/>
  <c r="V10" i="6"/>
  <c r="AD18" i="6"/>
  <c r="AD36" i="6"/>
  <c r="AD30" i="6"/>
  <c r="AD32" i="6"/>
  <c r="AD22" i="6"/>
  <c r="U14" i="6"/>
  <c r="AD14" i="6" s="1"/>
  <c r="V8" i="6"/>
  <c r="AB6" i="6"/>
  <c r="AD6" i="6" s="1"/>
  <c r="AD7" i="6"/>
  <c r="V14" i="6"/>
  <c r="AC14" i="6"/>
  <c r="AD10" i="6"/>
  <c r="AD4" i="6"/>
  <c r="AD8" i="6"/>
  <c r="AB9" i="5"/>
  <c r="AA9" i="5"/>
  <c r="AC9" i="5" s="1"/>
  <c r="U9" i="5"/>
  <c r="Z13" i="1"/>
  <c r="Z14" i="1"/>
  <c r="Z15" i="1"/>
  <c r="Z16" i="1"/>
  <c r="Z18" i="1"/>
  <c r="Z19" i="1"/>
  <c r="Z20" i="1"/>
  <c r="Z21" i="1"/>
  <c r="AB21" i="1" s="1"/>
  <c r="Z22" i="1"/>
  <c r="Z23" i="1"/>
  <c r="Z24" i="1"/>
  <c r="AB24" i="1" s="1"/>
  <c r="Z25" i="1"/>
  <c r="AB25" i="1" s="1"/>
  <c r="Z27" i="1"/>
  <c r="Z28" i="1"/>
  <c r="AB28" i="1" s="1"/>
  <c r="Z29" i="1"/>
  <c r="Z31" i="1"/>
  <c r="Z32" i="1"/>
  <c r="AB32" i="1" s="1"/>
  <c r="Z33" i="1"/>
  <c r="Z34" i="1"/>
  <c r="AB34" i="1" s="1"/>
  <c r="Z35" i="1"/>
  <c r="Z12" i="1"/>
  <c r="AB12" i="1" s="1"/>
  <c r="AB19" i="1"/>
  <c r="AB20" i="1"/>
  <c r="AB22" i="1"/>
  <c r="AB23" i="1"/>
  <c r="AB27" i="1"/>
  <c r="AB29" i="1"/>
  <c r="AB31" i="1"/>
  <c r="AB33" i="1"/>
  <c r="AB35" i="1"/>
  <c r="AB18" i="1"/>
  <c r="T19" i="1"/>
  <c r="T20" i="1"/>
  <c r="T21" i="1"/>
  <c r="T18" i="1"/>
  <c r="AC6" i="1"/>
  <c r="AC4" i="1"/>
  <c r="AB6" i="1"/>
  <c r="AB4" i="1"/>
  <c r="U12" i="1"/>
  <c r="U13" i="1"/>
  <c r="U14" i="1"/>
  <c r="U18" i="1"/>
  <c r="U19" i="1"/>
  <c r="U20" i="1"/>
  <c r="U21" i="1"/>
  <c r="U6" i="1"/>
  <c r="U4" i="1"/>
  <c r="Z6" i="1"/>
  <c r="Z7" i="1"/>
  <c r="AB7" i="1" s="1"/>
  <c r="Z4" i="1"/>
  <c r="Y5" i="1"/>
  <c r="Y6" i="1"/>
  <c r="Y7" i="1"/>
  <c r="Y8" i="1"/>
  <c r="Y9" i="1"/>
  <c r="Y10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Z30" i="1" s="1"/>
  <c r="AB30" i="1" s="1"/>
  <c r="X31" i="1"/>
  <c r="X32" i="1"/>
  <c r="X33" i="1"/>
  <c r="X34" i="1"/>
  <c r="X35" i="1"/>
  <c r="X12" i="1"/>
  <c r="W13" i="1"/>
  <c r="AB13" i="1" s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T24" i="1" s="1"/>
  <c r="R25" i="1"/>
  <c r="R27" i="1"/>
  <c r="R28" i="1"/>
  <c r="R29" i="1"/>
  <c r="S29" i="1" s="1"/>
  <c r="R30" i="1"/>
  <c r="R31" i="1"/>
  <c r="R32" i="1"/>
  <c r="R33" i="1"/>
  <c r="R34" i="1"/>
  <c r="R35" i="1"/>
  <c r="R4" i="1"/>
  <c r="Q13" i="1"/>
  <c r="Q14" i="1"/>
  <c r="S14" i="1" s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S10" i="1" s="1"/>
  <c r="U10" i="1" s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S32" i="1" s="1"/>
  <c r="P33" i="1"/>
  <c r="P34" i="1"/>
  <c r="P35" i="1"/>
  <c r="P5" i="1"/>
  <c r="P6" i="1"/>
  <c r="P7" i="1"/>
  <c r="P8" i="1"/>
  <c r="P9" i="1"/>
  <c r="P10" i="1"/>
  <c r="P4" i="1"/>
  <c r="P12" i="1"/>
  <c r="S33" i="1"/>
  <c r="S34" i="1"/>
  <c r="X9" i="1"/>
  <c r="Z9" i="1" s="1"/>
  <c r="AB9" i="1" s="1"/>
  <c r="X10" i="1"/>
  <c r="Z10" i="1" s="1"/>
  <c r="AB10" i="1" s="1"/>
  <c r="X8" i="1"/>
  <c r="Z8" i="1" s="1"/>
  <c r="AB8" i="1" s="1"/>
  <c r="X7" i="1"/>
  <c r="X6" i="1"/>
  <c r="X5" i="1"/>
  <c r="Z5" i="1" s="1"/>
  <c r="AB5" i="1" s="1"/>
  <c r="X4" i="1"/>
  <c r="AD11" i="6" l="1"/>
  <c r="S9" i="1"/>
  <c r="U9" i="1" s="1"/>
  <c r="S35" i="1"/>
  <c r="U35" i="1" s="1"/>
  <c r="S30" i="1"/>
  <c r="S31" i="1"/>
  <c r="U31" i="1" s="1"/>
  <c r="S28" i="1"/>
  <c r="S25" i="1"/>
  <c r="U24" i="1"/>
  <c r="S23" i="1"/>
  <c r="U23" i="1" s="1"/>
  <c r="T23" i="1"/>
  <c r="AB15" i="1"/>
  <c r="AA15" i="1"/>
  <c r="AA23" i="1"/>
  <c r="AA21" i="1"/>
  <c r="AC21" i="1" s="1"/>
  <c r="S13" i="1"/>
  <c r="AA12" i="1"/>
  <c r="AC12" i="1" s="1"/>
  <c r="AA9" i="1"/>
  <c r="S12" i="1"/>
  <c r="T15" i="1" s="1"/>
  <c r="S7" i="1"/>
  <c r="U7" i="1" s="1"/>
  <c r="S8" i="1"/>
  <c r="U8" i="1" s="1"/>
  <c r="U29" i="1"/>
  <c r="U33" i="1"/>
  <c r="U30" i="1"/>
  <c r="U34" i="1"/>
  <c r="U32" i="1"/>
  <c r="U28" i="1"/>
  <c r="S4" i="1"/>
  <c r="S18" i="1"/>
  <c r="S19" i="1"/>
  <c r="S21" i="1"/>
  <c r="S16" i="1"/>
  <c r="U16" i="1" s="1"/>
  <c r="AA22" i="1"/>
  <c r="S6" i="1"/>
  <c r="AA19" i="1"/>
  <c r="AC19" i="1" s="1"/>
  <c r="S20" i="1"/>
  <c r="S22" i="1"/>
  <c r="AA5" i="1"/>
  <c r="S5" i="1"/>
  <c r="U5" i="1" s="1"/>
  <c r="AA18" i="1"/>
  <c r="AC18" i="1" s="1"/>
  <c r="AA20" i="1"/>
  <c r="AC20" i="1" s="1"/>
  <c r="S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C15" i="1" l="1"/>
  <c r="U25" i="1"/>
  <c r="T25" i="1"/>
  <c r="AC23" i="1"/>
  <c r="T22" i="1"/>
  <c r="AC22" i="1" s="1"/>
  <c r="U22" i="1"/>
  <c r="AA16" i="1"/>
  <c r="AB16" i="1"/>
  <c r="AA14" i="1"/>
  <c r="AC14" i="1" s="1"/>
  <c r="AB14" i="1"/>
  <c r="AA4" i="1"/>
  <c r="AA7" i="1"/>
  <c r="T16" i="1"/>
  <c r="AA10" i="1"/>
  <c r="AA13" i="1"/>
  <c r="AC13" i="1" s="1"/>
  <c r="AA24" i="1"/>
  <c r="AC24" i="1" s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C29" i="1" s="1"/>
  <c r="AA33" i="1"/>
  <c r="AA30" i="1"/>
  <c r="AA34" i="1"/>
  <c r="AC34" i="1" s="1"/>
  <c r="AA31" i="1"/>
  <c r="AA35" i="1"/>
  <c r="AA25" i="1"/>
  <c r="T14" i="1"/>
  <c r="T12" i="1"/>
  <c r="AA6" i="1"/>
  <c r="T10" i="1"/>
  <c r="T9" i="1"/>
  <c r="AC9" i="1" s="1"/>
  <c r="T7" i="1"/>
  <c r="T8" i="1"/>
  <c r="AC8" i="1" s="1"/>
  <c r="T4" i="1"/>
  <c r="U27" i="1"/>
  <c r="T6" i="1"/>
  <c r="T5" i="1"/>
  <c r="AC5" i="1" s="1"/>
  <c r="AA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31" i="1" l="1"/>
  <c r="AC30" i="1"/>
  <c r="AC35" i="1"/>
  <c r="AC33" i="1"/>
  <c r="AC28" i="1"/>
  <c r="AC25" i="1"/>
  <c r="AC16" i="1"/>
  <c r="AC10" i="1"/>
  <c r="AC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</calcChain>
</file>

<file path=xl/sharedStrings.xml><?xml version="1.0" encoding="utf-8"?>
<sst xmlns="http://schemas.openxmlformats.org/spreadsheetml/2006/main" count="389" uniqueCount="137">
  <si>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</si>
  <si>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</si>
  <si>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</si>
  <si>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</si>
  <si>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</si>
  <si>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</si>
  <si>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</si>
  <si>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</si>
  <si>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</si>
  <si>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</si>
  <si>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</si>
  <si>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</si>
  <si>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Chainsword</t>
  </si>
  <si>
    <t>Powersword</t>
  </si>
  <si>
    <t>Power Fist</t>
  </si>
  <si>
    <t>Power Axe</t>
  </si>
  <si>
    <t>Power Hammer (2H)</t>
  </si>
  <si>
    <t>Crit%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</si>
  <si>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</si>
  <si>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</si>
  <si>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</si>
  <si>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</si>
  <si>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</si>
  <si>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</si>
  <si>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</si>
  <si>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</si>
  <si>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</si>
  <si>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</si>
  <si>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</si>
  <si>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</si>
  <si>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</si>
  <si>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</si>
  <si>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</si>
  <si>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</si>
  <si>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</si>
  <si>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</si>
  <si>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</si>
  <si>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</si>
  <si>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</si>
  <si>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</si>
  <si>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</si>
  <si>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</si>
  <si>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</si>
  <si>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</si>
  <si>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</si>
  <si>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</si>
  <si>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</si>
  <si>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</si>
  <si>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</si>
  <si>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</si>
  <si>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</si>
  <si>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</si>
  <si>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</si>
  <si>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</si>
  <si>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</si>
  <si>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</si>
  <si>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</si>
  <si>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</si>
  <si>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</si>
  <si>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</si>
  <si>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</si>
  <si>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</si>
  <si>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</si>
  <si>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</si>
  <si>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</si>
  <si>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</si>
  <si>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</si>
  <si>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</si>
  <si>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</si>
  <si>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</si>
  <si>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</si>
  <si>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</si>
  <si>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</si>
  <si>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</si>
  <si>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>Havoc Pistol</t>
  </si>
  <si>
    <t>Doom Pistol</t>
  </si>
  <si>
    <t>Bile Spitter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</si>
  <si>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</si>
  <si>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</si>
  <si>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</si>
  <si>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</si>
  <si>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</si>
  <si>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</si>
  <si>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</si>
  <si>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</si>
  <si>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</si>
  <si>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</si>
  <si>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</si>
  <si>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</si>
  <si>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</si>
  <si>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</si>
  <si>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</si>
  <si>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</si>
  <si>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</si>
  <si>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</si>
  <si>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</si>
  <si>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</si>
  <si>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</si>
  <si>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</si>
  <si>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</si>
  <si>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</si>
  <si>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</si>
  <si>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</si>
  <si>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</si>
  <si>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</si>
  <si>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</si>
  <si>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</si>
  <si>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</si>
  <si>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</si>
  <si>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</si>
  <si>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</si>
  <si>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</si>
  <si>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</si>
  <si>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</si>
  <si>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</si>
  <si>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</si>
  <si>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</si>
  <si>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</si>
  <si>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</si>
  <si>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</si>
  <si>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</si>
  <si>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</si>
  <si>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</si>
  <si>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</si>
  <si>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</si>
  <si>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</si>
  <si>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</si>
  <si>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</si>
  <si>
    <t xml:space="preserve"> +4 DF</t>
  </si>
  <si>
    <t>Power Mace</t>
  </si>
  <si>
    <t>Chainfist</t>
  </si>
  <si>
    <t>Chainaxe</t>
  </si>
  <si>
    <t>Bone Claw</t>
  </si>
  <si>
    <t>Daemon Claw</t>
  </si>
  <si>
    <t>Power Claws (2x1H)</t>
  </si>
  <si>
    <t>Lash of Torment</t>
  </si>
  <si>
    <t>Rend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</si>
</sst>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2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C38" totalsRowShown="0" headerRowDxfId="122" dataDxfId="121" dataCellStyle="Percent">
  <autoFilter ref="B3:AC38"/>
  <tableColumns count="28">
    <tableColumn id="1" name="Name" dataDxfId="120"/>
    <tableColumn id="2" name="Damage" dataDxfId="119"/>
    <tableColumn id="3" name="Attacks" dataDxfId="118"/>
    <tableColumn id="5" name="Note" dataDxfId="117"/>
    <tableColumn id="6" name="Penetration" dataDxfId="116"/>
    <tableColumn id="23" name="Light Weapon    ." dataDxfId="115"/>
    <tableColumn id="24" name="MM      ." dataDxfId="114"/>
    <tableColumn id="4" name="Crit       ." dataDxfId="113"/>
    <tableColumn id="26" name="Weak Spots" dataDxfId="112"/>
    <tableColumn id="25" name="Cone      ." dataDxfId="111"/>
    <tableColumn id="29" name="No Crits     ." dataDxfId="110"/>
    <tableColumn id="32" name="Lethal Wounds    ." dataDxfId="109"/>
    <tableColumn id="27" name="Lethal Weapon    ." dataDxfId="108"/>
    <tableColumn id="7" name="Column2" dataDxfId="107" dataCellStyle="Percent"/>
    <tableColumn id="8" name="Hit%" dataDxfId="106" dataCellStyle="Percent"/>
    <tableColumn id="9" name="Wound%" dataDxfId="105" dataCellStyle="Percent"/>
    <tableColumn id="11" name="Crit%" dataDxfId="104" dataCellStyle="Percent"/>
    <tableColumn id="12" name="WoundsÆ" dataDxfId="103" dataCellStyle="Percent"/>
    <tableColumn id="20" name="% Base" dataDxfId="102" dataCellStyle="Percent"/>
    <tableColumn id="13" name="To Kill" dataDxfId="101" dataCellStyle="Comma"/>
    <tableColumn id="14" name="Column3" dataDxfId="100" dataCellStyle="Percent"/>
    <tableColumn id="15" name="Hit %" dataDxfId="99" dataCellStyle="Percent"/>
    <tableColumn id="16" name="Wound %" dataDxfId="98" dataCellStyle="Percent"/>
    <tableColumn id="18" name="Crit %" dataDxfId="97" dataCellStyle="Percent"/>
    <tableColumn id="19" name="WoundÆ" dataDxfId="96" dataCellStyle="Percent"/>
    <tableColumn id="21" name="% Base2" dataDxfId="95" dataCellStyle="Percent"/>
    <tableColumn id="22" name="To Kill2" dataDxfId="94" dataCellStyle="Percent"/>
    <tableColumn id="10" name="Combo" dataDxfId="9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3:AD39" totalsRowShown="0" headerRowDxfId="92" dataDxfId="91" dataCellStyle="Percent">
  <autoFilter ref="B3:AD39"/>
  <tableColumns count="29">
    <tableColumn id="1" name="Name" dataDxfId="90"/>
    <tableColumn id="2" name="Damage" dataDxfId="89"/>
    <tableColumn id="3" name="Attacks" dataDxfId="88"/>
    <tableColumn id="5" name="Note" dataDxfId="87"/>
    <tableColumn id="6" name="Penetration" dataDxfId="86"/>
    <tableColumn id="23" name="Light Weapon    ." dataDxfId="85"/>
    <tableColumn id="24" name="MM      ." dataDxfId="84"/>
    <tableColumn id="4" name="Crit       ." dataDxfId="83"/>
    <tableColumn id="26" name="Weak Spots" dataDxfId="82"/>
    <tableColumn id="25" name="Cone      ." dataDxfId="81"/>
    <tableColumn id="29" name="No Crits     ." dataDxfId="80"/>
    <tableColumn id="32" name="Lethal Wounds    ." dataDxfId="79"/>
    <tableColumn id="27" name="Lethal Weapon    ." dataDxfId="78"/>
    <tableColumn id="17" name="Rend       ." dataDxfId="77"/>
    <tableColumn id="7" name="Column2" dataDxfId="76" dataCellStyle="Percent"/>
    <tableColumn id="8" name="Hit%" dataDxfId="75" dataCellStyle="Percent"/>
    <tableColumn id="9" name="Wound%" dataDxfId="74" dataCellStyle="Percent"/>
    <tableColumn id="11" name="Crit%" dataDxfId="73" dataCellStyle="Percent"/>
    <tableColumn id="12" name="WoundsÆ" dataDxfId="72" dataCellStyle="Percent"/>
    <tableColumn id="20" name="% Base" dataDxfId="71" dataCellStyle="Percent"/>
    <tableColumn id="13" name="To Kill" dataDxfId="70" dataCellStyle="Comma"/>
    <tableColumn id="14" name="Column3" dataDxfId="69" dataCellStyle="Percent"/>
    <tableColumn id="15" name="Hit %" dataDxfId="68" dataCellStyle="Percent"/>
    <tableColumn id="16" name="Wound %" dataDxfId="67" dataCellStyle="Percent"/>
    <tableColumn id="18" name="Crit %" dataDxfId="66" dataCellStyle="Percent"/>
    <tableColumn id="19" name="WoundÆ" dataDxfId="65" dataCellStyle="Percent"/>
    <tableColumn id="21" name="% Base2" dataDxfId="64" dataCellStyle="Percent"/>
    <tableColumn id="22" name="To Kill2" dataDxfId="63" dataCellStyle="Percent"/>
    <tableColumn id="10" name="Combo" dataDxfId="6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1" dataDxfId="60" dataCellStyle="Percent">
  <autoFilter ref="B3:AE35"/>
  <tableColumns count="30">
    <tableColumn id="1" name="Name" dataDxfId="59"/>
    <tableColumn id="2" name="Damage" dataDxfId="58"/>
    <tableColumn id="3" name="Attacks" dataDxfId="57"/>
    <tableColumn id="5" name="Note" dataDxfId="56"/>
    <tableColumn id="6" name="Penetration" dataDxfId="55"/>
    <tableColumn id="30" name="Light Weapon    ." dataDxfId="54"/>
    <tableColumn id="23" name="MM      ." dataDxfId="53"/>
    <tableColumn id="24" name="Crit       ." dataDxfId="52"/>
    <tableColumn id="26" name="Weak Spots" dataDxfId="51"/>
    <tableColumn id="25" name="Cone      ." dataDxfId="50"/>
    <tableColumn id="29" name="No Crits     ." dataDxfId="49"/>
    <tableColumn id="32" name="2H        ." dataDxfId="48"/>
    <tableColumn id="33" name="Heavy Strikes      ." dataDxfId="47"/>
    <tableColumn id="4" name="Lethal Wounds    ." dataDxfId="46"/>
    <tableColumn id="28" name="Lethal Weapon    ." dataDxfId="45"/>
    <tableColumn id="27" name="Column2" dataDxfId="44"/>
    <tableColumn id="7" name="Hit%" dataDxfId="43" dataCellStyle="Percent">
      <calculatedColumnFormula>($AH$3 )/20</calculatedColumnFormula>
    </tableColumn>
    <tableColumn id="8" name="Wound%" dataDxfId="42" dataCellStyle="Percent">
      <calculatedColumnFormula>(C4/20)*IF($AK$6=1,0.5,1)</calculatedColumnFormula>
    </tableColumn>
    <tableColumn id="9" name="Crit%" dataDxfId="41" dataCellStyle="Percent">
      <calculatedColumnFormula>(IF(( L4="X"),0,($AH$5+I4))/20)</calculatedColumnFormula>
    </tableColumn>
    <tableColumn id="11" name="WoundsÆ" dataDxfId="40">
      <calculatedColumnFormula>1*S4*(R4)*(1+T4)*D4</calculatedColumnFormula>
    </tableColumn>
    <tableColumn id="12" name="% Base" dataDxfId="39" dataCellStyle="Percent">
      <calculatedColumnFormula>U4/$U$25</calculatedColumnFormula>
    </tableColumn>
    <tableColumn id="20" name="To Kill" dataDxfId="38" dataCellStyle="Percent">
      <calculatedColumnFormula>AK9/Table145[[#This Row],[WoundsÆ]]</calculatedColumnFormula>
    </tableColumn>
    <tableColumn id="13" name="Column3" dataDxfId="37"/>
    <tableColumn id="14" name="Hit %" dataDxfId="36" dataCellStyle="Percent">
      <calculatedColumnFormula>($AH$3)/20</calculatedColumnFormula>
    </tableColumn>
    <tableColumn id="15" name="Wound %" dataDxfId="35" dataCellStyle="Percent">
      <calculatedColumnFormula>(C4/20)*IF($AK$6=1,IF(F4="X",1,0.5),1)</calculatedColumnFormula>
    </tableColumn>
    <tableColumn id="16" name="Crit %" dataDxfId="34" dataCellStyle="Percent">
      <calculatedColumnFormula>($AH$5/20)</calculatedColumnFormula>
    </tableColumn>
    <tableColumn id="18" name="WoundÆ" dataDxfId="33">
      <calculatedColumnFormula>1*Z4*(Y4)*(1+AA4)*D4</calculatedColumnFormula>
    </tableColumn>
    <tableColumn id="19" name="% Base2" dataDxfId="32" dataCellStyle="Percent">
      <calculatedColumnFormula>AB4/$AB$25</calculatedColumnFormula>
    </tableColumn>
    <tableColumn id="21" name="To Kill2" dataDxfId="31" dataCellStyle="Percent">
      <calculatedColumnFormula>$AK$9/Table145[[#This Row],[WoundÆ]]</calculatedColumnFormula>
    </tableColumn>
    <tableColumn id="22" name="Combo" dataDxfId="3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6" totalsRowShown="0" headerRowDxfId="29" dataDxfId="28" dataCellStyle="Percent">
  <autoFilter ref="B3:AC36"/>
  <tableColumns count="28">
    <tableColumn id="1" name="Name" dataDxfId="27"/>
    <tableColumn id="2" name="Damage" dataDxfId="26"/>
    <tableColumn id="3" name="Attacks" dataDxfId="25"/>
    <tableColumn id="5" name="Note" dataDxfId="24"/>
    <tableColumn id="6" name="Penetration" dataDxfId="23"/>
    <tableColumn id="30" name="Light Weapon    ." dataDxfId="22"/>
    <tableColumn id="23" name="MM      ." dataDxfId="21"/>
    <tableColumn id="24" name="Crit       ." dataDxfId="20"/>
    <tableColumn id="26" name="Weak Spots" dataDxfId="19"/>
    <tableColumn id="25" name="Cone      ." dataDxfId="18"/>
    <tableColumn id="29" name="No Crits     ." dataDxfId="17"/>
    <tableColumn id="4" name="Lethal Wounds    ." dataDxfId="16"/>
    <tableColumn id="28" name="Lethal Weapon    ." dataDxfId="15"/>
    <tableColumn id="27" name="Column2" dataDxfId="14"/>
    <tableColumn id="7" name="Hit%" dataDxfId="13" dataCellStyle="Percent">
      <calculatedColumnFormula>($AF$3 )/20</calculatedColumnFormula>
    </tableColumn>
    <tableColumn id="8" name="Wound%" dataDxfId="12" dataCellStyle="Percent">
      <calculatedColumnFormula>(C4/20)*IF($AI$6=1,0.5,1)</calculatedColumnFormula>
    </tableColumn>
    <tableColumn id="9" name="Crit%" dataDxfId="11" dataCellStyle="Percent">
      <calculatedColumnFormula>(IF(( L4="X"),0,($AF$5+I4))/20)</calculatedColumnFormula>
    </tableColumn>
    <tableColumn id="11" name="WoundsÆ" dataDxfId="10">
      <calculatedColumnFormula>1*Q4*(P4)*(1+R4)*D4</calculatedColumnFormula>
    </tableColumn>
    <tableColumn id="12" name="% Base" dataDxfId="9" dataCellStyle="Percent">
      <calculatedColumnFormula>S4/$S$26</calculatedColumnFormula>
    </tableColumn>
    <tableColumn id="20" name="To Kill" dataDxfId="8" dataCellStyle="Percent">
      <calculatedColumnFormula>AI10/Table1453[[#This Row],[WoundsÆ]]</calculatedColumnFormula>
    </tableColumn>
    <tableColumn id="13" name="Column3" dataDxfId="7"/>
    <tableColumn id="14" name="Hit %" dataDxfId="6" dataCellStyle="Percent">
      <calculatedColumnFormula>($AF$3)/20</calculatedColumnFormula>
    </tableColumn>
    <tableColumn id="15" name="Wound %" dataDxfId="5" dataCellStyle="Percent">
      <calculatedColumnFormula>(C4/20)*IF($AI$6=1,IF(F4="X",1,0.5),1)</calculatedColumnFormula>
    </tableColumn>
    <tableColumn id="16" name="Crit %" dataDxfId="4" dataCellStyle="Percent">
      <calculatedColumnFormula>($AF$5/20)</calculatedColumnFormula>
    </tableColumn>
    <tableColumn id="18" name="WoundÆ" dataDxfId="3">
      <calculatedColumnFormula>1*X4*(W4)*(1+Y4)*D4</calculatedColumnFormula>
    </tableColumn>
    <tableColumn id="19" name="% Base2" dataDxfId="2" dataCellStyle="Percent">
      <calculatedColumnFormula>Z4/$Z$26</calculatedColumnFormula>
    </tableColumn>
    <tableColumn id="21" name="To Kill2" dataDxfId="1" dataCellStyle="Percent">
      <calculatedColumnFormula>$AI$10/Table1453[[#This Row],[WoundÆ]]</calculatedColumnFormula>
    </tableColumn>
    <tableColumn id="22" name="Combo" dataDxfId="0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workbookViewId="0">
      <selection activeCell="C6" sqref="C6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5"/>
      <c r="AB2" s="25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5">
        <f>1*Q4*P4*(1+R4)*D4 + IF(N4="X",D4*P4*0.25,0) + IF(M4="X",D4*P4*Q4*0.5,0)</f>
        <v>0.55000000000000004</v>
      </c>
      <c r="T4" s="3">
        <f>S4/$S$4</f>
        <v>1</v>
      </c>
      <c r="U4" s="7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5">
        <f>IF(G4="X",0,1*X4*W4*(1+Y4)*D4) * IF($AI$13=1,IF(F4="X",1,0.5),1) + IF(N4="X",D4*P4*0.25,0)</f>
        <v>0.27500000000000002</v>
      </c>
      <c r="AA4" s="3">
        <f>Z4/$Z$4</f>
        <v>1</v>
      </c>
      <c r="AB4" s="7">
        <f>$AI$9/Z4/2</f>
        <v>7.2727272727272725</v>
      </c>
      <c r="AC4" s="3">
        <f>(T4+AA4)/2</f>
        <v>1</v>
      </c>
      <c r="AD4" s="3"/>
      <c r="AE4" t="s">
        <v>85</v>
      </c>
      <c r="AF4">
        <v>10</v>
      </c>
      <c r="AH4" t="s">
        <v>85</v>
      </c>
      <c r="AI4">
        <v>10</v>
      </c>
    </row>
    <row r="5" spans="2:35" x14ac:dyDescent="0.25">
      <c r="B5" s="1" t="s">
        <v>13</v>
      </c>
      <c r="C5" s="1">
        <v>10</v>
      </c>
      <c r="D5" s="1">
        <v>2</v>
      </c>
      <c r="E5" s="1" t="s">
        <v>88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</v>
      </c>
      <c r="U5" s="7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5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7">
        <f t="shared" ref="AB5:AB16" si="7">$AI$9/Z5/2</f>
        <v>7.2727272727272725</v>
      </c>
      <c r="AC5" s="3">
        <f t="shared" ref="AC5:AC35" si="8">(T5+AA5)/2</f>
        <v>1</v>
      </c>
      <c r="AD5" s="3"/>
      <c r="AE5" t="s">
        <v>18</v>
      </c>
      <c r="AF5">
        <v>2</v>
      </c>
      <c r="AH5" t="s">
        <v>86</v>
      </c>
      <c r="AI5">
        <v>10</v>
      </c>
    </row>
    <row r="6" spans="2:35" x14ac:dyDescent="0.25">
      <c r="B6" s="1" t="s">
        <v>50</v>
      </c>
      <c r="C6" s="1">
        <v>10</v>
      </c>
      <c r="D6" s="1">
        <v>3</v>
      </c>
      <c r="E6" s="1"/>
      <c r="F6" s="1"/>
      <c r="G6" s="1" t="s">
        <v>59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5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7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5">
        <f t="shared" si="6"/>
        <v>0</v>
      </c>
      <c r="AA6" s="3">
        <f t="shared" ref="AA6:AA8" si="11">Z6/$Z$4</f>
        <v>0</v>
      </c>
      <c r="AB6" s="7" t="e">
        <f t="shared" si="7"/>
        <v>#DIV/0!</v>
      </c>
      <c r="AC6" s="3">
        <f t="shared" si="8"/>
        <v>0.75</v>
      </c>
      <c r="AD6" s="3"/>
      <c r="AH6" t="s">
        <v>87</v>
      </c>
      <c r="AI6">
        <v>0</v>
      </c>
    </row>
    <row r="7" spans="2:35" x14ac:dyDescent="0.25">
      <c r="B7" s="1" t="s">
        <v>14</v>
      </c>
      <c r="C7" s="1">
        <v>10</v>
      </c>
      <c r="D7" s="1">
        <v>2</v>
      </c>
      <c r="E7" s="1"/>
      <c r="F7" s="1" t="s">
        <v>59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5">
        <f t="shared" si="9"/>
        <v>0.55000000000000004</v>
      </c>
      <c r="T7" s="3">
        <f t="shared" si="10"/>
        <v>1</v>
      </c>
      <c r="U7" s="7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5">
        <f t="shared" si="6"/>
        <v>0.55000000000000004</v>
      </c>
      <c r="AA7" s="3">
        <f t="shared" si="11"/>
        <v>2</v>
      </c>
      <c r="AB7" s="7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15</v>
      </c>
      <c r="C8" s="1">
        <v>10</v>
      </c>
      <c r="D8" s="1">
        <v>2</v>
      </c>
      <c r="E8" s="1" t="s">
        <v>110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5">
        <f t="shared" si="9"/>
        <v>0.55000000000000004</v>
      </c>
      <c r="T8" s="3">
        <f t="shared" si="10"/>
        <v>1</v>
      </c>
      <c r="U8" s="7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5">
        <f t="shared" si="6"/>
        <v>0.27500000000000002</v>
      </c>
      <c r="AA8" s="3">
        <f t="shared" si="11"/>
        <v>1</v>
      </c>
      <c r="AB8" s="7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16</v>
      </c>
      <c r="C9" s="1">
        <v>15</v>
      </c>
      <c r="D9" s="1">
        <v>1.5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0.75</v>
      </c>
      <c r="R9" s="3">
        <f t="shared" si="2"/>
        <v>0.1</v>
      </c>
      <c r="S9" s="5">
        <f t="shared" ref="S9:S10" si="12">1*Q9*P9*(1+R9)*D9 + IF(N9="X",D9*P9*0.25,0) + IF(M9="X",D9*P9*Q9*0.5,0)</f>
        <v>0.61875000000000002</v>
      </c>
      <c r="T9" s="3">
        <f t="shared" ref="T9:T10" si="13">S9/$S$4</f>
        <v>1.125</v>
      </c>
      <c r="U9" s="7">
        <f t="shared" si="3"/>
        <v>3.2323232323232323</v>
      </c>
      <c r="V9" s="4"/>
      <c r="W9" s="3">
        <f t="shared" si="4"/>
        <v>0.5</v>
      </c>
      <c r="X9" s="3">
        <f t="shared" ref="X9:X10" si="14">(C9/20)*IF($AJ$13=1,IF(F9="X",1,0.5),1)</f>
        <v>0.75</v>
      </c>
      <c r="Y9" s="3">
        <f t="shared" si="5"/>
        <v>0.1</v>
      </c>
      <c r="Z9" s="5">
        <f t="shared" si="6"/>
        <v>0.30937500000000001</v>
      </c>
      <c r="AA9" s="3">
        <f t="shared" ref="AA9:AA10" si="15">Z9/$Z$4</f>
        <v>1.125</v>
      </c>
      <c r="AB9" s="7">
        <f t="shared" si="7"/>
        <v>6.4646464646464645</v>
      </c>
      <c r="AC9" s="3">
        <f t="shared" si="8"/>
        <v>1.125</v>
      </c>
      <c r="AD9" s="3"/>
      <c r="AH9" t="s">
        <v>47</v>
      </c>
      <c r="AI9">
        <v>4</v>
      </c>
    </row>
    <row r="10" spans="2:35" x14ac:dyDescent="0.25">
      <c r="B10" s="1" t="s">
        <v>71</v>
      </c>
      <c r="C10" s="1">
        <v>15</v>
      </c>
      <c r="D10" s="1">
        <v>3</v>
      </c>
      <c r="E10" s="1"/>
      <c r="F10" s="1" t="s">
        <v>59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5">
        <f t="shared" si="12"/>
        <v>1.2375</v>
      </c>
      <c r="T10" s="3">
        <f t="shared" si="13"/>
        <v>2.25</v>
      </c>
      <c r="U10" s="7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5">
        <f t="shared" si="6"/>
        <v>1.2375</v>
      </c>
      <c r="AA10" s="3">
        <f t="shared" si="15"/>
        <v>4.5</v>
      </c>
      <c r="AB10" s="7">
        <f t="shared" si="7"/>
        <v>1.6161616161616161</v>
      </c>
      <c r="AC10" s="3">
        <f t="shared" si="8"/>
        <v>3.375</v>
      </c>
      <c r="AD10" s="17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5"/>
      <c r="T11" s="3"/>
      <c r="U11" s="7"/>
      <c r="V11" s="4"/>
      <c r="W11" s="3"/>
      <c r="X11" s="3"/>
      <c r="Y11" s="3"/>
      <c r="Z11" s="5"/>
      <c r="AA11" s="3"/>
      <c r="AB11" s="7"/>
      <c r="AC11" s="3"/>
      <c r="AD11" s="17"/>
      <c r="AH11" t="s">
        <v>85</v>
      </c>
      <c r="AI11">
        <v>10</v>
      </c>
    </row>
    <row r="12" spans="2:35" ht="14.25" customHeight="1" x14ac:dyDescent="0.25">
      <c r="B12" s="1" t="s">
        <v>21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5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7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5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7">
        <f t="shared" si="7"/>
        <v>6.6666666666666661</v>
      </c>
      <c r="AC12" s="3">
        <f t="shared" si="8"/>
        <v>1</v>
      </c>
      <c r="AD12" s="17"/>
      <c r="AH12" t="s">
        <v>86</v>
      </c>
      <c r="AI12">
        <v>10</v>
      </c>
    </row>
    <row r="13" spans="2:35" ht="14.25" customHeight="1" x14ac:dyDescent="0.25">
      <c r="B13" s="1" t="s">
        <v>37</v>
      </c>
      <c r="C13" s="2">
        <v>7</v>
      </c>
      <c r="D13" s="1">
        <v>2</v>
      </c>
      <c r="E13" s="1" t="s">
        <v>61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5">
        <f t="shared" si="16"/>
        <v>0.55000000000000004</v>
      </c>
      <c r="T13" s="3">
        <f t="shared" ref="T13:T16" si="19">S13/$S$12</f>
        <v>0.91666666666666663</v>
      </c>
      <c r="U13" s="7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5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7">
        <f t="shared" si="7"/>
        <v>3.6363636363636362</v>
      </c>
      <c r="AC13" s="3">
        <f t="shared" si="8"/>
        <v>1.375</v>
      </c>
      <c r="AD13" s="17"/>
      <c r="AH13" t="s">
        <v>87</v>
      </c>
      <c r="AI13">
        <v>1</v>
      </c>
    </row>
    <row r="14" spans="2:35" ht="14.25" customHeight="1" x14ac:dyDescent="0.25">
      <c r="B14" s="1" t="s">
        <v>58</v>
      </c>
      <c r="C14" s="2">
        <v>8</v>
      </c>
      <c r="D14" s="1">
        <v>2</v>
      </c>
      <c r="E14" s="1" t="s">
        <v>52</v>
      </c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5">
        <f t="shared" si="16"/>
        <v>0.60000000000000009</v>
      </c>
      <c r="T14" s="3">
        <f t="shared" si="19"/>
        <v>1</v>
      </c>
      <c r="U14" s="7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5">
        <f t="shared" si="22"/>
        <v>0.60000000000000009</v>
      </c>
      <c r="AA14" s="3">
        <f t="shared" si="23"/>
        <v>2</v>
      </c>
      <c r="AB14" s="7">
        <f t="shared" si="7"/>
        <v>3.333333333333333</v>
      </c>
      <c r="AC14" s="3">
        <f t="shared" si="8"/>
        <v>1.5</v>
      </c>
      <c r="AD14" s="17"/>
    </row>
    <row r="15" spans="2:35" ht="14.25" customHeight="1" x14ac:dyDescent="0.25">
      <c r="B15" s="1" t="s">
        <v>22</v>
      </c>
      <c r="C15" s="2">
        <v>8</v>
      </c>
      <c r="D15" s="1">
        <v>4</v>
      </c>
      <c r="E15" s="1" t="s">
        <v>54</v>
      </c>
      <c r="F15" s="1"/>
      <c r="G15" s="1"/>
      <c r="H15" s="1"/>
      <c r="I15" s="1"/>
      <c r="J15" s="1"/>
      <c r="K15" s="1"/>
      <c r="L15" s="1" t="s">
        <v>59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5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7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5">
        <f t="shared" si="22"/>
        <v>0.4</v>
      </c>
      <c r="AA15" s="3">
        <f t="shared" si="23"/>
        <v>1.3333333333333333</v>
      </c>
      <c r="AB15" s="7">
        <f t="shared" si="7"/>
        <v>5</v>
      </c>
      <c r="AC15" s="3">
        <f t="shared" si="8"/>
        <v>1.3333333333333333</v>
      </c>
      <c r="AD15" s="17"/>
    </row>
    <row r="16" spans="2:35" ht="14.25" customHeight="1" x14ac:dyDescent="0.25">
      <c r="B16" s="1" t="s">
        <v>23</v>
      </c>
      <c r="C16" s="2">
        <v>6</v>
      </c>
      <c r="D16" s="1">
        <v>2</v>
      </c>
      <c r="E16" s="1" t="s">
        <v>38</v>
      </c>
      <c r="F16" s="1"/>
      <c r="G16" s="1"/>
      <c r="H16" s="1"/>
      <c r="I16" s="1"/>
      <c r="J16" s="1"/>
      <c r="K16" s="1" t="s">
        <v>59</v>
      </c>
      <c r="L16" s="1" t="s">
        <v>59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5">
        <f t="shared" si="24"/>
        <v>0.6</v>
      </c>
      <c r="T16" s="3">
        <f t="shared" si="19"/>
        <v>0.99999999999999978</v>
      </c>
      <c r="U16" s="7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5">
        <f t="shared" si="22"/>
        <v>0.3</v>
      </c>
      <c r="AA16" s="3">
        <f t="shared" si="23"/>
        <v>0.99999999999999978</v>
      </c>
      <c r="AB16" s="7">
        <f t="shared" si="7"/>
        <v>6.666666666666667</v>
      </c>
      <c r="AC16" s="3">
        <f t="shared" si="8"/>
        <v>0.99999999999999978</v>
      </c>
      <c r="AD16" s="17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5"/>
      <c r="T17" s="3"/>
      <c r="U17" s="7"/>
      <c r="V17" s="4"/>
      <c r="W17" s="3"/>
      <c r="X17" s="3"/>
      <c r="Y17" s="3"/>
      <c r="Z17" s="5"/>
      <c r="AA17" s="3"/>
      <c r="AB17" s="18"/>
      <c r="AC17" s="3"/>
      <c r="AD17" s="17"/>
    </row>
    <row r="18" spans="2:30" ht="14.25" customHeight="1" x14ac:dyDescent="0.25">
      <c r="B18" s="1" t="s">
        <v>24</v>
      </c>
      <c r="C18" s="2">
        <v>10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5">
        <f t="shared" si="24"/>
        <v>1.05</v>
      </c>
      <c r="T18" s="3">
        <f>S18/$S$18</f>
        <v>1</v>
      </c>
      <c r="U18" s="7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5">
        <f t="shared" si="22"/>
        <v>0.52500000000000002</v>
      </c>
      <c r="AA18" s="3">
        <f t="shared" si="23"/>
        <v>1.7499999999999998</v>
      </c>
      <c r="AB18" s="18">
        <f>$AI$9/Z18</f>
        <v>7.6190476190476186</v>
      </c>
      <c r="AC18" s="3">
        <f t="shared" si="8"/>
        <v>1.375</v>
      </c>
      <c r="AD18" s="17"/>
    </row>
    <row r="19" spans="2:30" ht="14.25" customHeight="1" x14ac:dyDescent="0.25">
      <c r="B19" s="1" t="s">
        <v>25</v>
      </c>
      <c r="C19" s="2">
        <v>8</v>
      </c>
      <c r="D19" s="1">
        <v>3</v>
      </c>
      <c r="E19" s="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5">
        <f t="shared" si="24"/>
        <v>0.90000000000000013</v>
      </c>
      <c r="T19" s="3">
        <f t="shared" ref="T19:T25" si="25">S19/$S$18</f>
        <v>0.85714285714285721</v>
      </c>
      <c r="U19" s="7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5">
        <f t="shared" si="22"/>
        <v>0.45000000000000007</v>
      </c>
      <c r="AA19" s="3">
        <f t="shared" si="23"/>
        <v>1.5</v>
      </c>
      <c r="AB19" s="18">
        <f t="shared" ref="AB19:AB35" si="26">$AI$9/Z19</f>
        <v>8.8888888888888875</v>
      </c>
      <c r="AC19" s="3">
        <f t="shared" si="8"/>
        <v>1.1785714285714286</v>
      </c>
      <c r="AD19" s="17"/>
    </row>
    <row r="20" spans="2:30" ht="14.25" customHeight="1" x14ac:dyDescent="0.25">
      <c r="B20" s="1" t="s">
        <v>26</v>
      </c>
      <c r="C20" s="2">
        <v>8</v>
      </c>
      <c r="D20" s="1">
        <v>3</v>
      </c>
      <c r="E20" s="1"/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5">
        <f t="shared" si="24"/>
        <v>0.90000000000000013</v>
      </c>
      <c r="T20" s="3">
        <f t="shared" si="25"/>
        <v>0.85714285714285721</v>
      </c>
      <c r="U20" s="7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5">
        <f t="shared" si="22"/>
        <v>0.90000000000000013</v>
      </c>
      <c r="AA20" s="3">
        <f t="shared" si="23"/>
        <v>3</v>
      </c>
      <c r="AB20" s="18">
        <f t="shared" si="26"/>
        <v>4.4444444444444438</v>
      </c>
      <c r="AC20" s="3">
        <f t="shared" si="8"/>
        <v>1.9285714285714286</v>
      </c>
      <c r="AD20" s="17"/>
    </row>
    <row r="21" spans="2:30" ht="14.25" customHeight="1" x14ac:dyDescent="0.25">
      <c r="B21" s="1" t="s">
        <v>51</v>
      </c>
      <c r="C21" s="2">
        <v>12</v>
      </c>
      <c r="D21" s="1">
        <v>2</v>
      </c>
      <c r="E21" s="1" t="s">
        <v>52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5">
        <f t="shared" si="24"/>
        <v>0.8</v>
      </c>
      <c r="T21" s="3">
        <f t="shared" si="25"/>
        <v>0.76190476190476186</v>
      </c>
      <c r="U21" s="7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5">
        <f t="shared" si="22"/>
        <v>0.8</v>
      </c>
      <c r="AA21" s="3">
        <f t="shared" si="23"/>
        <v>2.6666666666666665</v>
      </c>
      <c r="AB21" s="18">
        <f t="shared" si="26"/>
        <v>5</v>
      </c>
      <c r="AC21" s="3">
        <f t="shared" si="8"/>
        <v>1.7142857142857142</v>
      </c>
      <c r="AD21" s="17"/>
    </row>
    <row r="22" spans="2:30" ht="14.25" customHeight="1" x14ac:dyDescent="0.25">
      <c r="B22" s="1" t="s">
        <v>27</v>
      </c>
      <c r="C22" s="2">
        <v>10</v>
      </c>
      <c r="D22" s="1">
        <v>2</v>
      </c>
      <c r="E22" s="1" t="s">
        <v>38</v>
      </c>
      <c r="F22" s="1"/>
      <c r="G22" s="1"/>
      <c r="H22" s="1"/>
      <c r="I22" s="1"/>
      <c r="J22" s="1"/>
      <c r="K22" s="1" t="s">
        <v>59</v>
      </c>
      <c r="L22" s="1" t="s">
        <v>59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5">
        <f t="shared" si="24"/>
        <v>1</v>
      </c>
      <c r="T22" s="3">
        <f t="shared" si="25"/>
        <v>0.95238095238095233</v>
      </c>
      <c r="U22" s="7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5">
        <f t="shared" si="22"/>
        <v>0.5</v>
      </c>
      <c r="AA22" s="3">
        <f t="shared" si="23"/>
        <v>1.6666666666666665</v>
      </c>
      <c r="AB22" s="18">
        <f t="shared" si="26"/>
        <v>8</v>
      </c>
      <c r="AC22" s="3">
        <f t="shared" si="8"/>
        <v>1.3095238095238093</v>
      </c>
      <c r="AD22" s="17"/>
    </row>
    <row r="23" spans="2:30" ht="14.25" customHeight="1" x14ac:dyDescent="0.25">
      <c r="B23" s="1" t="s">
        <v>28</v>
      </c>
      <c r="C23" s="2">
        <v>14</v>
      </c>
      <c r="D23" s="1">
        <v>1</v>
      </c>
      <c r="E23" s="1"/>
      <c r="F23" s="1"/>
      <c r="G23" s="1"/>
      <c r="H23" s="1">
        <v>5</v>
      </c>
      <c r="I23" s="1">
        <v>4</v>
      </c>
      <c r="J23" s="1" t="s">
        <v>59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0.7</v>
      </c>
      <c r="R23" s="3">
        <f t="shared" si="2"/>
        <v>0.3</v>
      </c>
      <c r="S23" s="5">
        <f t="shared" si="24"/>
        <v>1.125</v>
      </c>
      <c r="T23" s="3">
        <f t="shared" si="25"/>
        <v>1.0714285714285714</v>
      </c>
      <c r="U23" s="7">
        <f t="shared" si="3"/>
        <v>1.7777777777777777</v>
      </c>
      <c r="V23" s="4"/>
      <c r="W23" s="3">
        <f t="shared" si="20"/>
        <v>0.75</v>
      </c>
      <c r="X23" s="3">
        <f t="shared" si="21"/>
        <v>0.7</v>
      </c>
      <c r="Y23" s="3">
        <f t="shared" si="5"/>
        <v>0.3</v>
      </c>
      <c r="Z23" s="5">
        <f t="shared" si="22"/>
        <v>0.5625</v>
      </c>
      <c r="AA23" s="3">
        <f t="shared" si="23"/>
        <v>1.8749999999999998</v>
      </c>
      <c r="AB23" s="18">
        <f t="shared" si="26"/>
        <v>7.1111111111111107</v>
      </c>
      <c r="AC23" s="3">
        <f t="shared" si="8"/>
        <v>1.4732142857142856</v>
      </c>
      <c r="AD23" s="17"/>
    </row>
    <row r="24" spans="2:30" ht="14.25" customHeight="1" x14ac:dyDescent="0.25">
      <c r="B24" s="1" t="s">
        <v>29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5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7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5">
        <f t="shared" si="22"/>
        <v>0.875</v>
      </c>
      <c r="AA24" s="3">
        <f t="shared" si="23"/>
        <v>2.9166666666666661</v>
      </c>
      <c r="AB24" s="18">
        <f t="shared" si="26"/>
        <v>4.5714285714285712</v>
      </c>
      <c r="AC24" s="3">
        <f t="shared" si="8"/>
        <v>2.2916666666666661</v>
      </c>
      <c r="AD24" s="17"/>
    </row>
    <row r="25" spans="2:30" ht="14.25" customHeight="1" x14ac:dyDescent="0.25">
      <c r="B25" s="1" t="s">
        <v>30</v>
      </c>
      <c r="C25" s="2">
        <v>8</v>
      </c>
      <c r="D25" s="1">
        <v>6</v>
      </c>
      <c r="E25" s="1" t="s">
        <v>54</v>
      </c>
      <c r="F25" s="1"/>
      <c r="G25" s="1"/>
      <c r="H25" s="1"/>
      <c r="I25" s="1"/>
      <c r="J25" s="1"/>
      <c r="K25" s="1"/>
      <c r="L25" s="1" t="s">
        <v>59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5">
        <f t="shared" si="27"/>
        <v>1.2000000000000002</v>
      </c>
      <c r="T25" s="3">
        <f t="shared" si="25"/>
        <v>1.142857142857143</v>
      </c>
      <c r="U25" s="7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5">
        <f t="shared" si="22"/>
        <v>0.60000000000000009</v>
      </c>
      <c r="AA25" s="3">
        <f t="shared" si="23"/>
        <v>2</v>
      </c>
      <c r="AB25" s="18">
        <f t="shared" si="26"/>
        <v>6.6666666666666661</v>
      </c>
      <c r="AC25" s="3">
        <f t="shared" si="8"/>
        <v>1.5714285714285716</v>
      </c>
      <c r="AD25" s="17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5"/>
      <c r="T26" s="3"/>
      <c r="U26" s="7"/>
      <c r="V26" s="4"/>
      <c r="W26" s="3"/>
      <c r="X26" s="3"/>
      <c r="Y26" s="3"/>
      <c r="Z26" s="5"/>
      <c r="AA26" s="3"/>
      <c r="AB26" s="18"/>
      <c r="AC26" s="3"/>
      <c r="AD26" s="17"/>
    </row>
    <row r="27" spans="2:30" ht="14.25" customHeight="1" x14ac:dyDescent="0.25">
      <c r="B27" s="1" t="s">
        <v>31</v>
      </c>
      <c r="C27" s="2">
        <v>12</v>
      </c>
      <c r="D27" s="1">
        <v>4</v>
      </c>
      <c r="E27" s="1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5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7">
        <f t="shared" ref="U27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5">
        <f t="shared" si="22"/>
        <v>0.8</v>
      </c>
      <c r="AA27" s="3">
        <f>Z27/$Z$27</f>
        <v>1</v>
      </c>
      <c r="AB27" s="18">
        <f t="shared" si="26"/>
        <v>5</v>
      </c>
      <c r="AC27" s="3">
        <f t="shared" si="8"/>
        <v>1</v>
      </c>
      <c r="AD27" s="17"/>
    </row>
    <row r="28" spans="2:30" ht="14.25" customHeight="1" x14ac:dyDescent="0.25">
      <c r="B28" s="1" t="s">
        <v>32</v>
      </c>
      <c r="C28" s="2">
        <v>12</v>
      </c>
      <c r="D28" s="1">
        <v>2</v>
      </c>
      <c r="E28" s="1" t="s">
        <v>56</v>
      </c>
      <c r="F28" s="1"/>
      <c r="G28" s="1"/>
      <c r="H28" s="1"/>
      <c r="I28" s="1"/>
      <c r="J28" s="1"/>
      <c r="K28" s="1" t="s">
        <v>59</v>
      </c>
      <c r="L28" s="1" t="s">
        <v>59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5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7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5">
        <f t="shared" si="22"/>
        <v>0.6</v>
      </c>
      <c r="AA28" s="3">
        <f t="shared" ref="AA28:AA35" si="32">Z28/$Z$27</f>
        <v>0.74999999999999989</v>
      </c>
      <c r="AB28" s="18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5">
        <f t="shared" si="29"/>
        <v>1.3499999999999999</v>
      </c>
      <c r="T29" s="3">
        <f t="shared" si="30"/>
        <v>0.84374999999999989</v>
      </c>
      <c r="U29" s="7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5">
        <f t="shared" si="22"/>
        <v>1.3499999999999999</v>
      </c>
      <c r="AA29" s="3">
        <f t="shared" si="32"/>
        <v>1.6874999999999998</v>
      </c>
      <c r="AB29" s="18">
        <f t="shared" si="26"/>
        <v>2.9629629629629632</v>
      </c>
      <c r="AC29" s="3">
        <f t="shared" si="8"/>
        <v>1.2656249999999998</v>
      </c>
      <c r="AD29" s="17"/>
    </row>
    <row r="30" spans="2:30" ht="14.25" customHeight="1" x14ac:dyDescent="0.25">
      <c r="B30" s="1" t="s">
        <v>34</v>
      </c>
      <c r="C30" s="2">
        <v>10</v>
      </c>
      <c r="D30" s="1">
        <v>2</v>
      </c>
      <c r="E30" s="1" t="s">
        <v>57</v>
      </c>
      <c r="F30" s="1"/>
      <c r="G30" s="1"/>
      <c r="H30" s="1"/>
      <c r="I30" s="1"/>
      <c r="J30" s="1"/>
      <c r="K30" s="1" t="s">
        <v>59</v>
      </c>
      <c r="L30" s="1" t="s">
        <v>59</v>
      </c>
      <c r="M30" s="1"/>
      <c r="N30" s="1"/>
      <c r="O30" s="1"/>
      <c r="P30" s="3">
        <f t="shared" si="17"/>
        <v>1</v>
      </c>
      <c r="Q30" s="3">
        <f t="shared" si="18"/>
        <v>0.5</v>
      </c>
      <c r="R30" s="3">
        <f t="shared" si="2"/>
        <v>0</v>
      </c>
      <c r="S30" s="5">
        <f t="shared" si="29"/>
        <v>1</v>
      </c>
      <c r="T30" s="3">
        <f t="shared" si="30"/>
        <v>0.625</v>
      </c>
      <c r="U30" s="7">
        <f t="shared" si="31"/>
        <v>4</v>
      </c>
      <c r="V30" s="4"/>
      <c r="W30" s="3">
        <f t="shared" si="20"/>
        <v>1</v>
      </c>
      <c r="X30" s="3">
        <f t="shared" si="21"/>
        <v>0.5</v>
      </c>
      <c r="Y30" s="3">
        <f t="shared" si="5"/>
        <v>0</v>
      </c>
      <c r="Z30" s="5">
        <f t="shared" si="22"/>
        <v>0.5</v>
      </c>
      <c r="AA30" s="3">
        <f t="shared" si="32"/>
        <v>0.625</v>
      </c>
      <c r="AB30" s="18">
        <f t="shared" si="26"/>
        <v>8</v>
      </c>
      <c r="AC30" s="3">
        <f t="shared" si="8"/>
        <v>0.625</v>
      </c>
      <c r="AD30" s="3"/>
    </row>
    <row r="31" spans="2:30" ht="14.25" customHeight="1" x14ac:dyDescent="0.25">
      <c r="B31" s="1" t="s">
        <v>70</v>
      </c>
      <c r="C31" s="2">
        <v>8</v>
      </c>
      <c r="D31" s="1">
        <v>3</v>
      </c>
      <c r="E31" s="1" t="s">
        <v>57</v>
      </c>
      <c r="F31" s="1"/>
      <c r="G31" s="1"/>
      <c r="H31" s="1"/>
      <c r="I31" s="1"/>
      <c r="J31" s="1"/>
      <c r="K31" s="1" t="s">
        <v>59</v>
      </c>
      <c r="L31" s="1" t="s">
        <v>59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5">
        <f t="shared" si="29"/>
        <v>1.2000000000000002</v>
      </c>
      <c r="T31" s="3">
        <f t="shared" si="30"/>
        <v>0.75000000000000011</v>
      </c>
      <c r="U31" s="7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5">
        <f t="shared" si="22"/>
        <v>0.60000000000000009</v>
      </c>
      <c r="AA31" s="3">
        <f t="shared" si="32"/>
        <v>0.75000000000000011</v>
      </c>
      <c r="AB31" s="18">
        <f t="shared" si="26"/>
        <v>6.6666666666666661</v>
      </c>
      <c r="AC31" s="3">
        <f t="shared" si="8"/>
        <v>0.75000000000000011</v>
      </c>
      <c r="AD31" s="17"/>
    </row>
    <row r="32" spans="2:30" ht="15.75" x14ac:dyDescent="0.25">
      <c r="B32" s="1" t="s">
        <v>36</v>
      </c>
      <c r="C32" s="2">
        <v>8</v>
      </c>
      <c r="D32" s="1">
        <v>5</v>
      </c>
      <c r="E32" s="1" t="s">
        <v>61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5">
        <f t="shared" si="29"/>
        <v>1.5</v>
      </c>
      <c r="T32" s="3">
        <f t="shared" si="30"/>
        <v>0.9375</v>
      </c>
      <c r="U32" s="7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5">
        <f t="shared" si="22"/>
        <v>0.75</v>
      </c>
      <c r="AA32" s="3">
        <f t="shared" si="32"/>
        <v>0.9375</v>
      </c>
      <c r="AB32" s="18">
        <f t="shared" si="26"/>
        <v>5.333333333333333</v>
      </c>
      <c r="AC32" s="3">
        <f t="shared" si="8"/>
        <v>0.9375</v>
      </c>
      <c r="AD32" s="17"/>
    </row>
    <row r="33" spans="1:30" ht="15.75" x14ac:dyDescent="0.25">
      <c r="A33" s="13"/>
      <c r="B33" s="1" t="s">
        <v>72</v>
      </c>
      <c r="C33" s="2">
        <v>10</v>
      </c>
      <c r="D33" s="1">
        <v>7</v>
      </c>
      <c r="E33" s="1" t="s">
        <v>54</v>
      </c>
      <c r="F33" s="1"/>
      <c r="G33" s="1"/>
      <c r="H33" s="1"/>
      <c r="I33" s="1"/>
      <c r="J33" s="1"/>
      <c r="K33" s="1"/>
      <c r="L33" s="1" t="s">
        <v>59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5">
        <f t="shared" si="29"/>
        <v>1.75</v>
      </c>
      <c r="T33" s="3">
        <f t="shared" si="30"/>
        <v>1.09375</v>
      </c>
      <c r="U33" s="7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5">
        <f t="shared" si="22"/>
        <v>0.875</v>
      </c>
      <c r="AA33" s="3">
        <f t="shared" si="32"/>
        <v>1.09375</v>
      </c>
      <c r="AB33" s="18">
        <f t="shared" si="26"/>
        <v>4.5714285714285712</v>
      </c>
      <c r="AC33" s="3">
        <f t="shared" si="8"/>
        <v>1.09375</v>
      </c>
      <c r="AD33" s="17"/>
    </row>
    <row r="34" spans="1:30" ht="15.75" x14ac:dyDescent="0.25">
      <c r="A34" s="13"/>
      <c r="B34" s="8" t="s">
        <v>73</v>
      </c>
      <c r="C34" s="9">
        <v>12</v>
      </c>
      <c r="D34" s="8">
        <v>4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5">
        <f t="shared" si="29"/>
        <v>1.6</v>
      </c>
      <c r="T34" s="3">
        <f t="shared" si="30"/>
        <v>1</v>
      </c>
      <c r="U34" s="7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5">
        <f t="shared" si="22"/>
        <v>0.8</v>
      </c>
      <c r="AA34" s="3">
        <f t="shared" si="32"/>
        <v>1</v>
      </c>
      <c r="AB34" s="18">
        <f t="shared" si="26"/>
        <v>5</v>
      </c>
      <c r="AC34" s="3">
        <f t="shared" si="8"/>
        <v>1</v>
      </c>
      <c r="AD34" s="17"/>
    </row>
    <row r="35" spans="1:30" ht="15.75" x14ac:dyDescent="0.25">
      <c r="A35" s="13"/>
      <c r="B35" s="8" t="s">
        <v>35</v>
      </c>
      <c r="C35" s="9">
        <v>8</v>
      </c>
      <c r="D35" s="8">
        <v>3</v>
      </c>
      <c r="E35" s="8" t="s">
        <v>57</v>
      </c>
      <c r="F35" s="8"/>
      <c r="G35" s="8"/>
      <c r="H35" s="8"/>
      <c r="I35" s="8"/>
      <c r="J35" s="8"/>
      <c r="K35" s="8" t="s">
        <v>59</v>
      </c>
      <c r="L35" s="8" t="s">
        <v>59</v>
      </c>
      <c r="M35" s="8"/>
      <c r="N35" s="8"/>
      <c r="O35" s="8"/>
      <c r="P35" s="3">
        <f t="shared" si="17"/>
        <v>1</v>
      </c>
      <c r="Q35" s="3">
        <f t="shared" si="18"/>
        <v>0.4</v>
      </c>
      <c r="R35" s="3">
        <f t="shared" si="2"/>
        <v>0</v>
      </c>
      <c r="S35" s="5">
        <f t="shared" si="29"/>
        <v>1.2000000000000002</v>
      </c>
      <c r="T35" s="3">
        <f t="shared" si="30"/>
        <v>0.75000000000000011</v>
      </c>
      <c r="U35" s="7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5">
        <f t="shared" si="22"/>
        <v>0.60000000000000009</v>
      </c>
      <c r="AA35" s="3">
        <f t="shared" si="32"/>
        <v>0.75000000000000011</v>
      </c>
      <c r="AB35" s="18">
        <f t="shared" si="26"/>
        <v>6.6666666666666661</v>
      </c>
      <c r="AC35" s="3">
        <f t="shared" si="8"/>
        <v>0.75000000000000011</v>
      </c>
      <c r="AD35" s="17"/>
    </row>
    <row r="36" spans="1:30" ht="15.75" x14ac:dyDescent="0.25">
      <c r="A36" s="13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/>
      <c r="Q36" s="3"/>
      <c r="R36" s="3"/>
      <c r="S36" s="5"/>
      <c r="T36" s="3"/>
      <c r="U36" s="7"/>
      <c r="V36" s="4"/>
      <c r="W36" s="3"/>
      <c r="X36" s="3"/>
      <c r="Y36" s="3"/>
      <c r="Z36" s="5"/>
      <c r="AA36" s="3"/>
      <c r="AB36" s="18"/>
      <c r="AC36" s="3"/>
      <c r="AD36" s="17"/>
    </row>
    <row r="37" spans="1:30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3"/>
      <c r="AD37" s="17"/>
    </row>
    <row r="38" spans="1:30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3"/>
      <c r="AD38" s="17"/>
    </row>
    <row r="39" spans="1:30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7"/>
    </row>
    <row r="40" spans="1:30" ht="15.75" x14ac:dyDescent="0.25">
      <c r="A40" s="13"/>
      <c r="B40" s="8"/>
      <c r="C40" s="9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5"/>
      <c r="T40" s="3"/>
      <c r="U40" s="17"/>
      <c r="V40" s="4"/>
      <c r="W40" s="3"/>
      <c r="X40" s="3"/>
      <c r="Y40" s="3"/>
      <c r="Z40" s="5"/>
      <c r="AA40" s="3"/>
      <c r="AB40" s="18"/>
      <c r="AC40" s="17"/>
      <c r="AD40" s="17"/>
    </row>
    <row r="41" spans="1:30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0"/>
      <c r="Q41" s="10"/>
      <c r="R41" s="10"/>
      <c r="S41" s="10"/>
      <c r="T41" s="11"/>
      <c r="U41" s="12"/>
      <c r="V41" s="10"/>
      <c r="W41" s="10"/>
      <c r="X41" s="10"/>
      <c r="Y41" s="10"/>
      <c r="Z41" s="10"/>
      <c r="AA41" s="11"/>
      <c r="AB41" s="10"/>
      <c r="AC41" s="14"/>
      <c r="AD41" s="14"/>
    </row>
    <row r="42" spans="1:30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  <c r="AD42" s="14"/>
    </row>
    <row r="43" spans="1:30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  <c r="AD43" s="14"/>
    </row>
    <row r="44" spans="1:30" ht="15.75" x14ac:dyDescent="0.25">
      <c r="A44" s="13"/>
      <c r="B44" s="8"/>
      <c r="C44" s="9"/>
      <c r="D44" s="8"/>
      <c r="E44" s="8"/>
    </row>
    <row r="45" spans="1:30" ht="15.75" x14ac:dyDescent="0.25">
      <c r="A45" s="15"/>
      <c r="B45" s="8"/>
      <c r="C45" s="9"/>
      <c r="D45" s="8"/>
      <c r="E45" s="8"/>
    </row>
    <row r="46" spans="1:30" ht="15.75" x14ac:dyDescent="0.25">
      <c r="A46" s="13"/>
      <c r="B46" s="8"/>
      <c r="C46" s="9"/>
      <c r="D46" s="8"/>
      <c r="E46" s="8"/>
    </row>
    <row r="47" spans="1:30" ht="15.75" x14ac:dyDescent="0.25">
      <c r="A47" s="13"/>
      <c r="B47" s="8"/>
      <c r="C47" s="9"/>
      <c r="D47" s="8"/>
      <c r="E47" s="8"/>
    </row>
    <row r="48" spans="1:30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4"/>
      <c r="B52" s="8"/>
      <c r="C52" s="9"/>
      <c r="D52" s="8"/>
      <c r="E52" s="8"/>
    </row>
    <row r="53" spans="1:5" ht="15.75" customHeight="1" x14ac:dyDescent="0.25">
      <c r="A53" s="13"/>
      <c r="B53" s="8"/>
      <c r="C53" s="9"/>
      <c r="D53" s="8"/>
      <c r="E53" s="8"/>
    </row>
    <row r="54" spans="1:5" ht="15.75" x14ac:dyDescent="0.25">
      <c r="A54" s="13"/>
      <c r="B54" s="16"/>
      <c r="C54" s="9"/>
      <c r="D54" s="8"/>
      <c r="E54" s="8"/>
    </row>
    <row r="55" spans="1:5" ht="15.75" x14ac:dyDescent="0.25">
      <c r="A55" s="13"/>
      <c r="B55" s="8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4"/>
      <c r="B65" s="8"/>
      <c r="C65" s="9"/>
      <c r="D65" s="8"/>
      <c r="E65" s="8"/>
    </row>
    <row r="66" spans="1:5" ht="15.75" x14ac:dyDescent="0.25">
      <c r="B66" s="8"/>
      <c r="C66" s="9"/>
      <c r="D66" s="8"/>
      <c r="E66" s="8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7"/>
  <sheetViews>
    <sheetView tabSelected="1" workbookViewId="0">
      <selection activeCell="AG5" sqref="AG5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5" width="3.42578125" customWidth="1"/>
  </cols>
  <sheetData>
    <row r="2" spans="2:36" x14ac:dyDescent="0.25">
      <c r="B2" s="29" t="s">
        <v>4</v>
      </c>
      <c r="C2" s="29"/>
      <c r="D2" s="29"/>
      <c r="E2" s="29"/>
      <c r="Q2" s="29" t="s">
        <v>5</v>
      </c>
      <c r="R2" s="29"/>
      <c r="S2" s="29"/>
      <c r="T2" s="29"/>
      <c r="X2" s="29" t="s">
        <v>20</v>
      </c>
      <c r="Y2" s="29"/>
      <c r="Z2" s="29"/>
      <c r="AA2" s="29"/>
      <c r="AB2" s="26"/>
      <c r="AC2" s="26"/>
      <c r="AF2" t="s">
        <v>8</v>
      </c>
      <c r="AI2" t="s">
        <v>9</v>
      </c>
    </row>
    <row r="3" spans="2:36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136</v>
      </c>
      <c r="P3" s="6" t="s">
        <v>62</v>
      </c>
      <c r="Q3" s="6" t="s">
        <v>6</v>
      </c>
      <c r="R3" s="6" t="s">
        <v>7</v>
      </c>
      <c r="S3" s="6" t="s">
        <v>17</v>
      </c>
      <c r="T3" s="6" t="s">
        <v>43</v>
      </c>
      <c r="U3" s="6" t="s">
        <v>44</v>
      </c>
      <c r="V3" s="6" t="s">
        <v>48</v>
      </c>
      <c r="W3" s="6" t="s">
        <v>39</v>
      </c>
      <c r="X3" s="6" t="s">
        <v>42</v>
      </c>
      <c r="Y3" s="6" t="s">
        <v>41</v>
      </c>
      <c r="Z3" s="6" t="s">
        <v>40</v>
      </c>
      <c r="AA3" s="6" t="s">
        <v>46</v>
      </c>
      <c r="AB3" s="6" t="s">
        <v>45</v>
      </c>
      <c r="AC3" s="6" t="s">
        <v>49</v>
      </c>
      <c r="AD3" s="6" t="s">
        <v>53</v>
      </c>
      <c r="AE3" s="6"/>
      <c r="AF3" t="s">
        <v>10</v>
      </c>
      <c r="AG3">
        <v>10</v>
      </c>
      <c r="AI3" t="s">
        <v>10</v>
      </c>
      <c r="AJ3">
        <v>4</v>
      </c>
    </row>
    <row r="4" spans="2:36" x14ac:dyDescent="0.25">
      <c r="B4" s="1" t="s">
        <v>12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>
        <f>(10+$AG$4-$AJ$5)/20</f>
        <v>0.5</v>
      </c>
      <c r="R4" s="3">
        <f>(C4/20)*IF($AJ$6=1,IF(F4="X",1,0.5),1)</f>
        <v>0.4</v>
      </c>
      <c r="S4" s="3">
        <f>(IF(( L4="X"),0,($AG$5+I4))/20)</f>
        <v>0.1</v>
      </c>
      <c r="T4" s="5">
        <f>1*R4*Q4*(1+S4)*D4 + IF(N4="X",D4*Q4*0.25,0) + IF(M4="X",D4*Q4*R4*0.5,0) +  2*(O4/20)*Q4*R4</f>
        <v>0.44000000000000006</v>
      </c>
      <c r="U4" s="3">
        <f>T4/$T$4</f>
        <v>1</v>
      </c>
      <c r="V4" s="7">
        <f>$AJ$3/T4/2</f>
        <v>4.545454545454545</v>
      </c>
      <c r="W4" s="4"/>
      <c r="X4" s="3">
        <f>(10+$AG$4-$AJ$5)/20</f>
        <v>0.5</v>
      </c>
      <c r="Y4" s="3">
        <f>(C4/20)</f>
        <v>0.4</v>
      </c>
      <c r="Z4" s="3">
        <f>(IF((OR(K4="X", L4="X")),0,($AG$5+I4))/20)</f>
        <v>0.1</v>
      </c>
      <c r="AA4" s="5">
        <f>IF(G4="X",0,1*Y4*X4*(1+Z4)*D4) * IF($AJ$13=1,IF(F4="X",1,0.5),1) + IF(N4="X",D4*Q4*0.25,0) +  2*(O4/20)*Q4*R4</f>
        <v>0.22000000000000003</v>
      </c>
      <c r="AB4" s="3">
        <f>AA4/$AA$4</f>
        <v>1</v>
      </c>
      <c r="AC4" s="7">
        <f t="shared" ref="AC4:AC12" si="0">$AJ$9/AA4/2</f>
        <v>9.0909090909090899</v>
      </c>
      <c r="AD4" s="3">
        <f>(U4+AB4)/2</f>
        <v>1</v>
      </c>
      <c r="AE4" s="3"/>
      <c r="AF4" t="s">
        <v>85</v>
      </c>
      <c r="AG4">
        <v>10</v>
      </c>
      <c r="AI4" t="s">
        <v>85</v>
      </c>
      <c r="AJ4">
        <v>10</v>
      </c>
    </row>
    <row r="5" spans="2:36" x14ac:dyDescent="0.25">
      <c r="B5" s="1" t="s">
        <v>131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>
        <f t="shared" ref="Q5:Q12" si="1">(10+$AG$4-$AJ$5)/20</f>
        <v>0.5</v>
      </c>
      <c r="R5" s="3">
        <f t="shared" ref="R5:R11" si="2">(C5/20)*IF($AJ$6=1,IF(F5="X",1,0.5),1)</f>
        <v>0.5</v>
      </c>
      <c r="S5" s="3">
        <f t="shared" ref="S5:S11" si="3">(IF(( L5="X"),0,($AG$5+I5))/20)</f>
        <v>0.1</v>
      </c>
      <c r="T5" s="5">
        <f t="shared" ref="T5:T12" si="4">1*R5*Q5*(1+S5)*D5 + IF(N5="X",D5*Q5*0.25,0) + IF(M5="X",D5*Q5*R5*0.5,0) +  2*(O5/20)*Q5*R5</f>
        <v>0.55000000000000004</v>
      </c>
      <c r="U5" s="3">
        <f>T5/$T$4</f>
        <v>1.25</v>
      </c>
      <c r="V5" s="7">
        <f t="shared" ref="V5:V11" si="5">$AJ$3/T5/2</f>
        <v>3.6363636363636362</v>
      </c>
      <c r="W5" s="4"/>
      <c r="X5" s="3">
        <f t="shared" ref="X5:X12" si="6">(10+$AG$4-$AJ$5)/20</f>
        <v>0.5</v>
      </c>
      <c r="Y5" s="3">
        <f>(C5/20)*IF($AK$14=1,IF(F5="X",1,0.5),1)</f>
        <v>0.5</v>
      </c>
      <c r="Z5" s="3">
        <f t="shared" ref="Z5:Z11" si="7">(IF((OR(K5="X", L5="X")),0,($AG$5+I5))/20)</f>
        <v>0.1</v>
      </c>
      <c r="AA5" s="5">
        <f t="shared" ref="AA5:AA12" si="8">IF(G5="X",0,1*Y5*X5*(1+Z5)*D5) * IF($AJ$13=1,IF(F5="X",1,0.5),1) + IF(N5="X",D5*Q5*0.25,0) +  2*(O5/20)*Q5*R5</f>
        <v>0.27500000000000002</v>
      </c>
      <c r="AB5" s="3">
        <f>AA5/$AA$4</f>
        <v>1.25</v>
      </c>
      <c r="AC5" s="7">
        <f t="shared" si="0"/>
        <v>7.2727272727272725</v>
      </c>
      <c r="AD5" s="3">
        <f t="shared" ref="AD5:AD11" si="9">(U5+AB5)/2</f>
        <v>1.25</v>
      </c>
      <c r="AE5" s="3"/>
      <c r="AF5" t="s">
        <v>18</v>
      </c>
      <c r="AG5">
        <v>2</v>
      </c>
      <c r="AI5" t="s">
        <v>86</v>
      </c>
      <c r="AJ5">
        <v>10</v>
      </c>
    </row>
    <row r="6" spans="2:36" x14ac:dyDescent="0.25">
      <c r="B6" s="1" t="s">
        <v>13</v>
      </c>
      <c r="C6" s="1">
        <v>8</v>
      </c>
      <c r="D6" s="1">
        <v>2</v>
      </c>
      <c r="E6" s="1" t="s">
        <v>128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>
        <f t="shared" si="1"/>
        <v>0.5</v>
      </c>
      <c r="R6" s="3">
        <f t="shared" si="2"/>
        <v>0.4</v>
      </c>
      <c r="S6" s="3">
        <f t="shared" si="3"/>
        <v>0.1</v>
      </c>
      <c r="T6" s="5">
        <f t="shared" si="4"/>
        <v>0.44000000000000006</v>
      </c>
      <c r="U6" s="3">
        <f t="shared" ref="U6:U11" si="10">T6/$T$4</f>
        <v>1</v>
      </c>
      <c r="V6" s="7">
        <f t="shared" si="5"/>
        <v>4.545454545454545</v>
      </c>
      <c r="W6" s="4"/>
      <c r="X6" s="3">
        <f t="shared" si="6"/>
        <v>0.5</v>
      </c>
      <c r="Y6" s="3">
        <f>(C6/20)*IF($AK$14=1,IF(F6="X",1,0.5),1)</f>
        <v>0.4</v>
      </c>
      <c r="Z6" s="3">
        <f t="shared" si="7"/>
        <v>0.1</v>
      </c>
      <c r="AA6" s="5">
        <f t="shared" si="8"/>
        <v>0.22000000000000003</v>
      </c>
      <c r="AB6" s="3">
        <f t="shared" ref="AB6:AB11" si="11">AA6/$AA$4</f>
        <v>1</v>
      </c>
      <c r="AC6" s="7">
        <f t="shared" si="0"/>
        <v>9.0909090909090899</v>
      </c>
      <c r="AD6" s="3">
        <f t="shared" si="9"/>
        <v>1</v>
      </c>
      <c r="AE6" s="3"/>
      <c r="AI6" t="s">
        <v>87</v>
      </c>
      <c r="AJ6">
        <v>0</v>
      </c>
    </row>
    <row r="7" spans="2:36" x14ac:dyDescent="0.25"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">
        <f t="shared" si="1"/>
        <v>0.5</v>
      </c>
      <c r="R7" s="3">
        <f t="shared" si="2"/>
        <v>0.75</v>
      </c>
      <c r="S7" s="3">
        <f t="shared" si="3"/>
        <v>0.1</v>
      </c>
      <c r="T7" s="5">
        <f t="shared" si="4"/>
        <v>0.61875000000000002</v>
      </c>
      <c r="U7" s="3">
        <f t="shared" si="10"/>
        <v>1.4062499999999998</v>
      </c>
      <c r="V7" s="7">
        <f t="shared" si="5"/>
        <v>3.2323232323232323</v>
      </c>
      <c r="W7" s="4"/>
      <c r="X7" s="3">
        <f t="shared" si="6"/>
        <v>0.5</v>
      </c>
      <c r="Y7" s="3">
        <f>(C7/20)*IF($AK$14=1,IF(F7="X",1,0.5),1)</f>
        <v>0.75</v>
      </c>
      <c r="Z7" s="3">
        <f t="shared" si="7"/>
        <v>0.1</v>
      </c>
      <c r="AA7" s="5">
        <f t="shared" si="8"/>
        <v>0.30937500000000001</v>
      </c>
      <c r="AB7" s="3">
        <f t="shared" si="11"/>
        <v>1.4062499999999998</v>
      </c>
      <c r="AC7" s="7">
        <f t="shared" si="0"/>
        <v>6.4646464646464645</v>
      </c>
      <c r="AD7" s="3">
        <f t="shared" si="9"/>
        <v>1.4062499999999998</v>
      </c>
      <c r="AE7" s="3"/>
    </row>
    <row r="8" spans="2:36" x14ac:dyDescent="0.25">
      <c r="B8" s="1" t="s">
        <v>130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1"/>
      <c r="Q8" s="3">
        <f t="shared" si="1"/>
        <v>0.5</v>
      </c>
      <c r="R8" s="3">
        <f t="shared" si="2"/>
        <v>0.4</v>
      </c>
      <c r="S8" s="3">
        <f t="shared" si="3"/>
        <v>0.1</v>
      </c>
      <c r="T8" s="5">
        <f t="shared" si="4"/>
        <v>0.44000000000000006</v>
      </c>
      <c r="U8" s="3">
        <f t="shared" si="10"/>
        <v>1</v>
      </c>
      <c r="V8" s="7">
        <f t="shared" si="5"/>
        <v>4.545454545454545</v>
      </c>
      <c r="W8" s="4"/>
      <c r="X8" s="3">
        <f t="shared" si="6"/>
        <v>0.5</v>
      </c>
      <c r="Y8" s="3">
        <f>(C8/20)*IF($AK$14=1,IF(F8="X",1,0.5),1)</f>
        <v>0.4</v>
      </c>
      <c r="Z8" s="3">
        <f t="shared" si="7"/>
        <v>0.1</v>
      </c>
      <c r="AA8" s="5">
        <f t="shared" si="8"/>
        <v>0.44000000000000006</v>
      </c>
      <c r="AB8" s="3">
        <f t="shared" si="11"/>
        <v>2</v>
      </c>
      <c r="AC8" s="7">
        <f t="shared" si="0"/>
        <v>4.545454545454545</v>
      </c>
      <c r="AD8" s="3">
        <f t="shared" si="9"/>
        <v>1.5</v>
      </c>
      <c r="AE8" s="3"/>
      <c r="AI8" t="s">
        <v>9</v>
      </c>
    </row>
    <row r="9" spans="2:36" ht="15.75" x14ac:dyDescent="0.25">
      <c r="B9" s="1" t="s">
        <v>129</v>
      </c>
      <c r="C9" s="2">
        <v>10</v>
      </c>
      <c r="D9" s="1">
        <v>2</v>
      </c>
      <c r="E9" s="1" t="s">
        <v>52</v>
      </c>
      <c r="F9" s="1" t="s">
        <v>59</v>
      </c>
      <c r="G9" s="1"/>
      <c r="H9" s="1"/>
      <c r="I9" s="1"/>
      <c r="J9" s="1"/>
      <c r="K9" s="1"/>
      <c r="L9" s="1"/>
      <c r="M9" s="1"/>
      <c r="N9" s="1"/>
      <c r="O9" s="1"/>
      <c r="P9" s="3"/>
      <c r="Q9" s="3">
        <f t="shared" si="1"/>
        <v>0.5</v>
      </c>
      <c r="R9" s="3">
        <f t="shared" ref="R9" si="12">(C9/20)*IF($AJ$6=1,IF(F9="X",1,0.5),1)</f>
        <v>0.5</v>
      </c>
      <c r="S9" s="3">
        <f t="shared" ref="S9" si="13">(IF(( L9="X"),0,($AG$5+I9))/20)</f>
        <v>0.1</v>
      </c>
      <c r="T9" s="5">
        <f t="shared" si="4"/>
        <v>0.55000000000000004</v>
      </c>
      <c r="U9" s="3">
        <f t="shared" ref="U9" si="14">T9/$T$4</f>
        <v>1.25</v>
      </c>
      <c r="V9" s="7">
        <f t="shared" ref="V9" si="15">$AJ$3/T9/2</f>
        <v>3.6363636363636362</v>
      </c>
      <c r="W9" s="4"/>
      <c r="X9" s="3">
        <f t="shared" si="6"/>
        <v>0.5</v>
      </c>
      <c r="Y9" s="3">
        <f>(C9/20)*IF($AK$14=1,IF(F9="X",1,0.5),1)</f>
        <v>0.5</v>
      </c>
      <c r="Z9" s="3">
        <f t="shared" ref="Z9" si="16">(IF((OR(K9="X", L9="X")),0,($AG$5+I9))/20)</f>
        <v>0.1</v>
      </c>
      <c r="AA9" s="5">
        <f t="shared" si="8"/>
        <v>0.55000000000000004</v>
      </c>
      <c r="AB9" s="3">
        <f t="shared" ref="AB9" si="17">AA9/$AA$4</f>
        <v>2.5</v>
      </c>
      <c r="AC9" s="7">
        <f t="shared" si="0"/>
        <v>3.6363636363636362</v>
      </c>
      <c r="AD9" s="3">
        <f t="shared" ref="AD9" si="18">(U9+AB9)/2</f>
        <v>1.875</v>
      </c>
      <c r="AE9" s="3"/>
      <c r="AI9" t="s">
        <v>47</v>
      </c>
      <c r="AJ9">
        <v>4</v>
      </c>
    </row>
    <row r="10" spans="2:36" x14ac:dyDescent="0.25">
      <c r="B10" s="1" t="s">
        <v>134</v>
      </c>
      <c r="C10" s="1">
        <v>8</v>
      </c>
      <c r="D10" s="1">
        <v>3</v>
      </c>
      <c r="E10" s="1"/>
      <c r="F10" s="1"/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1"/>
      <c r="Q10" s="3">
        <f t="shared" si="1"/>
        <v>0.5</v>
      </c>
      <c r="R10" s="3">
        <f t="shared" si="2"/>
        <v>0.4</v>
      </c>
      <c r="S10" s="3">
        <f t="shared" si="3"/>
        <v>0.1</v>
      </c>
      <c r="T10" s="5">
        <f t="shared" si="4"/>
        <v>0.66000000000000014</v>
      </c>
      <c r="U10" s="3">
        <f t="shared" si="10"/>
        <v>1.5000000000000002</v>
      </c>
      <c r="V10" s="7">
        <f t="shared" si="5"/>
        <v>3.0303030303030298</v>
      </c>
      <c r="W10" s="4"/>
      <c r="X10" s="3">
        <f t="shared" si="6"/>
        <v>0.5</v>
      </c>
      <c r="Y10" s="3">
        <f t="shared" ref="Y10:Y11" si="19">(C10/20)*IF($AK$14=1,IF(F10="X",1,0.5),1)</f>
        <v>0.4</v>
      </c>
      <c r="Z10" s="3">
        <f t="shared" si="7"/>
        <v>0.1</v>
      </c>
      <c r="AA10" s="5">
        <f t="shared" si="8"/>
        <v>0</v>
      </c>
      <c r="AB10" s="3">
        <f t="shared" si="11"/>
        <v>0</v>
      </c>
      <c r="AC10" s="7" t="e">
        <f t="shared" si="0"/>
        <v>#DIV/0!</v>
      </c>
      <c r="AD10" s="3">
        <f t="shared" si="9"/>
        <v>0.75000000000000011</v>
      </c>
      <c r="AE10" s="3"/>
      <c r="AI10" t="s">
        <v>10</v>
      </c>
      <c r="AJ10">
        <v>9</v>
      </c>
    </row>
    <row r="11" spans="2:36" x14ac:dyDescent="0.25">
      <c r="B11" s="1" t="s">
        <v>132</v>
      </c>
      <c r="C11" s="1">
        <v>10</v>
      </c>
      <c r="D11" s="1">
        <v>3</v>
      </c>
      <c r="E11" s="1"/>
      <c r="F11" s="1"/>
      <c r="G11" s="1" t="s">
        <v>59</v>
      </c>
      <c r="H11" s="1"/>
      <c r="I11" s="1"/>
      <c r="J11" s="1"/>
      <c r="K11" s="1"/>
      <c r="L11" s="1"/>
      <c r="M11" s="1"/>
      <c r="N11" s="1"/>
      <c r="O11" s="1"/>
      <c r="P11" s="1"/>
      <c r="Q11" s="3">
        <f t="shared" si="1"/>
        <v>0.5</v>
      </c>
      <c r="R11" s="3">
        <f t="shared" si="2"/>
        <v>0.5</v>
      </c>
      <c r="S11" s="3">
        <f t="shared" si="3"/>
        <v>0.1</v>
      </c>
      <c r="T11" s="5">
        <f t="shared" si="4"/>
        <v>0.82500000000000007</v>
      </c>
      <c r="U11" s="3">
        <f t="shared" si="10"/>
        <v>1.875</v>
      </c>
      <c r="V11" s="7">
        <f t="shared" si="5"/>
        <v>2.4242424242424239</v>
      </c>
      <c r="W11" s="4"/>
      <c r="X11" s="3">
        <f t="shared" si="6"/>
        <v>0.5</v>
      </c>
      <c r="Y11" s="3">
        <f t="shared" si="19"/>
        <v>0.5</v>
      </c>
      <c r="Z11" s="3">
        <f t="shared" si="7"/>
        <v>0.1</v>
      </c>
      <c r="AA11" s="5">
        <f t="shared" si="8"/>
        <v>0</v>
      </c>
      <c r="AB11" s="3">
        <f t="shared" si="11"/>
        <v>0</v>
      </c>
      <c r="AC11" s="7" t="e">
        <f t="shared" si="0"/>
        <v>#DIV/0!</v>
      </c>
      <c r="AD11" s="3">
        <f t="shared" si="9"/>
        <v>0.9375</v>
      </c>
      <c r="AE11" s="17"/>
      <c r="AI11" t="s">
        <v>85</v>
      </c>
      <c r="AJ11">
        <v>10</v>
      </c>
    </row>
    <row r="12" spans="2:36" ht="14.25" customHeight="1" x14ac:dyDescent="0.25">
      <c r="B12" s="20" t="s">
        <v>133</v>
      </c>
      <c r="C12" s="2">
        <v>12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 t="s">
        <v>59</v>
      </c>
      <c r="N12" s="1"/>
      <c r="O12" s="1"/>
      <c r="P12" s="1"/>
      <c r="Q12" s="3">
        <f t="shared" si="1"/>
        <v>0.5</v>
      </c>
      <c r="R12" s="3">
        <f t="shared" ref="R12" si="20">(C12/20)*IF($AJ$6=1,IF(F12="X",1,0.5),1)</f>
        <v>0.6</v>
      </c>
      <c r="S12" s="3">
        <f t="shared" ref="S12" si="21">(IF(( L12="X"),0,($AG$5+I12))/20)</f>
        <v>0.1</v>
      </c>
      <c r="T12" s="5">
        <f t="shared" si="4"/>
        <v>0.96</v>
      </c>
      <c r="U12" s="3">
        <f t="shared" ref="U12" si="22">T12/$T$4</f>
        <v>2.1818181818181817</v>
      </c>
      <c r="V12" s="7">
        <f t="shared" ref="V12" si="23">$AJ$3/T12/2</f>
        <v>2.0833333333333335</v>
      </c>
      <c r="W12" s="4"/>
      <c r="X12" s="3">
        <f t="shared" si="6"/>
        <v>0.5</v>
      </c>
      <c r="Y12" s="3">
        <f t="shared" ref="Y12" si="24">(C12/20)*IF($AK$14=1,IF(F12="X",1,0.5),1)</f>
        <v>0.6</v>
      </c>
      <c r="Z12" s="3">
        <f t="shared" ref="Z12" si="25">(IF((OR(K12="X", L12="X")),0,($AG$5+I12))/20)</f>
        <v>0.1</v>
      </c>
      <c r="AA12" s="5">
        <f t="shared" si="8"/>
        <v>0.33</v>
      </c>
      <c r="AB12" s="3">
        <f t="shared" ref="AB12" si="26">AA12/$AA$4</f>
        <v>1.4999999999999998</v>
      </c>
      <c r="AC12" s="7">
        <f t="shared" si="0"/>
        <v>6.0606060606060606</v>
      </c>
      <c r="AD12" s="3">
        <f t="shared" ref="AD12" si="27">(U12+AB12)/2</f>
        <v>1.8409090909090908</v>
      </c>
      <c r="AE12" s="17"/>
      <c r="AI12" t="s">
        <v>86</v>
      </c>
      <c r="AJ12">
        <v>10</v>
      </c>
    </row>
    <row r="13" spans="2:36" ht="14.25" customHeight="1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/>
      <c r="R13" s="3"/>
      <c r="S13" s="28"/>
      <c r="T13" s="28"/>
      <c r="U13" s="17"/>
      <c r="V13" s="7"/>
      <c r="W13" s="3"/>
      <c r="X13" s="3"/>
      <c r="Y13" s="3"/>
      <c r="Z13" s="28"/>
      <c r="AA13" s="28"/>
      <c r="AB13" s="18"/>
      <c r="AC13" s="18"/>
      <c r="AD13" s="3"/>
      <c r="AE13" s="17"/>
      <c r="AI13" t="s">
        <v>87</v>
      </c>
      <c r="AJ13">
        <v>1</v>
      </c>
    </row>
    <row r="14" spans="2:36" ht="14.25" customHeight="1" x14ac:dyDescent="0.25">
      <c r="B14" s="1" t="s">
        <v>21</v>
      </c>
      <c r="C14" s="2">
        <v>8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">
        <f>IF(K14="X",1,($AG$3+H14)/20)</f>
        <v>0.5</v>
      </c>
      <c r="R14" s="3">
        <f>(C14/20)*IF($AJ$6=1,0.5,1)</f>
        <v>0.4</v>
      </c>
      <c r="S14" s="28">
        <f>(IF(( L14="X"),0,($AG$5+I14))/20)</f>
        <v>0.1</v>
      </c>
      <c r="T14" s="28">
        <f>((1*R14*(Q14)*D14   +   (IF(J14="X",2,1)*S14*D14)      + IF(N14="X",D14*Q14*0.25,0)     ) * IF(M14="X",1.5,1) ) *      IF($AK$6="1",0.5,1)  + 2*(O14/20)*Q14*R14</f>
        <v>0.60000000000000009</v>
      </c>
      <c r="U14" s="17">
        <f t="shared" ref="U14:U19" si="28">T14/$T$14</f>
        <v>1</v>
      </c>
      <c r="V14" s="7">
        <f>$AJ$3/T14/2</f>
        <v>3.333333333333333</v>
      </c>
      <c r="W14" s="3"/>
      <c r="X14" s="3">
        <f>IF(K14="X",1,($AG$3+H14)/20)</f>
        <v>0.5</v>
      </c>
      <c r="Y14" s="3">
        <f t="shared" ref="Y14:Y19" si="29">(C14/20)*IF($AG$14=1,IF(F14="X",1,0.5),1)</f>
        <v>0.4</v>
      </c>
      <c r="Z14" s="28">
        <f>(IF((OR(K14="X", L14="X")),0,($AG$5+I14))/20)</f>
        <v>0.1</v>
      </c>
      <c r="AA14" s="28">
        <f>IF(G14="X",0,((1*Y14*(X14)*D14   +   (IF(J14="X",2,1)*Z14*D14)      + IF(N14="X",D14*X14*0.25,0)     ) * IF(M14="X",1.5,1) ) *      IF($AJ$13=1,IF(F14="X",1,0.5),1)) +2*(O14/20)*Q14*R14</f>
        <v>0.30000000000000004</v>
      </c>
      <c r="AB14" s="3">
        <f t="shared" ref="AB14:AB19" si="30">AA14/$AA$14</f>
        <v>1</v>
      </c>
      <c r="AC14" s="18">
        <f t="shared" ref="AC14:AC19" si="31">$AJ$9/AA14/2</f>
        <v>6.6666666666666661</v>
      </c>
      <c r="AD14" s="3">
        <f>(U14+AB14)/2</f>
        <v>1</v>
      </c>
      <c r="AE14" s="17"/>
    </row>
    <row r="15" spans="2:36" ht="14.25" customHeight="1" x14ac:dyDescent="0.25">
      <c r="B15" s="1" t="s">
        <v>37</v>
      </c>
      <c r="C15" s="2">
        <v>7</v>
      </c>
      <c r="D15" s="1">
        <v>2</v>
      </c>
      <c r="E15" s="1"/>
      <c r="F15" s="1" t="s">
        <v>59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3">
        <f t="shared" ref="Q15:Q36" si="32">IF(K15="X",1,($AG$3+H15)/20)</f>
        <v>0.5</v>
      </c>
      <c r="R15" s="3">
        <f t="shared" ref="R15:R36" si="33">(C15/20)*IF($AJ$6=1,0.5,1)</f>
        <v>0.35</v>
      </c>
      <c r="S15" s="28">
        <f t="shared" ref="S15:S36" si="34">(IF(( L15="X"),0,($AG$5+I15))/20)</f>
        <v>0.1</v>
      </c>
      <c r="T15" s="28">
        <f t="shared" ref="T15:T36" si="35">((1*R15*(Q15)*D15   +   (IF(J15="X",2,1)*S15*D15)      + IF(N15="X",D15*Q15*0.25,0)     ) * IF(M15="X",1.5,1) ) *      IF($AK$6="1",0.5,1)  + 2*(O15/20)*Q15*R15</f>
        <v>0.55000000000000004</v>
      </c>
      <c r="U15" s="17">
        <f t="shared" si="28"/>
        <v>0.91666666666666663</v>
      </c>
      <c r="V15" s="7">
        <f t="shared" ref="V15:V36" si="36">$AJ$3/T15/2</f>
        <v>3.6363636363636362</v>
      </c>
      <c r="W15" s="3"/>
      <c r="X15" s="3">
        <f t="shared" ref="X15:X36" si="37">IF(K15="X",1,($AG$3+H15)/20)</f>
        <v>0.5</v>
      </c>
      <c r="Y15" s="3">
        <f t="shared" si="29"/>
        <v>0.35</v>
      </c>
      <c r="Z15" s="28">
        <f t="shared" ref="Z15:Z36" si="38">(IF((OR(K15="X", L15="X")),0,($AG$5+I15))/20)</f>
        <v>0.1</v>
      </c>
      <c r="AA15" s="28">
        <f t="shared" ref="AA15:AA36" si="39">IF(G15="X",0,((1*Y15*(X15)*D15   +   (IF(J15="X",2,1)*Z15*D15)      + IF(N15="X",D15*X15*0.25,0)     ) * IF(M15="X",1.5,1) ) *      IF($AJ$13=1,IF(F15="X",1,0.5),1)) +2*(O15/20)*Q15*R15</f>
        <v>0.55000000000000004</v>
      </c>
      <c r="AB15" s="3">
        <f t="shared" si="30"/>
        <v>1.8333333333333333</v>
      </c>
      <c r="AC15" s="18">
        <f t="shared" si="31"/>
        <v>3.6363636363636362</v>
      </c>
      <c r="AD15" s="3">
        <f t="shared" ref="AD15:AD36" si="40">(U15+AB15)/2</f>
        <v>1.375</v>
      </c>
      <c r="AE15" s="17"/>
    </row>
    <row r="16" spans="2:36" ht="14.25" customHeight="1" x14ac:dyDescent="0.25">
      <c r="B16" s="1" t="s">
        <v>22</v>
      </c>
      <c r="C16" s="2">
        <v>8</v>
      </c>
      <c r="D16" s="1">
        <v>4</v>
      </c>
      <c r="E16" s="1"/>
      <c r="F16" s="1"/>
      <c r="G16" s="1"/>
      <c r="H16" s="1"/>
      <c r="I16" s="1"/>
      <c r="J16" s="1"/>
      <c r="K16" s="1"/>
      <c r="L16" s="1" t="s">
        <v>59</v>
      </c>
      <c r="M16" s="1"/>
      <c r="N16" s="1"/>
      <c r="O16" s="1"/>
      <c r="P16" s="1"/>
      <c r="Q16" s="3">
        <f t="shared" si="32"/>
        <v>0.5</v>
      </c>
      <c r="R16" s="3">
        <f t="shared" si="33"/>
        <v>0.4</v>
      </c>
      <c r="S16" s="28">
        <f t="shared" si="34"/>
        <v>0</v>
      </c>
      <c r="T16" s="28">
        <f t="shared" si="35"/>
        <v>0.8</v>
      </c>
      <c r="U16" s="17">
        <f t="shared" si="28"/>
        <v>1.3333333333333333</v>
      </c>
      <c r="V16" s="7">
        <f t="shared" si="36"/>
        <v>2.5</v>
      </c>
      <c r="W16" s="3"/>
      <c r="X16" s="3">
        <f t="shared" si="37"/>
        <v>0.5</v>
      </c>
      <c r="Y16" s="3">
        <f t="shared" si="29"/>
        <v>0.4</v>
      </c>
      <c r="Z16" s="28">
        <f t="shared" si="38"/>
        <v>0</v>
      </c>
      <c r="AA16" s="28">
        <f t="shared" si="39"/>
        <v>0.4</v>
      </c>
      <c r="AB16" s="3">
        <f t="shared" si="30"/>
        <v>1.3333333333333333</v>
      </c>
      <c r="AC16" s="18">
        <f t="shared" si="31"/>
        <v>5</v>
      </c>
      <c r="AD16" s="3">
        <f t="shared" si="40"/>
        <v>1.3333333333333333</v>
      </c>
      <c r="AE16" s="17"/>
    </row>
    <row r="17" spans="2:31" ht="14.25" customHeight="1" x14ac:dyDescent="0.25">
      <c r="B17" s="1" t="s">
        <v>74</v>
      </c>
      <c r="C17" s="2">
        <v>8</v>
      </c>
      <c r="D17" s="1">
        <v>2</v>
      </c>
      <c r="E17" s="1"/>
      <c r="F17" s="1" t="s">
        <v>59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3">
        <f t="shared" si="32"/>
        <v>0.5</v>
      </c>
      <c r="R17" s="3">
        <f t="shared" si="33"/>
        <v>0.4</v>
      </c>
      <c r="S17" s="28">
        <f t="shared" si="34"/>
        <v>0.1</v>
      </c>
      <c r="T17" s="28">
        <f t="shared" si="35"/>
        <v>0.60000000000000009</v>
      </c>
      <c r="U17" s="17">
        <f t="shared" si="28"/>
        <v>1</v>
      </c>
      <c r="V17" s="7">
        <f t="shared" si="36"/>
        <v>3.333333333333333</v>
      </c>
      <c r="W17" s="3"/>
      <c r="X17" s="3">
        <f t="shared" si="37"/>
        <v>0.5</v>
      </c>
      <c r="Y17" s="3">
        <f t="shared" si="29"/>
        <v>0.4</v>
      </c>
      <c r="Z17" s="28">
        <f t="shared" si="38"/>
        <v>0.1</v>
      </c>
      <c r="AA17" s="28">
        <f t="shared" si="39"/>
        <v>0.60000000000000009</v>
      </c>
      <c r="AB17" s="3">
        <f t="shared" si="30"/>
        <v>2</v>
      </c>
      <c r="AC17" s="18">
        <f t="shared" si="31"/>
        <v>3.333333333333333</v>
      </c>
      <c r="AD17" s="3">
        <f t="shared" si="40"/>
        <v>1.5</v>
      </c>
      <c r="AE17" s="17"/>
    </row>
    <row r="18" spans="2:31" ht="14.25" customHeight="1" x14ac:dyDescent="0.25">
      <c r="B18" s="1" t="s">
        <v>75</v>
      </c>
      <c r="C18" s="2">
        <v>8</v>
      </c>
      <c r="D18" s="1">
        <v>3</v>
      </c>
      <c r="E18" s="1"/>
      <c r="F18" s="1"/>
      <c r="G18" s="1"/>
      <c r="H18" s="1"/>
      <c r="I18" s="1"/>
      <c r="J18" s="1"/>
      <c r="K18" s="1"/>
      <c r="L18" s="1" t="s">
        <v>59</v>
      </c>
      <c r="M18" s="1" t="s">
        <v>59</v>
      </c>
      <c r="N18" s="1"/>
      <c r="O18" s="1"/>
      <c r="P18" s="1"/>
      <c r="Q18" s="3">
        <f t="shared" si="32"/>
        <v>0.5</v>
      </c>
      <c r="R18" s="3">
        <f t="shared" si="33"/>
        <v>0.4</v>
      </c>
      <c r="S18" s="28">
        <f t="shared" si="34"/>
        <v>0</v>
      </c>
      <c r="T18" s="28">
        <f t="shared" si="35"/>
        <v>0.90000000000000013</v>
      </c>
      <c r="U18" s="17">
        <f t="shared" si="28"/>
        <v>1.5</v>
      </c>
      <c r="V18" s="7">
        <f t="shared" si="36"/>
        <v>2.2222222222222219</v>
      </c>
      <c r="W18" s="3"/>
      <c r="X18" s="3">
        <f t="shared" si="37"/>
        <v>0.5</v>
      </c>
      <c r="Y18" s="3">
        <f t="shared" si="29"/>
        <v>0.4</v>
      </c>
      <c r="Z18" s="28">
        <f t="shared" si="38"/>
        <v>0</v>
      </c>
      <c r="AA18" s="28">
        <f t="shared" si="39"/>
        <v>0.45000000000000007</v>
      </c>
      <c r="AB18" s="3">
        <f t="shared" si="30"/>
        <v>1.5</v>
      </c>
      <c r="AC18" s="18">
        <f t="shared" si="31"/>
        <v>4.4444444444444438</v>
      </c>
      <c r="AD18" s="3">
        <f t="shared" si="40"/>
        <v>1.5</v>
      </c>
      <c r="AE18" s="17"/>
    </row>
    <row r="19" spans="2:31" ht="14.25" customHeight="1" x14ac:dyDescent="0.25">
      <c r="B19" s="1" t="s">
        <v>76</v>
      </c>
      <c r="C19" s="2">
        <v>8</v>
      </c>
      <c r="D19" s="1">
        <v>2</v>
      </c>
      <c r="E19" s="1"/>
      <c r="F19" s="1"/>
      <c r="G19" s="1"/>
      <c r="H19" s="1"/>
      <c r="I19" s="1"/>
      <c r="J19" s="1"/>
      <c r="K19" s="1"/>
      <c r="L19" s="1"/>
      <c r="M19" s="1"/>
      <c r="N19" s="1" t="s">
        <v>59</v>
      </c>
      <c r="O19" s="1">
        <v>10</v>
      </c>
      <c r="P19" s="1"/>
      <c r="Q19" s="3">
        <f t="shared" si="32"/>
        <v>0.5</v>
      </c>
      <c r="R19" s="3">
        <f t="shared" si="33"/>
        <v>0.4</v>
      </c>
      <c r="S19" s="28">
        <f t="shared" si="34"/>
        <v>0.1</v>
      </c>
      <c r="T19" s="28">
        <f t="shared" si="35"/>
        <v>1.05</v>
      </c>
      <c r="U19" s="17">
        <f t="shared" si="28"/>
        <v>1.7499999999999998</v>
      </c>
      <c r="V19" s="7">
        <f t="shared" si="36"/>
        <v>1.9047619047619047</v>
      </c>
      <c r="W19" s="3"/>
      <c r="X19" s="3">
        <f t="shared" si="37"/>
        <v>0.5</v>
      </c>
      <c r="Y19" s="3">
        <f t="shared" si="29"/>
        <v>0.4</v>
      </c>
      <c r="Z19" s="28">
        <f t="shared" si="38"/>
        <v>0.1</v>
      </c>
      <c r="AA19" s="28">
        <f t="shared" si="39"/>
        <v>0.625</v>
      </c>
      <c r="AB19" s="3">
        <f t="shared" si="30"/>
        <v>2.083333333333333</v>
      </c>
      <c r="AC19" s="18">
        <f t="shared" si="31"/>
        <v>3.2</v>
      </c>
      <c r="AD19" s="3">
        <f t="shared" si="40"/>
        <v>1.9166666666666665</v>
      </c>
      <c r="AE19" s="17"/>
    </row>
    <row r="20" spans="2:31" ht="14.25" customHeight="1" x14ac:dyDescent="0.25"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/>
      <c r="R20" s="3"/>
      <c r="S20" s="28"/>
      <c r="T20" s="28"/>
      <c r="U20" s="17"/>
      <c r="V20" s="7"/>
      <c r="W20" s="3"/>
      <c r="X20" s="3"/>
      <c r="Y20" s="3"/>
      <c r="Z20" s="28"/>
      <c r="AA20" s="28"/>
      <c r="AB20" s="3"/>
      <c r="AC20" s="18"/>
      <c r="AD20" s="3"/>
      <c r="AE20" s="17"/>
    </row>
    <row r="21" spans="2:31" ht="14.25" customHeight="1" x14ac:dyDescent="0.25">
      <c r="B21" s="1" t="s">
        <v>24</v>
      </c>
      <c r="C21" s="2">
        <v>10</v>
      </c>
      <c r="D21" s="1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3">
        <f t="shared" si="32"/>
        <v>0.5</v>
      </c>
      <c r="R21" s="3">
        <f t="shared" si="33"/>
        <v>0.5</v>
      </c>
      <c r="S21" s="28">
        <f t="shared" si="34"/>
        <v>0.1</v>
      </c>
      <c r="T21" s="28">
        <f t="shared" si="35"/>
        <v>1.05</v>
      </c>
      <c r="U21" s="17">
        <f>T21/$T$21</f>
        <v>1</v>
      </c>
      <c r="V21" s="7">
        <f t="shared" si="36"/>
        <v>1.9047619047619047</v>
      </c>
      <c r="W21" s="3"/>
      <c r="X21" s="3">
        <f t="shared" si="37"/>
        <v>0.5</v>
      </c>
      <c r="Y21" s="3">
        <f t="shared" ref="Y21:Y27" si="41">(C21/20)*IF($AG$14=1,IF(F21="X",1,0.5),1)</f>
        <v>0.5</v>
      </c>
      <c r="Z21" s="28">
        <f t="shared" si="38"/>
        <v>0.1</v>
      </c>
      <c r="AA21" s="28">
        <f t="shared" si="39"/>
        <v>0.52500000000000002</v>
      </c>
      <c r="AB21" s="3">
        <f>AA21/$AA$21</f>
        <v>1</v>
      </c>
      <c r="AC21" s="18">
        <f t="shared" ref="AC21:AC27" si="42">$AJ$9/AA21/2</f>
        <v>3.8095238095238093</v>
      </c>
      <c r="AD21" s="3">
        <f t="shared" si="40"/>
        <v>1</v>
      </c>
      <c r="AE21" s="17"/>
    </row>
    <row r="22" spans="2:31" ht="14.25" customHeight="1" x14ac:dyDescent="0.25">
      <c r="B22" s="1" t="s">
        <v>26</v>
      </c>
      <c r="C22" s="2">
        <v>8</v>
      </c>
      <c r="D22" s="1">
        <v>3</v>
      </c>
      <c r="E22" s="1"/>
      <c r="F22" s="1" t="s">
        <v>59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3">
        <f t="shared" si="32"/>
        <v>0.5</v>
      </c>
      <c r="R22" s="3">
        <f t="shared" si="33"/>
        <v>0.4</v>
      </c>
      <c r="S22" s="28">
        <f t="shared" si="34"/>
        <v>0.1</v>
      </c>
      <c r="T22" s="28">
        <f t="shared" si="35"/>
        <v>0.90000000000000013</v>
      </c>
      <c r="U22" s="17">
        <f t="shared" ref="U22:U27" si="43">T22/$T$21</f>
        <v>0.85714285714285721</v>
      </c>
      <c r="V22" s="7">
        <f t="shared" si="36"/>
        <v>2.2222222222222219</v>
      </c>
      <c r="W22" s="3"/>
      <c r="X22" s="3">
        <f t="shared" si="37"/>
        <v>0.5</v>
      </c>
      <c r="Y22" s="3">
        <f t="shared" si="41"/>
        <v>0.4</v>
      </c>
      <c r="Z22" s="28">
        <f t="shared" si="38"/>
        <v>0.1</v>
      </c>
      <c r="AA22" s="28">
        <f t="shared" si="39"/>
        <v>0.90000000000000013</v>
      </c>
      <c r="AB22" s="3">
        <f t="shared" ref="AB22:AB27" si="44">AA22/$AA$21</f>
        <v>1.7142857142857144</v>
      </c>
      <c r="AC22" s="18">
        <f t="shared" si="42"/>
        <v>2.2222222222222219</v>
      </c>
      <c r="AD22" s="3">
        <f t="shared" si="40"/>
        <v>1.2857142857142858</v>
      </c>
      <c r="AE22" s="17"/>
    </row>
    <row r="23" spans="2:31" ht="14.25" customHeight="1" x14ac:dyDescent="0.25">
      <c r="B23" s="1" t="s">
        <v>27</v>
      </c>
      <c r="C23" s="2">
        <v>10</v>
      </c>
      <c r="D23" s="1">
        <v>2</v>
      </c>
      <c r="E23" s="1"/>
      <c r="F23" s="1"/>
      <c r="G23" s="1"/>
      <c r="H23" s="1"/>
      <c r="I23" s="1"/>
      <c r="J23" s="1"/>
      <c r="K23" s="1" t="s">
        <v>59</v>
      </c>
      <c r="L23" s="1"/>
      <c r="M23" s="1"/>
      <c r="N23" s="1"/>
      <c r="O23" s="1"/>
      <c r="P23" s="1"/>
      <c r="Q23" s="3">
        <f t="shared" si="32"/>
        <v>1</v>
      </c>
      <c r="R23" s="3">
        <f t="shared" si="33"/>
        <v>0.5</v>
      </c>
      <c r="S23" s="28">
        <f t="shared" si="34"/>
        <v>0.1</v>
      </c>
      <c r="T23" s="28">
        <f t="shared" si="35"/>
        <v>1.2</v>
      </c>
      <c r="U23" s="17">
        <f t="shared" si="43"/>
        <v>1.1428571428571428</v>
      </c>
      <c r="V23" s="7">
        <f t="shared" si="36"/>
        <v>1.6666666666666667</v>
      </c>
      <c r="W23" s="3"/>
      <c r="X23" s="3">
        <f t="shared" si="37"/>
        <v>1</v>
      </c>
      <c r="Y23" s="3">
        <f t="shared" si="41"/>
        <v>0.5</v>
      </c>
      <c r="Z23" s="28">
        <f t="shared" si="38"/>
        <v>0</v>
      </c>
      <c r="AA23" s="28">
        <f t="shared" si="39"/>
        <v>0.5</v>
      </c>
      <c r="AB23" s="3">
        <f t="shared" si="44"/>
        <v>0.95238095238095233</v>
      </c>
      <c r="AC23" s="18">
        <f t="shared" si="42"/>
        <v>4</v>
      </c>
      <c r="AD23" s="3">
        <f t="shared" si="40"/>
        <v>1.0476190476190474</v>
      </c>
      <c r="AE23" s="17"/>
    </row>
    <row r="24" spans="2:31" ht="14.25" customHeight="1" x14ac:dyDescent="0.25">
      <c r="B24" s="1" t="s">
        <v>77</v>
      </c>
      <c r="C24" s="2">
        <v>12</v>
      </c>
      <c r="D24" s="1">
        <v>2</v>
      </c>
      <c r="E24" s="1"/>
      <c r="F24" s="1" t="s">
        <v>59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3">
        <f t="shared" si="32"/>
        <v>0.5</v>
      </c>
      <c r="R24" s="3">
        <f t="shared" si="33"/>
        <v>0.6</v>
      </c>
      <c r="S24" s="28">
        <f t="shared" si="34"/>
        <v>0.1</v>
      </c>
      <c r="T24" s="28">
        <f t="shared" si="35"/>
        <v>0.8</v>
      </c>
      <c r="U24" s="17">
        <f t="shared" si="43"/>
        <v>0.76190476190476186</v>
      </c>
      <c r="V24" s="7">
        <f t="shared" si="36"/>
        <v>2.5</v>
      </c>
      <c r="W24" s="3"/>
      <c r="X24" s="3">
        <f t="shared" si="37"/>
        <v>0.5</v>
      </c>
      <c r="Y24" s="3">
        <f t="shared" si="41"/>
        <v>0.6</v>
      </c>
      <c r="Z24" s="28">
        <f t="shared" si="38"/>
        <v>0.1</v>
      </c>
      <c r="AA24" s="28">
        <f t="shared" si="39"/>
        <v>0.8</v>
      </c>
      <c r="AB24" s="3">
        <f t="shared" si="44"/>
        <v>1.5238095238095237</v>
      </c>
      <c r="AC24" s="18">
        <f t="shared" si="42"/>
        <v>2.5</v>
      </c>
      <c r="AD24" s="3">
        <f t="shared" si="40"/>
        <v>1.1428571428571428</v>
      </c>
      <c r="AE24" s="17"/>
    </row>
    <row r="25" spans="2:31" ht="14.25" customHeight="1" x14ac:dyDescent="0.25">
      <c r="B25" s="1" t="s">
        <v>78</v>
      </c>
      <c r="C25" s="2">
        <v>10</v>
      </c>
      <c r="D25" s="1">
        <v>4</v>
      </c>
      <c r="E25" s="1"/>
      <c r="F25" s="1"/>
      <c r="G25" s="1"/>
      <c r="H25" s="1"/>
      <c r="I25" s="1"/>
      <c r="J25" s="1"/>
      <c r="K25" s="1"/>
      <c r="L25" s="1" t="s">
        <v>59</v>
      </c>
      <c r="M25" s="1" t="s">
        <v>59</v>
      </c>
      <c r="N25" s="1"/>
      <c r="O25" s="1"/>
      <c r="P25" s="1"/>
      <c r="Q25" s="3">
        <f t="shared" si="32"/>
        <v>0.5</v>
      </c>
      <c r="R25" s="3">
        <f t="shared" si="33"/>
        <v>0.5</v>
      </c>
      <c r="S25" s="28">
        <f t="shared" si="34"/>
        <v>0</v>
      </c>
      <c r="T25" s="28">
        <f t="shared" si="35"/>
        <v>1.5</v>
      </c>
      <c r="U25" s="17">
        <f t="shared" si="43"/>
        <v>1.4285714285714286</v>
      </c>
      <c r="V25" s="7">
        <f t="shared" si="36"/>
        <v>1.3333333333333333</v>
      </c>
      <c r="W25" s="3"/>
      <c r="X25" s="3">
        <f t="shared" si="37"/>
        <v>0.5</v>
      </c>
      <c r="Y25" s="3">
        <f t="shared" si="41"/>
        <v>0.5</v>
      </c>
      <c r="Z25" s="28">
        <f t="shared" si="38"/>
        <v>0</v>
      </c>
      <c r="AA25" s="28">
        <f t="shared" si="39"/>
        <v>0.75</v>
      </c>
      <c r="AB25" s="3">
        <f t="shared" si="44"/>
        <v>1.4285714285714286</v>
      </c>
      <c r="AC25" s="18">
        <f t="shared" si="42"/>
        <v>2.6666666666666665</v>
      </c>
      <c r="AD25" s="3">
        <f t="shared" si="40"/>
        <v>1.4285714285714286</v>
      </c>
      <c r="AE25" s="17"/>
    </row>
    <row r="26" spans="2:31" ht="14.25" customHeight="1" x14ac:dyDescent="0.25">
      <c r="B26" s="1" t="s">
        <v>79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3">
        <f t="shared" si="32"/>
        <v>0.5</v>
      </c>
      <c r="R26" s="3">
        <f t="shared" si="33"/>
        <v>0.6</v>
      </c>
      <c r="S26" s="28">
        <f t="shared" si="34"/>
        <v>0.1</v>
      </c>
      <c r="T26" s="28">
        <f t="shared" si="35"/>
        <v>1.2</v>
      </c>
      <c r="U26" s="17">
        <f t="shared" si="43"/>
        <v>1.1428571428571428</v>
      </c>
      <c r="V26" s="7">
        <f t="shared" si="36"/>
        <v>1.6666666666666667</v>
      </c>
      <c r="W26" s="3"/>
      <c r="X26" s="3">
        <f t="shared" si="37"/>
        <v>0.5</v>
      </c>
      <c r="Y26" s="3">
        <f t="shared" si="41"/>
        <v>0.6</v>
      </c>
      <c r="Z26" s="28">
        <f t="shared" si="38"/>
        <v>0.1</v>
      </c>
      <c r="AA26" s="28">
        <f t="shared" si="39"/>
        <v>1.2</v>
      </c>
      <c r="AB26" s="3">
        <f t="shared" si="44"/>
        <v>2.2857142857142856</v>
      </c>
      <c r="AC26" s="18">
        <f t="shared" si="42"/>
        <v>1.6666666666666667</v>
      </c>
      <c r="AD26" s="3">
        <f t="shared" si="40"/>
        <v>1.7142857142857142</v>
      </c>
      <c r="AE26" s="17"/>
    </row>
    <row r="27" spans="2:31" ht="14.25" customHeight="1" x14ac:dyDescent="0.25">
      <c r="B27" s="1" t="s">
        <v>80</v>
      </c>
      <c r="C27" s="2">
        <v>10</v>
      </c>
      <c r="D27" s="1">
        <v>2</v>
      </c>
      <c r="E27" s="1"/>
      <c r="F27" s="1"/>
      <c r="G27" s="1"/>
      <c r="H27" s="1"/>
      <c r="I27" s="1"/>
      <c r="J27" s="1"/>
      <c r="K27" s="1" t="s">
        <v>59</v>
      </c>
      <c r="L27" s="1"/>
      <c r="M27" s="1"/>
      <c r="N27" s="1" t="s">
        <v>59</v>
      </c>
      <c r="O27" s="1"/>
      <c r="P27" s="1"/>
      <c r="Q27" s="3">
        <f t="shared" si="32"/>
        <v>1</v>
      </c>
      <c r="R27" s="3">
        <f t="shared" si="33"/>
        <v>0.5</v>
      </c>
      <c r="S27" s="28">
        <f t="shared" si="34"/>
        <v>0.1</v>
      </c>
      <c r="T27" s="28">
        <f t="shared" si="35"/>
        <v>1.7</v>
      </c>
      <c r="U27" s="17">
        <f t="shared" si="43"/>
        <v>1.6190476190476188</v>
      </c>
      <c r="V27" s="7">
        <f t="shared" si="36"/>
        <v>1.1764705882352942</v>
      </c>
      <c r="W27" s="3"/>
      <c r="X27" s="3">
        <f t="shared" si="37"/>
        <v>1</v>
      </c>
      <c r="Y27" s="3">
        <f t="shared" si="41"/>
        <v>0.5</v>
      </c>
      <c r="Z27" s="28">
        <f t="shared" si="38"/>
        <v>0</v>
      </c>
      <c r="AA27" s="28">
        <f t="shared" si="39"/>
        <v>0.75</v>
      </c>
      <c r="AB27" s="3">
        <f t="shared" si="44"/>
        <v>1.4285714285714286</v>
      </c>
      <c r="AC27" s="18">
        <f t="shared" si="42"/>
        <v>2.6666666666666665</v>
      </c>
      <c r="AD27" s="3">
        <f t="shared" si="40"/>
        <v>1.5238095238095237</v>
      </c>
      <c r="AE27" s="17"/>
    </row>
    <row r="28" spans="2:31" ht="14.25" customHeight="1" x14ac:dyDescent="0.25"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3"/>
      <c r="R28" s="3"/>
      <c r="S28" s="28"/>
      <c r="T28" s="28"/>
      <c r="U28" s="17"/>
      <c r="V28" s="7"/>
      <c r="W28" s="3"/>
      <c r="X28" s="3"/>
      <c r="Y28" s="3"/>
      <c r="Z28" s="28"/>
      <c r="AA28" s="28"/>
      <c r="AB28" s="3"/>
      <c r="AC28" s="18"/>
      <c r="AD28" s="3"/>
      <c r="AE28" s="17"/>
    </row>
    <row r="29" spans="2:31" ht="14.25" customHeight="1" x14ac:dyDescent="0.25">
      <c r="B29" s="1" t="s">
        <v>31</v>
      </c>
      <c r="C29" s="2">
        <v>12</v>
      </c>
      <c r="D29" s="1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3">
        <f t="shared" si="32"/>
        <v>0.5</v>
      </c>
      <c r="R29" s="3">
        <f t="shared" si="33"/>
        <v>0.6</v>
      </c>
      <c r="S29" s="28">
        <f t="shared" si="34"/>
        <v>0.1</v>
      </c>
      <c r="T29" s="28">
        <f t="shared" si="35"/>
        <v>1.6</v>
      </c>
      <c r="U29" s="17">
        <f>T29/$T$29</f>
        <v>1</v>
      </c>
      <c r="V29" s="7">
        <f t="shared" si="36"/>
        <v>1.25</v>
      </c>
      <c r="W29" s="3"/>
      <c r="X29" s="3">
        <f t="shared" si="37"/>
        <v>0.5</v>
      </c>
      <c r="Y29" s="3">
        <f t="shared" ref="Y29:Y36" si="45">(C29/20)*IF($AG$14=1,IF(F29="X",1,0.5),1)</f>
        <v>0.6</v>
      </c>
      <c r="Z29" s="28">
        <f t="shared" si="38"/>
        <v>0.1</v>
      </c>
      <c r="AA29" s="28">
        <f t="shared" si="39"/>
        <v>0.8</v>
      </c>
      <c r="AB29" s="3">
        <f>AA29/$AA$29</f>
        <v>1</v>
      </c>
      <c r="AC29" s="18">
        <f t="shared" ref="AC29:AC36" si="46">$AJ$9/AA29/2</f>
        <v>2.5</v>
      </c>
      <c r="AD29" s="3">
        <f t="shared" si="40"/>
        <v>1</v>
      </c>
      <c r="AE29" s="3"/>
    </row>
    <row r="30" spans="2:31" ht="14.25" customHeight="1" x14ac:dyDescent="0.25">
      <c r="B30" s="1" t="s">
        <v>33</v>
      </c>
      <c r="C30" s="2">
        <v>14</v>
      </c>
      <c r="D30" s="1">
        <v>3</v>
      </c>
      <c r="E30" s="1"/>
      <c r="F30" s="1" t="s">
        <v>59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3">
        <f t="shared" si="32"/>
        <v>0.5</v>
      </c>
      <c r="R30" s="3">
        <f t="shared" si="33"/>
        <v>0.7</v>
      </c>
      <c r="S30" s="28">
        <f t="shared" si="34"/>
        <v>0.1</v>
      </c>
      <c r="T30" s="28">
        <f t="shared" si="35"/>
        <v>1.3499999999999999</v>
      </c>
      <c r="U30" s="17">
        <f t="shared" ref="U30:U36" si="47">T30/$T$29</f>
        <v>0.84374999999999989</v>
      </c>
      <c r="V30" s="7">
        <f t="shared" si="36"/>
        <v>1.4814814814814816</v>
      </c>
      <c r="W30" s="3"/>
      <c r="X30" s="3">
        <f t="shared" si="37"/>
        <v>0.5</v>
      </c>
      <c r="Y30" s="3">
        <f t="shared" si="45"/>
        <v>0.7</v>
      </c>
      <c r="Z30" s="28">
        <f t="shared" si="38"/>
        <v>0.1</v>
      </c>
      <c r="AA30" s="28">
        <f t="shared" si="39"/>
        <v>1.3499999999999999</v>
      </c>
      <c r="AB30" s="3">
        <f t="shared" ref="AB30:AB36" si="48">AA30/$AA$29</f>
        <v>1.6874999999999998</v>
      </c>
      <c r="AC30" s="18">
        <f t="shared" si="46"/>
        <v>1.4814814814814816</v>
      </c>
      <c r="AD30" s="3">
        <f t="shared" si="40"/>
        <v>1.2656249999999998</v>
      </c>
      <c r="AE30" s="17"/>
    </row>
    <row r="31" spans="2:31" ht="14.25" customHeight="1" x14ac:dyDescent="0.25">
      <c r="B31" s="1" t="s">
        <v>32</v>
      </c>
      <c r="C31" s="2">
        <v>12</v>
      </c>
      <c r="D31" s="1">
        <v>2</v>
      </c>
      <c r="E31" s="1"/>
      <c r="F31" s="1"/>
      <c r="G31" s="1"/>
      <c r="H31" s="1"/>
      <c r="I31" s="1"/>
      <c r="J31" s="1"/>
      <c r="K31" s="1" t="s">
        <v>59</v>
      </c>
      <c r="L31" s="1"/>
      <c r="M31" s="1"/>
      <c r="N31" s="1"/>
      <c r="O31" s="1"/>
      <c r="P31" s="1"/>
      <c r="Q31" s="3">
        <f t="shared" si="32"/>
        <v>1</v>
      </c>
      <c r="R31" s="3">
        <f t="shared" si="33"/>
        <v>0.6</v>
      </c>
      <c r="S31" s="28">
        <f t="shared" si="34"/>
        <v>0.1</v>
      </c>
      <c r="T31" s="28">
        <f t="shared" si="35"/>
        <v>1.4</v>
      </c>
      <c r="U31" s="17">
        <f t="shared" si="47"/>
        <v>0.87499999999999989</v>
      </c>
      <c r="V31" s="7">
        <f t="shared" si="36"/>
        <v>1.4285714285714286</v>
      </c>
      <c r="W31" s="3"/>
      <c r="X31" s="3">
        <f t="shared" si="37"/>
        <v>1</v>
      </c>
      <c r="Y31" s="3">
        <f t="shared" si="45"/>
        <v>0.6</v>
      </c>
      <c r="Z31" s="28">
        <f t="shared" si="38"/>
        <v>0</v>
      </c>
      <c r="AA31" s="28">
        <f t="shared" si="39"/>
        <v>0.6</v>
      </c>
      <c r="AB31" s="3">
        <f t="shared" si="48"/>
        <v>0.74999999999999989</v>
      </c>
      <c r="AC31" s="18">
        <f t="shared" si="46"/>
        <v>3.3333333333333335</v>
      </c>
      <c r="AD31" s="3">
        <f t="shared" si="40"/>
        <v>0.81249999999999989</v>
      </c>
      <c r="AE31" s="3"/>
    </row>
    <row r="32" spans="2:31" ht="14.25" customHeight="1" x14ac:dyDescent="0.25">
      <c r="B32" s="1" t="s">
        <v>34</v>
      </c>
      <c r="C32" s="2">
        <v>12</v>
      </c>
      <c r="D32" s="1">
        <v>2</v>
      </c>
      <c r="E32" s="1"/>
      <c r="F32" s="1"/>
      <c r="G32" s="1"/>
      <c r="H32" s="1"/>
      <c r="I32" s="1"/>
      <c r="J32" s="1"/>
      <c r="K32" s="1" t="s">
        <v>59</v>
      </c>
      <c r="L32" s="1"/>
      <c r="M32" s="1"/>
      <c r="N32" s="1"/>
      <c r="O32" s="1"/>
      <c r="P32" s="1"/>
      <c r="Q32" s="3">
        <f t="shared" si="32"/>
        <v>1</v>
      </c>
      <c r="R32" s="3">
        <f t="shared" si="33"/>
        <v>0.6</v>
      </c>
      <c r="S32" s="28">
        <f t="shared" si="34"/>
        <v>0.1</v>
      </c>
      <c r="T32" s="28">
        <f t="shared" si="35"/>
        <v>1.4</v>
      </c>
      <c r="U32" s="17">
        <f t="shared" si="47"/>
        <v>0.87499999999999989</v>
      </c>
      <c r="V32" s="7">
        <f t="shared" si="36"/>
        <v>1.4285714285714286</v>
      </c>
      <c r="W32" s="3"/>
      <c r="X32" s="3">
        <f t="shared" si="37"/>
        <v>1</v>
      </c>
      <c r="Y32" s="3">
        <f t="shared" si="45"/>
        <v>0.6</v>
      </c>
      <c r="Z32" s="28">
        <f t="shared" si="38"/>
        <v>0</v>
      </c>
      <c r="AA32" s="28">
        <f t="shared" si="39"/>
        <v>0.6</v>
      </c>
      <c r="AB32" s="3">
        <f t="shared" si="48"/>
        <v>0.74999999999999989</v>
      </c>
      <c r="AC32" s="18">
        <f t="shared" si="46"/>
        <v>3.3333333333333335</v>
      </c>
      <c r="AD32" s="3">
        <f t="shared" si="40"/>
        <v>0.81249999999999989</v>
      </c>
      <c r="AE32" s="17"/>
    </row>
    <row r="33" spans="1:31" ht="15.75" x14ac:dyDescent="0.25">
      <c r="B33" s="1" t="s">
        <v>81</v>
      </c>
      <c r="C33" s="2">
        <v>10</v>
      </c>
      <c r="D33" s="1">
        <v>2</v>
      </c>
      <c r="E33" s="1"/>
      <c r="F33" s="1" t="s">
        <v>59</v>
      </c>
      <c r="G33" s="1"/>
      <c r="H33" s="1"/>
      <c r="I33" s="1"/>
      <c r="J33" s="1"/>
      <c r="K33" s="1" t="s">
        <v>59</v>
      </c>
      <c r="L33" s="1"/>
      <c r="M33" s="1"/>
      <c r="N33" s="1"/>
      <c r="O33" s="1"/>
      <c r="P33" s="1"/>
      <c r="Q33" s="3">
        <f t="shared" si="32"/>
        <v>1</v>
      </c>
      <c r="R33" s="3">
        <f t="shared" si="33"/>
        <v>0.5</v>
      </c>
      <c r="S33" s="28">
        <f t="shared" si="34"/>
        <v>0.1</v>
      </c>
      <c r="T33" s="28">
        <f t="shared" si="35"/>
        <v>1.2</v>
      </c>
      <c r="U33" s="17">
        <f t="shared" si="47"/>
        <v>0.74999999999999989</v>
      </c>
      <c r="V33" s="7">
        <f t="shared" si="36"/>
        <v>1.6666666666666667</v>
      </c>
      <c r="W33" s="3"/>
      <c r="X33" s="3">
        <f t="shared" si="37"/>
        <v>1</v>
      </c>
      <c r="Y33" s="3">
        <f t="shared" si="45"/>
        <v>0.5</v>
      </c>
      <c r="Z33" s="28">
        <f t="shared" si="38"/>
        <v>0</v>
      </c>
      <c r="AA33" s="28">
        <f t="shared" si="39"/>
        <v>1</v>
      </c>
      <c r="AB33" s="3">
        <f t="shared" si="48"/>
        <v>1.25</v>
      </c>
      <c r="AC33" s="18">
        <f t="shared" si="46"/>
        <v>2</v>
      </c>
      <c r="AD33" s="3">
        <f t="shared" si="40"/>
        <v>1</v>
      </c>
      <c r="AE33" s="17"/>
    </row>
    <row r="34" spans="1:31" ht="15.75" x14ac:dyDescent="0.25">
      <c r="A34" s="13"/>
      <c r="B34" s="1" t="s">
        <v>82</v>
      </c>
      <c r="C34" s="2">
        <v>12</v>
      </c>
      <c r="D34" s="1"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3">
        <f t="shared" si="32"/>
        <v>0.5</v>
      </c>
      <c r="R34" s="3">
        <f t="shared" si="33"/>
        <v>0.6</v>
      </c>
      <c r="S34" s="28">
        <f t="shared" si="34"/>
        <v>0.1</v>
      </c>
      <c r="T34" s="28">
        <f t="shared" si="35"/>
        <v>2.4</v>
      </c>
      <c r="U34" s="17">
        <f t="shared" si="47"/>
        <v>1.4999999999999998</v>
      </c>
      <c r="V34" s="7">
        <f t="shared" si="36"/>
        <v>0.83333333333333337</v>
      </c>
      <c r="W34" s="3"/>
      <c r="X34" s="3">
        <f t="shared" si="37"/>
        <v>0.5</v>
      </c>
      <c r="Y34" s="3">
        <f t="shared" si="45"/>
        <v>0.6</v>
      </c>
      <c r="Z34" s="28">
        <f t="shared" si="38"/>
        <v>0.1</v>
      </c>
      <c r="AA34" s="28">
        <f t="shared" si="39"/>
        <v>1.2</v>
      </c>
      <c r="AB34" s="3">
        <f t="shared" si="48"/>
        <v>1.4999999999999998</v>
      </c>
      <c r="AC34" s="18">
        <f t="shared" si="46"/>
        <v>1.6666666666666667</v>
      </c>
      <c r="AD34" s="3">
        <f t="shared" si="40"/>
        <v>1.4999999999999998</v>
      </c>
      <c r="AE34" s="17"/>
    </row>
    <row r="35" spans="1:31" ht="15.75" x14ac:dyDescent="0.25">
      <c r="A35" s="13"/>
      <c r="B35" s="1" t="s">
        <v>83</v>
      </c>
      <c r="C35" s="2">
        <v>12</v>
      </c>
      <c r="D35" s="1">
        <v>2</v>
      </c>
      <c r="E35" s="1"/>
      <c r="F35" s="1" t="s">
        <v>59</v>
      </c>
      <c r="G35" s="1"/>
      <c r="H35" s="1"/>
      <c r="I35" s="1"/>
      <c r="J35" s="1"/>
      <c r="K35" s="1" t="s">
        <v>59</v>
      </c>
      <c r="L35" s="1"/>
      <c r="M35" s="1"/>
      <c r="N35" s="1"/>
      <c r="O35" s="1"/>
      <c r="P35" s="1"/>
      <c r="Q35" s="3">
        <f t="shared" si="32"/>
        <v>1</v>
      </c>
      <c r="R35" s="3">
        <f t="shared" si="33"/>
        <v>0.6</v>
      </c>
      <c r="S35" s="28">
        <f t="shared" si="34"/>
        <v>0.1</v>
      </c>
      <c r="T35" s="28">
        <f t="shared" si="35"/>
        <v>1.4</v>
      </c>
      <c r="U35" s="17">
        <f t="shared" si="47"/>
        <v>0.87499999999999989</v>
      </c>
      <c r="V35" s="7">
        <f t="shared" si="36"/>
        <v>1.4285714285714286</v>
      </c>
      <c r="W35" s="3"/>
      <c r="X35" s="3">
        <f t="shared" si="37"/>
        <v>1</v>
      </c>
      <c r="Y35" s="3">
        <f t="shared" si="45"/>
        <v>0.6</v>
      </c>
      <c r="Z35" s="28">
        <f t="shared" si="38"/>
        <v>0</v>
      </c>
      <c r="AA35" s="28">
        <f t="shared" si="39"/>
        <v>1.2</v>
      </c>
      <c r="AB35" s="3">
        <f t="shared" si="48"/>
        <v>1.4999999999999998</v>
      </c>
      <c r="AC35" s="18">
        <f t="shared" si="46"/>
        <v>1.6666666666666667</v>
      </c>
      <c r="AD35" s="3">
        <f t="shared" si="40"/>
        <v>1.1874999999999998</v>
      </c>
      <c r="AE35" s="17"/>
    </row>
    <row r="36" spans="1:31" ht="15.75" x14ac:dyDescent="0.25">
      <c r="A36" s="13"/>
      <c r="B36" s="8" t="s">
        <v>84</v>
      </c>
      <c r="C36" s="9">
        <v>10</v>
      </c>
      <c r="D36" s="8">
        <v>2</v>
      </c>
      <c r="E36" s="8"/>
      <c r="F36" s="8"/>
      <c r="G36" s="8"/>
      <c r="H36" s="8"/>
      <c r="I36" s="8"/>
      <c r="J36" s="8"/>
      <c r="K36" s="8" t="s">
        <v>59</v>
      </c>
      <c r="L36" s="8"/>
      <c r="M36" s="8"/>
      <c r="N36" s="8" t="s">
        <v>59</v>
      </c>
      <c r="O36" s="8"/>
      <c r="P36" s="8"/>
      <c r="Q36" s="3">
        <f t="shared" si="32"/>
        <v>1</v>
      </c>
      <c r="R36" s="3">
        <f t="shared" si="33"/>
        <v>0.5</v>
      </c>
      <c r="S36" s="28">
        <f t="shared" si="34"/>
        <v>0.1</v>
      </c>
      <c r="T36" s="28">
        <f t="shared" si="35"/>
        <v>1.7</v>
      </c>
      <c r="U36" s="17">
        <f t="shared" si="47"/>
        <v>1.0625</v>
      </c>
      <c r="V36" s="7">
        <f t="shared" si="36"/>
        <v>1.1764705882352942</v>
      </c>
      <c r="W36" s="3"/>
      <c r="X36" s="3">
        <f t="shared" si="37"/>
        <v>1</v>
      </c>
      <c r="Y36" s="3">
        <f t="shared" si="45"/>
        <v>0.5</v>
      </c>
      <c r="Z36" s="28">
        <f t="shared" si="38"/>
        <v>0</v>
      </c>
      <c r="AA36" s="28">
        <f t="shared" si="39"/>
        <v>0.75</v>
      </c>
      <c r="AB36" s="3">
        <f t="shared" si="48"/>
        <v>0.9375</v>
      </c>
      <c r="AC36" s="18">
        <f t="shared" si="46"/>
        <v>2.6666666666666665</v>
      </c>
      <c r="AD36" s="3">
        <f t="shared" si="40"/>
        <v>1</v>
      </c>
      <c r="AE36" s="17"/>
    </row>
    <row r="37" spans="1:31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3"/>
      <c r="R37" s="3"/>
      <c r="S37" s="3"/>
      <c r="T37" s="28"/>
      <c r="U37" s="3"/>
      <c r="V37" s="7"/>
      <c r="W37" s="4"/>
      <c r="X37" s="3"/>
      <c r="Y37" s="3"/>
      <c r="Z37" s="3"/>
      <c r="AA37" s="5"/>
      <c r="AB37" s="3"/>
      <c r="AC37" s="18"/>
      <c r="AD37" s="3"/>
      <c r="AE37" s="17"/>
    </row>
    <row r="38" spans="1:31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3"/>
      <c r="R38" s="3"/>
      <c r="S38" s="3"/>
      <c r="T38" s="28"/>
      <c r="U38" s="3"/>
      <c r="V38" s="7"/>
      <c r="W38" s="4"/>
      <c r="X38" s="3"/>
      <c r="Y38" s="3"/>
      <c r="Z38" s="3"/>
      <c r="AA38" s="5"/>
      <c r="AB38" s="3"/>
      <c r="AC38" s="18"/>
      <c r="AD38" s="3"/>
      <c r="AE38" s="17"/>
    </row>
    <row r="39" spans="1:31" ht="15.75" x14ac:dyDescent="0.25">
      <c r="A39" s="13"/>
      <c r="B39" s="8" t="s">
        <v>135</v>
      </c>
      <c r="C39" s="9">
        <v>12</v>
      </c>
      <c r="D39" s="8">
        <v>3</v>
      </c>
      <c r="E39" s="8"/>
      <c r="F39" s="1"/>
      <c r="G39" s="1"/>
      <c r="H39" s="1"/>
      <c r="I39" s="1"/>
      <c r="J39" s="1"/>
      <c r="K39" s="1"/>
      <c r="L39" s="1"/>
      <c r="M39" s="1"/>
      <c r="N39" s="1"/>
      <c r="O39" s="1">
        <v>10</v>
      </c>
      <c r="P39" s="1"/>
      <c r="Q39" s="3">
        <f>(10+$AG$4-$AJ$5)/20</f>
        <v>0.5</v>
      </c>
      <c r="R39" s="3">
        <f>(C39/20)*IF($AJ$6=1,IF(F39="X",1,0.5),1)</f>
        <v>0.6</v>
      </c>
      <c r="S39" s="3">
        <f>(IF(( L39="X"),0,($AG$5+I39))/20)</f>
        <v>0.1</v>
      </c>
      <c r="T39" s="5">
        <f>1*R39*Q39*(1+S39)*D39 + IF(N39="X",D39*Q39*0.25,0) + IF(M39="X",D39*Q39*R39*0.5,0) + 2*(O39/20)*Q39*R39</f>
        <v>1.29</v>
      </c>
      <c r="U39" s="3">
        <f>T39/$T$4</f>
        <v>2.9318181818181817</v>
      </c>
      <c r="V39" s="7">
        <f>$AJ$3/T39/2</f>
        <v>1.5503875968992247</v>
      </c>
      <c r="W39" s="4"/>
      <c r="X39" s="3">
        <f>(10+$AG$4-$AJ$5)/20</f>
        <v>0.5</v>
      </c>
      <c r="Y39" s="3">
        <f>(C39/20)</f>
        <v>0.6</v>
      </c>
      <c r="Z39" s="3">
        <f>(IF((OR(K39="X", L39="X")),0,($AG$5+I39))/20)</f>
        <v>0.1</v>
      </c>
      <c r="AA39" s="5">
        <f>IF(G39="X",0,1*Y39*X39*(1+Z39)*D39) * IF($AJ$13=1,IF(F39="X",1,0.5),1) + IF(N39="X",D39*Q39*0.25,0) +  2*(O39/20)*Q39*R39</f>
        <v>0.79499999999999993</v>
      </c>
      <c r="AB39" s="3">
        <f>AA39/$AA$4</f>
        <v>3.6136363636363629</v>
      </c>
      <c r="AC39" s="7">
        <f t="shared" ref="AC39" si="49">$AJ$9/AA39/2</f>
        <v>2.5157232704402519</v>
      </c>
      <c r="AD39" s="3">
        <f>(U39+AB39)/2</f>
        <v>3.2727272727272725</v>
      </c>
      <c r="AE39" s="17"/>
    </row>
    <row r="40" spans="1:31" ht="15.75" x14ac:dyDescent="0.25">
      <c r="A40" s="13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3"/>
      <c r="R40" s="3"/>
      <c r="S40" s="3"/>
      <c r="T40" s="5"/>
      <c r="U40" s="3"/>
      <c r="V40" s="7"/>
      <c r="W40" s="4"/>
      <c r="X40" s="3"/>
      <c r="Y40" s="3"/>
      <c r="Z40" s="3"/>
      <c r="AA40" s="5"/>
      <c r="AB40" s="3"/>
      <c r="AC40" s="18"/>
      <c r="AD40" s="17"/>
      <c r="AE40" s="17"/>
    </row>
    <row r="41" spans="1:31" ht="15.75" x14ac:dyDescent="0.25">
      <c r="A41" s="13"/>
      <c r="B41" s="8"/>
      <c r="C41" s="9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5"/>
      <c r="U41" s="3"/>
      <c r="V41" s="17"/>
      <c r="W41" s="4"/>
      <c r="X41" s="3"/>
      <c r="Y41" s="3"/>
      <c r="Z41" s="3"/>
      <c r="AA41" s="5"/>
      <c r="AB41" s="3"/>
      <c r="AC41" s="18"/>
      <c r="AD41" s="17"/>
      <c r="AE41" s="17"/>
    </row>
    <row r="42" spans="1:31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0"/>
      <c r="Q42" s="10"/>
      <c r="R42" s="10"/>
      <c r="S42" s="10"/>
      <c r="T42" s="10"/>
      <c r="U42" s="11"/>
      <c r="V42" s="12"/>
      <c r="W42" s="10"/>
      <c r="X42" s="10"/>
      <c r="Y42" s="10"/>
      <c r="Z42" s="10"/>
      <c r="AA42" s="10"/>
      <c r="AB42" s="11"/>
      <c r="AC42" s="10"/>
      <c r="AD42" s="14"/>
      <c r="AE42" s="14"/>
    </row>
    <row r="43" spans="1:31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0"/>
      <c r="R43" s="10"/>
      <c r="S43" s="10"/>
      <c r="T43" s="10"/>
      <c r="U43" s="11"/>
      <c r="V43" s="12"/>
      <c r="W43" s="10"/>
      <c r="X43" s="10"/>
      <c r="Y43" s="10"/>
      <c r="Z43" s="10"/>
      <c r="AA43" s="10"/>
      <c r="AB43" s="11"/>
      <c r="AC43" s="10"/>
      <c r="AD43" s="14"/>
      <c r="AE43" s="14"/>
    </row>
    <row r="44" spans="1:31" ht="15.75" x14ac:dyDescent="0.25">
      <c r="A44" s="13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0"/>
      <c r="Q44" s="10"/>
      <c r="R44" s="10"/>
      <c r="S44" s="10"/>
      <c r="T44" s="10"/>
      <c r="U44" s="11"/>
      <c r="V44" s="12"/>
      <c r="W44" s="10"/>
      <c r="X44" s="10"/>
      <c r="Y44" s="10"/>
      <c r="Z44" s="10"/>
      <c r="AA44" s="10"/>
      <c r="AB44" s="11"/>
      <c r="AC44" s="10"/>
      <c r="AD44" s="14"/>
      <c r="AE44" s="14"/>
    </row>
    <row r="45" spans="1:31" ht="15.75" x14ac:dyDescent="0.25">
      <c r="A45" s="13"/>
      <c r="B45" s="8"/>
      <c r="C45" s="9"/>
      <c r="D45" s="8"/>
      <c r="E45" s="8"/>
    </row>
    <row r="46" spans="1:31" ht="15.75" x14ac:dyDescent="0.25">
      <c r="A46" s="15"/>
      <c r="B46" s="8"/>
      <c r="C46" s="9"/>
      <c r="D46" s="8"/>
      <c r="E46" s="8"/>
    </row>
    <row r="47" spans="1:31" ht="15.75" x14ac:dyDescent="0.25">
      <c r="A47" s="13"/>
      <c r="B47" s="8"/>
      <c r="C47" s="9"/>
      <c r="D47" s="8"/>
      <c r="E47" s="8"/>
    </row>
    <row r="48" spans="1:31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3"/>
      <c r="B52" s="8"/>
      <c r="C52" s="9"/>
      <c r="D52" s="8"/>
      <c r="E52" s="8"/>
    </row>
    <row r="53" spans="1:5" ht="15.75" x14ac:dyDescent="0.25">
      <c r="A53" s="14"/>
      <c r="B53" s="8"/>
      <c r="C53" s="9"/>
      <c r="D53" s="8"/>
      <c r="E53" s="8"/>
    </row>
    <row r="54" spans="1:5" ht="15.75" customHeight="1" x14ac:dyDescent="0.25">
      <c r="A54" s="13"/>
      <c r="B54" s="8"/>
      <c r="C54" s="9"/>
      <c r="D54" s="8"/>
      <c r="E54" s="8"/>
    </row>
    <row r="55" spans="1:5" ht="15.75" x14ac:dyDescent="0.25">
      <c r="A55" s="13"/>
      <c r="B55" s="16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3"/>
      <c r="B65" s="8"/>
      <c r="C65" s="9"/>
      <c r="D65" s="8"/>
      <c r="E65" s="8"/>
    </row>
    <row r="66" spans="1:5" ht="15.75" x14ac:dyDescent="0.25">
      <c r="A66" s="14"/>
      <c r="B66" s="8"/>
      <c r="C66" s="9"/>
      <c r="D66" s="8"/>
      <c r="E66" s="8"/>
    </row>
    <row r="67" spans="1:5" ht="15.75" x14ac:dyDescent="0.25">
      <c r="B67" s="8"/>
      <c r="C67" s="9"/>
      <c r="D67" s="8"/>
      <c r="E67" s="8"/>
    </row>
  </sheetData>
  <mergeCells count="3">
    <mergeCell ref="B2:E2"/>
    <mergeCell ref="Q2:T2"/>
    <mergeCell ref="X2:AA2"/>
  </mergeCells>
  <conditionalFormatting sqref="AD14:AD36 AE35 AD5:AD12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42:AB44 U42:U44 V14:V38 AC14:AC38 V4:V12 AC4:AC12 AC40 V40">
    <cfRule type="colorScale" priority="8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42:AA44 T42:T44 U14:U38 AB14:AB38 AB4:AB12 U4:U12 AB40 U40">
    <cfRule type="colorScale" priority="7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42:AC44 AE32:AE34 AD37:AE38 AD4:AE4 AE36 AE5:AE29 AD40:AE40 AE39">
    <cfRule type="colorScale" priority="6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31">
    <cfRule type="colorScale" priority="5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C39 V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U39 AB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C45" sqref="C45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19"/>
      <c r="B2" s="29" t="s">
        <v>4</v>
      </c>
      <c r="C2" s="29"/>
      <c r="D2" s="29"/>
      <c r="E2" s="29"/>
      <c r="R2" s="29" t="s">
        <v>5</v>
      </c>
      <c r="S2" s="29"/>
      <c r="T2" s="29"/>
      <c r="U2" s="29"/>
      <c r="Y2" s="29" t="s">
        <v>20</v>
      </c>
      <c r="Z2" s="29"/>
      <c r="AA2" s="29"/>
      <c r="AB2" s="29"/>
      <c r="AC2" s="21"/>
      <c r="AD2" s="21"/>
      <c r="AG2" t="s">
        <v>8</v>
      </c>
      <c r="AJ2" t="s">
        <v>9</v>
      </c>
    </row>
    <row r="3" spans="1:37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68</v>
      </c>
      <c r="N3" s="6" t="s">
        <v>60</v>
      </c>
      <c r="O3" s="6" t="s">
        <v>112</v>
      </c>
      <c r="P3" s="6" t="s">
        <v>113</v>
      </c>
      <c r="Q3" s="6" t="s">
        <v>62</v>
      </c>
      <c r="R3" s="6" t="s">
        <v>6</v>
      </c>
      <c r="S3" s="6" t="s">
        <v>7</v>
      </c>
      <c r="T3" s="6" t="s">
        <v>17</v>
      </c>
      <c r="U3" s="6" t="s">
        <v>43</v>
      </c>
      <c r="V3" s="6" t="s">
        <v>44</v>
      </c>
      <c r="W3" s="6" t="s">
        <v>48</v>
      </c>
      <c r="X3" s="6" t="s">
        <v>39</v>
      </c>
      <c r="Y3" s="6" t="s">
        <v>42</v>
      </c>
      <c r="Z3" s="6" t="s">
        <v>41</v>
      </c>
      <c r="AA3" s="6" t="s">
        <v>40</v>
      </c>
      <c r="AB3" s="6" t="s">
        <v>46</v>
      </c>
      <c r="AC3" s="6" t="s">
        <v>45</v>
      </c>
      <c r="AD3" s="6" t="s">
        <v>49</v>
      </c>
      <c r="AE3" s="6" t="s">
        <v>53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3" t="s">
        <v>101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59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5">
        <f>1*S4*R4*(1+T4)*D4 + IF(P4="X",D4*R4*0.25,0)</f>
        <v>0.8</v>
      </c>
      <c r="V4" s="3">
        <f>U4/$U$4</f>
        <v>1</v>
      </c>
      <c r="W4" s="7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5">
        <f>IF(G4="X",0,1*Z4*Y4*(1+AA4)*D4) * IF($AK$13=1,IF(F4="X",1,0.5),1) + IF(P4="X",D4*R4*0.25,0)</f>
        <v>0.52500000000000002</v>
      </c>
      <c r="AC4" s="3">
        <f>AB4/$AB$4</f>
        <v>1</v>
      </c>
      <c r="AD4" s="7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85</v>
      </c>
      <c r="AK4">
        <v>10</v>
      </c>
    </row>
    <row r="5" spans="1:37" x14ac:dyDescent="0.25">
      <c r="A5" s="1"/>
      <c r="B5" s="8" t="s">
        <v>102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5">
        <f t="shared" ref="U5:U7" si="1">1*S5*R5*(1+T5)*D5 + IF(P5="X",D5*R5*0.25,0)</f>
        <v>0.99</v>
      </c>
      <c r="V5" s="3">
        <f>U5/$U$4</f>
        <v>1.2374999999999998</v>
      </c>
      <c r="W5" s="7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5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7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18</v>
      </c>
      <c r="AH5">
        <v>2</v>
      </c>
      <c r="AJ5" t="s">
        <v>86</v>
      </c>
      <c r="AK5">
        <v>10</v>
      </c>
    </row>
    <row r="6" spans="1:37" ht="15.75" x14ac:dyDescent="0.25">
      <c r="A6" s="1"/>
      <c r="B6" s="1" t="s">
        <v>106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59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5">
        <f t="shared" si="1"/>
        <v>1.53</v>
      </c>
      <c r="V6" s="3">
        <f t="shared" ref="V6:V7" si="4">U6/$U$4</f>
        <v>1.9124999999999999</v>
      </c>
      <c r="W6" s="7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5">
        <f t="shared" si="3"/>
        <v>0.66375000000000006</v>
      </c>
      <c r="AC6" s="3">
        <f t="shared" ref="AC6:AC7" si="5">AB6/$AB$4</f>
        <v>1.2642857142857145</v>
      </c>
      <c r="AD6" s="7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107</v>
      </c>
      <c r="AK6">
        <v>0</v>
      </c>
    </row>
    <row r="7" spans="1:37" x14ac:dyDescent="0.25">
      <c r="A7" s="1"/>
      <c r="B7" s="22" t="s">
        <v>103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5">
        <f t="shared" si="1"/>
        <v>0.77</v>
      </c>
      <c r="V7" s="3">
        <f t="shared" si="4"/>
        <v>0.96250000000000002</v>
      </c>
      <c r="W7" s="7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5">
        <f t="shared" si="3"/>
        <v>0.1925</v>
      </c>
      <c r="AC7" s="3">
        <f t="shared" si="5"/>
        <v>0.36666666666666664</v>
      </c>
      <c r="AD7" s="7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5"/>
      <c r="V8" s="3"/>
      <c r="W8" s="7"/>
      <c r="X8" s="4"/>
      <c r="Y8" s="4"/>
      <c r="Z8" s="3"/>
      <c r="AA8" s="3"/>
      <c r="AB8" s="5"/>
      <c r="AC8" s="3"/>
      <c r="AD8" s="7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5"/>
      <c r="V9" s="3"/>
      <c r="W9" s="7"/>
      <c r="X9" s="4"/>
      <c r="Y9" s="4"/>
      <c r="Z9" s="3"/>
      <c r="AA9" s="3"/>
      <c r="AB9" s="5"/>
      <c r="AC9" s="3"/>
      <c r="AD9" s="7"/>
      <c r="AE9" s="3"/>
      <c r="AJ9" t="s">
        <v>47</v>
      </c>
      <c r="AK9">
        <v>4</v>
      </c>
    </row>
    <row r="10" spans="1:37" ht="15.75" x14ac:dyDescent="0.25">
      <c r="A10" s="1"/>
      <c r="B10" s="1" t="s">
        <v>89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5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7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5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18">
        <f>$AK$9/Table145[[#This Row],[WoundÆ]]/2</f>
        <v>4.4444444444444438</v>
      </c>
      <c r="AE10" s="17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105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5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7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5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18">
        <f>$AK$9/Table145[[#This Row],[WoundÆ]]/2</f>
        <v>3.3333333333333335</v>
      </c>
      <c r="AE11" s="17">
        <f>(Table145[[#This Row],[% Base]]+Table145[[#This Row],[% Base2]])/2</f>
        <v>1.333333333333333</v>
      </c>
      <c r="AJ11" t="s">
        <v>85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5"/>
      <c r="V12" s="3"/>
      <c r="W12" s="7"/>
      <c r="X12" s="4"/>
      <c r="Y12" s="3"/>
      <c r="Z12" s="3"/>
      <c r="AA12" s="3"/>
      <c r="AB12" s="5"/>
      <c r="AC12" s="3"/>
      <c r="AD12" s="18"/>
      <c r="AE12" s="17"/>
      <c r="AJ12" t="s">
        <v>86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5"/>
      <c r="V13" s="3"/>
      <c r="W13" s="7"/>
      <c r="X13" s="4"/>
      <c r="Y13" s="3"/>
      <c r="Z13" s="3"/>
      <c r="AA13" s="3"/>
      <c r="AB13" s="5"/>
      <c r="AC13" s="3"/>
      <c r="AD13" s="18"/>
      <c r="AE13" s="17"/>
      <c r="AJ13" t="s">
        <v>107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5"/>
      <c r="V14" s="3"/>
      <c r="W14" s="7"/>
      <c r="X14" s="4"/>
      <c r="Y14" s="3"/>
      <c r="Z14" s="3"/>
      <c r="AA14" s="3"/>
      <c r="AB14" s="5"/>
      <c r="AC14" s="3"/>
      <c r="AD14" s="18"/>
      <c r="AE14" s="17"/>
    </row>
    <row r="15" spans="1:37" ht="15.75" x14ac:dyDescent="0.25">
      <c r="A15" s="1"/>
      <c r="B15" s="1" t="s">
        <v>90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5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7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5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18">
        <f>$AK$9/Table145[[#This Row],[WoundÆ]]</f>
        <v>8.8888888888888875</v>
      </c>
      <c r="AE15" s="17">
        <f>(Table145[[#This Row],[% Base]]+Table145[[#This Row],[% Base2]])/2</f>
        <v>1</v>
      </c>
    </row>
    <row r="16" spans="1:37" ht="15.75" x14ac:dyDescent="0.25">
      <c r="A16" s="1"/>
      <c r="B16" s="1" t="s">
        <v>91</v>
      </c>
      <c r="C16" s="2">
        <v>10</v>
      </c>
      <c r="D16" s="1">
        <v>3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5">
        <f t="shared" si="9"/>
        <v>1.05</v>
      </c>
      <c r="V16" s="3">
        <f t="shared" ref="V16:V23" si="15">U16/$U$15</f>
        <v>1.1666666666666665</v>
      </c>
      <c r="W16" s="7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5">
        <f t="shared" si="13"/>
        <v>1.05</v>
      </c>
      <c r="AC16" s="3">
        <f t="shared" si="14"/>
        <v>2.333333333333333</v>
      </c>
      <c r="AD16" s="18">
        <f>$AK$9/Table145[[#This Row],[WoundÆ]]</f>
        <v>3.8095238095238093</v>
      </c>
      <c r="AE16" s="17">
        <f>(Table145[[#This Row],[% Base]]+Table145[[#This Row],[% Base2]])/2</f>
        <v>1.7499999999999998</v>
      </c>
    </row>
    <row r="17" spans="1:31" ht="15.75" x14ac:dyDescent="0.25">
      <c r="A17" s="1"/>
      <c r="B17" s="1" t="s">
        <v>92</v>
      </c>
      <c r="C17" s="2">
        <v>8</v>
      </c>
      <c r="D17" s="1">
        <v>5</v>
      </c>
      <c r="E17" s="1"/>
      <c r="F17" s="1"/>
      <c r="G17" s="1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5">
        <f t="shared" si="9"/>
        <v>1.5</v>
      </c>
      <c r="V17" s="3">
        <f t="shared" si="15"/>
        <v>1.6666666666666665</v>
      </c>
      <c r="W17" s="7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5">
        <f t="shared" si="13"/>
        <v>0</v>
      </c>
      <c r="AC17" s="3">
        <f t="shared" si="14"/>
        <v>0</v>
      </c>
      <c r="AD17" s="18" t="e">
        <f>$AK$9/Table145[[#This Row],[WoundÆ]]</f>
        <v>#DIV/0!</v>
      </c>
      <c r="AE17" s="17">
        <f>(Table145[[#This Row],[% Base]]+Table145[[#This Row],[% Base2]])/2</f>
        <v>0.83333333333333326</v>
      </c>
    </row>
    <row r="18" spans="1:31" ht="15.75" x14ac:dyDescent="0.25">
      <c r="A18" s="1"/>
      <c r="B18" s="1" t="s">
        <v>27</v>
      </c>
      <c r="C18" s="2">
        <v>10</v>
      </c>
      <c r="D18" s="1">
        <v>1</v>
      </c>
      <c r="E18" s="1" t="s">
        <v>56</v>
      </c>
      <c r="F18" s="1"/>
      <c r="G18" s="1"/>
      <c r="H18" s="1"/>
      <c r="I18" s="1"/>
      <c r="J18" s="1"/>
      <c r="K18" s="1" t="s">
        <v>59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5">
        <f t="shared" si="9"/>
        <v>0.6</v>
      </c>
      <c r="V18" s="3">
        <f t="shared" si="15"/>
        <v>0.66666666666666652</v>
      </c>
      <c r="W18" s="7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5">
        <f t="shared" si="13"/>
        <v>0.3</v>
      </c>
      <c r="AC18" s="3">
        <f t="shared" si="14"/>
        <v>0.66666666666666652</v>
      </c>
      <c r="AD18" s="18">
        <f>$AK$9/Table145[[#This Row],[WoundÆ]]</f>
        <v>13.333333333333334</v>
      </c>
      <c r="AE18" s="17">
        <f>(Table145[[#This Row],[% Base]]+Table145[[#This Row],[% Base2]])/2</f>
        <v>0.66666666666666652</v>
      </c>
    </row>
    <row r="19" spans="1:31" ht="15.75" x14ac:dyDescent="0.25">
      <c r="A19" s="1"/>
      <c r="B19" s="1" t="s">
        <v>93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59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5">
        <f t="shared" si="9"/>
        <v>1.1000000000000001</v>
      </c>
      <c r="V19" s="3">
        <f t="shared" si="15"/>
        <v>1.2222222222222221</v>
      </c>
      <c r="W19" s="7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5">
        <f t="shared" si="13"/>
        <v>0.55000000000000004</v>
      </c>
      <c r="AC19" s="3">
        <f t="shared" si="14"/>
        <v>1.2222222222222221</v>
      </c>
      <c r="AD19" s="18">
        <f>$AK$9/Table145[[#This Row],[WoundÆ]]</f>
        <v>7.2727272727272725</v>
      </c>
      <c r="AE19" s="17">
        <f>(Table145[[#This Row],[% Base]]+Table145[[#This Row],[% Base2]])/2</f>
        <v>1.2222222222222221</v>
      </c>
    </row>
    <row r="20" spans="1:31" ht="15.75" x14ac:dyDescent="0.25">
      <c r="A20" s="1"/>
      <c r="B20" s="1" t="s">
        <v>95</v>
      </c>
      <c r="C20" s="2">
        <v>10</v>
      </c>
      <c r="D20" s="1">
        <v>4</v>
      </c>
      <c r="E20" s="1" t="s">
        <v>96</v>
      </c>
      <c r="F20" s="1"/>
      <c r="G20" s="1" t="s">
        <v>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5">
        <f t="shared" si="9"/>
        <v>1.4</v>
      </c>
      <c r="V20" s="3">
        <f t="shared" si="15"/>
        <v>1.5555555555555551</v>
      </c>
      <c r="W20" s="7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5">
        <f t="shared" si="13"/>
        <v>0</v>
      </c>
      <c r="AC20" s="3">
        <f t="shared" si="14"/>
        <v>0</v>
      </c>
      <c r="AD20" s="18" t="e">
        <f>$AK$9/Table145[[#This Row],[WoundÆ]]</f>
        <v>#DIV/0!</v>
      </c>
      <c r="AE20" s="17">
        <f>(Table145[[#This Row],[% Base]]+Table145[[#This Row],[% Base2]])/2</f>
        <v>0.77777777777777757</v>
      </c>
    </row>
    <row r="21" spans="1:31" ht="15.75" x14ac:dyDescent="0.25">
      <c r="A21" s="1"/>
      <c r="B21" s="1" t="s">
        <v>94</v>
      </c>
      <c r="C21" s="2">
        <v>10</v>
      </c>
      <c r="D21" s="1">
        <v>2</v>
      </c>
      <c r="E21" s="1" t="s">
        <v>69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5">
        <f t="shared" si="9"/>
        <v>0.7</v>
      </c>
      <c r="V21" s="3">
        <f t="shared" si="15"/>
        <v>0.77777777777777757</v>
      </c>
      <c r="W21" s="7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5">
        <f t="shared" si="13"/>
        <v>0.7</v>
      </c>
      <c r="AC21" s="3">
        <f t="shared" si="14"/>
        <v>1.5555555555555551</v>
      </c>
      <c r="AD21" s="18">
        <f>$AK$9/Table145[[#This Row],[WoundÆ]]</f>
        <v>5.7142857142857144</v>
      </c>
      <c r="AE21" s="17">
        <f>(Table145[[#This Row],[% Base]]+Table145[[#This Row],[% Base2]])/2</f>
        <v>1.1666666666666663</v>
      </c>
    </row>
    <row r="22" spans="1:31" ht="15.75" x14ac:dyDescent="0.25">
      <c r="A22" s="1"/>
      <c r="B22" s="1" t="s">
        <v>97</v>
      </c>
      <c r="C22" s="2">
        <v>8</v>
      </c>
      <c r="D22" s="1">
        <v>2</v>
      </c>
      <c r="E22" s="1" t="s">
        <v>56</v>
      </c>
      <c r="F22" s="1"/>
      <c r="G22" s="1" t="s">
        <v>59</v>
      </c>
      <c r="H22" s="1"/>
      <c r="I22" s="1"/>
      <c r="J22" s="1"/>
      <c r="K22" s="1" t="s">
        <v>59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5">
        <f t="shared" si="9"/>
        <v>1</v>
      </c>
      <c r="V22" s="3">
        <f t="shared" si="15"/>
        <v>1.1111111111111109</v>
      </c>
      <c r="W22" s="7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5">
        <f t="shared" si="13"/>
        <v>0</v>
      </c>
      <c r="AC22" s="3">
        <f t="shared" si="14"/>
        <v>0</v>
      </c>
      <c r="AD22" s="18" t="e">
        <f>$AK$9/Table145[[#This Row],[WoundÆ]]</f>
        <v>#DIV/0!</v>
      </c>
      <c r="AE22" s="17">
        <f>(Table145[[#This Row],[% Base]]+Table145[[#This Row],[% Base2]])/2</f>
        <v>0.55555555555555547</v>
      </c>
    </row>
    <row r="23" spans="1:31" ht="15.75" x14ac:dyDescent="0.25">
      <c r="A23" s="1"/>
      <c r="B23" s="1" t="s">
        <v>98</v>
      </c>
      <c r="C23" s="2">
        <v>12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5">
        <f t="shared" si="9"/>
        <v>1.2</v>
      </c>
      <c r="V23" s="3">
        <f t="shared" si="15"/>
        <v>1.333333333333333</v>
      </c>
      <c r="W23" s="7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5">
        <f t="shared" si="13"/>
        <v>1.2</v>
      </c>
      <c r="AC23" s="3">
        <f t="shared" si="14"/>
        <v>2.6666666666666661</v>
      </c>
      <c r="AD23" s="18">
        <f>$AK$9/Table145[[#This Row],[WoundÆ]]</f>
        <v>3.3333333333333335</v>
      </c>
      <c r="AE23" s="17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5"/>
      <c r="V24" s="3"/>
      <c r="W24" s="7"/>
      <c r="X24" s="4"/>
      <c r="Y24" s="3"/>
      <c r="Z24" s="3"/>
      <c r="AA24" s="3"/>
      <c r="AB24" s="5"/>
      <c r="AC24" s="3"/>
      <c r="AD24" s="18"/>
      <c r="AE24" s="17"/>
    </row>
    <row r="25" spans="1:31" ht="15.75" x14ac:dyDescent="0.25">
      <c r="A25" s="1"/>
      <c r="B25" s="1" t="s">
        <v>99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5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7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5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18">
        <f>$AK$9/Table145[[#This Row],[WoundÆ]]</f>
        <v>4.0251572327044025</v>
      </c>
      <c r="AE25" s="17">
        <f>(Table145[[#This Row],[% Base]]+Table145[[#This Row],[% Base2]])/2</f>
        <v>1</v>
      </c>
    </row>
    <row r="26" spans="1:31" ht="15.75" x14ac:dyDescent="0.25">
      <c r="A26" s="1"/>
      <c r="B26" s="1" t="s">
        <v>100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59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5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7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5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18">
        <f>$AK$9/Table145[[#This Row],[WoundÆ]]</f>
        <v>5.7142857142857144</v>
      </c>
      <c r="AE26" s="17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5"/>
      <c r="V27" s="3"/>
      <c r="W27" s="7"/>
      <c r="X27" s="4"/>
      <c r="Y27" s="4"/>
      <c r="Z27" s="3"/>
      <c r="AA27" s="3"/>
      <c r="AB27" s="5"/>
      <c r="AC27" s="3"/>
      <c r="AD27" s="7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5"/>
      <c r="V28" s="3"/>
      <c r="W28" s="7"/>
      <c r="X28" s="4"/>
      <c r="Y28" s="4"/>
      <c r="Z28" s="3"/>
      <c r="AA28" s="3"/>
      <c r="AB28" s="5"/>
      <c r="AC28" s="3"/>
      <c r="AD28" s="7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5"/>
      <c r="V29" s="3"/>
      <c r="W29" s="17"/>
      <c r="X29" s="4"/>
      <c r="Y29" s="3"/>
      <c r="Z29" s="3"/>
      <c r="AA29" s="3"/>
      <c r="AB29" s="5"/>
      <c r="AC29" s="3"/>
      <c r="AD29" s="18"/>
      <c r="AE29" s="17"/>
    </row>
    <row r="30" spans="1:31" ht="30" x14ac:dyDescent="0.25">
      <c r="A30" s="1"/>
      <c r="B30" s="23" t="s">
        <v>108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59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5">
        <f>1*S30*R30*(1+T30)*D30 + IF(P30="X",D30*R30*0.25,0)</f>
        <v>2.2750000000000004</v>
      </c>
      <c r="V30" s="3">
        <f>U30/$U$4</f>
        <v>2.8437500000000004</v>
      </c>
      <c r="W30" s="7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5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7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109</v>
      </c>
      <c r="C31" s="2">
        <v>15</v>
      </c>
      <c r="D31" s="1">
        <v>4</v>
      </c>
      <c r="E31" s="1" t="s">
        <v>110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5">
        <f t="shared" ref="U31:U32" si="19">1*S31*(R31)*(1+T31)*D31</f>
        <v>1.6500000000000001</v>
      </c>
      <c r="V31" s="3">
        <f t="shared" ref="V31:V32" si="20">U31/$U$25</f>
        <v>0.83018867924528306</v>
      </c>
      <c r="W31" s="17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5">
        <f t="shared" ref="AB31:AB32" si="24">1*Z31*(Y31)*(1+AA31)*D31</f>
        <v>1.6500000000000001</v>
      </c>
      <c r="AC31" s="3">
        <f t="shared" ref="AC31:AC32" si="25">AB31/$AB$25</f>
        <v>1.6603773584905661</v>
      </c>
      <c r="AD31" s="18">
        <f>$AK$9/Table145[[#This Row],[WoundÆ]]</f>
        <v>2.4242424242424239</v>
      </c>
      <c r="AE31" s="17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5">
        <f t="shared" si="19"/>
        <v>0</v>
      </c>
      <c r="V32" s="3">
        <f t="shared" si="20"/>
        <v>0</v>
      </c>
      <c r="W32" s="17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5">
        <f t="shared" si="24"/>
        <v>0</v>
      </c>
      <c r="AC32" s="3">
        <f t="shared" si="25"/>
        <v>0</v>
      </c>
      <c r="AD32" s="18" t="e">
        <f>$AK$9/Table145[[#This Row],[WoundÆ]]</f>
        <v>#DIV/0!</v>
      </c>
      <c r="AE32" s="17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5"/>
      <c r="V33" s="3"/>
      <c r="W33" s="17"/>
      <c r="X33" s="4"/>
      <c r="Y33" s="3"/>
      <c r="Z33" s="3"/>
      <c r="AA33" s="3"/>
      <c r="AB33" s="5"/>
      <c r="AC33" s="3"/>
      <c r="AD33" s="18"/>
      <c r="AE33" s="17"/>
      <c r="AF33" s="14"/>
    </row>
    <row r="34" spans="1:32" ht="15.75" x14ac:dyDescent="0.25">
      <c r="A34" s="8"/>
      <c r="B34" s="1" t="s">
        <v>111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59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5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7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5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18">
        <f>$AK$9/Table145[[#This Row],[WoundÆ]]</f>
        <v>5.6140350877192988</v>
      </c>
      <c r="AE34" s="17">
        <f>(Table145[[#This Row],[% Base]]+Table145[[#This Row],[% Base2]])/2</f>
        <v>1.5833333333333328</v>
      </c>
      <c r="AF34" s="14"/>
    </row>
    <row r="35" spans="1:32" ht="15.75" x14ac:dyDescent="0.2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5">
        <f t="shared" ref="U35" si="38">1*S35*(R35)*(1+T35)*D35</f>
        <v>0</v>
      </c>
      <c r="V35" s="3">
        <f t="shared" ref="V35" si="39">U35/$U$25</f>
        <v>0</v>
      </c>
      <c r="W35" s="17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5">
        <f t="shared" ref="AB35" si="43">1*Z35*(Y35)*(1+AA35)*D35</f>
        <v>0</v>
      </c>
      <c r="AC35" s="3">
        <f t="shared" ref="AC35" si="44">AB35/$AB$25</f>
        <v>0</v>
      </c>
      <c r="AD35" s="18" t="e">
        <f>$AK$9/Table145[[#This Row],[WoundÆ]]</f>
        <v>#DIV/0!</v>
      </c>
      <c r="AE35" s="17">
        <f>(Table145[[#This Row],[% Base]]+Table145[[#This Row],[% Base2]])/2</f>
        <v>0</v>
      </c>
      <c r="AF35" s="14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  <c r="U36" s="5"/>
      <c r="V36" s="3"/>
      <c r="W36" s="7"/>
      <c r="X36" s="4"/>
      <c r="Y36" s="3"/>
      <c r="Z36" s="3"/>
      <c r="AA36" s="3"/>
      <c r="AB36" s="5"/>
      <c r="AC36" s="3"/>
      <c r="AD36" s="18"/>
      <c r="AE36" s="17"/>
      <c r="AF36" s="14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3"/>
      <c r="S37" s="3"/>
      <c r="T37" s="3"/>
      <c r="U37" s="5"/>
      <c r="V37" s="3"/>
      <c r="W37" s="7"/>
      <c r="X37" s="4"/>
      <c r="Y37" s="3"/>
      <c r="Z37" s="3"/>
      <c r="AA37" s="3"/>
      <c r="AB37" s="5"/>
      <c r="AC37" s="3"/>
      <c r="AD37" s="18"/>
      <c r="AE37" s="17"/>
      <c r="AF37" s="14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3"/>
      <c r="S38" s="3"/>
      <c r="T38" s="3"/>
      <c r="U38" s="5"/>
      <c r="V38" s="3"/>
      <c r="W38" s="7"/>
      <c r="X38" s="4"/>
      <c r="Y38" s="3"/>
      <c r="Z38" s="3"/>
      <c r="AA38" s="3"/>
      <c r="AB38" s="5"/>
      <c r="AC38" s="3"/>
      <c r="AD38" s="18"/>
      <c r="AE38" s="17"/>
      <c r="AF38" s="14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  <c r="U39" s="5"/>
      <c r="V39" s="3"/>
      <c r="W39" s="7"/>
      <c r="X39" s="4"/>
      <c r="Y39" s="3"/>
      <c r="Z39" s="3"/>
      <c r="AA39" s="3"/>
      <c r="AB39" s="5"/>
      <c r="AC39" s="3"/>
      <c r="AD39" s="18"/>
      <c r="AE39" s="17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5"/>
      <c r="V40" s="3"/>
      <c r="W40" s="17"/>
      <c r="X40" s="4"/>
      <c r="Y40" s="3"/>
      <c r="Z40" s="3"/>
      <c r="AA40" s="3"/>
      <c r="AB40" s="5"/>
      <c r="AC40" s="3"/>
      <c r="AD40" s="18"/>
      <c r="AE40" s="17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10"/>
      <c r="U41" s="10"/>
      <c r="V41" s="11"/>
      <c r="W41" s="12"/>
      <c r="X41" s="10"/>
      <c r="Y41" s="10"/>
      <c r="Z41" s="10"/>
      <c r="AA41" s="10"/>
      <c r="AB41" s="10"/>
      <c r="AC41" s="11"/>
      <c r="AD41" s="10"/>
      <c r="AE41" s="14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10"/>
      <c r="U42" s="10"/>
      <c r="V42" s="11"/>
      <c r="W42" s="12"/>
      <c r="X42" s="10"/>
      <c r="Y42" s="10"/>
      <c r="Z42" s="10"/>
      <c r="AA42" s="10"/>
      <c r="AB42" s="10"/>
      <c r="AC42" s="11"/>
      <c r="AD42" s="10"/>
      <c r="AE42" s="14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10"/>
      <c r="U43" s="10"/>
      <c r="V43" s="11"/>
      <c r="W43" s="12"/>
      <c r="X43" s="10"/>
      <c r="Y43" s="10"/>
      <c r="Z43" s="10"/>
      <c r="AA43" s="10"/>
      <c r="AB43" s="10"/>
      <c r="AC43" s="11"/>
      <c r="AD43" s="10"/>
      <c r="AE43" s="14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 W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0 V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4 W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4 V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19"/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4"/>
      <c r="AB2" s="24"/>
      <c r="AE2" t="s">
        <v>8</v>
      </c>
      <c r="AH2" t="s">
        <v>9</v>
      </c>
    </row>
    <row r="3" spans="1:35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19" t="s">
        <v>102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 t="shared" ref="P4:P9" si="0">(10+$AF$4-$AI$5)/20</f>
        <v>0.5</v>
      </c>
      <c r="Q4" s="3">
        <f t="shared" ref="Q4:Q9" si="1">(C4/20)*IF($AI$6=1,IF(F4="X",1,0.5),1)</f>
        <v>0.5</v>
      </c>
      <c r="R4" s="3">
        <f t="shared" ref="R4:R9" si="2">(IF(( L4="X"),0,($AF$5+I4))/20)</f>
        <v>0.1</v>
      </c>
      <c r="S4" s="5">
        <f>1*Q4*P4*(1+R4)*D4 + IF(N4="X",D4*P4*0.25,0) + IF(M4="X",D4*P4*Q4*0.5,0)</f>
        <v>0.82500000000000007</v>
      </c>
      <c r="T4" s="3">
        <f>S4/$S$4</f>
        <v>1</v>
      </c>
      <c r="U4" s="7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 t="shared" ref="Y4:Y9" si="3">(IF((OR(K4="X", L4="X")),0,($AF$5+I4))/20)</f>
        <v>0.1</v>
      </c>
      <c r="Z4" s="5">
        <f t="shared" ref="Z4:Z9" si="4">IF(G4="X",0,1*X4*W4*(1+Y4)*D4) * IF($AI$14=1,IF(F4="X",1,0.5),1) + IF(N4="X",D4*P4*0.25,0)</f>
        <v>0.41250000000000003</v>
      </c>
      <c r="AA4" s="3">
        <f>Z4/$Z$4</f>
        <v>1</v>
      </c>
      <c r="AB4" s="7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85</v>
      </c>
      <c r="AI4">
        <v>10</v>
      </c>
    </row>
    <row r="5" spans="1:35" x14ac:dyDescent="0.25">
      <c r="A5" s="1"/>
      <c r="B5" s="19" t="s">
        <v>114</v>
      </c>
      <c r="C5" s="1">
        <v>15</v>
      </c>
      <c r="D5" s="1">
        <v>3</v>
      </c>
      <c r="E5" s="1"/>
      <c r="F5" s="1"/>
      <c r="G5" s="1" t="s">
        <v>59</v>
      </c>
      <c r="H5" s="1"/>
      <c r="I5" s="1"/>
      <c r="J5" s="1"/>
      <c r="K5" s="1"/>
      <c r="L5" s="1"/>
      <c r="M5" s="1" t="s">
        <v>59</v>
      </c>
      <c r="N5" s="1"/>
      <c r="O5" s="1"/>
      <c r="P5" s="3">
        <f t="shared" si="0"/>
        <v>0.5</v>
      </c>
      <c r="Q5" s="3">
        <f t="shared" si="1"/>
        <v>0.75</v>
      </c>
      <c r="R5" s="3">
        <f t="shared" si="2"/>
        <v>0.1</v>
      </c>
      <c r="S5" s="5">
        <f>1*Q5*P5*(1+R5)*D5 + IF(N5="X",D5*P5*0.25,0) + IF(M5="X",D5*P5*Q5*0.5,0)</f>
        <v>1.8</v>
      </c>
      <c r="T5" s="3">
        <f>S5/$S$4</f>
        <v>2.1818181818181817</v>
      </c>
      <c r="U5" s="7">
        <f>$AI$10/Table1453[[#This Row],[WoundsÆ]]/2</f>
        <v>1.1111111111111112</v>
      </c>
      <c r="V5" s="4"/>
      <c r="W5" s="3">
        <f t="shared" ref="W5:W9" si="5">(10+$AF$4-$AI$5)/20</f>
        <v>0.5</v>
      </c>
      <c r="X5" s="3">
        <f>(C5/20)*IF($AI$14=1,IF(F5="X",1,0.5),1)</f>
        <v>0.375</v>
      </c>
      <c r="Y5" s="3">
        <f t="shared" si="3"/>
        <v>0.1</v>
      </c>
      <c r="Z5" s="5">
        <f t="shared" si="4"/>
        <v>0</v>
      </c>
      <c r="AA5" s="3">
        <f>Z5/$Z$4</f>
        <v>0</v>
      </c>
      <c r="AB5" s="7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18</v>
      </c>
      <c r="AF5">
        <v>2</v>
      </c>
      <c r="AH5" t="s">
        <v>86</v>
      </c>
      <c r="AI5">
        <v>10</v>
      </c>
    </row>
    <row r="6" spans="1:35" ht="15.75" x14ac:dyDescent="0.25">
      <c r="A6" s="1"/>
      <c r="B6" s="19" t="s">
        <v>115</v>
      </c>
      <c r="C6" s="2">
        <v>16</v>
      </c>
      <c r="D6" s="1">
        <v>2</v>
      </c>
      <c r="E6" s="1"/>
      <c r="F6" s="1" t="s">
        <v>59</v>
      </c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0.8</v>
      </c>
      <c r="R6" s="3">
        <f t="shared" si="2"/>
        <v>0.1</v>
      </c>
      <c r="S6" s="5">
        <f t="shared" ref="S6:S8" si="6">1*Q6*P6*(1+R6)*D6 + IF(N6="X",D6*P6*0.25,0) + IF(M6="X",D6*P6*Q6*0.5,0)</f>
        <v>0.88000000000000012</v>
      </c>
      <c r="T6" s="3">
        <f t="shared" ref="T6:T7" si="7">S6/$S$4</f>
        <v>1.0666666666666667</v>
      </c>
      <c r="U6" s="7">
        <f>$AI$10/Table1453[[#This Row],[WoundsÆ]]/2</f>
        <v>2.2727272727272725</v>
      </c>
      <c r="V6" s="4"/>
      <c r="W6" s="3">
        <f t="shared" si="5"/>
        <v>0.5</v>
      </c>
      <c r="X6" s="3">
        <f>(C6/20)*IF($AI$14=1,IF(F6="X",1,0.5),1)</f>
        <v>0.8</v>
      </c>
      <c r="Y6" s="3">
        <f t="shared" si="3"/>
        <v>0.1</v>
      </c>
      <c r="Z6" s="5">
        <f t="shared" si="4"/>
        <v>0.88000000000000012</v>
      </c>
      <c r="AA6" s="3">
        <f t="shared" ref="AA6:AA7" si="8">Z6/$Z$4</f>
        <v>2.1333333333333333</v>
      </c>
      <c r="AB6" s="7">
        <f>$AI$10/Table1453[[#This Row],[WoundÆ]]/2</f>
        <v>2.2727272727272725</v>
      </c>
      <c r="AC6" s="3">
        <f>(Table1453[[#This Row],[% Base]]+Table1453[[#This Row],[% Base2]])/2</f>
        <v>1.6</v>
      </c>
      <c r="AH6" t="s">
        <v>107</v>
      </c>
      <c r="AI6">
        <v>0</v>
      </c>
    </row>
    <row r="7" spans="1:35" x14ac:dyDescent="0.25">
      <c r="A7" s="1"/>
      <c r="B7" s="19" t="s">
        <v>122</v>
      </c>
      <c r="C7" s="1">
        <v>14</v>
      </c>
      <c r="D7" s="1">
        <v>2</v>
      </c>
      <c r="E7" s="1" t="s">
        <v>123</v>
      </c>
      <c r="F7" s="1"/>
      <c r="G7" s="1"/>
      <c r="H7" s="1"/>
      <c r="I7" s="1"/>
      <c r="J7" s="1"/>
      <c r="K7" s="1"/>
      <c r="L7" s="1"/>
      <c r="M7" s="1" t="s">
        <v>59</v>
      </c>
      <c r="N7" s="1"/>
      <c r="O7" s="1"/>
      <c r="P7" s="3">
        <f t="shared" si="0"/>
        <v>0.5</v>
      </c>
      <c r="Q7" s="3">
        <f t="shared" si="1"/>
        <v>0.7</v>
      </c>
      <c r="R7" s="3">
        <f t="shared" si="2"/>
        <v>0.1</v>
      </c>
      <c r="S7" s="5">
        <f t="shared" si="6"/>
        <v>1.1200000000000001</v>
      </c>
      <c r="T7" s="3">
        <f t="shared" si="7"/>
        <v>1.3575757575757577</v>
      </c>
      <c r="U7" s="7">
        <f>$AI$10/Table1453[[#This Row],[WoundsÆ]]/2</f>
        <v>1.7857142857142856</v>
      </c>
      <c r="V7" s="4"/>
      <c r="W7" s="3">
        <f t="shared" si="5"/>
        <v>0.5</v>
      </c>
      <c r="X7" s="3">
        <f>(C7/20)*IF($AI$14=1,IF(F7="X",1,0.5),1)</f>
        <v>0.35</v>
      </c>
      <c r="Y7" s="3">
        <f t="shared" si="3"/>
        <v>0.1</v>
      </c>
      <c r="Z7" s="5">
        <f t="shared" si="4"/>
        <v>0.1925</v>
      </c>
      <c r="AA7" s="3">
        <f t="shared" si="8"/>
        <v>0.46666666666666662</v>
      </c>
      <c r="AB7" s="7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19" t="s">
        <v>116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59</v>
      </c>
      <c r="O8" s="1"/>
      <c r="P8" s="3">
        <f t="shared" si="0"/>
        <v>0.5</v>
      </c>
      <c r="Q8" s="3">
        <f t="shared" si="1"/>
        <v>0.6</v>
      </c>
      <c r="R8" s="3">
        <f t="shared" si="2"/>
        <v>0.1</v>
      </c>
      <c r="S8" s="5">
        <f t="shared" si="6"/>
        <v>0.91</v>
      </c>
      <c r="T8" s="3">
        <f t="shared" ref="T8" si="9">S8/$S$4</f>
        <v>1.103030303030303</v>
      </c>
      <c r="U8" s="7">
        <f>$AI$10/Table1453[[#This Row],[WoundsÆ]]/2</f>
        <v>2.1978021978021975</v>
      </c>
      <c r="V8" s="4"/>
      <c r="W8" s="3">
        <f t="shared" si="5"/>
        <v>0.5</v>
      </c>
      <c r="X8" s="3">
        <f>(C8/20)*IF($AI$14=1,IF(F8="X",1,0.5),1)</f>
        <v>0.3</v>
      </c>
      <c r="Y8" s="3">
        <f t="shared" si="3"/>
        <v>0.1</v>
      </c>
      <c r="Z8" s="5">
        <f t="shared" si="4"/>
        <v>0.41500000000000004</v>
      </c>
      <c r="AA8" s="3">
        <f t="shared" ref="AA8" si="10">Z8/$Z$4</f>
        <v>1.0060606060606061</v>
      </c>
      <c r="AB8" s="7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27" t="s">
        <v>126</v>
      </c>
      <c r="C9" s="2">
        <v>12</v>
      </c>
      <c r="D9" s="1">
        <v>2</v>
      </c>
      <c r="E9" s="1" t="s">
        <v>127</v>
      </c>
      <c r="F9" s="1"/>
      <c r="G9" s="1"/>
      <c r="H9" s="1"/>
      <c r="I9" s="1"/>
      <c r="J9" s="1"/>
      <c r="K9" s="1"/>
      <c r="L9" s="1"/>
      <c r="M9" s="1" t="s">
        <v>59</v>
      </c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5">
        <f t="shared" ref="S9" si="11">1*Q9*P9*(1+R9)*D9 + IF(N9="X",D9*P9*0.25,0) + IF(M9="X",D9*P9*Q9*0.5,0)</f>
        <v>0.96</v>
      </c>
      <c r="T9" s="3">
        <f t="shared" ref="T9" si="12">S9/$S$4</f>
        <v>1.1636363636363636</v>
      </c>
      <c r="U9" s="7">
        <f>$AI$10/Table1453[[#This Row],[WoundsÆ]]/2</f>
        <v>2.0833333333333335</v>
      </c>
      <c r="V9" s="4"/>
      <c r="W9" s="3">
        <f t="shared" si="5"/>
        <v>0.5</v>
      </c>
      <c r="X9" s="3">
        <f>(C9/20)*IF($AI$14=1,IF(F9="X",1,0.5),1)</f>
        <v>0.3</v>
      </c>
      <c r="Y9" s="3">
        <f t="shared" si="3"/>
        <v>0.1</v>
      </c>
      <c r="Z9" s="5">
        <f t="shared" si="4"/>
        <v>0.16500000000000001</v>
      </c>
      <c r="AA9" s="3">
        <f t="shared" ref="AA9" si="13">Z9/$Z$4</f>
        <v>0.39999999999999997</v>
      </c>
      <c r="AB9" s="7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5"/>
      <c r="T10" s="3"/>
      <c r="U10" s="7"/>
      <c r="V10" s="4"/>
      <c r="W10" s="4"/>
      <c r="X10" s="3"/>
      <c r="Y10" s="3"/>
      <c r="Z10" s="5"/>
      <c r="AA10" s="3"/>
      <c r="AB10" s="7"/>
      <c r="AC10" s="3"/>
      <c r="AH10" t="s">
        <v>47</v>
      </c>
      <c r="AI10">
        <v>4</v>
      </c>
    </row>
    <row r="11" spans="1:35" ht="15.75" x14ac:dyDescent="0.25">
      <c r="A11" s="1"/>
      <c r="B11" s="19" t="s">
        <v>105</v>
      </c>
      <c r="C11" s="2">
        <v>15</v>
      </c>
      <c r="D11" s="1">
        <v>2</v>
      </c>
      <c r="E11" s="1" t="s">
        <v>96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5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7">
        <f>$AI$10/Table1453[[#This Row],[WoundsÆ]]/2</f>
        <v>2.1052631578947367</v>
      </c>
      <c r="V11" s="4"/>
      <c r="W11" s="3">
        <f t="shared" ref="W11:W24" si="14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5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18">
        <f>$AI$10/Table1453[[#This Row],[WoundÆ]]/2</f>
        <v>4.2105263157894735</v>
      </c>
      <c r="AC11" s="17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19" t="s">
        <v>117</v>
      </c>
      <c r="C12" s="2">
        <v>8</v>
      </c>
      <c r="D12" s="1">
        <v>2</v>
      </c>
      <c r="E12" s="1" t="s">
        <v>124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5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7">
        <f>$AI$10/Table1453[[#This Row],[WoundsÆ]]/2</f>
        <v>3.333333333333333</v>
      </c>
      <c r="V12" s="4"/>
      <c r="W12" s="3">
        <f t="shared" si="14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5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18">
        <f>$AI$10/Table1453[[#This Row],[WoundÆ]]/2</f>
        <v>6.6666666666666661</v>
      </c>
      <c r="AC12" s="17">
        <f>(Table1453[[#This Row],[% Base]]+Table1453[[#This Row],[% Base2]])/2</f>
        <v>0.63157894736842113</v>
      </c>
      <c r="AH12" t="s">
        <v>85</v>
      </c>
      <c r="AI12">
        <v>10</v>
      </c>
    </row>
    <row r="13" spans="1:35" ht="15.75" x14ac:dyDescent="0.25">
      <c r="A13" s="1"/>
      <c r="B13" s="19" t="s">
        <v>118</v>
      </c>
      <c r="C13" s="2">
        <v>8</v>
      </c>
      <c r="D13" s="1">
        <v>2</v>
      </c>
      <c r="E13" s="1" t="s">
        <v>125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5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7">
        <f>$AI$10/Table1453[[#This Row],[WoundsÆ]]/2</f>
        <v>3.333333333333333</v>
      </c>
      <c r="V13" s="4"/>
      <c r="W13" s="3">
        <f t="shared" si="14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5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18">
        <f>$AI$10/Table1453[[#This Row],[WoundÆ]]/2</f>
        <v>3.333333333333333</v>
      </c>
      <c r="AC13" s="17">
        <f>(Table1453[[#This Row],[% Base]]+Table1453[[#This Row],[% Base2]])/2</f>
        <v>0.94736842105263164</v>
      </c>
      <c r="AH13" t="s">
        <v>86</v>
      </c>
      <c r="AI13">
        <v>10</v>
      </c>
    </row>
    <row r="14" spans="1:35" ht="15.75" x14ac:dyDescent="0.25">
      <c r="A14" s="1"/>
      <c r="B14" s="19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5"/>
      <c r="T14" s="3"/>
      <c r="U14" s="7"/>
      <c r="V14" s="4"/>
      <c r="W14" s="3"/>
      <c r="X14" s="3"/>
      <c r="Y14" s="3"/>
      <c r="Z14" s="5"/>
      <c r="AA14" s="3"/>
      <c r="AB14" s="18"/>
      <c r="AC14" s="17"/>
      <c r="AH14" t="s">
        <v>107</v>
      </c>
      <c r="AI14">
        <v>1</v>
      </c>
    </row>
    <row r="15" spans="1:35" ht="15.75" x14ac:dyDescent="0.25">
      <c r="A15" s="1"/>
      <c r="B15" s="19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5"/>
      <c r="T15" s="3"/>
      <c r="U15" s="7"/>
      <c r="V15" s="4"/>
      <c r="W15" s="3"/>
      <c r="X15" s="3"/>
      <c r="Y15" s="3"/>
      <c r="Z15" s="5"/>
      <c r="AA15" s="3"/>
      <c r="AB15" s="18"/>
      <c r="AC15" s="17"/>
    </row>
    <row r="16" spans="1:35" ht="15.75" x14ac:dyDescent="0.25">
      <c r="A16" s="1"/>
      <c r="B16" s="19" t="s">
        <v>119</v>
      </c>
      <c r="C16" s="2">
        <v>8</v>
      </c>
      <c r="D16" s="1">
        <v>3</v>
      </c>
      <c r="E16" s="1"/>
      <c r="F16" s="1"/>
      <c r="G16" s="1" t="s">
        <v>59</v>
      </c>
      <c r="H16" s="1"/>
      <c r="I16" s="1"/>
      <c r="J16" s="1"/>
      <c r="K16" s="1"/>
      <c r="L16" s="1"/>
      <c r="M16" s="1"/>
      <c r="N16" s="1" t="s">
        <v>59</v>
      </c>
      <c r="O16" s="1"/>
      <c r="P16" s="3">
        <f t="shared" ref="P16:P24" si="15">IF(K16="X",1,($AF$3+H16)/20)</f>
        <v>0.5</v>
      </c>
      <c r="Q16" s="3">
        <f t="shared" ref="Q16:Q24" si="16">(C16/20)*IF($AI$6=1,0.5,1)</f>
        <v>0.4</v>
      </c>
      <c r="R16" s="3">
        <f t="shared" ref="R16:R24" si="17">(IF(( L16="X"),0,($AF$5+I16))/20)</f>
        <v>0.1</v>
      </c>
      <c r="S16" s="5">
        <f t="shared" ref="S16:S24" si="18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7">
        <f>$AI$10/Table1453[[#This Row],[WoundsÆ]]</f>
        <v>3.1372549019607838</v>
      </c>
      <c r="V16" s="4"/>
      <c r="W16" s="3">
        <f t="shared" si="14"/>
        <v>0.5</v>
      </c>
      <c r="X16" s="3">
        <f t="shared" ref="X16:X24" si="19">(C16/20)*IF($AI$14=1,IF(F16="X",1,0.5),1)</f>
        <v>0.2</v>
      </c>
      <c r="Y16" s="3">
        <f t="shared" ref="Y16:Y24" si="20">(IF((OR(K16="X", L16="X")),0,($AF$5+I16))/20)</f>
        <v>0.1</v>
      </c>
      <c r="Z16" s="5">
        <f t="shared" ref="Z16:Z24" si="21">IF(G16="X",0,((1*X16*(W16)*D16   +   (IF(J16="X",2,1)*Y16*D16)      + IF(N16="X",D16*W16*0.25,0)     ) * IF(M16="X",1.5,1) ) *      IF($AI$14=1,IF(F16="X",1,0.5),1))</f>
        <v>0</v>
      </c>
      <c r="AA16" s="3" t="e">
        <f t="shared" ref="AA16:AA24" si="22">Z16/$Z$16</f>
        <v>#DIV/0!</v>
      </c>
      <c r="AB16" s="18" t="e">
        <f>$AI$10/Table1453[[#This Row],[WoundÆ]]</f>
        <v>#DIV/0!</v>
      </c>
      <c r="AC16" s="17" t="e">
        <f>(Table1453[[#This Row],[% Base]]+Table1453[[#This Row],[% Base2]])/2</f>
        <v>#DIV/0!</v>
      </c>
    </row>
    <row r="17" spans="1:29" ht="15.75" x14ac:dyDescent="0.25">
      <c r="A17" s="1"/>
      <c r="B17" s="19" t="s">
        <v>120</v>
      </c>
      <c r="C17" s="2">
        <v>8</v>
      </c>
      <c r="D17" s="1">
        <v>2</v>
      </c>
      <c r="E17" s="1" t="s">
        <v>125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5"/>
        <v>0.5</v>
      </c>
      <c r="Q17" s="3">
        <f t="shared" si="16"/>
        <v>0.4</v>
      </c>
      <c r="R17" s="3">
        <f t="shared" si="17"/>
        <v>0.1</v>
      </c>
      <c r="S17" s="5">
        <f t="shared" si="18"/>
        <v>0.60000000000000009</v>
      </c>
      <c r="T17" s="3">
        <f t="shared" ref="T17:T24" si="23">S17/$S$16</f>
        <v>0.47058823529411764</v>
      </c>
      <c r="U17" s="7">
        <f>$AI$10/Table1453[[#This Row],[WoundsÆ]]</f>
        <v>6.6666666666666661</v>
      </c>
      <c r="V17" s="4"/>
      <c r="W17" s="3">
        <f t="shared" si="14"/>
        <v>0.5</v>
      </c>
      <c r="X17" s="3">
        <f t="shared" si="19"/>
        <v>0.2</v>
      </c>
      <c r="Y17" s="3">
        <f t="shared" si="20"/>
        <v>0.1</v>
      </c>
      <c r="Z17" s="5">
        <f t="shared" si="21"/>
        <v>0.2</v>
      </c>
      <c r="AA17" s="3" t="e">
        <f t="shared" si="22"/>
        <v>#DIV/0!</v>
      </c>
      <c r="AB17" s="18">
        <f>$AI$10/Table1453[[#This Row],[WoundÆ]]</f>
        <v>20</v>
      </c>
      <c r="AC17" s="17" t="e">
        <f>(Table1453[[#This Row],[% Base]]+Table1453[[#This Row],[% Base2]])/2</f>
        <v>#DIV/0!</v>
      </c>
    </row>
    <row r="18" spans="1:29" ht="15.75" x14ac:dyDescent="0.25">
      <c r="A18" s="1"/>
      <c r="B18" s="19" t="s">
        <v>121</v>
      </c>
      <c r="C18" s="2">
        <v>14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 t="s">
        <v>59</v>
      </c>
      <c r="N18" s="1"/>
      <c r="O18" s="1"/>
      <c r="P18" s="3">
        <f t="shared" si="15"/>
        <v>0.5</v>
      </c>
      <c r="Q18" s="3">
        <f t="shared" si="16"/>
        <v>0.7</v>
      </c>
      <c r="R18" s="3">
        <f t="shared" si="17"/>
        <v>0.1</v>
      </c>
      <c r="S18" s="5">
        <f t="shared" si="18"/>
        <v>1.3499999999999999</v>
      </c>
      <c r="T18" s="3">
        <f t="shared" si="23"/>
        <v>1.0588235294117645</v>
      </c>
      <c r="U18" s="7">
        <f>$AI$10/Table1453[[#This Row],[WoundsÆ]]</f>
        <v>2.9629629629629632</v>
      </c>
      <c r="V18" s="4"/>
      <c r="W18" s="3">
        <f t="shared" si="14"/>
        <v>0.5</v>
      </c>
      <c r="X18" s="3">
        <f t="shared" si="19"/>
        <v>0.7</v>
      </c>
      <c r="Y18" s="3">
        <f t="shared" si="20"/>
        <v>0.1</v>
      </c>
      <c r="Z18" s="5">
        <f t="shared" si="21"/>
        <v>1.3499999999999999</v>
      </c>
      <c r="AA18" s="3" t="e">
        <f t="shared" si="22"/>
        <v>#DIV/0!</v>
      </c>
      <c r="AB18" s="18">
        <f>$AI$10/Table1453[[#This Row],[WoundÆ]]</f>
        <v>2.9629629629629632</v>
      </c>
      <c r="AC18" s="17" t="e">
        <f>(Table1453[[#This Row],[% Base]]+Table1453[[#This Row],[% Base2]])/2</f>
        <v>#DIV/0!</v>
      </c>
    </row>
    <row r="19" spans="1:29" ht="15.75" x14ac:dyDescent="0.25">
      <c r="A19" s="1"/>
      <c r="B19" s="19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5"/>
        <v>0.5</v>
      </c>
      <c r="Q19" s="3">
        <f t="shared" si="16"/>
        <v>0</v>
      </c>
      <c r="R19" s="3">
        <f t="shared" si="17"/>
        <v>0.1</v>
      </c>
      <c r="S19" s="5">
        <f t="shared" si="18"/>
        <v>0</v>
      </c>
      <c r="T19" s="3">
        <f t="shared" si="23"/>
        <v>0</v>
      </c>
      <c r="U19" s="7" t="e">
        <f>$AI$10/Table1453[[#This Row],[WoundsÆ]]</f>
        <v>#DIV/0!</v>
      </c>
      <c r="V19" s="4"/>
      <c r="W19" s="3">
        <f t="shared" si="14"/>
        <v>0.5</v>
      </c>
      <c r="X19" s="3">
        <f t="shared" si="19"/>
        <v>0</v>
      </c>
      <c r="Y19" s="3">
        <f t="shared" si="20"/>
        <v>0.1</v>
      </c>
      <c r="Z19" s="5">
        <f t="shared" si="21"/>
        <v>0</v>
      </c>
      <c r="AA19" s="3" t="e">
        <f t="shared" si="22"/>
        <v>#DIV/0!</v>
      </c>
      <c r="AB19" s="18" t="e">
        <f>$AI$10/Table1453[[#This Row],[WoundÆ]]</f>
        <v>#DIV/0!</v>
      </c>
      <c r="AC19" s="17" t="e">
        <f>(Table1453[[#This Row],[% Base]]+Table1453[[#This Row],[% Base2]])/2</f>
        <v>#DIV/0!</v>
      </c>
    </row>
    <row r="20" spans="1:29" ht="15.75" x14ac:dyDescent="0.25">
      <c r="A20" s="1"/>
      <c r="B20" s="19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5"/>
        <v>0.5</v>
      </c>
      <c r="Q20" s="3">
        <f t="shared" si="16"/>
        <v>0</v>
      </c>
      <c r="R20" s="3">
        <f t="shared" si="17"/>
        <v>0.1</v>
      </c>
      <c r="S20" s="5">
        <f t="shared" si="18"/>
        <v>0</v>
      </c>
      <c r="T20" s="3">
        <f t="shared" si="23"/>
        <v>0</v>
      </c>
      <c r="U20" s="7" t="e">
        <f>$AI$10/Table1453[[#This Row],[WoundsÆ]]</f>
        <v>#DIV/0!</v>
      </c>
      <c r="V20" s="4"/>
      <c r="W20" s="3">
        <f t="shared" si="14"/>
        <v>0.5</v>
      </c>
      <c r="X20" s="3">
        <f t="shared" si="19"/>
        <v>0</v>
      </c>
      <c r="Y20" s="3">
        <f t="shared" si="20"/>
        <v>0.1</v>
      </c>
      <c r="Z20" s="5">
        <f t="shared" si="21"/>
        <v>0</v>
      </c>
      <c r="AA20" s="3" t="e">
        <f t="shared" si="22"/>
        <v>#DIV/0!</v>
      </c>
      <c r="AB20" s="18" t="e">
        <f>$AI$10/Table1453[[#This Row],[WoundÆ]]</f>
        <v>#DIV/0!</v>
      </c>
      <c r="AC20" s="17" t="e">
        <f>(Table1453[[#This Row],[% Base]]+Table1453[[#This Row],[% Base2]])/2</f>
        <v>#DIV/0!</v>
      </c>
    </row>
    <row r="21" spans="1:29" ht="15.75" x14ac:dyDescent="0.25">
      <c r="A21" s="1"/>
      <c r="B21" s="19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5"/>
        <v>0.5</v>
      </c>
      <c r="Q21" s="3">
        <f t="shared" si="16"/>
        <v>0</v>
      </c>
      <c r="R21" s="3">
        <f t="shared" si="17"/>
        <v>0.1</v>
      </c>
      <c r="S21" s="5">
        <f t="shared" si="18"/>
        <v>0</v>
      </c>
      <c r="T21" s="3">
        <f t="shared" si="23"/>
        <v>0</v>
      </c>
      <c r="U21" s="7" t="e">
        <f>$AI$10/Table1453[[#This Row],[WoundsÆ]]</f>
        <v>#DIV/0!</v>
      </c>
      <c r="V21" s="4"/>
      <c r="W21" s="3">
        <f t="shared" si="14"/>
        <v>0.5</v>
      </c>
      <c r="X21" s="3">
        <f t="shared" si="19"/>
        <v>0</v>
      </c>
      <c r="Y21" s="3">
        <f t="shared" si="20"/>
        <v>0.1</v>
      </c>
      <c r="Z21" s="5">
        <f t="shared" si="21"/>
        <v>0</v>
      </c>
      <c r="AA21" s="3" t="e">
        <f t="shared" si="22"/>
        <v>#DIV/0!</v>
      </c>
      <c r="AB21" s="18" t="e">
        <f>$AI$10/Table1453[[#This Row],[WoundÆ]]</f>
        <v>#DIV/0!</v>
      </c>
      <c r="AC21" s="17" t="e">
        <f>(Table1453[[#This Row],[% Base]]+Table1453[[#This Row],[% Base2]])/2</f>
        <v>#DIV/0!</v>
      </c>
    </row>
    <row r="22" spans="1:29" ht="15.75" x14ac:dyDescent="0.25">
      <c r="A22" s="1"/>
      <c r="B22" s="19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5"/>
        <v>0.5</v>
      </c>
      <c r="Q22" s="3">
        <f t="shared" si="16"/>
        <v>0</v>
      </c>
      <c r="R22" s="3">
        <f t="shared" si="17"/>
        <v>0.1</v>
      </c>
      <c r="S22" s="5">
        <f t="shared" si="18"/>
        <v>0</v>
      </c>
      <c r="T22" s="3">
        <f t="shared" si="23"/>
        <v>0</v>
      </c>
      <c r="U22" s="7" t="e">
        <f>$AI$10/Table1453[[#This Row],[WoundsÆ]]</f>
        <v>#DIV/0!</v>
      </c>
      <c r="V22" s="4"/>
      <c r="W22" s="3">
        <f t="shared" si="14"/>
        <v>0.5</v>
      </c>
      <c r="X22" s="3">
        <f t="shared" si="19"/>
        <v>0</v>
      </c>
      <c r="Y22" s="3">
        <f t="shared" si="20"/>
        <v>0.1</v>
      </c>
      <c r="Z22" s="5">
        <f t="shared" si="21"/>
        <v>0</v>
      </c>
      <c r="AA22" s="3" t="e">
        <f t="shared" si="22"/>
        <v>#DIV/0!</v>
      </c>
      <c r="AB22" s="18" t="e">
        <f>$AI$10/Table1453[[#This Row],[WoundÆ]]</f>
        <v>#DIV/0!</v>
      </c>
      <c r="AC22" s="17" t="e">
        <f>(Table1453[[#This Row],[% Base]]+Table1453[[#This Row],[% Base2]])/2</f>
        <v>#DIV/0!</v>
      </c>
    </row>
    <row r="23" spans="1:29" ht="15.75" x14ac:dyDescent="0.25">
      <c r="A23" s="1"/>
      <c r="B23" s="19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5"/>
        <v>0.5</v>
      </c>
      <c r="Q23" s="3">
        <f t="shared" si="16"/>
        <v>0</v>
      </c>
      <c r="R23" s="3">
        <f t="shared" si="17"/>
        <v>0.1</v>
      </c>
      <c r="S23" s="5">
        <f t="shared" si="18"/>
        <v>0</v>
      </c>
      <c r="T23" s="3">
        <f t="shared" si="23"/>
        <v>0</v>
      </c>
      <c r="U23" s="7" t="e">
        <f>$AI$10/Table1453[[#This Row],[WoundsÆ]]</f>
        <v>#DIV/0!</v>
      </c>
      <c r="V23" s="4"/>
      <c r="W23" s="3">
        <f t="shared" si="14"/>
        <v>0.5</v>
      </c>
      <c r="X23" s="3">
        <f t="shared" si="19"/>
        <v>0</v>
      </c>
      <c r="Y23" s="3">
        <f t="shared" si="20"/>
        <v>0.1</v>
      </c>
      <c r="Z23" s="5">
        <f t="shared" si="21"/>
        <v>0</v>
      </c>
      <c r="AA23" s="3" t="e">
        <f t="shared" si="22"/>
        <v>#DIV/0!</v>
      </c>
      <c r="AB23" s="18" t="e">
        <f>$AI$10/Table1453[[#This Row],[WoundÆ]]</f>
        <v>#DIV/0!</v>
      </c>
      <c r="AC23" s="17" t="e">
        <f>(Table1453[[#This Row],[% Base]]+Table1453[[#This Row],[% Base2]])/2</f>
        <v>#DIV/0!</v>
      </c>
    </row>
    <row r="24" spans="1:29" ht="15.75" x14ac:dyDescent="0.25">
      <c r="A24" s="1"/>
      <c r="B24" s="19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5"/>
        <v>0.5</v>
      </c>
      <c r="Q24" s="3">
        <f t="shared" si="16"/>
        <v>0</v>
      </c>
      <c r="R24" s="3">
        <f t="shared" si="17"/>
        <v>0.1</v>
      </c>
      <c r="S24" s="5">
        <f t="shared" si="18"/>
        <v>0</v>
      </c>
      <c r="T24" s="3">
        <f t="shared" si="23"/>
        <v>0</v>
      </c>
      <c r="U24" s="7" t="e">
        <f>$AI$10/Table1453[[#This Row],[WoundsÆ]]</f>
        <v>#DIV/0!</v>
      </c>
      <c r="V24" s="4"/>
      <c r="W24" s="3">
        <f t="shared" si="14"/>
        <v>0.5</v>
      </c>
      <c r="X24" s="3">
        <f t="shared" si="19"/>
        <v>0</v>
      </c>
      <c r="Y24" s="3">
        <f t="shared" si="20"/>
        <v>0.1</v>
      </c>
      <c r="Z24" s="5">
        <f t="shared" si="21"/>
        <v>0</v>
      </c>
      <c r="AA24" s="3" t="e">
        <f t="shared" si="22"/>
        <v>#DIV/0!</v>
      </c>
      <c r="AB24" s="18" t="e">
        <f>$AI$10/Table1453[[#This Row],[WoundÆ]]</f>
        <v>#DIV/0!</v>
      </c>
      <c r="AC24" s="17" t="e">
        <f>(Table1453[[#This Row],[% Base]]+Table1453[[#This Row],[% Base2]])/2</f>
        <v>#DIV/0!</v>
      </c>
    </row>
    <row r="25" spans="1:29" ht="15.75" x14ac:dyDescent="0.25">
      <c r="A25" s="1"/>
      <c r="B25" s="19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5"/>
      <c r="T25" s="3"/>
      <c r="U25" s="7"/>
      <c r="V25" s="4"/>
      <c r="W25" s="3"/>
      <c r="X25" s="3"/>
      <c r="Y25" s="3"/>
      <c r="Z25" s="5"/>
      <c r="AA25" s="3"/>
      <c r="AB25" s="18"/>
      <c r="AC25" s="17"/>
    </row>
    <row r="26" spans="1:29" ht="15.75" x14ac:dyDescent="0.25">
      <c r="A26" s="1"/>
      <c r="B26" s="19" t="s">
        <v>99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 t="s">
        <v>59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5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7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5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18">
        <f>$AI$10/Table1453[[#This Row],[WoundÆ]]</f>
        <v>2.5396825396825395</v>
      </c>
      <c r="AC26" s="17">
        <f>(Table1453[[#This Row],[% Base]]+Table1453[[#This Row],[% Base2]])/2</f>
        <v>1</v>
      </c>
    </row>
    <row r="27" spans="1:29" ht="15.75" x14ac:dyDescent="0.25">
      <c r="A27" s="1"/>
      <c r="B27" s="19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5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7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5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18" t="e">
        <f>$AI$10/Table1453[[#This Row],[WoundÆ]]</f>
        <v>#DIV/0!</v>
      </c>
      <c r="AC27" s="17">
        <f>(Table1453[[#This Row],[% Base]]+Table1453[[#This Row],[% Base2]])/2</f>
        <v>0</v>
      </c>
    </row>
    <row r="28" spans="1:29" x14ac:dyDescent="0.25">
      <c r="A28" s="1"/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5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7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5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18" t="e">
        <f>$AI$10/Table1453[[#This Row],[WoundÆ]]</f>
        <v>#DIV/0!</v>
      </c>
      <c r="AC28" s="17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5"/>
      <c r="T29" s="3"/>
      <c r="U29" s="7"/>
      <c r="V29" s="4"/>
      <c r="W29" s="4"/>
      <c r="X29" s="3"/>
      <c r="Y29" s="3"/>
      <c r="Z29" s="5"/>
      <c r="AA29" s="3"/>
      <c r="AB29" s="7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5"/>
      <c r="T30" s="3"/>
      <c r="U30" s="17"/>
      <c r="V30" s="4"/>
      <c r="W30" s="3"/>
      <c r="X30" s="3"/>
      <c r="Y30" s="3"/>
      <c r="Z30" s="5"/>
      <c r="AA30" s="3"/>
      <c r="AB30" s="18"/>
      <c r="AC30" s="17"/>
    </row>
    <row r="31" spans="1:29" x14ac:dyDescent="0.25">
      <c r="A31" s="1"/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5">
        <f>1*Q31*P31*(1+R31)*D31 + IF(N31="X",D31*P31*0.25,0)</f>
        <v>0</v>
      </c>
      <c r="T31" s="3">
        <f>S31/$S$4</f>
        <v>0</v>
      </c>
      <c r="U31" s="7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5">
        <f>IF(G31="X",0,1*X31*W31*(1+Y31)*D31) * IF($AI$14=1,IF(F31="X",1,0.5),1) + IF(N31="X",D31*P31*0.25,0)</f>
        <v>0</v>
      </c>
      <c r="AA31" s="3">
        <f>Z31/$Z$4</f>
        <v>0</v>
      </c>
      <c r="AB31" s="7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24">($AF$3 )/20</f>
        <v>0.5</v>
      </c>
      <c r="Q32" s="3">
        <f>(C32/20)*IF($AI$6=1,0.5,1)</f>
        <v>0</v>
      </c>
      <c r="R32" s="3">
        <f>(IF(( L32="X"),0,($AF$5+I32))/20)</f>
        <v>0.1</v>
      </c>
      <c r="S32" s="5">
        <f>1*Q32*(P32)*(1+R32)*D32</f>
        <v>0</v>
      </c>
      <c r="T32" s="3">
        <f t="shared" ref="T32:T33" si="25">S32/$S$26</f>
        <v>0</v>
      </c>
      <c r="U32" s="17" t="e">
        <f>AI37/Table1453[[#This Row],[WoundsÆ]]</f>
        <v>#DIV/0!</v>
      </c>
      <c r="V32" s="4"/>
      <c r="W32" s="3">
        <f t="shared" ref="W32:W33" si="26">($AF$3)/20</f>
        <v>0.5</v>
      </c>
      <c r="X32" s="3">
        <f>(C32/20)*IF($AI$6=1,IF(F32="X",1,0.5),1)</f>
        <v>0</v>
      </c>
      <c r="Y32" s="3">
        <f t="shared" ref="Y32:Y33" si="27">($AF$5/20)</f>
        <v>0.1</v>
      </c>
      <c r="Z32" s="5">
        <f>1*X32*(W32)*(1+Y32)*D32</f>
        <v>0</v>
      </c>
      <c r="AA32" s="3">
        <f t="shared" ref="AA32:AA33" si="28">Z32/$Z$26</f>
        <v>0</v>
      </c>
      <c r="AB32" s="18" t="e">
        <f>$AI$10/Table1453[[#This Row],[WoundÆ]]</f>
        <v>#DIV/0!</v>
      </c>
      <c r="AC32" s="17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24"/>
        <v>0.5</v>
      </c>
      <c r="Q33" s="3">
        <f>(C33/20)*IF($AI$6=1,0.5,1)</f>
        <v>0</v>
      </c>
      <c r="R33" s="3">
        <f>(IF(( L33="X"),0,($AF$5+I33))/20)</f>
        <v>0.1</v>
      </c>
      <c r="S33" s="5">
        <f>1*Q33*(P33)*(1+R33)*D33</f>
        <v>0</v>
      </c>
      <c r="T33" s="3">
        <f t="shared" si="25"/>
        <v>0</v>
      </c>
      <c r="U33" s="17" t="e">
        <f>AI38/Table1453[[#This Row],[WoundsÆ]]</f>
        <v>#DIV/0!</v>
      </c>
      <c r="V33" s="4"/>
      <c r="W33" s="3">
        <f t="shared" si="26"/>
        <v>0.5</v>
      </c>
      <c r="X33" s="3">
        <f>(C33/20)*IF($AI$6=1,IF(F33="X",1,0.5),1)</f>
        <v>0</v>
      </c>
      <c r="Y33" s="3">
        <f t="shared" si="27"/>
        <v>0.1</v>
      </c>
      <c r="Z33" s="5">
        <f>1*X33*(W33)*(1+Y33)*D33</f>
        <v>0</v>
      </c>
      <c r="AA33" s="3">
        <f t="shared" si="28"/>
        <v>0</v>
      </c>
      <c r="AB33" s="18" t="e">
        <f>$AI$10/Table1453[[#This Row],[WoundÆ]]</f>
        <v>#DIV/0!</v>
      </c>
      <c r="AC33" s="17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5"/>
      <c r="T34" s="3"/>
      <c r="U34" s="17"/>
      <c r="V34" s="4"/>
      <c r="W34" s="3"/>
      <c r="X34" s="3"/>
      <c r="Y34" s="3"/>
      <c r="Z34" s="5"/>
      <c r="AA34" s="3"/>
      <c r="AB34" s="18"/>
      <c r="AC34" s="17"/>
      <c r="AD34" s="14"/>
    </row>
    <row r="35" spans="1:30" ht="15.75" x14ac:dyDescent="0.25">
      <c r="A35" s="8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5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7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5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9">Z35/$Z$16</f>
        <v>#DIV/0!</v>
      </c>
      <c r="AB35" s="18" t="e">
        <f>$AI$10/Table1453[[#This Row],[WoundÆ]]</f>
        <v>#DIV/0!</v>
      </c>
      <c r="AC35" s="17" t="e">
        <f>(Table1453[[#This Row],[% Base]]+Table1453[[#This Row],[% Base2]])/2</f>
        <v>#DIV/0!</v>
      </c>
      <c r="AD35" s="14"/>
    </row>
    <row r="36" spans="1:30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>
        <f t="shared" ref="P36" si="30">($AF$3 )/20</f>
        <v>0.5</v>
      </c>
      <c r="Q36" s="3">
        <f>(C36/20)*IF($AI$6=1,0.5,1)</f>
        <v>0</v>
      </c>
      <c r="R36" s="3">
        <f>(IF(( L36="X"),0,($AF$5+I36))/20)</f>
        <v>0.1</v>
      </c>
      <c r="S36" s="5">
        <f>1*Q36*(P36)*(1+R36)*D36</f>
        <v>0</v>
      </c>
      <c r="T36" s="3">
        <f t="shared" ref="T36" si="31">S36/$S$26</f>
        <v>0</v>
      </c>
      <c r="U36" s="17" t="e">
        <f>AI41/Table1453[[#This Row],[WoundsÆ]]</f>
        <v>#DIV/0!</v>
      </c>
      <c r="V36" s="4"/>
      <c r="W36" s="3">
        <f t="shared" ref="W36" si="32">($AF$3)/20</f>
        <v>0.5</v>
      </c>
      <c r="X36" s="3">
        <f>(C36/20)*IF($AI$6=1,IF(F36="X",1,0.5),1)</f>
        <v>0</v>
      </c>
      <c r="Y36" s="3">
        <f t="shared" ref="Y36" si="33">($AF$5/20)</f>
        <v>0.1</v>
      </c>
      <c r="Z36" s="5">
        <f>1*X36*(W36)*(1+Y36)*D36</f>
        <v>0</v>
      </c>
      <c r="AA36" s="3">
        <f t="shared" ref="AA36" si="34">Z36/$Z$26</f>
        <v>0</v>
      </c>
      <c r="AB36" s="18" t="e">
        <f>$AI$10/Table1453[[#This Row],[WoundÆ]]</f>
        <v>#DIV/0!</v>
      </c>
      <c r="AC36" s="17">
        <f>(Table1453[[#This Row],[% Base]]+Table1453[[#This Row],[% Base2]])/2</f>
        <v>0</v>
      </c>
      <c r="AD36" s="14"/>
    </row>
    <row r="37" spans="1:30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17"/>
      <c r="AD37" s="14"/>
    </row>
    <row r="38" spans="1:30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17"/>
      <c r="AD38" s="14"/>
    </row>
    <row r="39" spans="1:30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4"/>
    </row>
    <row r="40" spans="1:30" ht="15.75" x14ac:dyDescent="0.25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</row>
    <row r="41" spans="1:30" ht="15.75" x14ac:dyDescent="0.25">
      <c r="A41" s="8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</row>
    <row r="42" spans="1:30" ht="15.75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</row>
    <row r="43" spans="1:30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</row>
    <row r="44" spans="1:30" ht="15.75" x14ac:dyDescent="0.25"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1 U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1 T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5 U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5 T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2016-06-29T16:57:18Z</dcterms:modified>
</cp:coreProperties>
</file>