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/>
  </bookViews>
  <sheets>
    <sheet name="Space Marines" sheetId="1" r:id="rId1"/>
    <sheet name="Chaos Space Marines" sheetId="2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0" i="1"/>
  <c r="AB30" i="1" s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5" i="1"/>
  <c r="AC6" i="1"/>
  <c r="AC4" i="1"/>
  <c r="AB5" i="1"/>
  <c r="AB6" i="1"/>
  <c r="AB9" i="1"/>
  <c r="AB4" i="1"/>
  <c r="U12" i="1"/>
  <c r="U13" i="1"/>
  <c r="U14" i="1"/>
  <c r="U18" i="1"/>
  <c r="U19" i="1"/>
  <c r="U20" i="1"/>
  <c r="U21" i="1"/>
  <c r="U5" i="1"/>
  <c r="U6" i="1"/>
  <c r="U9" i="1"/>
  <c r="U4" i="1"/>
  <c r="Z5" i="1"/>
  <c r="Z6" i="1"/>
  <c r="Z7" i="1"/>
  <c r="AB7" i="1" s="1"/>
  <c r="Z9" i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S9" i="1" s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X10" i="1"/>
  <c r="Z10" i="1" s="1"/>
  <c r="AB10" i="1" s="1"/>
  <c r="X8" i="1"/>
  <c r="Z8" i="1" s="1"/>
  <c r="AB8" i="1" s="1"/>
  <c r="X7" i="1"/>
  <c r="X6" i="1"/>
  <c r="X5" i="1"/>
  <c r="X4" i="1"/>
  <c r="S35" i="1" l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AA18" i="1"/>
  <c r="AC18" i="1" s="1"/>
  <c r="AA20" i="1"/>
  <c r="AC20" i="1" s="1"/>
  <c r="S27" i="1"/>
  <c r="Z4" i="5"/>
  <c r="Z15" i="5"/>
  <c r="Z16" i="5"/>
  <c r="Z17" i="5"/>
  <c r="Z18" i="5"/>
  <c r="Z19" i="5"/>
  <c r="Z20" i="5"/>
  <c r="Z21" i="5"/>
  <c r="Z22" i="5"/>
  <c r="Z23" i="5"/>
  <c r="Z25" i="5"/>
  <c r="W10" i="5"/>
  <c r="W11" i="5"/>
  <c r="W12" i="5"/>
  <c r="W15" i="5"/>
  <c r="W16" i="5"/>
  <c r="W17" i="5"/>
  <c r="W18" i="5"/>
  <c r="W19" i="5"/>
  <c r="W20" i="5"/>
  <c r="W21" i="5"/>
  <c r="W22" i="5"/>
  <c r="W23" i="5"/>
  <c r="W25" i="5"/>
  <c r="S6" i="5"/>
  <c r="S7" i="5"/>
  <c r="S8" i="5"/>
  <c r="S4" i="5"/>
  <c r="P8" i="5"/>
  <c r="Z8" i="5" s="1"/>
  <c r="P7" i="5"/>
  <c r="Q8" i="5"/>
  <c r="R8" i="5"/>
  <c r="W8" i="5"/>
  <c r="X8" i="5"/>
  <c r="Y8" i="5"/>
  <c r="P27" i="5"/>
  <c r="Q27" i="5"/>
  <c r="R27" i="5"/>
  <c r="W27" i="5"/>
  <c r="X27" i="5"/>
  <c r="Y27" i="5"/>
  <c r="P12" i="5"/>
  <c r="Q12" i="5"/>
  <c r="R12" i="5"/>
  <c r="X12" i="5"/>
  <c r="Y12" i="5"/>
  <c r="Y35" i="5"/>
  <c r="X35" i="5"/>
  <c r="W35" i="5"/>
  <c r="R35" i="5"/>
  <c r="Q35" i="5"/>
  <c r="P35" i="5"/>
  <c r="Y34" i="5"/>
  <c r="X34" i="5"/>
  <c r="W34" i="5"/>
  <c r="R34" i="5"/>
  <c r="Q34" i="5"/>
  <c r="P34" i="5"/>
  <c r="Y32" i="5"/>
  <c r="X32" i="5"/>
  <c r="W32" i="5"/>
  <c r="R32" i="5"/>
  <c r="Q32" i="5"/>
  <c r="P32" i="5"/>
  <c r="Y31" i="5"/>
  <c r="X31" i="5"/>
  <c r="W31" i="5"/>
  <c r="R31" i="5"/>
  <c r="Q31" i="5"/>
  <c r="P31" i="5"/>
  <c r="Y30" i="5"/>
  <c r="X30" i="5"/>
  <c r="W30" i="5"/>
  <c r="R30" i="5"/>
  <c r="Q30" i="5"/>
  <c r="P30" i="5"/>
  <c r="Y26" i="5"/>
  <c r="X26" i="5"/>
  <c r="W26" i="5"/>
  <c r="R26" i="5"/>
  <c r="Q26" i="5"/>
  <c r="P26" i="5"/>
  <c r="Y25" i="5"/>
  <c r="X25" i="5"/>
  <c r="R25" i="5"/>
  <c r="Q25" i="5"/>
  <c r="P25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5" i="5"/>
  <c r="X15" i="5"/>
  <c r="R15" i="5"/>
  <c r="Q15" i="5"/>
  <c r="P15" i="5"/>
  <c r="Y11" i="5"/>
  <c r="X11" i="5"/>
  <c r="R11" i="5"/>
  <c r="Q11" i="5"/>
  <c r="P11" i="5"/>
  <c r="Y10" i="5"/>
  <c r="X10" i="5"/>
  <c r="R10" i="5"/>
  <c r="Q10" i="5"/>
  <c r="P10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A8" i="1"/>
  <c r="S12" i="5"/>
  <c r="U12" i="5" s="1"/>
  <c r="S10" i="5"/>
  <c r="U10" i="5" s="1"/>
  <c r="Z32" i="5"/>
  <c r="Z35" i="5"/>
  <c r="AB35" i="5" s="1"/>
  <c r="S15" i="5"/>
  <c r="T21" i="5" s="1"/>
  <c r="AB20" i="5"/>
  <c r="S22" i="5"/>
  <c r="S21" i="5"/>
  <c r="U21" i="5" s="1"/>
  <c r="S30" i="5"/>
  <c r="Z31" i="5"/>
  <c r="AB31" i="5" s="1"/>
  <c r="U8" i="5"/>
  <c r="Z6" i="5"/>
  <c r="AB6" i="5" s="1"/>
  <c r="AB17" i="5"/>
  <c r="S34" i="5"/>
  <c r="U34" i="5" s="1"/>
  <c r="Z12" i="5"/>
  <c r="AB12" i="5" s="1"/>
  <c r="Z27" i="5"/>
  <c r="U4" i="5"/>
  <c r="Z7" i="5"/>
  <c r="AB7" i="5" s="1"/>
  <c r="S20" i="5"/>
  <c r="T8" i="5"/>
  <c r="AB8" i="5"/>
  <c r="AB27" i="5"/>
  <c r="S27" i="5"/>
  <c r="AA8" i="5"/>
  <c r="S16" i="5"/>
  <c r="S18" i="5"/>
  <c r="AB21" i="5"/>
  <c r="AB22" i="5"/>
  <c r="AA27" i="5"/>
  <c r="Z30" i="5"/>
  <c r="AB30" i="5" s="1"/>
  <c r="Z34" i="5"/>
  <c r="AB34" i="5" s="1"/>
  <c r="Z5" i="5"/>
  <c r="AB5" i="5" s="1"/>
  <c r="U6" i="5"/>
  <c r="S11" i="5"/>
  <c r="AB16" i="5"/>
  <c r="S17" i="5"/>
  <c r="U17" i="5" s="1"/>
  <c r="S32" i="5"/>
  <c r="Z10" i="5"/>
  <c r="S19" i="5"/>
  <c r="U19" i="5" s="1"/>
  <c r="S23" i="5"/>
  <c r="Z26" i="5"/>
  <c r="S31" i="5"/>
  <c r="U31" i="5" s="1"/>
  <c r="S35" i="5"/>
  <c r="U35" i="5" s="1"/>
  <c r="T5" i="5"/>
  <c r="U5" i="5"/>
  <c r="U7" i="5"/>
  <c r="T7" i="5"/>
  <c r="U20" i="5"/>
  <c r="U22" i="5"/>
  <c r="U18" i="5"/>
  <c r="U16" i="5"/>
  <c r="U32" i="5"/>
  <c r="U23" i="5"/>
  <c r="AB26" i="5"/>
  <c r="Z11" i="5"/>
  <c r="S25" i="5"/>
  <c r="U30" i="5"/>
  <c r="AB32" i="5"/>
  <c r="S26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2" i="5"/>
  <c r="AA26" i="5"/>
  <c r="AB25" i="5"/>
  <c r="AA25" i="5"/>
  <c r="U15" i="5"/>
  <c r="T23" i="5"/>
  <c r="T16" i="5"/>
  <c r="T17" i="5"/>
  <c r="T19" i="5"/>
  <c r="T20" i="5"/>
  <c r="T22" i="5"/>
  <c r="T15" i="5"/>
  <c r="T18" i="5"/>
  <c r="AA12" i="5"/>
  <c r="T10" i="5"/>
  <c r="AC10" i="5" s="1"/>
  <c r="AA10" i="5"/>
  <c r="T12" i="5"/>
  <c r="AC12" i="5" s="1"/>
  <c r="T11" i="5"/>
  <c r="AA31" i="5"/>
  <c r="AB10" i="5"/>
  <c r="U11" i="5"/>
  <c r="AA35" i="5"/>
  <c r="T34" i="5"/>
  <c r="T30" i="5"/>
  <c r="AC8" i="5"/>
  <c r="T6" i="5"/>
  <c r="AA5" i="5"/>
  <c r="AA6" i="5"/>
  <c r="AA4" i="5"/>
  <c r="AC4" i="5" s="1"/>
  <c r="AA7" i="5"/>
  <c r="AC7" i="5" s="1"/>
  <c r="AB4" i="5"/>
  <c r="AA30" i="5"/>
  <c r="AC30" i="5" s="1"/>
  <c r="T27" i="5"/>
  <c r="AC27" i="5" s="1"/>
  <c r="U27" i="5"/>
  <c r="AA21" i="5"/>
  <c r="AC21" i="5" s="1"/>
  <c r="T25" i="5"/>
  <c r="AC25" i="5" s="1"/>
  <c r="U25" i="5"/>
  <c r="T35" i="5"/>
  <c r="T31" i="5"/>
  <c r="AC31" i="5" s="1"/>
  <c r="AA34" i="5"/>
  <c r="U26" i="5"/>
  <c r="T26" i="5"/>
  <c r="AC26" i="5" s="1"/>
  <c r="AB18" i="5"/>
  <c r="AA18" i="5"/>
  <c r="AA20" i="5"/>
  <c r="AB19" i="5"/>
  <c r="AA19" i="5"/>
  <c r="AB11" i="5"/>
  <c r="AA11" i="5"/>
  <c r="AC11" i="5" s="1"/>
  <c r="AB23" i="5"/>
  <c r="AA23" i="5"/>
  <c r="AB15" i="5"/>
  <c r="AA22" i="5"/>
  <c r="AA15" i="5"/>
  <c r="AC15" i="5" s="1"/>
  <c r="AA17" i="5"/>
  <c r="AC17" i="5" s="1"/>
  <c r="T32" i="5"/>
  <c r="AA16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2" i="5" l="1"/>
  <c r="AC18" i="5"/>
  <c r="AC20" i="5"/>
  <c r="AC16" i="5"/>
  <c r="AC22" i="5"/>
  <c r="AC34" i="5"/>
  <c r="AC23" i="5"/>
  <c r="AC19" i="5"/>
  <c r="AC35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AD32" i="2" l="1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AF33" i="2" l="1"/>
  <c r="AF32" i="2"/>
  <c r="AF31" i="2"/>
  <c r="AF29" i="2"/>
  <c r="AF22" i="2"/>
  <c r="AF21" i="2"/>
  <c r="AF30" i="2"/>
  <c r="AF25" i="2"/>
  <c r="AF15" i="2"/>
  <c r="AF16" i="2"/>
  <c r="AF35" i="2"/>
  <c r="AF10" i="2"/>
</calcChain>
</file>

<file path=xl/sharedStrings.xml><?xml version="1.0" encoding="utf-8"?>
<sst xmlns="http://schemas.openxmlformats.org/spreadsheetml/2006/main" count="439" uniqueCount="140">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</sst>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4" dataDxfId="123" dataCellStyle="Percent">
  <autoFilter ref="B3:AC38"/>
  <tableColumns count="28">
    <tableColumn id="1" name="Name" dataDxfId="122"/>
    <tableColumn id="2" name="Damage" dataDxfId="121"/>
    <tableColumn id="3" name="Attacks" dataDxfId="120"/>
    <tableColumn id="5" name="Note" dataDxfId="119"/>
    <tableColumn id="6" name="Penetration" dataDxfId="23"/>
    <tableColumn id="23" name="Light Weapon    ." dataDxfId="22"/>
    <tableColumn id="24" name="MM      ." dataDxfId="21"/>
    <tableColumn id="4" name="Crit       ." dataDxfId="20"/>
    <tableColumn id="26" name="Weak Spots" dataDxfId="19"/>
    <tableColumn id="25" name="Cone      ." dataDxfId="18"/>
    <tableColumn id="29" name="No Crits     ." dataDxfId="17"/>
    <tableColumn id="32" name="Lethal Wounds    ." dataDxfId="16"/>
    <tableColumn id="27" name="Lethal Weapon    ." dataDxfId="15"/>
    <tableColumn id="7" name="Column2" dataDxfId="14" dataCellStyle="Percent"/>
    <tableColumn id="8" name="Hit%" dataDxfId="13" dataCellStyle="Percent"/>
    <tableColumn id="9" name="Wound%" dataDxfId="12" dataCellStyle="Percent"/>
    <tableColumn id="11" name="Crit%" dataDxfId="11" dataCellStyle="Percent"/>
    <tableColumn id="12" name="WoundsÆ" dataDxfId="10" dataCellStyle="Percent"/>
    <tableColumn id="20" name="% Base" dataDxfId="9" dataCellStyle="Percent"/>
    <tableColumn id="13" name="To Kill" dataDxfId="8" dataCellStyle="Comma"/>
    <tableColumn id="14" name="Column3" dataDxfId="7" dataCellStyle="Percent"/>
    <tableColumn id="15" name="Hit %" dataDxfId="6" dataCellStyle="Percent"/>
    <tableColumn id="16" name="Wound %" dataDxfId="5" dataCellStyle="Percent"/>
    <tableColumn id="18" name="Crit %" dataDxfId="4" dataCellStyle="Percent"/>
    <tableColumn id="19" name="WoundÆ" dataDxfId="3" dataCellStyle="Percent"/>
    <tableColumn id="21" name="% Base2" dataDxfId="2" dataCellStyle="Percent"/>
    <tableColumn id="22" name="To Kill2" dataDxfId="1" dataCellStyle="Percent"/>
    <tableColumn id="10" name="Combo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118" dataDxfId="117" dataCellStyle="Percent">
  <autoFilter ref="B3:AF40"/>
  <tableColumns count="31">
    <tableColumn id="1" name="Name" dataDxfId="116"/>
    <tableColumn id="2" name="Damage" dataDxfId="115"/>
    <tableColumn id="3" name="Attacks" dataDxfId="114"/>
    <tableColumn id="5" name="Note" dataDxfId="113"/>
    <tableColumn id="6" name="Penetration" dataDxfId="112"/>
    <tableColumn id="23" name="MM      ." dataDxfId="111"/>
    <tableColumn id="24" name="Crit       ." dataDxfId="110"/>
    <tableColumn id="26" name="Weak Spots" dataDxfId="109"/>
    <tableColumn id="25" name="Cone      ." dataDxfId="108"/>
    <tableColumn id="29" name="No Crits     ." dataDxfId="107"/>
    <tableColumn id="32" name="2H        ." dataDxfId="106"/>
    <tableColumn id="33" name="Heavy Strikes      ." dataDxfId="105"/>
    <tableColumn id="4" name="XAmmo       ." dataDxfId="104"/>
    <tableColumn id="28" name="Lethal Weapon" dataDxfId="103"/>
    <tableColumn id="27" name="Column2" dataDxfId="102"/>
    <tableColumn id="7" name="Hit%" dataDxfId="101" dataCellStyle="Percent">
      <calculatedColumnFormula>($AI$3 )/20</calculatedColumnFormula>
    </tableColumn>
    <tableColumn id="8" name="Wound%" dataDxfId="100" dataCellStyle="Percent">
      <calculatedColumnFormula>(C4/20)*IF($AL$5=1,0.5,1)</calculatedColumnFormula>
    </tableColumn>
    <tableColumn id="9" name="Crit%" dataDxfId="99" dataCellStyle="Percent">
      <calculatedColumnFormula>(IF(( K4="X"),0,($AI$5+H4))/20)</calculatedColumnFormula>
    </tableColumn>
    <tableColumn id="10" name="Block%" dataDxfId="98" dataCellStyle="Percent"/>
    <tableColumn id="11" name="WoundsÆ" dataDxfId="97">
      <calculatedColumnFormula>1*R4*(Q4)*(1+S4)*D4</calculatedColumnFormula>
    </tableColumn>
    <tableColumn id="12" name="% Base" dataDxfId="96" dataCellStyle="Percent">
      <calculatedColumnFormula>U4/$U$28</calculatedColumnFormula>
    </tableColumn>
    <tableColumn id="20" name="To Kill" dataDxfId="95" dataCellStyle="Percent">
      <calculatedColumnFormula>AL9/Table14[[#This Row],[WoundsÆ]]</calculatedColumnFormula>
    </tableColumn>
    <tableColumn id="13" name="Column3" dataDxfId="94"/>
    <tableColumn id="14" name="Hit %" dataDxfId="93" dataCellStyle="Percent">
      <calculatedColumnFormula>($AI$3)/20</calculatedColumnFormula>
    </tableColumn>
    <tableColumn id="15" name="Wound %" dataDxfId="92" dataCellStyle="Percent">
      <calculatedColumnFormula>(C4/20)*IF($AL$5=1,IF(F4="X",1,0.5),1)</calculatedColumnFormula>
    </tableColumn>
    <tableColumn id="16" name="Crit %" dataDxfId="91" dataCellStyle="Percent">
      <calculatedColumnFormula>($AI$5/20)</calculatedColumnFormula>
    </tableColumn>
    <tableColumn id="17" name="Block %" dataDxfId="90" dataCellStyle="Percent"/>
    <tableColumn id="18" name="WoundÆ" dataDxfId="89">
      <calculatedColumnFormula>1*Z4*(Y4)*(1+AA4)*D4</calculatedColumnFormula>
    </tableColumn>
    <tableColumn id="19" name="% Base2" dataDxfId="88" dataCellStyle="Percent">
      <calculatedColumnFormula>AC4/$AC$28</calculatedColumnFormula>
    </tableColumn>
    <tableColumn id="21" name="To Kill2" dataDxfId="87" dataCellStyle="Percent">
      <calculatedColumnFormula>$AL$9/Table14[[#This Row],[WoundÆ]]</calculatedColumnFormula>
    </tableColumn>
    <tableColumn id="22" name="Combo" dataDxfId="86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85" dataDxfId="84" dataCellStyle="Percent">
  <autoFilter ref="B3:AE35"/>
  <tableColumns count="30">
    <tableColumn id="1" name="Name" dataDxfId="83"/>
    <tableColumn id="2" name="Damage" dataDxfId="82"/>
    <tableColumn id="3" name="Attacks" dataDxfId="81"/>
    <tableColumn id="5" name="Note" dataDxfId="80"/>
    <tableColumn id="6" name="Penetration" dataDxfId="79"/>
    <tableColumn id="30" name="Light Weapon    ." dataDxfId="78"/>
    <tableColumn id="23" name="MM      ." dataDxfId="77"/>
    <tableColumn id="24" name="Crit       ." dataDxfId="76"/>
    <tableColumn id="26" name="Weak Spots" dataDxfId="75"/>
    <tableColumn id="25" name="Cone      ." dataDxfId="74"/>
    <tableColumn id="29" name="No Crits     ." dataDxfId="73"/>
    <tableColumn id="32" name="2H        ." dataDxfId="72"/>
    <tableColumn id="33" name="Heavy Strikes      ." dataDxfId="71"/>
    <tableColumn id="4" name="Lethal Wounds    ." dataDxfId="70"/>
    <tableColumn id="28" name="Lethal Weapon    ." dataDxfId="69"/>
    <tableColumn id="27" name="Column2" dataDxfId="68"/>
    <tableColumn id="7" name="Hit%" dataDxfId="67" dataCellStyle="Percent">
      <calculatedColumnFormula>($AH$3 )/20</calculatedColumnFormula>
    </tableColumn>
    <tableColumn id="8" name="Wound%" dataDxfId="66" dataCellStyle="Percent">
      <calculatedColumnFormula>(C4/20)*IF($AK$6=1,0.5,1)</calculatedColumnFormula>
    </tableColumn>
    <tableColumn id="9" name="Crit%" dataDxfId="65" dataCellStyle="Percent">
      <calculatedColumnFormula>(IF(( L4="X"),0,($AH$5+I4))/20)</calculatedColumnFormula>
    </tableColumn>
    <tableColumn id="11" name="WoundsÆ" dataDxfId="64">
      <calculatedColumnFormula>1*S4*(R4)*(1+T4)*D4</calculatedColumnFormula>
    </tableColumn>
    <tableColumn id="12" name="% Base" dataDxfId="63" dataCellStyle="Percent">
      <calculatedColumnFormula>U4/$U$25</calculatedColumnFormula>
    </tableColumn>
    <tableColumn id="20" name="To Kill" dataDxfId="62" dataCellStyle="Percent">
      <calculatedColumnFormula>AK9/Table145[[#This Row],[WoundsÆ]]</calculatedColumnFormula>
    </tableColumn>
    <tableColumn id="13" name="Column3" dataDxfId="61"/>
    <tableColumn id="14" name="Hit %" dataDxfId="60" dataCellStyle="Percent">
      <calculatedColumnFormula>($AH$3)/20</calculatedColumnFormula>
    </tableColumn>
    <tableColumn id="15" name="Wound %" dataDxfId="59" dataCellStyle="Percent">
      <calculatedColumnFormula>(C4/20)*IF($AK$6=1,IF(F4="X",1,0.5),1)</calculatedColumnFormula>
    </tableColumn>
    <tableColumn id="16" name="Crit %" dataDxfId="58" dataCellStyle="Percent">
      <calculatedColumnFormula>($AH$5/20)</calculatedColumnFormula>
    </tableColumn>
    <tableColumn id="18" name="WoundÆ" dataDxfId="57">
      <calculatedColumnFormula>1*Z4*(Y4)*(1+AA4)*D4</calculatedColumnFormula>
    </tableColumn>
    <tableColumn id="19" name="% Base2" dataDxfId="56" dataCellStyle="Percent">
      <calculatedColumnFormula>AB4/$AB$25</calculatedColumnFormula>
    </tableColumn>
    <tableColumn id="21" name="To Kill2" dataDxfId="55" dataCellStyle="Percent">
      <calculatedColumnFormula>$AK$9/Table145[[#This Row],[WoundÆ]]</calculatedColumnFormula>
    </tableColumn>
    <tableColumn id="22" name="Combo" dataDxfId="54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5" totalsRowShown="0" headerRowDxfId="53" dataDxfId="52" dataCellStyle="Percent">
  <autoFilter ref="B3:AC35"/>
  <tableColumns count="28">
    <tableColumn id="1" name="Name" dataDxfId="51"/>
    <tableColumn id="2" name="Damage" dataDxfId="50"/>
    <tableColumn id="3" name="Attacks" dataDxfId="49"/>
    <tableColumn id="5" name="Note" dataDxfId="48"/>
    <tableColumn id="6" name="Penetration" dataDxfId="47"/>
    <tableColumn id="30" name="Light Weapon    ." dataDxfId="46"/>
    <tableColumn id="23" name="MM      ." dataDxfId="45"/>
    <tableColumn id="24" name="Crit       ." dataDxfId="44"/>
    <tableColumn id="26" name="Weak Spots" dataDxfId="43"/>
    <tableColumn id="25" name="Cone      ." dataDxfId="42"/>
    <tableColumn id="29" name="No Crits     ." dataDxfId="41"/>
    <tableColumn id="4" name="Lethal Wounds    ." dataDxfId="40"/>
    <tableColumn id="28" name="Lethal Weapon    ." dataDxfId="39"/>
    <tableColumn id="27" name="Column2" dataDxfId="38"/>
    <tableColumn id="7" name="Hit%" dataDxfId="37" dataCellStyle="Percent">
      <calculatedColumnFormula>($AF$3 )/20</calculatedColumnFormula>
    </tableColumn>
    <tableColumn id="8" name="Wound%" dataDxfId="36" dataCellStyle="Percent">
      <calculatedColumnFormula>(C4/20)*IF($AI$6=1,0.5,1)</calculatedColumnFormula>
    </tableColumn>
    <tableColumn id="9" name="Crit%" dataDxfId="35" dataCellStyle="Percent">
      <calculatedColumnFormula>(IF(( L4="X"),0,($AF$5+I4))/20)</calculatedColumnFormula>
    </tableColumn>
    <tableColumn id="11" name="WoundsÆ" dataDxfId="34">
      <calculatedColumnFormula>1*Q4*(P4)*(1+R4)*D4</calculatedColumnFormula>
    </tableColumn>
    <tableColumn id="12" name="% Base" dataDxfId="33" dataCellStyle="Percent">
      <calculatedColumnFormula>S4/$S$25</calculatedColumnFormula>
    </tableColumn>
    <tableColumn id="20" name="To Kill" dataDxfId="32" dataCellStyle="Percent">
      <calculatedColumnFormula>AI9/Table1453[[#This Row],[WoundsÆ]]</calculatedColumnFormula>
    </tableColumn>
    <tableColumn id="13" name="Column3" dataDxfId="31"/>
    <tableColumn id="14" name="Hit %" dataDxfId="30" dataCellStyle="Percent">
      <calculatedColumnFormula>($AF$3)/20</calculatedColumnFormula>
    </tableColumn>
    <tableColumn id="15" name="Wound %" dataDxfId="29" dataCellStyle="Percent">
      <calculatedColumnFormula>(C4/20)*IF($AI$6=1,IF(F4="X",1,0.5),1)</calculatedColumnFormula>
    </tableColumn>
    <tableColumn id="16" name="Crit %" dataDxfId="28" dataCellStyle="Percent">
      <calculatedColumnFormula>($AF$5/20)</calculatedColumnFormula>
    </tableColumn>
    <tableColumn id="18" name="WoundÆ" dataDxfId="27">
      <calculatedColumnFormula>1*X4*(W4)*(1+Y4)*D4</calculatedColumnFormula>
    </tableColumn>
    <tableColumn id="19" name="% Base2" dataDxfId="26" dataCellStyle="Percent">
      <calculatedColumnFormula>Z4/$Z$25</calculatedColumnFormula>
    </tableColumn>
    <tableColumn id="21" name="To Kill2" dataDxfId="25" dataCellStyle="Percent">
      <calculatedColumnFormula>$AI$9/Table1453[[#This Row],[WoundÆ]]</calculatedColumnFormula>
    </tableColumn>
    <tableColumn id="22" name="Combo" dataDxfId="24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abSelected="1" workbookViewId="0">
      <selection activeCell="C9" sqref="C9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23</v>
      </c>
      <c r="X2" s="29"/>
      <c r="Y2" s="29"/>
      <c r="Z2" s="29"/>
      <c r="AA2" s="28"/>
      <c r="AB2" s="28"/>
      <c r="AE2" t="s">
        <v>8</v>
      </c>
      <c r="AH2" t="s">
        <v>9</v>
      </c>
    </row>
    <row r="3" spans="2:35" ht="83.25" customHeight="1" x14ac:dyDescent="0.25"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126</v>
      </c>
      <c r="N3" s="7" t="s">
        <v>127</v>
      </c>
      <c r="O3" s="7" t="s">
        <v>66</v>
      </c>
      <c r="P3" s="7" t="s">
        <v>6</v>
      </c>
      <c r="Q3" s="7" t="s">
        <v>7</v>
      </c>
      <c r="R3" s="7" t="s">
        <v>19</v>
      </c>
      <c r="S3" s="7" t="s">
        <v>47</v>
      </c>
      <c r="T3" s="7" t="s">
        <v>48</v>
      </c>
      <c r="U3" s="7" t="s">
        <v>52</v>
      </c>
      <c r="V3" s="7" t="s">
        <v>42</v>
      </c>
      <c r="W3" s="7" t="s">
        <v>46</v>
      </c>
      <c r="X3" s="7" t="s">
        <v>45</v>
      </c>
      <c r="Y3" s="7" t="s">
        <v>44</v>
      </c>
      <c r="Z3" s="7" t="s">
        <v>50</v>
      </c>
      <c r="AA3" s="7" t="s">
        <v>49</v>
      </c>
      <c r="AB3" s="7" t="s">
        <v>53</v>
      </c>
      <c r="AC3" s="7" t="s">
        <v>57</v>
      </c>
      <c r="AD3" s="7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13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6">
        <f>1*Q4*P4*(1+R4)*D4 + IF(N4="X",D4*P4*0.25,0) + IF(M4="X",D4*P4*Q4*0.5,0)</f>
        <v>0.55000000000000004</v>
      </c>
      <c r="T4" s="3">
        <f>S4/$S$4</f>
        <v>1</v>
      </c>
      <c r="U4" s="8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6">
        <f>IF(G4="X",0,1*X4*W4*(1+Y4)*D4) * IF($AI$13=1,IF(F4="X",1,0.5),1) + IF(N4="X",D4*P4*0.25,0)</f>
        <v>0.27500000000000002</v>
      </c>
      <c r="AA4" s="3">
        <f>Z4/$Z$4</f>
        <v>1</v>
      </c>
      <c r="AB4" s="8">
        <f>$AI$9/Z4/2</f>
        <v>7.2727272727272725</v>
      </c>
      <c r="AC4" s="3">
        <f>(T4+AA4)/2</f>
        <v>1</v>
      </c>
      <c r="AD4" s="3"/>
      <c r="AE4" t="s">
        <v>98</v>
      </c>
      <c r="AF4">
        <v>10</v>
      </c>
      <c r="AH4" t="s">
        <v>98</v>
      </c>
      <c r="AI4">
        <v>10</v>
      </c>
    </row>
    <row r="5" spans="2:35" x14ac:dyDescent="0.25">
      <c r="B5" s="1" t="s">
        <v>14</v>
      </c>
      <c r="C5" s="1">
        <v>10</v>
      </c>
      <c r="D5" s="1">
        <v>2</v>
      </c>
      <c r="E5" s="1" t="s">
        <v>101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6">
        <f>1*Q5*P5*(1+R5)*D5 + IF(N5="X",D5*P5*0.25,0) + IF(M5="X",D5*P5*Q5*0.5,0)</f>
        <v>0.55000000000000004</v>
      </c>
      <c r="T5" s="3">
        <f>S5/$S$4</f>
        <v>1</v>
      </c>
      <c r="U5" s="8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6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8">
        <f t="shared" ref="AB5:AB16" si="7">$AI$9/Z5/2</f>
        <v>7.2727272727272725</v>
      </c>
      <c r="AC5" s="3">
        <f t="shared" ref="AC5:AC35" si="8">(T5+AA5)/2</f>
        <v>1</v>
      </c>
      <c r="AD5" s="3"/>
      <c r="AE5" t="s">
        <v>21</v>
      </c>
      <c r="AF5">
        <v>2</v>
      </c>
      <c r="AH5" t="s">
        <v>99</v>
      </c>
      <c r="AI5">
        <v>10</v>
      </c>
    </row>
    <row r="6" spans="2:35" x14ac:dyDescent="0.25">
      <c r="B6" s="1" t="s">
        <v>54</v>
      </c>
      <c r="C6" s="1">
        <v>10</v>
      </c>
      <c r="D6" s="1">
        <v>3</v>
      </c>
      <c r="E6" s="1"/>
      <c r="F6" s="1"/>
      <c r="G6" s="1" t="s">
        <v>63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6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8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6">
        <f t="shared" si="6"/>
        <v>0</v>
      </c>
      <c r="AA6" s="3">
        <f t="shared" ref="AA6:AA8" si="11">Z6/$Z$4</f>
        <v>0</v>
      </c>
      <c r="AB6" s="8" t="e">
        <f t="shared" si="7"/>
        <v>#DIV/0!</v>
      </c>
      <c r="AC6" s="3">
        <f t="shared" si="8"/>
        <v>0.75</v>
      </c>
      <c r="AD6" s="3"/>
      <c r="AH6" t="s">
        <v>100</v>
      </c>
      <c r="AI6">
        <v>0</v>
      </c>
    </row>
    <row r="7" spans="2:35" x14ac:dyDescent="0.25">
      <c r="B7" s="1" t="s">
        <v>15</v>
      </c>
      <c r="C7" s="1">
        <v>10</v>
      </c>
      <c r="D7" s="1">
        <v>2</v>
      </c>
      <c r="E7" s="1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6">
        <f t="shared" si="9"/>
        <v>0.55000000000000004</v>
      </c>
      <c r="T7" s="3">
        <f t="shared" si="10"/>
        <v>1</v>
      </c>
      <c r="U7" s="8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6">
        <f t="shared" si="6"/>
        <v>0.55000000000000004</v>
      </c>
      <c r="AA7" s="3">
        <f t="shared" si="11"/>
        <v>2</v>
      </c>
      <c r="AB7" s="8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16</v>
      </c>
      <c r="C8" s="1">
        <v>10</v>
      </c>
      <c r="D8" s="1">
        <v>2</v>
      </c>
      <c r="E8" s="1" t="s">
        <v>124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6">
        <f t="shared" si="9"/>
        <v>0.55000000000000004</v>
      </c>
      <c r="T8" s="3">
        <f t="shared" si="10"/>
        <v>1</v>
      </c>
      <c r="U8" s="8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6">
        <f t="shared" si="6"/>
        <v>0.27500000000000002</v>
      </c>
      <c r="AA8" s="3">
        <f t="shared" si="11"/>
        <v>1</v>
      </c>
      <c r="AB8" s="8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17</v>
      </c>
      <c r="C9" s="1">
        <v>12</v>
      </c>
      <c r="D9" s="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6">
        <f t="shared" ref="S9:S10" si="12">1*Q9*P9*(1+R9)*D9 + IF(N9="X",D9*P9*0.25,0) + IF(M9="X",D9*P9*Q9*0.5,0)</f>
        <v>0.66</v>
      </c>
      <c r="T9" s="3">
        <f t="shared" ref="T9:T10" si="13">S9/$S$4</f>
        <v>1.2</v>
      </c>
      <c r="U9" s="8">
        <f t="shared" si="3"/>
        <v>3.0303030303030303</v>
      </c>
      <c r="V9" s="4"/>
      <c r="W9" s="3">
        <f t="shared" si="4"/>
        <v>0.5</v>
      </c>
      <c r="X9" s="3">
        <f t="shared" ref="X9:X10" si="14">(C9/20)*IF($AJ$13=1,IF(F9="X",1,0.5),1)</f>
        <v>0.6</v>
      </c>
      <c r="Y9" s="3">
        <f t="shared" si="5"/>
        <v>0.1</v>
      </c>
      <c r="Z9" s="6">
        <f t="shared" si="6"/>
        <v>0.33</v>
      </c>
      <c r="AA9" s="3">
        <f t="shared" ref="AA9:AA10" si="15">Z9/$Z$4</f>
        <v>1.2</v>
      </c>
      <c r="AB9" s="8">
        <f t="shared" si="7"/>
        <v>6.0606060606060606</v>
      </c>
      <c r="AC9" s="3">
        <f t="shared" si="8"/>
        <v>1.2</v>
      </c>
      <c r="AD9" s="3"/>
      <c r="AH9" t="s">
        <v>51</v>
      </c>
      <c r="AI9">
        <v>4</v>
      </c>
    </row>
    <row r="10" spans="2:35" x14ac:dyDescent="0.25">
      <c r="B10" s="1" t="s">
        <v>75</v>
      </c>
      <c r="C10" s="1">
        <v>15</v>
      </c>
      <c r="D10" s="1">
        <v>3</v>
      </c>
      <c r="E10" s="1"/>
      <c r="F10" s="1" t="s">
        <v>63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6">
        <f t="shared" si="12"/>
        <v>1.2375</v>
      </c>
      <c r="T10" s="3">
        <f t="shared" si="13"/>
        <v>2.25</v>
      </c>
      <c r="U10" s="8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6">
        <f t="shared" si="6"/>
        <v>1.2375</v>
      </c>
      <c r="AA10" s="3">
        <f t="shared" si="15"/>
        <v>4.5</v>
      </c>
      <c r="AB10" s="8">
        <f t="shared" si="7"/>
        <v>1.6161616161616161</v>
      </c>
      <c r="AC10" s="3">
        <f t="shared" si="8"/>
        <v>3.375</v>
      </c>
      <c r="AD10" s="19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6"/>
      <c r="T11" s="3"/>
      <c r="U11" s="8"/>
      <c r="V11" s="4"/>
      <c r="W11" s="3"/>
      <c r="X11" s="3"/>
      <c r="Y11" s="3"/>
      <c r="Z11" s="6"/>
      <c r="AA11" s="3"/>
      <c r="AB11" s="8"/>
      <c r="AC11" s="3"/>
      <c r="AD11" s="19"/>
      <c r="AH11" t="s">
        <v>98</v>
      </c>
      <c r="AI11">
        <v>10</v>
      </c>
    </row>
    <row r="12" spans="2:35" ht="14.25" customHeight="1" x14ac:dyDescent="0.25">
      <c r="B12" s="1" t="s">
        <v>24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6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8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6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8">
        <f t="shared" si="7"/>
        <v>6.6666666666666661</v>
      </c>
      <c r="AC12" s="3">
        <f t="shared" si="8"/>
        <v>1</v>
      </c>
      <c r="AD12" s="19"/>
      <c r="AH12" t="s">
        <v>99</v>
      </c>
      <c r="AI12">
        <v>10</v>
      </c>
    </row>
    <row r="13" spans="2:35" ht="14.25" customHeight="1" x14ac:dyDescent="0.25">
      <c r="B13" s="1" t="s">
        <v>40</v>
      </c>
      <c r="C13" s="2">
        <v>7</v>
      </c>
      <c r="D13" s="1">
        <v>2</v>
      </c>
      <c r="E13" s="1" t="s">
        <v>65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6">
        <f t="shared" si="16"/>
        <v>0.55000000000000004</v>
      </c>
      <c r="T13" s="3">
        <f t="shared" ref="T13:T25" si="19">S13/$S$12</f>
        <v>0.91666666666666663</v>
      </c>
      <c r="U13" s="8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6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8">
        <f t="shared" si="7"/>
        <v>3.6363636363636362</v>
      </c>
      <c r="AC13" s="3">
        <f t="shared" si="8"/>
        <v>1.375</v>
      </c>
      <c r="AD13" s="19"/>
      <c r="AH13" t="s">
        <v>100</v>
      </c>
      <c r="AI13">
        <v>1</v>
      </c>
    </row>
    <row r="14" spans="2:35" ht="14.25" customHeight="1" x14ac:dyDescent="0.25">
      <c r="B14" s="1" t="s">
        <v>62</v>
      </c>
      <c r="C14" s="2">
        <v>8</v>
      </c>
      <c r="D14" s="1">
        <v>2</v>
      </c>
      <c r="E14" s="1" t="s">
        <v>56</v>
      </c>
      <c r="F14" s="1" t="s">
        <v>63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6">
        <f t="shared" si="16"/>
        <v>0.60000000000000009</v>
      </c>
      <c r="T14" s="3">
        <f t="shared" si="19"/>
        <v>1</v>
      </c>
      <c r="U14" s="8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6">
        <f t="shared" si="22"/>
        <v>0.60000000000000009</v>
      </c>
      <c r="AA14" s="3">
        <f t="shared" si="23"/>
        <v>2</v>
      </c>
      <c r="AB14" s="8">
        <f t="shared" si="7"/>
        <v>3.333333333333333</v>
      </c>
      <c r="AC14" s="3">
        <f t="shared" si="8"/>
        <v>1.5</v>
      </c>
      <c r="AD14" s="19"/>
    </row>
    <row r="15" spans="2:35" ht="14.25" customHeight="1" x14ac:dyDescent="0.25">
      <c r="B15" s="1" t="s">
        <v>25</v>
      </c>
      <c r="C15" s="2">
        <v>8</v>
      </c>
      <c r="D15" s="1">
        <v>4</v>
      </c>
      <c r="E15" s="1" t="s">
        <v>58</v>
      </c>
      <c r="F15" s="1"/>
      <c r="G15" s="1"/>
      <c r="H15" s="1"/>
      <c r="I15" s="1"/>
      <c r="J15" s="1"/>
      <c r="K15" s="1"/>
      <c r="L15" s="1" t="s">
        <v>63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6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8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6">
        <f t="shared" si="22"/>
        <v>0.4</v>
      </c>
      <c r="AA15" s="3">
        <f t="shared" si="23"/>
        <v>1.3333333333333333</v>
      </c>
      <c r="AB15" s="8">
        <f t="shared" si="7"/>
        <v>5</v>
      </c>
      <c r="AC15" s="3">
        <f t="shared" si="8"/>
        <v>1.3333333333333333</v>
      </c>
      <c r="AD15" s="19"/>
    </row>
    <row r="16" spans="2:35" ht="14.25" customHeight="1" x14ac:dyDescent="0.25">
      <c r="B16" s="1" t="s">
        <v>26</v>
      </c>
      <c r="C16" s="2">
        <v>6</v>
      </c>
      <c r="D16" s="1">
        <v>2</v>
      </c>
      <c r="E16" s="1" t="s">
        <v>41</v>
      </c>
      <c r="F16" s="1"/>
      <c r="G16" s="1"/>
      <c r="H16" s="1"/>
      <c r="I16" s="1"/>
      <c r="J16" s="1"/>
      <c r="K16" s="1" t="s">
        <v>63</v>
      </c>
      <c r="L16" s="1" t="s">
        <v>63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6">
        <f t="shared" si="24"/>
        <v>0.6</v>
      </c>
      <c r="T16" s="3">
        <f t="shared" si="19"/>
        <v>0.99999999999999978</v>
      </c>
      <c r="U16" s="8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6">
        <f t="shared" si="22"/>
        <v>0.3</v>
      </c>
      <c r="AA16" s="3">
        <f t="shared" si="23"/>
        <v>0.99999999999999978</v>
      </c>
      <c r="AB16" s="8">
        <f t="shared" si="7"/>
        <v>6.666666666666667</v>
      </c>
      <c r="AC16" s="3">
        <f t="shared" si="8"/>
        <v>0.99999999999999978</v>
      </c>
      <c r="AD16" s="19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6"/>
      <c r="T17" s="3"/>
      <c r="U17" s="8"/>
      <c r="V17" s="4"/>
      <c r="W17" s="3"/>
      <c r="X17" s="3"/>
      <c r="Y17" s="3"/>
      <c r="Z17" s="6"/>
      <c r="AA17" s="3"/>
      <c r="AB17" s="20"/>
      <c r="AC17" s="3"/>
      <c r="AD17" s="19"/>
    </row>
    <row r="18" spans="2:30" ht="14.25" customHeight="1" x14ac:dyDescent="0.25">
      <c r="B18" s="1" t="s">
        <v>27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6">
        <f t="shared" si="24"/>
        <v>1.05</v>
      </c>
      <c r="T18" s="3">
        <f>S18/$S$18</f>
        <v>1</v>
      </c>
      <c r="U18" s="8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6">
        <f t="shared" si="22"/>
        <v>0.52500000000000002</v>
      </c>
      <c r="AA18" s="3">
        <f t="shared" si="23"/>
        <v>1.7499999999999998</v>
      </c>
      <c r="AB18" s="20">
        <f>$AI$9/Z18</f>
        <v>7.6190476190476186</v>
      </c>
      <c r="AC18" s="3">
        <f t="shared" si="8"/>
        <v>1.375</v>
      </c>
      <c r="AD18" s="19"/>
    </row>
    <row r="19" spans="2:30" ht="14.25" customHeight="1" x14ac:dyDescent="0.25">
      <c r="B19" s="1" t="s">
        <v>28</v>
      </c>
      <c r="C19" s="2">
        <v>8</v>
      </c>
      <c r="D19" s="1">
        <v>3</v>
      </c>
      <c r="E19" s="1" t="s">
        <v>73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6">
        <f t="shared" si="24"/>
        <v>0.90000000000000013</v>
      </c>
      <c r="T19" s="3">
        <f t="shared" ref="T19:T25" si="25">S19/$S$18</f>
        <v>0.85714285714285721</v>
      </c>
      <c r="U19" s="8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6">
        <f t="shared" si="22"/>
        <v>0.45000000000000007</v>
      </c>
      <c r="AA19" s="3">
        <f t="shared" si="23"/>
        <v>1.5</v>
      </c>
      <c r="AB19" s="20">
        <f t="shared" ref="AB19:AB35" si="26">$AI$9/Z19</f>
        <v>8.8888888888888875</v>
      </c>
      <c r="AC19" s="3">
        <f t="shared" si="8"/>
        <v>1.1785714285714286</v>
      </c>
      <c r="AD19" s="19"/>
    </row>
    <row r="20" spans="2:30" ht="14.25" customHeight="1" x14ac:dyDescent="0.25">
      <c r="B20" s="1" t="s">
        <v>29</v>
      </c>
      <c r="C20" s="2">
        <v>8</v>
      </c>
      <c r="D20" s="1">
        <v>3</v>
      </c>
      <c r="E20" s="1"/>
      <c r="F20" s="1" t="s">
        <v>63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6">
        <f t="shared" si="24"/>
        <v>0.90000000000000013</v>
      </c>
      <c r="T20" s="3">
        <f t="shared" si="25"/>
        <v>0.85714285714285721</v>
      </c>
      <c r="U20" s="8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6">
        <f t="shared" si="22"/>
        <v>0.90000000000000013</v>
      </c>
      <c r="AA20" s="3">
        <f t="shared" si="23"/>
        <v>3</v>
      </c>
      <c r="AB20" s="20">
        <f t="shared" si="26"/>
        <v>4.4444444444444438</v>
      </c>
      <c r="AC20" s="3">
        <f t="shared" si="8"/>
        <v>1.9285714285714286</v>
      </c>
      <c r="AD20" s="19"/>
    </row>
    <row r="21" spans="2:30" ht="14.25" customHeight="1" x14ac:dyDescent="0.25">
      <c r="B21" s="1" t="s">
        <v>55</v>
      </c>
      <c r="C21" s="2">
        <v>12</v>
      </c>
      <c r="D21" s="1">
        <v>2</v>
      </c>
      <c r="E21" s="1" t="s">
        <v>56</v>
      </c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6">
        <f t="shared" si="24"/>
        <v>0.8</v>
      </c>
      <c r="T21" s="3">
        <f t="shared" si="25"/>
        <v>0.76190476190476186</v>
      </c>
      <c r="U21" s="8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6">
        <f t="shared" si="22"/>
        <v>0.8</v>
      </c>
      <c r="AA21" s="3">
        <f t="shared" si="23"/>
        <v>2.6666666666666665</v>
      </c>
      <c r="AB21" s="20">
        <f t="shared" si="26"/>
        <v>5</v>
      </c>
      <c r="AC21" s="3">
        <f t="shared" si="8"/>
        <v>1.7142857142857142</v>
      </c>
      <c r="AD21" s="19"/>
    </row>
    <row r="22" spans="2:30" ht="14.25" customHeight="1" x14ac:dyDescent="0.25">
      <c r="B22" s="1" t="s">
        <v>30</v>
      </c>
      <c r="C22" s="2">
        <v>10</v>
      </c>
      <c r="D22" s="1">
        <v>2</v>
      </c>
      <c r="E22" s="1" t="s">
        <v>41</v>
      </c>
      <c r="F22" s="1"/>
      <c r="G22" s="1"/>
      <c r="H22" s="1"/>
      <c r="I22" s="1"/>
      <c r="J22" s="1"/>
      <c r="K22" s="1" t="s">
        <v>63</v>
      </c>
      <c r="L22" s="1" t="s">
        <v>63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6">
        <f t="shared" si="24"/>
        <v>1</v>
      </c>
      <c r="T22" s="3">
        <f t="shared" si="25"/>
        <v>0.95238095238095233</v>
      </c>
      <c r="U22" s="8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6">
        <f t="shared" si="22"/>
        <v>0.5</v>
      </c>
      <c r="AA22" s="3">
        <f t="shared" si="23"/>
        <v>1.6666666666666665</v>
      </c>
      <c r="AB22" s="20">
        <f t="shared" si="26"/>
        <v>8</v>
      </c>
      <c r="AC22" s="3">
        <f t="shared" si="8"/>
        <v>1.3095238095238093</v>
      </c>
      <c r="AD22" s="19"/>
    </row>
    <row r="23" spans="2:30" ht="14.25" customHeight="1" x14ac:dyDescent="0.25">
      <c r="B23" s="1" t="s">
        <v>31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63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6">
        <f t="shared" si="24"/>
        <v>1.125</v>
      </c>
      <c r="T23" s="3">
        <f t="shared" si="25"/>
        <v>1.0714285714285714</v>
      </c>
      <c r="U23" s="8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6">
        <f t="shared" si="22"/>
        <v>0.5625</v>
      </c>
      <c r="AA23" s="3">
        <f t="shared" si="23"/>
        <v>1.8749999999999998</v>
      </c>
      <c r="AB23" s="20">
        <f t="shared" si="26"/>
        <v>7.1111111111111107</v>
      </c>
      <c r="AC23" s="3">
        <f t="shared" si="8"/>
        <v>1.4732142857142856</v>
      </c>
      <c r="AD23" s="19"/>
    </row>
    <row r="24" spans="2:30" ht="14.25" customHeight="1" x14ac:dyDescent="0.25">
      <c r="B24" s="1" t="s">
        <v>32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6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8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6">
        <f t="shared" si="22"/>
        <v>0.875</v>
      </c>
      <c r="AA24" s="3">
        <f t="shared" si="23"/>
        <v>2.9166666666666661</v>
      </c>
      <c r="AB24" s="20">
        <f t="shared" si="26"/>
        <v>4.5714285714285712</v>
      </c>
      <c r="AC24" s="3">
        <f t="shared" si="8"/>
        <v>2.2916666666666661</v>
      </c>
      <c r="AD24" s="19"/>
    </row>
    <row r="25" spans="2:30" ht="14.25" customHeight="1" x14ac:dyDescent="0.25">
      <c r="B25" s="1" t="s">
        <v>33</v>
      </c>
      <c r="C25" s="2">
        <v>8</v>
      </c>
      <c r="D25" s="1">
        <v>6</v>
      </c>
      <c r="E25" s="1" t="s">
        <v>58</v>
      </c>
      <c r="F25" s="1"/>
      <c r="G25" s="1"/>
      <c r="H25" s="1"/>
      <c r="I25" s="1"/>
      <c r="J25" s="1"/>
      <c r="K25" s="1"/>
      <c r="L25" s="1" t="s">
        <v>63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6">
        <f t="shared" si="27"/>
        <v>1.2000000000000002</v>
      </c>
      <c r="T25" s="3">
        <f t="shared" si="25"/>
        <v>1.142857142857143</v>
      </c>
      <c r="U25" s="8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6">
        <f t="shared" si="22"/>
        <v>0.60000000000000009</v>
      </c>
      <c r="AA25" s="3">
        <f t="shared" si="23"/>
        <v>2</v>
      </c>
      <c r="AB25" s="20">
        <f t="shared" si="26"/>
        <v>6.6666666666666661</v>
      </c>
      <c r="AC25" s="3">
        <f t="shared" si="8"/>
        <v>1.5714285714285716</v>
      </c>
      <c r="AD25" s="19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6"/>
      <c r="T26" s="3"/>
      <c r="U26" s="8"/>
      <c r="V26" s="4"/>
      <c r="W26" s="3"/>
      <c r="X26" s="3"/>
      <c r="Y26" s="3"/>
      <c r="Z26" s="6"/>
      <c r="AA26" s="3"/>
      <c r="AB26" s="20"/>
      <c r="AC26" s="3"/>
      <c r="AD26" s="19"/>
    </row>
    <row r="27" spans="2:30" ht="14.25" customHeight="1" x14ac:dyDescent="0.25">
      <c r="B27" s="1" t="s">
        <v>34</v>
      </c>
      <c r="C27" s="2">
        <v>12</v>
      </c>
      <c r="D27" s="1">
        <v>4</v>
      </c>
      <c r="E27" s="1" t="s">
        <v>59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6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8">
        <f t="shared" ref="U5:U35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6">
        <f t="shared" si="22"/>
        <v>0.8</v>
      </c>
      <c r="AA27" s="3">
        <f>Z27/$Z$27</f>
        <v>1</v>
      </c>
      <c r="AB27" s="20">
        <f t="shared" si="26"/>
        <v>5</v>
      </c>
      <c r="AC27" s="3">
        <f t="shared" si="8"/>
        <v>1</v>
      </c>
      <c r="AD27" s="19"/>
    </row>
    <row r="28" spans="2:30" ht="14.25" customHeight="1" x14ac:dyDescent="0.25">
      <c r="B28" s="1" t="s">
        <v>35</v>
      </c>
      <c r="C28" s="2">
        <v>12</v>
      </c>
      <c r="D28" s="1">
        <v>2</v>
      </c>
      <c r="E28" s="1" t="s">
        <v>60</v>
      </c>
      <c r="F28" s="1"/>
      <c r="G28" s="1"/>
      <c r="H28" s="1"/>
      <c r="I28" s="1"/>
      <c r="J28" s="1"/>
      <c r="K28" s="1" t="s">
        <v>63</v>
      </c>
      <c r="L28" s="1" t="s">
        <v>63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6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8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6">
        <f t="shared" si="22"/>
        <v>0.6</v>
      </c>
      <c r="AA28" s="3">
        <f t="shared" ref="AA28:AA35" si="32">Z28/$Z$27</f>
        <v>0.74999999999999989</v>
      </c>
      <c r="AB28" s="20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36</v>
      </c>
      <c r="C29" s="2">
        <v>14</v>
      </c>
      <c r="D29" s="1">
        <v>3</v>
      </c>
      <c r="E29" s="1"/>
      <c r="F29" s="1" t="s">
        <v>63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6">
        <f t="shared" si="29"/>
        <v>1.3499999999999999</v>
      </c>
      <c r="T29" s="3">
        <f t="shared" si="30"/>
        <v>0.84374999999999989</v>
      </c>
      <c r="U29" s="8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6">
        <f t="shared" si="22"/>
        <v>1.3499999999999999</v>
      </c>
      <c r="AA29" s="3">
        <f t="shared" si="32"/>
        <v>1.6874999999999998</v>
      </c>
      <c r="AB29" s="20">
        <f t="shared" si="26"/>
        <v>2.9629629629629632</v>
      </c>
      <c r="AC29" s="3">
        <f t="shared" si="8"/>
        <v>1.2656249999999998</v>
      </c>
      <c r="AD29" s="19"/>
    </row>
    <row r="30" spans="2:30" ht="14.25" customHeight="1" x14ac:dyDescent="0.25">
      <c r="B30" s="1" t="s">
        <v>37</v>
      </c>
      <c r="C30" s="2">
        <v>12</v>
      </c>
      <c r="D30" s="1">
        <v>2</v>
      </c>
      <c r="E30" s="1" t="s">
        <v>61</v>
      </c>
      <c r="F30" s="1"/>
      <c r="G30" s="1"/>
      <c r="H30" s="1"/>
      <c r="I30" s="1"/>
      <c r="J30" s="1"/>
      <c r="K30" s="1" t="s">
        <v>63</v>
      </c>
      <c r="L30" s="1" t="s">
        <v>63</v>
      </c>
      <c r="M30" s="1"/>
      <c r="N30" s="1"/>
      <c r="O30" s="1"/>
      <c r="P30" s="3">
        <f t="shared" si="17"/>
        <v>1</v>
      </c>
      <c r="Q30" s="3">
        <f t="shared" si="18"/>
        <v>0.6</v>
      </c>
      <c r="R30" s="3">
        <f t="shared" si="2"/>
        <v>0</v>
      </c>
      <c r="S30" s="6">
        <f t="shared" si="29"/>
        <v>1.2</v>
      </c>
      <c r="T30" s="3">
        <f t="shared" si="30"/>
        <v>0.74999999999999989</v>
      </c>
      <c r="U30" s="8">
        <f t="shared" si="31"/>
        <v>3.3333333333333335</v>
      </c>
      <c r="V30" s="4"/>
      <c r="W30" s="3">
        <f t="shared" si="20"/>
        <v>1</v>
      </c>
      <c r="X30" s="3">
        <f t="shared" si="21"/>
        <v>0.6</v>
      </c>
      <c r="Y30" s="3">
        <f t="shared" si="5"/>
        <v>0</v>
      </c>
      <c r="Z30" s="6">
        <f t="shared" si="22"/>
        <v>0.6</v>
      </c>
      <c r="AA30" s="3">
        <f t="shared" si="32"/>
        <v>0.74999999999999989</v>
      </c>
      <c r="AB30" s="20">
        <f t="shared" si="26"/>
        <v>6.666666666666667</v>
      </c>
      <c r="AC30" s="3">
        <f t="shared" si="8"/>
        <v>0.74999999999999989</v>
      </c>
      <c r="AD30" s="3"/>
    </row>
    <row r="31" spans="2:30" ht="14.25" customHeight="1" x14ac:dyDescent="0.25">
      <c r="B31" s="1" t="s">
        <v>74</v>
      </c>
      <c r="C31" s="2">
        <v>8</v>
      </c>
      <c r="D31" s="1">
        <v>3</v>
      </c>
      <c r="E31" s="1" t="s">
        <v>61</v>
      </c>
      <c r="F31" s="1"/>
      <c r="G31" s="1"/>
      <c r="H31" s="1"/>
      <c r="I31" s="1"/>
      <c r="J31" s="1"/>
      <c r="K31" s="1" t="s">
        <v>63</v>
      </c>
      <c r="L31" s="1" t="s">
        <v>63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6">
        <f t="shared" si="29"/>
        <v>1.2000000000000002</v>
      </c>
      <c r="T31" s="3">
        <f t="shared" si="30"/>
        <v>0.75000000000000011</v>
      </c>
      <c r="U31" s="8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6">
        <f t="shared" si="22"/>
        <v>0.60000000000000009</v>
      </c>
      <c r="AA31" s="3">
        <f t="shared" si="32"/>
        <v>0.75000000000000011</v>
      </c>
      <c r="AB31" s="20">
        <f t="shared" si="26"/>
        <v>6.6666666666666661</v>
      </c>
      <c r="AC31" s="3">
        <f t="shared" si="8"/>
        <v>0.75000000000000011</v>
      </c>
      <c r="AD31" s="19"/>
    </row>
    <row r="32" spans="2:30" ht="15.75" x14ac:dyDescent="0.25">
      <c r="B32" s="1" t="s">
        <v>39</v>
      </c>
      <c r="C32" s="2">
        <v>8</v>
      </c>
      <c r="D32" s="1">
        <v>5</v>
      </c>
      <c r="E32" s="1" t="s">
        <v>65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6">
        <f t="shared" si="29"/>
        <v>1.5</v>
      </c>
      <c r="T32" s="3">
        <f t="shared" si="30"/>
        <v>0.9375</v>
      </c>
      <c r="U32" s="8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6">
        <f t="shared" si="22"/>
        <v>0.75</v>
      </c>
      <c r="AA32" s="3">
        <f t="shared" si="32"/>
        <v>0.9375</v>
      </c>
      <c r="AB32" s="20">
        <f t="shared" si="26"/>
        <v>5.333333333333333</v>
      </c>
      <c r="AC32" s="3">
        <f t="shared" si="8"/>
        <v>0.9375</v>
      </c>
      <c r="AD32" s="19"/>
    </row>
    <row r="33" spans="1:30" ht="15.75" x14ac:dyDescent="0.25">
      <c r="A33" s="15"/>
      <c r="B33" s="1" t="s">
        <v>76</v>
      </c>
      <c r="C33" s="2">
        <v>10</v>
      </c>
      <c r="D33" s="1">
        <v>7</v>
      </c>
      <c r="E33" s="1" t="s">
        <v>58</v>
      </c>
      <c r="F33" s="1"/>
      <c r="G33" s="1"/>
      <c r="H33" s="1"/>
      <c r="I33" s="1"/>
      <c r="J33" s="1"/>
      <c r="K33" s="1"/>
      <c r="L33" s="1" t="s">
        <v>63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6">
        <f t="shared" si="29"/>
        <v>1.75</v>
      </c>
      <c r="T33" s="3">
        <f t="shared" si="30"/>
        <v>1.09375</v>
      </c>
      <c r="U33" s="8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6">
        <f t="shared" si="22"/>
        <v>0.875</v>
      </c>
      <c r="AA33" s="3">
        <f t="shared" si="32"/>
        <v>1.09375</v>
      </c>
      <c r="AB33" s="20">
        <f t="shared" si="26"/>
        <v>4.5714285714285712</v>
      </c>
      <c r="AC33" s="3">
        <f t="shared" si="8"/>
        <v>1.09375</v>
      </c>
      <c r="AD33" s="19"/>
    </row>
    <row r="34" spans="1:30" ht="15.75" x14ac:dyDescent="0.25">
      <c r="A34" s="15"/>
      <c r="B34" s="9" t="s">
        <v>77</v>
      </c>
      <c r="C34" s="10">
        <v>12</v>
      </c>
      <c r="D34" s="9">
        <v>4</v>
      </c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6">
        <f t="shared" si="29"/>
        <v>1.6</v>
      </c>
      <c r="T34" s="3">
        <f t="shared" si="30"/>
        <v>1</v>
      </c>
      <c r="U34" s="8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6">
        <f t="shared" si="22"/>
        <v>0.8</v>
      </c>
      <c r="AA34" s="3">
        <f t="shared" si="32"/>
        <v>1</v>
      </c>
      <c r="AB34" s="20">
        <f t="shared" si="26"/>
        <v>5</v>
      </c>
      <c r="AC34" s="3">
        <f t="shared" si="8"/>
        <v>1</v>
      </c>
      <c r="AD34" s="19"/>
    </row>
    <row r="35" spans="1:30" ht="15.75" x14ac:dyDescent="0.25">
      <c r="A35" s="15"/>
      <c r="B35" s="9" t="s">
        <v>38</v>
      </c>
      <c r="C35" s="10">
        <v>8</v>
      </c>
      <c r="D35" s="9">
        <v>3</v>
      </c>
      <c r="E35" s="9" t="s">
        <v>61</v>
      </c>
      <c r="F35" s="9"/>
      <c r="G35" s="9"/>
      <c r="H35" s="9"/>
      <c r="I35" s="9"/>
      <c r="J35" s="9"/>
      <c r="K35" s="9" t="s">
        <v>63</v>
      </c>
      <c r="L35" s="9" t="s">
        <v>63</v>
      </c>
      <c r="M35" s="9"/>
      <c r="N35" s="9"/>
      <c r="O35" s="9"/>
      <c r="P35" s="3">
        <f t="shared" si="17"/>
        <v>1</v>
      </c>
      <c r="Q35" s="3">
        <f t="shared" si="18"/>
        <v>0.4</v>
      </c>
      <c r="R35" s="3">
        <f t="shared" si="2"/>
        <v>0</v>
      </c>
      <c r="S35" s="6">
        <f t="shared" si="29"/>
        <v>1.2000000000000002</v>
      </c>
      <c r="T35" s="3">
        <f t="shared" si="30"/>
        <v>0.75000000000000011</v>
      </c>
      <c r="U35" s="8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6">
        <f t="shared" si="22"/>
        <v>0.60000000000000009</v>
      </c>
      <c r="AA35" s="3">
        <f t="shared" si="32"/>
        <v>0.75000000000000011</v>
      </c>
      <c r="AB35" s="20">
        <f t="shared" si="26"/>
        <v>6.6666666666666661</v>
      </c>
      <c r="AC35" s="3">
        <f t="shared" si="8"/>
        <v>0.75000000000000011</v>
      </c>
      <c r="AD35" s="19"/>
    </row>
    <row r="36" spans="1:30" ht="15.75" x14ac:dyDescent="0.25">
      <c r="A36" s="15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"/>
      <c r="Q36" s="3"/>
      <c r="R36" s="3"/>
      <c r="S36" s="6"/>
      <c r="T36" s="3"/>
      <c r="U36" s="8"/>
      <c r="V36" s="4"/>
      <c r="W36" s="3"/>
      <c r="X36" s="3"/>
      <c r="Y36" s="3"/>
      <c r="Z36" s="6"/>
      <c r="AA36" s="3"/>
      <c r="AB36" s="20"/>
      <c r="AC36" s="3"/>
      <c r="AD36" s="19"/>
    </row>
    <row r="37" spans="1:30" ht="15.75" x14ac:dyDescent="0.25">
      <c r="A37" s="15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3"/>
      <c r="Q37" s="3"/>
      <c r="R37" s="3"/>
      <c r="S37" s="6"/>
      <c r="T37" s="3"/>
      <c r="U37" s="8"/>
      <c r="V37" s="4"/>
      <c r="W37" s="3"/>
      <c r="X37" s="3"/>
      <c r="Y37" s="3"/>
      <c r="Z37" s="6"/>
      <c r="AA37" s="3"/>
      <c r="AB37" s="20"/>
      <c r="AC37" s="3"/>
      <c r="AD37" s="19"/>
    </row>
    <row r="38" spans="1:30" ht="15.75" x14ac:dyDescent="0.25">
      <c r="A38" s="15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"/>
      <c r="Q38" s="3"/>
      <c r="R38" s="3"/>
      <c r="S38" s="6"/>
      <c r="T38" s="3"/>
      <c r="U38" s="8"/>
      <c r="V38" s="4"/>
      <c r="W38" s="3"/>
      <c r="X38" s="3"/>
      <c r="Y38" s="3"/>
      <c r="Z38" s="6"/>
      <c r="AA38" s="3"/>
      <c r="AB38" s="20"/>
      <c r="AC38" s="3"/>
      <c r="AD38" s="19"/>
    </row>
    <row r="39" spans="1:30" ht="15.75" x14ac:dyDescent="0.25">
      <c r="A39" s="15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"/>
      <c r="Q39" s="3"/>
      <c r="R39" s="3"/>
      <c r="S39" s="6"/>
      <c r="T39" s="3"/>
      <c r="U39" s="8"/>
      <c r="V39" s="4"/>
      <c r="W39" s="3"/>
      <c r="X39" s="3"/>
      <c r="Y39" s="3"/>
      <c r="Z39" s="6"/>
      <c r="AA39" s="3"/>
      <c r="AB39" s="20"/>
      <c r="AC39" s="19"/>
      <c r="AD39" s="19"/>
    </row>
    <row r="40" spans="1:30" ht="15.75" x14ac:dyDescent="0.25">
      <c r="A40" s="15"/>
      <c r="B40" s="9"/>
      <c r="C40" s="10"/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6"/>
      <c r="T40" s="3"/>
      <c r="U40" s="19"/>
      <c r="V40" s="4"/>
      <c r="W40" s="3"/>
      <c r="X40" s="3"/>
      <c r="Y40" s="3"/>
      <c r="Z40" s="6"/>
      <c r="AA40" s="3"/>
      <c r="AB40" s="20"/>
      <c r="AC40" s="19"/>
      <c r="AD40" s="19"/>
    </row>
    <row r="41" spans="1:30" ht="15.75" x14ac:dyDescent="0.25">
      <c r="A41" s="15"/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1"/>
      <c r="P41" s="11"/>
      <c r="Q41" s="11"/>
      <c r="R41" s="11"/>
      <c r="S41" s="11"/>
      <c r="T41" s="13"/>
      <c r="U41" s="14"/>
      <c r="V41" s="11"/>
      <c r="W41" s="11"/>
      <c r="X41" s="11"/>
      <c r="Y41" s="11"/>
      <c r="Z41" s="11"/>
      <c r="AA41" s="13"/>
      <c r="AB41" s="11"/>
      <c r="AC41" s="16"/>
      <c r="AD41" s="16"/>
    </row>
    <row r="42" spans="1:30" ht="15.75" x14ac:dyDescent="0.25">
      <c r="A42" s="15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1"/>
      <c r="P42" s="11"/>
      <c r="Q42" s="11"/>
      <c r="R42" s="11"/>
      <c r="S42" s="11"/>
      <c r="T42" s="13"/>
      <c r="U42" s="14"/>
      <c r="V42" s="11"/>
      <c r="W42" s="11"/>
      <c r="X42" s="11"/>
      <c r="Y42" s="11"/>
      <c r="Z42" s="11"/>
      <c r="AA42" s="13"/>
      <c r="AB42" s="11"/>
      <c r="AC42" s="16"/>
      <c r="AD42" s="16"/>
    </row>
    <row r="43" spans="1:30" ht="15.75" x14ac:dyDescent="0.25">
      <c r="A43" s="15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1"/>
      <c r="P43" s="11"/>
      <c r="Q43" s="11"/>
      <c r="R43" s="11"/>
      <c r="S43" s="11"/>
      <c r="T43" s="13"/>
      <c r="U43" s="14"/>
      <c r="V43" s="11"/>
      <c r="W43" s="11"/>
      <c r="X43" s="11"/>
      <c r="Y43" s="11"/>
      <c r="Z43" s="11"/>
      <c r="AA43" s="13"/>
      <c r="AB43" s="11"/>
      <c r="AC43" s="16"/>
      <c r="AD43" s="16"/>
    </row>
    <row r="44" spans="1:30" ht="15.75" x14ac:dyDescent="0.25">
      <c r="A44" s="15"/>
      <c r="B44" s="9"/>
      <c r="C44" s="10"/>
      <c r="D44" s="9"/>
      <c r="E44" s="9"/>
    </row>
    <row r="45" spans="1:30" ht="15.75" x14ac:dyDescent="0.25">
      <c r="A45" s="17"/>
      <c r="B45" s="9"/>
      <c r="C45" s="10"/>
      <c r="D45" s="9"/>
      <c r="E45" s="9"/>
    </row>
    <row r="46" spans="1:30" ht="15.75" x14ac:dyDescent="0.25">
      <c r="A46" s="15"/>
      <c r="B46" s="9"/>
      <c r="C46" s="10"/>
      <c r="D46" s="9"/>
      <c r="E46" s="9"/>
    </row>
    <row r="47" spans="1:30" ht="15.75" x14ac:dyDescent="0.25">
      <c r="A47" s="15"/>
      <c r="B47" s="9"/>
      <c r="C47" s="10"/>
      <c r="D47" s="9"/>
      <c r="E47" s="9"/>
    </row>
    <row r="48" spans="1:30" ht="15.75" x14ac:dyDescent="0.25">
      <c r="A48" s="15"/>
      <c r="B48" s="9"/>
      <c r="C48" s="10"/>
      <c r="D48" s="9"/>
      <c r="E48" s="9"/>
    </row>
    <row r="49" spans="1:5" ht="15.75" x14ac:dyDescent="0.25">
      <c r="A49" s="15"/>
      <c r="B49" s="9"/>
      <c r="C49" s="10"/>
      <c r="D49" s="9"/>
      <c r="E49" s="9"/>
    </row>
    <row r="50" spans="1:5" ht="15.75" x14ac:dyDescent="0.25">
      <c r="A50" s="15"/>
      <c r="B50" s="9"/>
      <c r="C50" s="10"/>
      <c r="D50" s="9"/>
      <c r="E50" s="9"/>
    </row>
    <row r="51" spans="1:5" ht="15.75" x14ac:dyDescent="0.25">
      <c r="A51" s="15"/>
      <c r="B51" s="9"/>
      <c r="C51" s="10"/>
      <c r="D51" s="9"/>
      <c r="E51" s="9"/>
    </row>
    <row r="52" spans="1:5" ht="15.75" x14ac:dyDescent="0.25">
      <c r="A52" s="16"/>
      <c r="B52" s="9"/>
      <c r="C52" s="10"/>
      <c r="D52" s="9"/>
      <c r="E52" s="9"/>
    </row>
    <row r="53" spans="1:5" ht="15.75" customHeight="1" x14ac:dyDescent="0.25">
      <c r="A53" s="15"/>
      <c r="B53" s="9"/>
      <c r="C53" s="10"/>
      <c r="D53" s="9"/>
      <c r="E53" s="9"/>
    </row>
    <row r="54" spans="1:5" ht="15.75" x14ac:dyDescent="0.25">
      <c r="A54" s="15"/>
      <c r="B54" s="18"/>
      <c r="C54" s="10"/>
      <c r="D54" s="9"/>
      <c r="E54" s="9"/>
    </row>
    <row r="55" spans="1:5" ht="15.75" x14ac:dyDescent="0.25">
      <c r="A55" s="15"/>
      <c r="B55" s="9"/>
      <c r="C55" s="10"/>
      <c r="D55" s="9"/>
      <c r="E55" s="9"/>
    </row>
    <row r="56" spans="1:5" ht="15.75" x14ac:dyDescent="0.25">
      <c r="A56" s="15"/>
      <c r="B56" s="9"/>
      <c r="C56" s="10"/>
      <c r="D56" s="9"/>
      <c r="E56" s="9"/>
    </row>
    <row r="57" spans="1:5" ht="15.75" x14ac:dyDescent="0.25">
      <c r="A57" s="15"/>
      <c r="B57" s="9"/>
      <c r="C57" s="10"/>
      <c r="D57" s="9"/>
      <c r="E57" s="9"/>
    </row>
    <row r="58" spans="1:5" ht="15.75" x14ac:dyDescent="0.25">
      <c r="A58" s="15"/>
      <c r="B58" s="9"/>
      <c r="C58" s="10"/>
      <c r="D58" s="9"/>
      <c r="E58" s="9"/>
    </row>
    <row r="59" spans="1:5" ht="15.75" x14ac:dyDescent="0.25">
      <c r="A59" s="15"/>
      <c r="B59" s="9"/>
      <c r="C59" s="10"/>
      <c r="D59" s="9"/>
      <c r="E59" s="9"/>
    </row>
    <row r="60" spans="1:5" ht="15.75" x14ac:dyDescent="0.25">
      <c r="A60" s="15"/>
      <c r="B60" s="9"/>
      <c r="C60" s="10"/>
      <c r="D60" s="9"/>
      <c r="E60" s="9"/>
    </row>
    <row r="61" spans="1:5" ht="15.75" x14ac:dyDescent="0.25">
      <c r="A61" s="15"/>
      <c r="B61" s="9"/>
      <c r="C61" s="10"/>
      <c r="D61" s="9"/>
      <c r="E61" s="9"/>
    </row>
    <row r="62" spans="1:5" ht="15.75" x14ac:dyDescent="0.25">
      <c r="A62" s="15"/>
      <c r="B62" s="9"/>
      <c r="C62" s="10"/>
      <c r="D62" s="9"/>
      <c r="E62" s="9"/>
    </row>
    <row r="63" spans="1:5" ht="15.75" x14ac:dyDescent="0.25">
      <c r="A63" s="15"/>
      <c r="B63" s="9"/>
      <c r="C63" s="10"/>
      <c r="D63" s="9"/>
      <c r="E63" s="9"/>
    </row>
    <row r="64" spans="1:5" ht="15.75" x14ac:dyDescent="0.25">
      <c r="A64" s="15"/>
      <c r="B64" s="9"/>
      <c r="C64" s="10"/>
      <c r="D64" s="9"/>
      <c r="E64" s="9"/>
    </row>
    <row r="65" spans="1:5" ht="15.75" x14ac:dyDescent="0.25">
      <c r="A65" s="16"/>
      <c r="B65" s="9"/>
      <c r="C65" s="10"/>
      <c r="D65" s="9"/>
      <c r="E65" s="9"/>
    </row>
    <row r="66" spans="1:5" ht="15.75" x14ac:dyDescent="0.25">
      <c r="B66" s="9"/>
      <c r="C66" s="10"/>
      <c r="D66" s="9"/>
      <c r="E66" s="9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A2" workbookViewId="0">
      <selection activeCell="W4" sqref="W4"/>
    </sheetView>
  </sheetViews>
  <sheetFormatPr defaultRowHeight="15" x14ac:dyDescent="0.25"/>
  <cols>
    <col min="2" max="2" width="21.7109375" customWidth="1"/>
    <col min="6" max="15" width="3.42578125" customWidth="1"/>
  </cols>
  <sheetData>
    <row r="2" spans="1:38" x14ac:dyDescent="0.25">
      <c r="A2" s="22"/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U2" s="29"/>
      <c r="Y2" s="29" t="s">
        <v>23</v>
      </c>
      <c r="Z2" s="29"/>
      <c r="AA2" s="29"/>
      <c r="AB2" s="29"/>
      <c r="AC2" s="29"/>
      <c r="AD2" s="21"/>
      <c r="AE2" s="21"/>
      <c r="AH2" t="s">
        <v>8</v>
      </c>
      <c r="AK2" t="s">
        <v>9</v>
      </c>
    </row>
    <row r="3" spans="1:38" ht="84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67</v>
      </c>
      <c r="H3" s="7" t="s">
        <v>68</v>
      </c>
      <c r="I3" s="7" t="s">
        <v>70</v>
      </c>
      <c r="J3" s="7" t="s">
        <v>69</v>
      </c>
      <c r="K3" s="7" t="s">
        <v>71</v>
      </c>
      <c r="L3" s="7" t="s">
        <v>72</v>
      </c>
      <c r="M3" s="7" t="s">
        <v>64</v>
      </c>
      <c r="N3" s="7" t="s">
        <v>89</v>
      </c>
      <c r="O3" s="7" t="s">
        <v>117</v>
      </c>
      <c r="P3" s="7" t="s">
        <v>66</v>
      </c>
      <c r="Q3" s="7" t="s">
        <v>6</v>
      </c>
      <c r="R3" s="7" t="s">
        <v>7</v>
      </c>
      <c r="S3" s="7" t="s">
        <v>19</v>
      </c>
      <c r="T3" s="7" t="s">
        <v>18</v>
      </c>
      <c r="U3" s="7" t="s">
        <v>47</v>
      </c>
      <c r="V3" s="7" t="s">
        <v>48</v>
      </c>
      <c r="W3" s="7" t="s">
        <v>52</v>
      </c>
      <c r="X3" s="7" t="s">
        <v>42</v>
      </c>
      <c r="Y3" s="7" t="s">
        <v>46</v>
      </c>
      <c r="Z3" s="7" t="s">
        <v>45</v>
      </c>
      <c r="AA3" s="7" t="s">
        <v>44</v>
      </c>
      <c r="AB3" s="7" t="s">
        <v>43</v>
      </c>
      <c r="AC3" s="7" t="s">
        <v>50</v>
      </c>
      <c r="AD3" s="7" t="s">
        <v>49</v>
      </c>
      <c r="AE3" s="7" t="s">
        <v>53</v>
      </c>
      <c r="AF3" s="7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25">
      <c r="A4" s="1"/>
      <c r="B4" s="1" t="s">
        <v>79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 t="s">
        <v>20</v>
      </c>
      <c r="R4" s="3">
        <f>(C4/20)*IF($AL$5=1,IF(F4="X",1,0.5),1)</f>
        <v>0.4</v>
      </c>
      <c r="S4" s="3">
        <f>(IF(( K4="X"),0,($AI$5+H4))/20)</f>
        <v>0.1</v>
      </c>
      <c r="T4" s="3">
        <f t="shared" ref="T4:T10" si="0">(($AL$4-IF(L4="X",5,0)-IF(M4="X",5,0))/20)*(1-($AI$4/20))</f>
        <v>0.22500000000000001</v>
      </c>
      <c r="U4" s="6">
        <f>1*R4*(1-T4)*(1+S4)*D4</f>
        <v>0.68200000000000016</v>
      </c>
      <c r="V4" s="3">
        <f>U4/$U$4</f>
        <v>1</v>
      </c>
      <c r="W4" s="8">
        <f>$AL$9/Table14[[#This Row],[WoundsÆ]]/2</f>
        <v>2.932551319648093</v>
      </c>
      <c r="X4" s="4"/>
      <c r="Y4" s="4" t="s">
        <v>20</v>
      </c>
      <c r="Z4" s="3">
        <f>(C4/20)*IF($AL$12=1,IF(F4="X",1,0.5),1)</f>
        <v>0.2</v>
      </c>
      <c r="AA4" s="3">
        <f t="shared" ref="AA4:AA10" si="1">(IF((OR(J4="X", K4="X")),0,($AI$5+H4))/20)</f>
        <v>0.1</v>
      </c>
      <c r="AB4" s="3">
        <f t="shared" ref="AB4:AB10" si="2">(($AL$11-IF(L4="X",5,0)-IF(M4="X",5,0))/20)*(1-($AI$4/20))</f>
        <v>0.22500000000000001</v>
      </c>
      <c r="AC4" s="6">
        <f t="shared" ref="AC4:AC10" si="3">1*Z4*(1-AB4)*(1+AA4)*D4</f>
        <v>0.34100000000000008</v>
      </c>
      <c r="AD4" s="3">
        <f>AC4/$AC$4</f>
        <v>1</v>
      </c>
      <c r="AE4" s="8">
        <f>$AL$9/Table14[[#This Row],[WoundÆ]]/2</f>
        <v>5.865102639296186</v>
      </c>
      <c r="AF4" s="3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25">
      <c r="A5" s="1"/>
      <c r="B5" s="1" t="s">
        <v>80</v>
      </c>
      <c r="C5" s="1">
        <v>9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 t="s">
        <v>20</v>
      </c>
      <c r="R5" s="3">
        <f t="shared" ref="R5:R10" si="4">(C5/20)*IF($AL$5=1,IF(F5="X",1,0.5),1)</f>
        <v>0.45</v>
      </c>
      <c r="S5" s="3">
        <f t="shared" ref="S5:S10" si="5">(IF(( K5="X"),0,($AI$5+H5))/20)</f>
        <v>0.1</v>
      </c>
      <c r="T5" s="3">
        <f t="shared" si="0"/>
        <v>0.22500000000000001</v>
      </c>
      <c r="U5" s="6">
        <f t="shared" ref="U5:U10" si="6">1*R5*(1-T5)*(1+S5)*D5</f>
        <v>0.7672500000000001</v>
      </c>
      <c r="V5" s="3">
        <f t="shared" ref="V5:V10" si="7">U5/$U$4</f>
        <v>1.1249999999999998</v>
      </c>
      <c r="W5" s="8">
        <f>$AL$9/Table14[[#This Row],[WoundsÆ]]/2</f>
        <v>2.6067122841316386</v>
      </c>
      <c r="X5" s="4"/>
      <c r="Y5" s="4" t="s">
        <v>20</v>
      </c>
      <c r="Z5" s="3">
        <f t="shared" ref="Z5:Z10" si="8">(C5/20)*IF($AL$12=1,IF(F5="X",1,0.5),1)</f>
        <v>0.22500000000000001</v>
      </c>
      <c r="AA5" s="3">
        <f t="shared" si="1"/>
        <v>0.1</v>
      </c>
      <c r="AB5" s="3">
        <f t="shared" si="2"/>
        <v>0.22500000000000001</v>
      </c>
      <c r="AC5" s="6">
        <f t="shared" si="3"/>
        <v>0.38362500000000005</v>
      </c>
      <c r="AD5" s="3">
        <f t="shared" ref="AD5:AD10" si="9">AC5/$AC$4</f>
        <v>1.1249999999999998</v>
      </c>
      <c r="AE5" s="8">
        <f>$AL$9/Table14[[#This Row],[WoundÆ]]/2</f>
        <v>5.2134245682632772</v>
      </c>
      <c r="AF5" s="3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25">
      <c r="A6" s="1"/>
      <c r="B6" s="1" t="s">
        <v>81</v>
      </c>
      <c r="C6" s="1">
        <v>8</v>
      </c>
      <c r="D6" s="1">
        <v>2</v>
      </c>
      <c r="E6" s="1" t="s">
        <v>78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 t="s">
        <v>20</v>
      </c>
      <c r="R6" s="3">
        <f t="shared" si="4"/>
        <v>0.4</v>
      </c>
      <c r="S6" s="3">
        <f t="shared" si="5"/>
        <v>0.1</v>
      </c>
      <c r="T6" s="3">
        <f t="shared" si="0"/>
        <v>0.22500000000000001</v>
      </c>
      <c r="U6" s="6">
        <f t="shared" si="6"/>
        <v>0.68200000000000016</v>
      </c>
      <c r="V6" s="3">
        <f t="shared" si="7"/>
        <v>1</v>
      </c>
      <c r="W6" s="8">
        <f>$AL$9/Table14[[#This Row],[WoundsÆ]]/2</f>
        <v>2.932551319648093</v>
      </c>
      <c r="X6" s="4"/>
      <c r="Y6" s="4" t="s">
        <v>20</v>
      </c>
      <c r="Z6" s="3">
        <f t="shared" si="8"/>
        <v>0.2</v>
      </c>
      <c r="AA6" s="3">
        <f t="shared" si="1"/>
        <v>0.1</v>
      </c>
      <c r="AB6" s="3">
        <f t="shared" si="2"/>
        <v>0.22500000000000001</v>
      </c>
      <c r="AC6" s="6">
        <f t="shared" si="3"/>
        <v>0.34100000000000008</v>
      </c>
      <c r="AD6" s="3">
        <f t="shared" si="9"/>
        <v>1</v>
      </c>
      <c r="AE6" s="8">
        <f>$AL$9/Table14[[#This Row],[WoundÆ]]/2</f>
        <v>5.865102639296186</v>
      </c>
      <c r="AF6" s="3">
        <f>(Table14[[#This Row],[% Base]]+Table14[[#This Row],[% Base2]])/2</f>
        <v>1</v>
      </c>
    </row>
    <row r="7" spans="1:38" x14ac:dyDescent="0.25">
      <c r="A7" s="1"/>
      <c r="B7" s="1" t="s">
        <v>17</v>
      </c>
      <c r="C7" s="1">
        <v>12</v>
      </c>
      <c r="D7" s="1">
        <v>1</v>
      </c>
      <c r="E7" s="1"/>
      <c r="F7" s="1"/>
      <c r="G7" s="1"/>
      <c r="H7" s="1"/>
      <c r="I7" s="1"/>
      <c r="J7" s="1"/>
      <c r="K7" s="1"/>
      <c r="L7" s="1" t="s">
        <v>63</v>
      </c>
      <c r="M7" s="1" t="s">
        <v>63</v>
      </c>
      <c r="N7" s="1"/>
      <c r="O7" s="1"/>
      <c r="P7" s="1"/>
      <c r="Q7" s="4" t="s">
        <v>20</v>
      </c>
      <c r="R7" s="3">
        <f t="shared" si="4"/>
        <v>0.6</v>
      </c>
      <c r="S7" s="3">
        <f t="shared" si="5"/>
        <v>0.1</v>
      </c>
      <c r="T7" s="3">
        <f t="shared" si="0"/>
        <v>-2.5000000000000001E-2</v>
      </c>
      <c r="U7" s="6">
        <f t="shared" si="6"/>
        <v>0.67649999999999988</v>
      </c>
      <c r="V7" s="3">
        <f t="shared" si="7"/>
        <v>0.99193548387096731</v>
      </c>
      <c r="W7" s="8">
        <f>$AL$9/Table14[[#This Row],[WoundsÆ]]/2</f>
        <v>2.9563932002956399</v>
      </c>
      <c r="X7" s="4"/>
      <c r="Y7" s="4" t="s">
        <v>20</v>
      </c>
      <c r="Z7" s="3">
        <f t="shared" si="8"/>
        <v>0.3</v>
      </c>
      <c r="AA7" s="3">
        <f t="shared" si="1"/>
        <v>0.1</v>
      </c>
      <c r="AB7" s="3">
        <f t="shared" si="2"/>
        <v>-2.5000000000000001E-2</v>
      </c>
      <c r="AC7" s="6">
        <f t="shared" si="3"/>
        <v>0.33824999999999994</v>
      </c>
      <c r="AD7" s="3">
        <f t="shared" si="9"/>
        <v>0.99193548387096731</v>
      </c>
      <c r="AE7" s="8">
        <f>$AL$9/Table14[[#This Row],[WoundÆ]]/2</f>
        <v>5.9127864005912798</v>
      </c>
      <c r="AF7" s="3">
        <f>(Table14[[#This Row],[% Base]]+Table14[[#This Row],[% Base2]])/2</f>
        <v>0.99193548387096731</v>
      </c>
    </row>
    <row r="8" spans="1:38" x14ac:dyDescent="0.25">
      <c r="A8" s="1"/>
      <c r="B8" s="1" t="s">
        <v>82</v>
      </c>
      <c r="C8" s="1">
        <v>8</v>
      </c>
      <c r="D8" s="1">
        <v>2</v>
      </c>
      <c r="E8" s="1"/>
      <c r="F8" s="1" t="s">
        <v>63</v>
      </c>
      <c r="G8" s="1"/>
      <c r="H8" s="1"/>
      <c r="I8" s="1"/>
      <c r="J8" s="1"/>
      <c r="K8" s="1"/>
      <c r="L8" s="1"/>
      <c r="M8" s="1"/>
      <c r="N8" s="1"/>
      <c r="O8" s="1"/>
      <c r="P8" s="1"/>
      <c r="Q8" s="4" t="s">
        <v>20</v>
      </c>
      <c r="R8" s="3">
        <f t="shared" si="4"/>
        <v>0.4</v>
      </c>
      <c r="S8" s="3">
        <f t="shared" si="5"/>
        <v>0.1</v>
      </c>
      <c r="T8" s="3">
        <f t="shared" si="0"/>
        <v>0.22500000000000001</v>
      </c>
      <c r="U8" s="6">
        <f t="shared" si="6"/>
        <v>0.68200000000000016</v>
      </c>
      <c r="V8" s="3">
        <f t="shared" si="7"/>
        <v>1</v>
      </c>
      <c r="W8" s="8">
        <f>$AL$9/Table14[[#This Row],[WoundsÆ]]/2</f>
        <v>2.932551319648093</v>
      </c>
      <c r="X8" s="4"/>
      <c r="Y8" s="4" t="s">
        <v>20</v>
      </c>
      <c r="Z8" s="3">
        <f t="shared" si="8"/>
        <v>0.4</v>
      </c>
      <c r="AA8" s="3">
        <f t="shared" si="1"/>
        <v>0.1</v>
      </c>
      <c r="AB8" s="3">
        <f t="shared" si="2"/>
        <v>0.22500000000000001</v>
      </c>
      <c r="AC8" s="6">
        <f t="shared" si="3"/>
        <v>0.68200000000000016</v>
      </c>
      <c r="AD8" s="3">
        <f t="shared" si="9"/>
        <v>2</v>
      </c>
      <c r="AE8" s="8">
        <f>$AL$9/Table14[[#This Row],[WoundÆ]]/2</f>
        <v>2.932551319648093</v>
      </c>
      <c r="AF8" s="3">
        <f>(Table14[[#This Row],[% Base]]+Table14[[#This Row],[% Base2]])/2</f>
        <v>1.5</v>
      </c>
      <c r="AK8" t="s">
        <v>9</v>
      </c>
    </row>
    <row r="9" spans="1:38" x14ac:dyDescent="0.25">
      <c r="A9" s="1"/>
      <c r="B9" s="1" t="s">
        <v>83</v>
      </c>
      <c r="C9" s="1">
        <v>8</v>
      </c>
      <c r="D9" s="1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 t="s">
        <v>20</v>
      </c>
      <c r="R9" s="3">
        <f t="shared" si="4"/>
        <v>0.4</v>
      </c>
      <c r="S9" s="3">
        <f t="shared" si="5"/>
        <v>0.1</v>
      </c>
      <c r="T9" s="3">
        <f t="shared" si="0"/>
        <v>0.22500000000000001</v>
      </c>
      <c r="U9" s="6">
        <f t="shared" si="6"/>
        <v>0.85250000000000026</v>
      </c>
      <c r="V9" s="3">
        <f t="shared" si="7"/>
        <v>1.25</v>
      </c>
      <c r="W9" s="8">
        <f>$AL$9/Table14[[#This Row],[WoundsÆ]]/2</f>
        <v>2.3460410557184743</v>
      </c>
      <c r="X9" s="4"/>
      <c r="Y9" s="4" t="s">
        <v>20</v>
      </c>
      <c r="Z9" s="3">
        <f t="shared" si="8"/>
        <v>0.2</v>
      </c>
      <c r="AA9" s="3">
        <f t="shared" si="1"/>
        <v>0.1</v>
      </c>
      <c r="AB9" s="3">
        <f t="shared" si="2"/>
        <v>0.22500000000000001</v>
      </c>
      <c r="AC9" s="6">
        <f t="shared" si="3"/>
        <v>0.42625000000000013</v>
      </c>
      <c r="AD9" s="3">
        <f t="shared" si="9"/>
        <v>1.25</v>
      </c>
      <c r="AE9" s="8">
        <f>$AL$9/Table14[[#This Row],[WoundÆ]]/2</f>
        <v>4.6920821114369486</v>
      </c>
      <c r="AF9" s="3">
        <f>(Table14[[#This Row],[% Base]]+Table14[[#This Row],[% Base2]])/2</f>
        <v>1.25</v>
      </c>
      <c r="AK9" t="s">
        <v>51</v>
      </c>
      <c r="AL9">
        <v>4</v>
      </c>
    </row>
    <row r="10" spans="1:38" x14ac:dyDescent="0.25">
      <c r="A10" s="1"/>
      <c r="B10" s="1" t="s">
        <v>84</v>
      </c>
      <c r="C10" s="1">
        <v>10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 t="s">
        <v>20</v>
      </c>
      <c r="R10" s="3">
        <f t="shared" si="4"/>
        <v>0.5</v>
      </c>
      <c r="S10" s="3">
        <f t="shared" si="5"/>
        <v>0.1</v>
      </c>
      <c r="T10" s="3">
        <f t="shared" si="0"/>
        <v>0.22500000000000001</v>
      </c>
      <c r="U10" s="6">
        <f t="shared" si="6"/>
        <v>0.85250000000000015</v>
      </c>
      <c r="V10" s="3">
        <f t="shared" si="7"/>
        <v>1.25</v>
      </c>
      <c r="W10" s="8">
        <f>$AL$9/Table14[[#This Row],[WoundsÆ]]/2</f>
        <v>2.3460410557184748</v>
      </c>
      <c r="X10" s="4"/>
      <c r="Y10" s="4" t="s">
        <v>20</v>
      </c>
      <c r="Z10" s="3">
        <f t="shared" si="8"/>
        <v>0.25</v>
      </c>
      <c r="AA10" s="3">
        <f t="shared" si="1"/>
        <v>0.1</v>
      </c>
      <c r="AB10" s="3">
        <f t="shared" si="2"/>
        <v>0.22500000000000001</v>
      </c>
      <c r="AC10" s="6">
        <f t="shared" si="3"/>
        <v>0.42625000000000007</v>
      </c>
      <c r="AD10" s="3">
        <f t="shared" si="9"/>
        <v>1.25</v>
      </c>
      <c r="AE10" s="8">
        <f>$AL$9/Table14[[#This Row],[WoundÆ]]/2</f>
        <v>4.6920821114369495</v>
      </c>
      <c r="AF10" s="3">
        <f>(Table14[[#This Row],[% Base]]+Table14[[#This Row],[% Base2]])/2</f>
        <v>1.25</v>
      </c>
      <c r="AK10" t="s">
        <v>10</v>
      </c>
      <c r="AL10">
        <v>9</v>
      </c>
    </row>
    <row r="11" spans="1:38" ht="15.75" x14ac:dyDescent="0.25">
      <c r="A11" s="1"/>
      <c r="B11" s="23" t="s">
        <v>85</v>
      </c>
      <c r="C11" s="2">
        <v>12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 t="s">
        <v>20</v>
      </c>
      <c r="R11" s="3">
        <f t="shared" ref="R11" si="10">(C11/20)*IF($AL$5=1,IF(F11="X",1,0.5),1)</f>
        <v>0.6</v>
      </c>
      <c r="S11" s="3">
        <f t="shared" ref="S11" si="11">(IF(( K11="X"),0,($AI$5+H11))/20)</f>
        <v>0.1</v>
      </c>
      <c r="T11" s="3">
        <f t="shared" ref="T11" si="12">(($AL$4-IF(L11="X",5,0)-IF(M11="X",5,0))/20)*(1-($AI$4/20))</f>
        <v>0.22500000000000001</v>
      </c>
      <c r="U11" s="6">
        <f t="shared" ref="U11" si="13">1*R11*(1-T11)*(1+S11)*D11</f>
        <v>1.0229999999999999</v>
      </c>
      <c r="V11" s="3">
        <f t="shared" ref="V11" si="14">U11/$U$4</f>
        <v>1.4999999999999996</v>
      </c>
      <c r="W11" s="8">
        <f>$AL$9/Table14[[#This Row],[WoundsÆ]]/2</f>
        <v>1.9550342130987295</v>
      </c>
      <c r="X11" s="4"/>
      <c r="Y11" s="4" t="s">
        <v>20</v>
      </c>
      <c r="Z11" s="3">
        <f t="shared" ref="Z11" si="15">(C11/20)*IF($AL$12=1,IF(F11="X",1,0.5),1)</f>
        <v>0.3</v>
      </c>
      <c r="AA11" s="3">
        <f t="shared" ref="AA11" si="16">(IF((OR(J11="X", K11="X")),0,($AI$5+H11))/20)</f>
        <v>0.1</v>
      </c>
      <c r="AB11" s="3">
        <f t="shared" ref="AB11" si="17">(($AL$11-IF(L11="X",5,0)-IF(M11="X",5,0))/20)*(1-($AI$4/20))</f>
        <v>0.22500000000000001</v>
      </c>
      <c r="AC11" s="6">
        <f t="shared" ref="AC11" si="18">1*Z11*(1-AB11)*(1+AA11)*D11</f>
        <v>0.51149999999999995</v>
      </c>
      <c r="AD11" s="3">
        <f t="shared" ref="AD11" si="19">AC11/$AC$4</f>
        <v>1.4999999999999996</v>
      </c>
      <c r="AE11" s="8">
        <f>$AL$9/Table14[[#This Row],[WoundÆ]]/2</f>
        <v>3.910068426197459</v>
      </c>
      <c r="AF11" s="3">
        <f>(Table14[[#This Row],[% Base]]+Table14[[#This Row],[% Base2]])/2</f>
        <v>1.4999999999999996</v>
      </c>
      <c r="AK11" t="s">
        <v>11</v>
      </c>
      <c r="AL11">
        <v>9</v>
      </c>
    </row>
    <row r="12" spans="1:38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3"/>
      <c r="T12" s="3"/>
      <c r="U12" s="6"/>
      <c r="V12" s="3"/>
      <c r="W12" s="19"/>
      <c r="X12" s="4"/>
      <c r="Y12" s="3"/>
      <c r="Z12" s="3"/>
      <c r="AA12" s="3"/>
      <c r="AB12" s="3"/>
      <c r="AC12" s="6"/>
      <c r="AD12" s="3"/>
      <c r="AE12" s="20"/>
      <c r="AF12" s="19"/>
      <c r="AK12" t="s">
        <v>12</v>
      </c>
      <c r="AL12">
        <v>1</v>
      </c>
    </row>
    <row r="13" spans="1:38" ht="15.75" x14ac:dyDescent="0.25">
      <c r="A13" s="1"/>
      <c r="B13" s="1" t="s">
        <v>24</v>
      </c>
      <c r="C13" s="2">
        <v>8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>
        <f t="shared" ref="Q13:Q20" si="20">IF(J13="X",1,($AI$3+G13)/20)</f>
        <v>0.5</v>
      </c>
      <c r="R13" s="3">
        <f>(C13/20)*IF($AL$5=1,IF(F13="X",1,0.5),1)</f>
        <v>0.4</v>
      </c>
      <c r="S13" s="3">
        <f t="shared" ref="S13:S18" si="21">(IF(( K13="X"),0,($AI$5+H13))/20)</f>
        <v>0.1</v>
      </c>
      <c r="T13" s="3" t="s">
        <v>20</v>
      </c>
      <c r="U13" s="6">
        <f>((1*R13*(Q13)*D13   +   (IF(I13="X",2,1)*S13*D13)      + IF(O13="X",D13*Q13*0.25,0)     ) * IF(N13="X",1.5,1) ) *      IF($AL$5="1",0.5,1)</f>
        <v>0.60000000000000009</v>
      </c>
      <c r="V13" s="3">
        <f t="shared" ref="V13:V18" si="22">U13/$U$13</f>
        <v>1</v>
      </c>
      <c r="W13" s="8">
        <f>$AL$9/Table14[[#This Row],[WoundsÆ]]/2</f>
        <v>3.333333333333333</v>
      </c>
      <c r="X13" s="4"/>
      <c r="Y13" s="3">
        <f t="shared" ref="Y13:Y18" si="23">IF(J13="X",1,($AI$3+IF(F13="X",2,0)+G13)/20)</f>
        <v>0.5</v>
      </c>
      <c r="Z13" s="3">
        <f t="shared" ref="Z13:Z18" si="24">(C13/20)*IF($AL$12=1,IF(F13="X",1,0.5),1)</f>
        <v>0.2</v>
      </c>
      <c r="AA13" s="3">
        <f t="shared" ref="AA13:AA18" si="25">(IF((OR(J13="X", K13="X")),0,($AI$5+H13))/20)</f>
        <v>0.1</v>
      </c>
      <c r="AB13" s="3" t="s">
        <v>20</v>
      </c>
      <c r="AC13" s="6">
        <f>((1*R13*(Q13)*D13   +   (IF(I13="X",2,1)*S13*D13)      + IF(O13="X",D13*Q13*0.5,0)     ) * IF(N13="X",1.5,1) ) *      IF($AL$12=1,IF(F13="X",1,0.5),1)</f>
        <v>0.30000000000000004</v>
      </c>
      <c r="AD13" s="3">
        <f t="shared" ref="AD13:AD18" si="26">AC13/$AC$13</f>
        <v>1</v>
      </c>
      <c r="AE13" s="20">
        <f>$AL$9/Table14[[#This Row],[WoundÆ]]/2</f>
        <v>6.6666666666666661</v>
      </c>
      <c r="AF13" s="19">
        <f>(Table14[[#This Row],[% Base]]+Table14[[#This Row],[% Base2]])/2</f>
        <v>1</v>
      </c>
    </row>
    <row r="14" spans="1:38" ht="15.75" x14ac:dyDescent="0.25">
      <c r="A14" s="1"/>
      <c r="B14" s="1" t="s">
        <v>40</v>
      </c>
      <c r="C14" s="2">
        <v>7</v>
      </c>
      <c r="D14" s="1">
        <v>2</v>
      </c>
      <c r="E14" s="1"/>
      <c r="F14" s="1" t="s">
        <v>63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 t="shared" si="20"/>
        <v>0.5</v>
      </c>
      <c r="R14" s="3">
        <f>(C14/20)*IF($AL$5=1,IF(F14="X",1,0.5),1)</f>
        <v>0.35</v>
      </c>
      <c r="S14" s="3">
        <f t="shared" si="21"/>
        <v>0.1</v>
      </c>
      <c r="T14" s="3" t="s">
        <v>20</v>
      </c>
      <c r="U14" s="6">
        <f t="shared" ref="U14:U35" si="27">((1*R14*(Q14)*D14   +   (IF(I14="X",2,1)*S14*D14)      + IF(O14="X",D14*Q14*0.25,0)     ) * IF(N14="X",1.5,1) ) *      IF($AL$5="1",0.5,1)</f>
        <v>0.55000000000000004</v>
      </c>
      <c r="V14" s="3">
        <f t="shared" si="22"/>
        <v>0.91666666666666663</v>
      </c>
      <c r="W14" s="8">
        <f>$AL$9/Table14[[#This Row],[WoundsÆ]]/2</f>
        <v>3.6363636363636362</v>
      </c>
      <c r="X14" s="4"/>
      <c r="Y14" s="3">
        <f t="shared" si="23"/>
        <v>0.6</v>
      </c>
      <c r="Z14" s="3">
        <f t="shared" si="24"/>
        <v>0.35</v>
      </c>
      <c r="AA14" s="3">
        <f t="shared" si="25"/>
        <v>0.1</v>
      </c>
      <c r="AB14" s="3" t="s">
        <v>20</v>
      </c>
      <c r="AC14" s="6">
        <f t="shared" ref="AC14:AC35" si="28">((1*R14*(Q14)*D14   +   (IF(I14="X",2,1)*S14*D14)      + IF(O14="X",D14*Q14*0.5,0)     ) * IF(N14="X",1.5,1) ) *      IF($AL$12=1,IF(F14="X",1,0.5),1)</f>
        <v>0.55000000000000004</v>
      </c>
      <c r="AD14" s="3">
        <f t="shared" si="26"/>
        <v>1.8333333333333333</v>
      </c>
      <c r="AE14" s="20">
        <f>$AL$9/Table14[[#This Row],[WoundÆ]]/2</f>
        <v>3.6363636363636362</v>
      </c>
      <c r="AF14" s="19">
        <f>(Table14[[#This Row],[% Base]]+Table14[[#This Row],[% Base2]])/2</f>
        <v>1.375</v>
      </c>
    </row>
    <row r="15" spans="1:38" ht="15.75" x14ac:dyDescent="0.25">
      <c r="A15" s="1"/>
      <c r="B15" s="1" t="s">
        <v>25</v>
      </c>
      <c r="C15" s="2">
        <v>8</v>
      </c>
      <c r="D15" s="1">
        <v>4</v>
      </c>
      <c r="E15" s="1"/>
      <c r="F15" s="1"/>
      <c r="G15" s="1"/>
      <c r="H15" s="1"/>
      <c r="I15" s="1"/>
      <c r="J15" s="1"/>
      <c r="K15" s="1" t="s">
        <v>63</v>
      </c>
      <c r="L15" s="1"/>
      <c r="M15" s="1"/>
      <c r="N15" s="1"/>
      <c r="O15" s="1"/>
      <c r="P15" s="1"/>
      <c r="Q15" s="3">
        <f t="shared" si="20"/>
        <v>0.5</v>
      </c>
      <c r="R15" s="3">
        <f>(C15/20)*IF($AL$5=1,0.5,1)</f>
        <v>0.4</v>
      </c>
      <c r="S15" s="3">
        <f t="shared" si="21"/>
        <v>0</v>
      </c>
      <c r="T15" s="3" t="s">
        <v>20</v>
      </c>
      <c r="U15" s="6">
        <f t="shared" si="27"/>
        <v>0.8</v>
      </c>
      <c r="V15" s="3">
        <f t="shared" si="22"/>
        <v>1.3333333333333333</v>
      </c>
      <c r="W15" s="8">
        <f>$AL$9/Table14[[#This Row],[WoundsÆ]]/2</f>
        <v>2.5</v>
      </c>
      <c r="X15" s="4"/>
      <c r="Y15" s="3">
        <f t="shared" si="23"/>
        <v>0.5</v>
      </c>
      <c r="Z15" s="3">
        <f t="shared" si="24"/>
        <v>0.2</v>
      </c>
      <c r="AA15" s="3">
        <f t="shared" si="25"/>
        <v>0</v>
      </c>
      <c r="AB15" s="3" t="s">
        <v>20</v>
      </c>
      <c r="AC15" s="6">
        <f t="shared" si="28"/>
        <v>0.4</v>
      </c>
      <c r="AD15" s="3">
        <f t="shared" si="26"/>
        <v>1.3333333333333333</v>
      </c>
      <c r="AE15" s="20">
        <f>$AL$9/Table14[[#This Row],[WoundÆ]]/2</f>
        <v>5</v>
      </c>
      <c r="AF15" s="19">
        <f>(Table14[[#This Row],[% Base]]+Table14[[#This Row],[% Base2]])/2</f>
        <v>1.3333333333333333</v>
      </c>
    </row>
    <row r="16" spans="1:38" ht="15.75" x14ac:dyDescent="0.25">
      <c r="A16" s="1"/>
      <c r="B16" s="1" t="s">
        <v>86</v>
      </c>
      <c r="C16" s="2">
        <v>8</v>
      </c>
      <c r="D16" s="1">
        <v>2</v>
      </c>
      <c r="E16" s="1"/>
      <c r="F16" s="1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f t="shared" si="20"/>
        <v>0.5</v>
      </c>
      <c r="R16" s="3">
        <f>(C16/20)*IF($AL$5=1,0.5,1)</f>
        <v>0.4</v>
      </c>
      <c r="S16" s="3">
        <f t="shared" si="21"/>
        <v>0.1</v>
      </c>
      <c r="T16" s="3" t="s">
        <v>20</v>
      </c>
      <c r="U16" s="6">
        <f t="shared" si="27"/>
        <v>0.60000000000000009</v>
      </c>
      <c r="V16" s="3">
        <f t="shared" si="22"/>
        <v>1</v>
      </c>
      <c r="W16" s="8">
        <f>$AL$9/Table14[[#This Row],[WoundsÆ]]/2</f>
        <v>3.333333333333333</v>
      </c>
      <c r="X16" s="4"/>
      <c r="Y16" s="3">
        <f t="shared" si="23"/>
        <v>0.6</v>
      </c>
      <c r="Z16" s="3">
        <f t="shared" si="24"/>
        <v>0.4</v>
      </c>
      <c r="AA16" s="3">
        <f t="shared" si="25"/>
        <v>0.1</v>
      </c>
      <c r="AB16" s="3" t="s">
        <v>20</v>
      </c>
      <c r="AC16" s="6">
        <f t="shared" si="28"/>
        <v>0.60000000000000009</v>
      </c>
      <c r="AD16" s="3">
        <f t="shared" si="26"/>
        <v>2</v>
      </c>
      <c r="AE16" s="20">
        <f>$AL$9/Table14[[#This Row],[WoundÆ]]/2</f>
        <v>3.333333333333333</v>
      </c>
      <c r="AF16" s="19">
        <f>(Table14[[#This Row],[% Base]]+Table14[[#This Row],[% Base2]])/2</f>
        <v>1.5</v>
      </c>
    </row>
    <row r="17" spans="1:32" ht="15.75" x14ac:dyDescent="0.25">
      <c r="A17" s="1"/>
      <c r="B17" s="1" t="s">
        <v>87</v>
      </c>
      <c r="C17" s="2">
        <v>8</v>
      </c>
      <c r="D17" s="1">
        <v>3</v>
      </c>
      <c r="E17" s="1"/>
      <c r="F17" s="1"/>
      <c r="G17" s="1"/>
      <c r="H17" s="1"/>
      <c r="I17" s="1"/>
      <c r="J17" s="1"/>
      <c r="K17" s="1" t="s">
        <v>63</v>
      </c>
      <c r="L17" s="1"/>
      <c r="M17" s="1"/>
      <c r="N17" s="1" t="s">
        <v>63</v>
      </c>
      <c r="O17" s="1"/>
      <c r="P17" s="1"/>
      <c r="Q17" s="3">
        <f t="shared" si="20"/>
        <v>0.5</v>
      </c>
      <c r="R17" s="3">
        <f>(C17/20)*IF($AL$5=1,0.5,1)</f>
        <v>0.4</v>
      </c>
      <c r="S17" s="3">
        <f t="shared" si="21"/>
        <v>0</v>
      </c>
      <c r="T17" s="3" t="s">
        <v>20</v>
      </c>
      <c r="U17" s="6">
        <f t="shared" si="27"/>
        <v>0.90000000000000013</v>
      </c>
      <c r="V17" s="3">
        <f t="shared" si="22"/>
        <v>1.5</v>
      </c>
      <c r="W17" s="8">
        <f>$AL$9/Table14[[#This Row],[WoundsÆ]]/2</f>
        <v>2.2222222222222219</v>
      </c>
      <c r="X17" s="4"/>
      <c r="Y17" s="3">
        <f t="shared" si="23"/>
        <v>0.5</v>
      </c>
      <c r="Z17" s="3">
        <f t="shared" si="24"/>
        <v>0.2</v>
      </c>
      <c r="AA17" s="3">
        <f t="shared" si="25"/>
        <v>0</v>
      </c>
      <c r="AB17" s="5" t="s">
        <v>20</v>
      </c>
      <c r="AC17" s="6">
        <f t="shared" si="28"/>
        <v>0.45000000000000007</v>
      </c>
      <c r="AD17" s="3">
        <f t="shared" si="26"/>
        <v>1.5</v>
      </c>
      <c r="AE17" s="20">
        <f>$AL$9/Table14[[#This Row],[WoundÆ]]/2</f>
        <v>4.4444444444444438</v>
      </c>
      <c r="AF17" s="19">
        <f>(Table14[[#This Row],[% Base]]+Table14[[#This Row],[% Base2]])/2</f>
        <v>1.5</v>
      </c>
    </row>
    <row r="18" spans="1:32" ht="15.75" x14ac:dyDescent="0.25">
      <c r="A18" s="1"/>
      <c r="B18" s="1" t="s">
        <v>88</v>
      </c>
      <c r="C18" s="2">
        <v>8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63</v>
      </c>
      <c r="P18" s="1"/>
      <c r="Q18" s="3">
        <f t="shared" si="20"/>
        <v>0.5</v>
      </c>
      <c r="R18" s="3">
        <f>(C18/20)*IF($AL$5=1,0.5,1)</f>
        <v>0.4</v>
      </c>
      <c r="S18" s="3">
        <f t="shared" si="21"/>
        <v>0.1</v>
      </c>
      <c r="T18" s="3" t="s">
        <v>20</v>
      </c>
      <c r="U18" s="6">
        <f t="shared" si="27"/>
        <v>0.85000000000000009</v>
      </c>
      <c r="V18" s="3">
        <f t="shared" si="22"/>
        <v>1.4166666666666665</v>
      </c>
      <c r="W18" s="8">
        <f>$AL$9/Table14[[#This Row],[WoundsÆ]]/2</f>
        <v>2.3529411764705879</v>
      </c>
      <c r="X18" s="4"/>
      <c r="Y18" s="3">
        <f t="shared" si="23"/>
        <v>0.5</v>
      </c>
      <c r="Z18" s="3">
        <f t="shared" si="24"/>
        <v>0.2</v>
      </c>
      <c r="AA18" s="3">
        <f t="shared" si="25"/>
        <v>0.1</v>
      </c>
      <c r="AB18" s="5" t="s">
        <v>20</v>
      </c>
      <c r="AC18" s="6">
        <f t="shared" si="28"/>
        <v>0.55000000000000004</v>
      </c>
      <c r="AD18" s="3">
        <f t="shared" si="26"/>
        <v>1.8333333333333333</v>
      </c>
      <c r="AE18" s="20">
        <f>$AL$9/Table14[[#This Row],[WoundÆ]]/2</f>
        <v>3.6363636363636362</v>
      </c>
      <c r="AF18" s="19">
        <f>(Table14[[#This Row],[% Base]]+Table14[[#This Row],[% Base2]])/2</f>
        <v>1.625</v>
      </c>
    </row>
    <row r="19" spans="1:32" ht="15.75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/>
      <c r="R19" s="3"/>
      <c r="S19" s="3"/>
      <c r="T19" s="3"/>
      <c r="U19" s="6"/>
      <c r="V19" s="3"/>
      <c r="W19" s="8"/>
      <c r="X19" s="4"/>
      <c r="Y19" s="3"/>
      <c r="Z19" s="3"/>
      <c r="AA19" s="3"/>
      <c r="AB19" s="3"/>
      <c r="AC19" s="6"/>
      <c r="AD19" s="3"/>
      <c r="AE19" s="20"/>
      <c r="AF19" s="19"/>
    </row>
    <row r="20" spans="1:32" ht="15.75" x14ac:dyDescent="0.25">
      <c r="A20" s="1"/>
      <c r="B20" s="1" t="s">
        <v>27</v>
      </c>
      <c r="C20" s="2">
        <v>10</v>
      </c>
      <c r="D20" s="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>
        <f t="shared" si="20"/>
        <v>0.5</v>
      </c>
      <c r="R20" s="3">
        <f t="shared" ref="R20:R26" si="29">(C20/20)*IF($AL$5=1,0.5,1)</f>
        <v>0.5</v>
      </c>
      <c r="S20" s="3">
        <f t="shared" ref="S20:S26" si="30">(IF(( K20="X"),0,($AI$5+H20))/20)</f>
        <v>0.1</v>
      </c>
      <c r="T20" s="3" t="s">
        <v>20</v>
      </c>
      <c r="U20" s="6">
        <f t="shared" si="27"/>
        <v>1.05</v>
      </c>
      <c r="V20" s="3">
        <f>U20/$U$20</f>
        <v>1</v>
      </c>
      <c r="W20" s="8">
        <f>$AL$9/Table14[[#This Row],[WoundsÆ]]</f>
        <v>3.8095238095238093</v>
      </c>
      <c r="X20" s="4"/>
      <c r="Y20" s="3">
        <f t="shared" ref="Y20:Y26" si="31">IF(J20="X",1,($AI$3+IF(F20="X",2,0)+G20)/20)</f>
        <v>0.5</v>
      </c>
      <c r="Z20" s="3">
        <f t="shared" ref="Z20:Z26" si="32">(C20/20)*IF($AL$12=1,IF(F20="X",1,0.5),1)</f>
        <v>0.25</v>
      </c>
      <c r="AA20" s="3">
        <f t="shared" ref="AA20:AA26" si="33">(IF((OR(J20="X", K20="X")),0,($AI$5+H20))/20)</f>
        <v>0.1</v>
      </c>
      <c r="AB20" s="3" t="s">
        <v>20</v>
      </c>
      <c r="AC20" s="6">
        <f t="shared" si="28"/>
        <v>0.52500000000000002</v>
      </c>
      <c r="AD20" s="3">
        <f>AC20/$AC$20</f>
        <v>1</v>
      </c>
      <c r="AE20" s="20">
        <f>$AL$9/Table14[[#This Row],[WoundÆ]]</f>
        <v>7.6190476190476186</v>
      </c>
      <c r="AF20" s="19">
        <f>(Table14[[#This Row],[% Base]]+Table14[[#This Row],[% Base2]])/2</f>
        <v>1</v>
      </c>
    </row>
    <row r="21" spans="1:32" ht="15.75" x14ac:dyDescent="0.25">
      <c r="A21" s="1"/>
      <c r="B21" s="1" t="s">
        <v>29</v>
      </c>
      <c r="C21" s="2">
        <v>8</v>
      </c>
      <c r="D21" s="1">
        <v>3</v>
      </c>
      <c r="E21" s="1"/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>IF(J21="X",1,($AI$3+G21)/20)</f>
        <v>0.5</v>
      </c>
      <c r="R21" s="3">
        <f t="shared" si="29"/>
        <v>0.4</v>
      </c>
      <c r="S21" s="3">
        <f t="shared" si="30"/>
        <v>0.1</v>
      </c>
      <c r="T21" s="3" t="s">
        <v>20</v>
      </c>
      <c r="U21" s="6">
        <f t="shared" si="27"/>
        <v>0.90000000000000013</v>
      </c>
      <c r="V21" s="3">
        <f t="shared" ref="V21:V26" si="34">U21/$U$20</f>
        <v>0.85714285714285721</v>
      </c>
      <c r="W21" s="8">
        <f>$AL$9/Table14[[#This Row],[WoundsÆ]]</f>
        <v>4.4444444444444438</v>
      </c>
      <c r="X21" s="4"/>
      <c r="Y21" s="3">
        <f t="shared" si="31"/>
        <v>0.6</v>
      </c>
      <c r="Z21" s="3">
        <f t="shared" si="32"/>
        <v>0.4</v>
      </c>
      <c r="AA21" s="3">
        <f t="shared" si="33"/>
        <v>0.1</v>
      </c>
      <c r="AB21" s="3" t="s">
        <v>20</v>
      </c>
      <c r="AC21" s="6">
        <f t="shared" si="28"/>
        <v>0.90000000000000013</v>
      </c>
      <c r="AD21" s="3">
        <f t="shared" ref="AD21:AD26" si="35">AC21/$AC$20</f>
        <v>1.7142857142857144</v>
      </c>
      <c r="AE21" s="20">
        <f>$AL$9/Table14[[#This Row],[WoundÆ]]</f>
        <v>4.4444444444444438</v>
      </c>
      <c r="AF21" s="19">
        <f>(Table14[[#This Row],[% Base]]+Table14[[#This Row],[% Base2]])/2</f>
        <v>1.2857142857142858</v>
      </c>
    </row>
    <row r="22" spans="1:32" ht="15.75" x14ac:dyDescent="0.25">
      <c r="A22" s="1"/>
      <c r="B22" s="1" t="s">
        <v>30</v>
      </c>
      <c r="C22" s="2">
        <v>10</v>
      </c>
      <c r="D22" s="1">
        <v>2</v>
      </c>
      <c r="E22" s="1"/>
      <c r="F22" s="1"/>
      <c r="G22" s="1"/>
      <c r="H22" s="1"/>
      <c r="I22" s="1"/>
      <c r="J22" s="1" t="s">
        <v>63</v>
      </c>
      <c r="K22" s="1"/>
      <c r="L22" s="1"/>
      <c r="M22" s="1"/>
      <c r="N22" s="1"/>
      <c r="O22" s="1"/>
      <c r="P22" s="1"/>
      <c r="Q22" s="3">
        <f t="shared" ref="Q22:Q35" si="36">IF(J22="X",1,($AI$3+G22)/20)</f>
        <v>1</v>
      </c>
      <c r="R22" s="3">
        <f t="shared" si="29"/>
        <v>0.5</v>
      </c>
      <c r="S22" s="3">
        <f t="shared" si="30"/>
        <v>0.1</v>
      </c>
      <c r="T22" s="3" t="s">
        <v>20</v>
      </c>
      <c r="U22" s="6">
        <f t="shared" si="27"/>
        <v>1.2</v>
      </c>
      <c r="V22" s="3">
        <f t="shared" si="34"/>
        <v>1.1428571428571428</v>
      </c>
      <c r="W22" s="8">
        <f>$AL$9/Table14[[#This Row],[WoundsÆ]]</f>
        <v>3.3333333333333335</v>
      </c>
      <c r="X22" s="4"/>
      <c r="Y22" s="3">
        <f t="shared" si="31"/>
        <v>1</v>
      </c>
      <c r="Z22" s="3">
        <f t="shared" si="32"/>
        <v>0.25</v>
      </c>
      <c r="AA22" s="3">
        <f t="shared" si="33"/>
        <v>0</v>
      </c>
      <c r="AB22" s="3" t="s">
        <v>20</v>
      </c>
      <c r="AC22" s="6">
        <f t="shared" si="28"/>
        <v>0.6</v>
      </c>
      <c r="AD22" s="3">
        <f t="shared" si="35"/>
        <v>1.1428571428571428</v>
      </c>
      <c r="AE22" s="20">
        <f>$AL$9/Table14[[#This Row],[WoundÆ]]</f>
        <v>6.666666666666667</v>
      </c>
      <c r="AF22" s="19">
        <f>(Table14[[#This Row],[% Base]]+Table14[[#This Row],[% Base2]])/2</f>
        <v>1.1428571428571428</v>
      </c>
    </row>
    <row r="23" spans="1:32" ht="15.75" x14ac:dyDescent="0.25">
      <c r="A23" s="1"/>
      <c r="B23" s="1" t="s">
        <v>90</v>
      </c>
      <c r="C23" s="2">
        <v>12</v>
      </c>
      <c r="D23" s="1">
        <v>2</v>
      </c>
      <c r="E23" s="1"/>
      <c r="F23" s="1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f t="shared" si="36"/>
        <v>0.5</v>
      </c>
      <c r="R23" s="3">
        <f t="shared" si="29"/>
        <v>0.6</v>
      </c>
      <c r="S23" s="3">
        <f t="shared" si="30"/>
        <v>0.1</v>
      </c>
      <c r="T23" s="3" t="s">
        <v>20</v>
      </c>
      <c r="U23" s="6">
        <f t="shared" si="27"/>
        <v>0.8</v>
      </c>
      <c r="V23" s="3">
        <f t="shared" si="34"/>
        <v>0.76190476190476186</v>
      </c>
      <c r="W23" s="8">
        <f>$AL$9/Table14[[#This Row],[WoundsÆ]]</f>
        <v>5</v>
      </c>
      <c r="X23" s="4"/>
      <c r="Y23" s="3">
        <f t="shared" si="31"/>
        <v>0.6</v>
      </c>
      <c r="Z23" s="3">
        <f t="shared" si="32"/>
        <v>0.6</v>
      </c>
      <c r="AA23" s="3">
        <f t="shared" si="33"/>
        <v>0.1</v>
      </c>
      <c r="AB23" s="3" t="s">
        <v>20</v>
      </c>
      <c r="AC23" s="6">
        <f t="shared" si="28"/>
        <v>0.8</v>
      </c>
      <c r="AD23" s="3">
        <f t="shared" si="35"/>
        <v>1.5238095238095237</v>
      </c>
      <c r="AE23" s="20">
        <f>$AL$9/Table14[[#This Row],[WoundÆ]]</f>
        <v>5</v>
      </c>
      <c r="AF23" s="19">
        <f>(Table14[[#This Row],[% Base]]+Table14[[#This Row],[% Base2]])/2</f>
        <v>1.1428571428571428</v>
      </c>
    </row>
    <row r="24" spans="1:32" ht="15.75" x14ac:dyDescent="0.25">
      <c r="A24" s="1"/>
      <c r="B24" s="1" t="s">
        <v>91</v>
      </c>
      <c r="C24" s="2">
        <v>10</v>
      </c>
      <c r="D24" s="1">
        <v>4</v>
      </c>
      <c r="E24" s="1"/>
      <c r="F24" s="1"/>
      <c r="G24" s="1"/>
      <c r="H24" s="1"/>
      <c r="I24" s="1"/>
      <c r="J24" s="1"/>
      <c r="K24" s="1" t="s">
        <v>63</v>
      </c>
      <c r="L24" s="1"/>
      <c r="M24" s="1"/>
      <c r="N24" s="1" t="s">
        <v>63</v>
      </c>
      <c r="O24" s="1"/>
      <c r="P24" s="1"/>
      <c r="Q24" s="3">
        <f t="shared" si="36"/>
        <v>0.5</v>
      </c>
      <c r="R24" s="3">
        <f t="shared" si="29"/>
        <v>0.5</v>
      </c>
      <c r="S24" s="3">
        <f t="shared" si="30"/>
        <v>0</v>
      </c>
      <c r="T24" s="3" t="s">
        <v>20</v>
      </c>
      <c r="U24" s="6">
        <f t="shared" si="27"/>
        <v>1.5</v>
      </c>
      <c r="V24" s="3">
        <f t="shared" si="34"/>
        <v>1.4285714285714286</v>
      </c>
      <c r="W24" s="8">
        <f>$AL$9/Table14[[#This Row],[WoundsÆ]]</f>
        <v>2.6666666666666665</v>
      </c>
      <c r="X24" s="4"/>
      <c r="Y24" s="3">
        <f t="shared" si="31"/>
        <v>0.5</v>
      </c>
      <c r="Z24" s="3">
        <f t="shared" si="32"/>
        <v>0.25</v>
      </c>
      <c r="AA24" s="3">
        <f t="shared" si="33"/>
        <v>0</v>
      </c>
      <c r="AB24" s="3" t="s">
        <v>20</v>
      </c>
      <c r="AC24" s="6">
        <f t="shared" si="28"/>
        <v>0.75</v>
      </c>
      <c r="AD24" s="3">
        <f t="shared" si="35"/>
        <v>1.4285714285714286</v>
      </c>
      <c r="AE24" s="20">
        <f>$AL$9/Table14[[#This Row],[WoundÆ]]</f>
        <v>5.333333333333333</v>
      </c>
      <c r="AF24" s="19">
        <f>(Table14[[#This Row],[% Base]]+Table14[[#This Row],[% Base2]])/2</f>
        <v>1.4285714285714286</v>
      </c>
    </row>
    <row r="25" spans="1:32" ht="15.75" x14ac:dyDescent="0.25">
      <c r="A25" s="1"/>
      <c r="B25" s="1" t="s">
        <v>92</v>
      </c>
      <c r="C25" s="2">
        <v>12</v>
      </c>
      <c r="D25" s="1">
        <v>3</v>
      </c>
      <c r="E25" s="1"/>
      <c r="F25" s="1" t="s">
        <v>63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3">
        <f t="shared" si="36"/>
        <v>0.5</v>
      </c>
      <c r="R25" s="3">
        <f t="shared" si="29"/>
        <v>0.6</v>
      </c>
      <c r="S25" s="3">
        <f t="shared" si="30"/>
        <v>0.1</v>
      </c>
      <c r="T25" s="3" t="s">
        <v>20</v>
      </c>
      <c r="U25" s="6">
        <f t="shared" si="27"/>
        <v>1.2</v>
      </c>
      <c r="V25" s="3">
        <f t="shared" si="34"/>
        <v>1.1428571428571428</v>
      </c>
      <c r="W25" s="8">
        <f>$AL$9/Table14[[#This Row],[WoundsÆ]]</f>
        <v>3.3333333333333335</v>
      </c>
      <c r="X25" s="4"/>
      <c r="Y25" s="3">
        <f t="shared" si="31"/>
        <v>0.6</v>
      </c>
      <c r="Z25" s="3">
        <f t="shared" si="32"/>
        <v>0.6</v>
      </c>
      <c r="AA25" s="3">
        <f t="shared" si="33"/>
        <v>0.1</v>
      </c>
      <c r="AB25" s="3" t="s">
        <v>20</v>
      </c>
      <c r="AC25" s="6">
        <f t="shared" si="28"/>
        <v>1.2</v>
      </c>
      <c r="AD25" s="3">
        <f t="shared" si="35"/>
        <v>2.2857142857142856</v>
      </c>
      <c r="AE25" s="20">
        <f>$AL$9/Table14[[#This Row],[WoundÆ]]</f>
        <v>3.3333333333333335</v>
      </c>
      <c r="AF25" s="19">
        <f>(Table14[[#This Row],[% Base]]+Table14[[#This Row],[% Base2]])/2</f>
        <v>1.7142857142857142</v>
      </c>
    </row>
    <row r="26" spans="1:32" ht="15.75" x14ac:dyDescent="0.25">
      <c r="A26" s="1"/>
      <c r="B26" s="1" t="s">
        <v>93</v>
      </c>
      <c r="C26" s="2">
        <v>10</v>
      </c>
      <c r="D26" s="1">
        <v>2</v>
      </c>
      <c r="E26" s="1"/>
      <c r="F26" s="1"/>
      <c r="G26" s="1"/>
      <c r="H26" s="1"/>
      <c r="I26" s="1"/>
      <c r="J26" s="1" t="s">
        <v>63</v>
      </c>
      <c r="K26" s="1"/>
      <c r="L26" s="1"/>
      <c r="M26" s="1"/>
      <c r="N26" s="1"/>
      <c r="O26" s="1" t="s">
        <v>63</v>
      </c>
      <c r="P26" s="1"/>
      <c r="Q26" s="3">
        <f t="shared" si="36"/>
        <v>1</v>
      </c>
      <c r="R26" s="3">
        <f t="shared" si="29"/>
        <v>0.5</v>
      </c>
      <c r="S26" s="3">
        <f t="shared" si="30"/>
        <v>0.1</v>
      </c>
      <c r="T26" s="3" t="s">
        <v>20</v>
      </c>
      <c r="U26" s="6">
        <f t="shared" si="27"/>
        <v>1.7</v>
      </c>
      <c r="V26" s="3">
        <f t="shared" si="34"/>
        <v>1.6190476190476188</v>
      </c>
      <c r="W26" s="8">
        <f>$AL$9/Table14[[#This Row],[WoundsÆ]]</f>
        <v>2.3529411764705883</v>
      </c>
      <c r="X26" s="4"/>
      <c r="Y26" s="3">
        <f t="shared" si="31"/>
        <v>1</v>
      </c>
      <c r="Z26" s="3">
        <f t="shared" si="32"/>
        <v>0.25</v>
      </c>
      <c r="AA26" s="3">
        <f t="shared" si="33"/>
        <v>0</v>
      </c>
      <c r="AB26" s="3" t="s">
        <v>20</v>
      </c>
      <c r="AC26" s="6">
        <f t="shared" si="28"/>
        <v>1.1000000000000001</v>
      </c>
      <c r="AD26" s="3">
        <f t="shared" si="35"/>
        <v>2.0952380952380953</v>
      </c>
      <c r="AE26" s="20">
        <f>$AL$9/Table14[[#This Row],[WoundÆ]]</f>
        <v>3.6363636363636362</v>
      </c>
      <c r="AF26" s="19">
        <f>(Table14[[#This Row],[% Base]]+Table14[[#This Row],[% Base2]])/2</f>
        <v>1.8571428571428572</v>
      </c>
    </row>
    <row r="27" spans="1:32" ht="15.75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/>
      <c r="R27" s="3"/>
      <c r="S27" s="3"/>
      <c r="T27" s="3"/>
      <c r="U27" s="6"/>
      <c r="V27" s="3"/>
      <c r="W27" s="8"/>
      <c r="X27" s="4"/>
      <c r="Y27" s="3"/>
      <c r="Z27" s="3"/>
      <c r="AA27" s="3"/>
      <c r="AB27" s="3"/>
      <c r="AC27" s="6"/>
      <c r="AD27" s="3"/>
      <c r="AE27" s="20"/>
      <c r="AF27" s="19"/>
    </row>
    <row r="28" spans="1:32" ht="15.75" x14ac:dyDescent="0.25">
      <c r="A28" s="1"/>
      <c r="B28" s="1" t="s">
        <v>34</v>
      </c>
      <c r="C28" s="2">
        <v>12</v>
      </c>
      <c r="D28" s="1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>
        <f t="shared" si="36"/>
        <v>0.5</v>
      </c>
      <c r="R28" s="3">
        <f t="shared" ref="R28:R35" si="37">(C28/20)*IF($AL$5=1,0.5,1)</f>
        <v>0.6</v>
      </c>
      <c r="S28" s="3">
        <f t="shared" ref="S28:S35" si="38">(IF(( K28="X"),0,($AI$5+H28))/20)</f>
        <v>0.1</v>
      </c>
      <c r="T28" s="3" t="s">
        <v>20</v>
      </c>
      <c r="U28" s="6">
        <f t="shared" si="27"/>
        <v>1.6</v>
      </c>
      <c r="V28" s="3">
        <f t="shared" ref="V28:V35" si="39">U28/$U$28</f>
        <v>1</v>
      </c>
      <c r="W28" s="8">
        <f>$AL$9/Table14[[#This Row],[WoundsÆ]]</f>
        <v>2.5</v>
      </c>
      <c r="X28" s="4"/>
      <c r="Y28" s="3">
        <f t="shared" ref="Y28:Y35" si="40">IF(J28="X",1,($AI$3+IF(F28="X",2,0)+G28)/20)</f>
        <v>0.5</v>
      </c>
      <c r="Z28" s="3">
        <f t="shared" ref="Z28:Z35" si="41">(C28/20)*IF($AL$12=1,IF(F28="X",1,0.5),1)</f>
        <v>0.3</v>
      </c>
      <c r="AA28" s="3">
        <f t="shared" ref="AA28:AA35" si="42">(IF((OR(J28="X", K28="X")),0,($AI$5+H28))/20)</f>
        <v>0.1</v>
      </c>
      <c r="AB28" s="3" t="s">
        <v>20</v>
      </c>
      <c r="AC28" s="6">
        <f t="shared" si="28"/>
        <v>0.8</v>
      </c>
      <c r="AD28" s="3">
        <f t="shared" ref="AD28:AD35" si="43">AC28/$AC$28</f>
        <v>1</v>
      </c>
      <c r="AE28" s="20">
        <f>$AL$9/Table14[[#This Row],[WoundÆ]]</f>
        <v>5</v>
      </c>
      <c r="AF28" s="19">
        <f>(Table14[[#This Row],[% Base]]+Table14[[#This Row],[% Base2]])/2</f>
        <v>1</v>
      </c>
    </row>
    <row r="29" spans="1:32" ht="15.75" x14ac:dyDescent="0.25">
      <c r="A29" s="1"/>
      <c r="B29" s="1" t="s">
        <v>36</v>
      </c>
      <c r="C29" s="2">
        <v>14</v>
      </c>
      <c r="D29" s="1">
        <v>3</v>
      </c>
      <c r="E29" s="1"/>
      <c r="F29" s="1" t="s">
        <v>63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6"/>
        <v>0.5</v>
      </c>
      <c r="R29" s="3">
        <f t="shared" si="37"/>
        <v>0.7</v>
      </c>
      <c r="S29" s="3">
        <f t="shared" si="38"/>
        <v>0.1</v>
      </c>
      <c r="T29" s="3" t="s">
        <v>20</v>
      </c>
      <c r="U29" s="6">
        <f t="shared" si="27"/>
        <v>1.3499999999999999</v>
      </c>
      <c r="V29" s="3">
        <f t="shared" si="39"/>
        <v>0.84374999999999989</v>
      </c>
      <c r="W29" s="8">
        <f>$AL$9/Table14[[#This Row],[WoundsÆ]]</f>
        <v>2.9629629629629632</v>
      </c>
      <c r="X29" s="4"/>
      <c r="Y29" s="3">
        <f t="shared" si="40"/>
        <v>0.6</v>
      </c>
      <c r="Z29" s="3">
        <f t="shared" si="41"/>
        <v>0.7</v>
      </c>
      <c r="AA29" s="3">
        <f t="shared" si="42"/>
        <v>0.1</v>
      </c>
      <c r="AB29" s="3" t="s">
        <v>20</v>
      </c>
      <c r="AC29" s="6">
        <f t="shared" si="28"/>
        <v>1.3499999999999999</v>
      </c>
      <c r="AD29" s="3">
        <f t="shared" si="43"/>
        <v>1.6874999999999998</v>
      </c>
      <c r="AE29" s="20">
        <f>$AL$9/Table14[[#This Row],[WoundÆ]]</f>
        <v>2.9629629629629632</v>
      </c>
      <c r="AF29" s="19">
        <f>(Table14[[#This Row],[% Base]]+Table14[[#This Row],[% Base2]])/2</f>
        <v>1.2656249999999998</v>
      </c>
    </row>
    <row r="30" spans="1:32" ht="15.75" x14ac:dyDescent="0.25">
      <c r="A30" s="1"/>
      <c r="B30" s="1" t="s">
        <v>35</v>
      </c>
      <c r="C30" s="2">
        <v>12</v>
      </c>
      <c r="D30" s="1">
        <v>2</v>
      </c>
      <c r="E30" s="1"/>
      <c r="F30" s="1"/>
      <c r="G30" s="1"/>
      <c r="H30" s="1"/>
      <c r="I30" s="1"/>
      <c r="J30" s="1" t="s">
        <v>63</v>
      </c>
      <c r="K30" s="1"/>
      <c r="L30" s="1"/>
      <c r="M30" s="1"/>
      <c r="N30" s="1"/>
      <c r="O30" s="1"/>
      <c r="P30" s="1"/>
      <c r="Q30" s="3">
        <f t="shared" si="36"/>
        <v>1</v>
      </c>
      <c r="R30" s="3">
        <f t="shared" si="37"/>
        <v>0.6</v>
      </c>
      <c r="S30" s="3">
        <f t="shared" si="38"/>
        <v>0.1</v>
      </c>
      <c r="T30" s="3" t="s">
        <v>20</v>
      </c>
      <c r="U30" s="6">
        <f t="shared" si="27"/>
        <v>1.4</v>
      </c>
      <c r="V30" s="3">
        <f t="shared" si="39"/>
        <v>0.87499999999999989</v>
      </c>
      <c r="W30" s="8">
        <f>$AL$9/Table14[[#This Row],[WoundsÆ]]</f>
        <v>2.8571428571428572</v>
      </c>
      <c r="X30" s="4"/>
      <c r="Y30" s="3">
        <f t="shared" si="40"/>
        <v>1</v>
      </c>
      <c r="Z30" s="3">
        <f t="shared" si="41"/>
        <v>0.3</v>
      </c>
      <c r="AA30" s="3">
        <f t="shared" si="42"/>
        <v>0</v>
      </c>
      <c r="AB30" s="3" t="s">
        <v>20</v>
      </c>
      <c r="AC30" s="6">
        <f t="shared" si="28"/>
        <v>0.7</v>
      </c>
      <c r="AD30" s="3">
        <f t="shared" si="43"/>
        <v>0.87499999999999989</v>
      </c>
      <c r="AE30" s="20">
        <f>$AL$9/Table14[[#This Row],[WoundÆ]]</f>
        <v>5.7142857142857144</v>
      </c>
      <c r="AF30" s="19">
        <f>(Table14[[#This Row],[% Base]]+Table14[[#This Row],[% Base2]])/2</f>
        <v>0.87499999999999989</v>
      </c>
    </row>
    <row r="31" spans="1:32" ht="15.75" x14ac:dyDescent="0.25">
      <c r="A31" s="1"/>
      <c r="B31" s="1" t="s">
        <v>37</v>
      </c>
      <c r="C31" s="2">
        <v>12</v>
      </c>
      <c r="D31" s="1">
        <v>2</v>
      </c>
      <c r="E31" s="1"/>
      <c r="F31" s="1"/>
      <c r="G31" s="1"/>
      <c r="H31" s="1"/>
      <c r="I31" s="1"/>
      <c r="J31" s="1" t="s">
        <v>63</v>
      </c>
      <c r="K31" s="1"/>
      <c r="L31" s="1"/>
      <c r="M31" s="1"/>
      <c r="N31" s="1"/>
      <c r="O31" s="1"/>
      <c r="P31" s="1"/>
      <c r="Q31" s="3">
        <f t="shared" si="36"/>
        <v>1</v>
      </c>
      <c r="R31" s="3">
        <f t="shared" si="37"/>
        <v>0.6</v>
      </c>
      <c r="S31" s="3">
        <f t="shared" si="38"/>
        <v>0.1</v>
      </c>
      <c r="T31" s="3" t="s">
        <v>20</v>
      </c>
      <c r="U31" s="6">
        <f t="shared" si="27"/>
        <v>1.4</v>
      </c>
      <c r="V31" s="3">
        <f t="shared" si="39"/>
        <v>0.87499999999999989</v>
      </c>
      <c r="W31" s="8">
        <f>$AL$9/Table14[[#This Row],[WoundsÆ]]</f>
        <v>2.8571428571428572</v>
      </c>
      <c r="X31" s="4"/>
      <c r="Y31" s="3">
        <f t="shared" si="40"/>
        <v>1</v>
      </c>
      <c r="Z31" s="3">
        <f t="shared" si="41"/>
        <v>0.3</v>
      </c>
      <c r="AA31" s="3">
        <f t="shared" si="42"/>
        <v>0</v>
      </c>
      <c r="AB31" s="3" t="s">
        <v>20</v>
      </c>
      <c r="AC31" s="6">
        <f t="shared" si="28"/>
        <v>0.7</v>
      </c>
      <c r="AD31" s="3">
        <f t="shared" si="43"/>
        <v>0.87499999999999989</v>
      </c>
      <c r="AE31" s="20">
        <f>$AL$9/Table14[[#This Row],[WoundÆ]]</f>
        <v>5.7142857142857144</v>
      </c>
      <c r="AF31" s="19">
        <f>(Table14[[#This Row],[% Base]]+Table14[[#This Row],[% Base2]])/2</f>
        <v>0.87499999999999989</v>
      </c>
    </row>
    <row r="32" spans="1:32" ht="15.75" x14ac:dyDescent="0.25">
      <c r="A32" s="1"/>
      <c r="B32" s="1" t="s">
        <v>94</v>
      </c>
      <c r="C32" s="2">
        <v>10</v>
      </c>
      <c r="D32" s="1">
        <v>2</v>
      </c>
      <c r="E32" s="1"/>
      <c r="F32" s="1" t="s">
        <v>63</v>
      </c>
      <c r="G32" s="1"/>
      <c r="H32" s="1"/>
      <c r="I32" s="1"/>
      <c r="J32" s="1" t="s">
        <v>63</v>
      </c>
      <c r="K32" s="1"/>
      <c r="L32" s="1"/>
      <c r="M32" s="1"/>
      <c r="N32" s="1"/>
      <c r="O32" s="1"/>
      <c r="P32" s="1"/>
      <c r="Q32" s="3">
        <f t="shared" si="36"/>
        <v>1</v>
      </c>
      <c r="R32" s="3">
        <f t="shared" si="37"/>
        <v>0.5</v>
      </c>
      <c r="S32" s="3">
        <f t="shared" si="38"/>
        <v>0.1</v>
      </c>
      <c r="T32" s="3" t="s">
        <v>20</v>
      </c>
      <c r="U32" s="6">
        <f t="shared" si="27"/>
        <v>1.2</v>
      </c>
      <c r="V32" s="3">
        <f t="shared" si="39"/>
        <v>0.74999999999999989</v>
      </c>
      <c r="W32" s="8">
        <f>$AL$9/Table14[[#This Row],[WoundsÆ]]</f>
        <v>3.3333333333333335</v>
      </c>
      <c r="X32" s="4"/>
      <c r="Y32" s="3">
        <f t="shared" si="40"/>
        <v>1</v>
      </c>
      <c r="Z32" s="3">
        <f t="shared" si="41"/>
        <v>0.5</v>
      </c>
      <c r="AA32" s="3">
        <f t="shared" si="42"/>
        <v>0</v>
      </c>
      <c r="AB32" s="3" t="s">
        <v>20</v>
      </c>
      <c r="AC32" s="6">
        <f t="shared" si="28"/>
        <v>1.2</v>
      </c>
      <c r="AD32" s="3">
        <f t="shared" si="43"/>
        <v>1.4999999999999998</v>
      </c>
      <c r="AE32" s="20">
        <f>$AL$9/Table14[[#This Row],[WoundÆ]]</f>
        <v>3.3333333333333335</v>
      </c>
      <c r="AF32" s="19">
        <f>(Table14[[#This Row],[% Base]]+Table14[[#This Row],[% Base2]])/2</f>
        <v>1.1249999999999998</v>
      </c>
    </row>
    <row r="33" spans="1:33" ht="15.75" x14ac:dyDescent="0.25">
      <c r="A33" s="1"/>
      <c r="B33" s="1" t="s">
        <v>95</v>
      </c>
      <c r="C33" s="2">
        <v>12</v>
      </c>
      <c r="D33" s="1">
        <v>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>
        <f t="shared" si="36"/>
        <v>0.5</v>
      </c>
      <c r="R33" s="3">
        <f t="shared" si="37"/>
        <v>0.6</v>
      </c>
      <c r="S33" s="3">
        <f t="shared" si="38"/>
        <v>0.1</v>
      </c>
      <c r="T33" s="3" t="s">
        <v>20</v>
      </c>
      <c r="U33" s="6">
        <f t="shared" si="27"/>
        <v>2.4</v>
      </c>
      <c r="V33" s="3">
        <f t="shared" si="39"/>
        <v>1.4999999999999998</v>
      </c>
      <c r="W33" s="8">
        <f>$AL$9/Table14[[#This Row],[WoundsÆ]]</f>
        <v>1.6666666666666667</v>
      </c>
      <c r="X33" s="4"/>
      <c r="Y33" s="3">
        <f t="shared" si="40"/>
        <v>0.5</v>
      </c>
      <c r="Z33" s="3">
        <f t="shared" si="41"/>
        <v>0.3</v>
      </c>
      <c r="AA33" s="3">
        <f t="shared" si="42"/>
        <v>0.1</v>
      </c>
      <c r="AB33" s="3" t="s">
        <v>20</v>
      </c>
      <c r="AC33" s="6">
        <f t="shared" si="28"/>
        <v>1.2</v>
      </c>
      <c r="AD33" s="3">
        <f t="shared" si="43"/>
        <v>1.4999999999999998</v>
      </c>
      <c r="AE33" s="20">
        <f>$AL$9/Table14[[#This Row],[WoundÆ]]</f>
        <v>3.3333333333333335</v>
      </c>
      <c r="AF33" s="19">
        <f>(Table14[[#This Row],[% Base]]+Table14[[#This Row],[% Base2]])/2</f>
        <v>1.4999999999999998</v>
      </c>
      <c r="AG33" s="16"/>
    </row>
    <row r="34" spans="1:33" ht="15.75" x14ac:dyDescent="0.25">
      <c r="A34" s="9"/>
      <c r="B34" s="1" t="s">
        <v>96</v>
      </c>
      <c r="C34" s="2">
        <v>12</v>
      </c>
      <c r="D34" s="1">
        <v>2</v>
      </c>
      <c r="E34" s="1"/>
      <c r="F34" s="1" t="s">
        <v>63</v>
      </c>
      <c r="G34" s="1"/>
      <c r="H34" s="1"/>
      <c r="I34" s="1"/>
      <c r="J34" s="1" t="s">
        <v>63</v>
      </c>
      <c r="K34" s="1"/>
      <c r="L34" s="1"/>
      <c r="M34" s="1"/>
      <c r="N34" s="1"/>
      <c r="O34" s="1"/>
      <c r="P34" s="1"/>
      <c r="Q34" s="3">
        <f t="shared" si="36"/>
        <v>1</v>
      </c>
      <c r="R34" s="3">
        <f t="shared" si="37"/>
        <v>0.6</v>
      </c>
      <c r="S34" s="3">
        <f t="shared" si="38"/>
        <v>0.1</v>
      </c>
      <c r="T34" s="3" t="s">
        <v>20</v>
      </c>
      <c r="U34" s="6">
        <f t="shared" si="27"/>
        <v>1.4</v>
      </c>
      <c r="V34" s="3">
        <f t="shared" si="39"/>
        <v>0.87499999999999989</v>
      </c>
      <c r="W34" s="8">
        <f>$AL$9/Table14[[#This Row],[WoundsÆ]]</f>
        <v>2.8571428571428572</v>
      </c>
      <c r="X34" s="4"/>
      <c r="Y34" s="3">
        <f t="shared" si="40"/>
        <v>1</v>
      </c>
      <c r="Z34" s="3">
        <f t="shared" si="41"/>
        <v>0.6</v>
      </c>
      <c r="AA34" s="3">
        <f t="shared" si="42"/>
        <v>0</v>
      </c>
      <c r="AB34" s="3" t="s">
        <v>20</v>
      </c>
      <c r="AC34" s="6">
        <f t="shared" si="28"/>
        <v>1.4</v>
      </c>
      <c r="AD34" s="3">
        <f t="shared" si="43"/>
        <v>1.7499999999999998</v>
      </c>
      <c r="AE34" s="20">
        <f>$AL$9/Table14[[#This Row],[WoundÆ]]</f>
        <v>2.8571428571428572</v>
      </c>
      <c r="AF34" s="19">
        <f>(Table14[[#This Row],[% Base]]+Table14[[#This Row],[% Base2]])/2</f>
        <v>1.3124999999999998</v>
      </c>
      <c r="AG34" s="16"/>
    </row>
    <row r="35" spans="1:33" ht="15.75" x14ac:dyDescent="0.25">
      <c r="A35" s="9"/>
      <c r="B35" s="9" t="s">
        <v>97</v>
      </c>
      <c r="C35" s="10">
        <v>10</v>
      </c>
      <c r="D35" s="9">
        <v>2</v>
      </c>
      <c r="E35" s="9"/>
      <c r="F35" s="9"/>
      <c r="G35" s="9"/>
      <c r="H35" s="9"/>
      <c r="I35" s="9"/>
      <c r="J35" s="9" t="s">
        <v>63</v>
      </c>
      <c r="K35" s="9"/>
      <c r="L35" s="9"/>
      <c r="M35" s="9"/>
      <c r="N35" s="9"/>
      <c r="O35" s="9" t="s">
        <v>63</v>
      </c>
      <c r="P35" s="9"/>
      <c r="Q35" s="3">
        <f t="shared" si="36"/>
        <v>1</v>
      </c>
      <c r="R35" s="3">
        <f t="shared" si="37"/>
        <v>0.5</v>
      </c>
      <c r="S35" s="3">
        <f t="shared" si="38"/>
        <v>0.1</v>
      </c>
      <c r="T35" s="3" t="s">
        <v>20</v>
      </c>
      <c r="U35" s="6">
        <f t="shared" si="27"/>
        <v>1.7</v>
      </c>
      <c r="V35" s="3">
        <f t="shared" si="39"/>
        <v>1.0625</v>
      </c>
      <c r="W35" s="8">
        <f>$AL$9/Table14[[#This Row],[WoundsÆ]]</f>
        <v>2.3529411764705883</v>
      </c>
      <c r="X35" s="4"/>
      <c r="Y35" s="3">
        <f t="shared" si="40"/>
        <v>1</v>
      </c>
      <c r="Z35" s="3">
        <f t="shared" si="41"/>
        <v>0.25</v>
      </c>
      <c r="AA35" s="3">
        <f t="shared" si="42"/>
        <v>0</v>
      </c>
      <c r="AB35" s="3" t="s">
        <v>20</v>
      </c>
      <c r="AC35" s="6">
        <f t="shared" si="28"/>
        <v>1.1000000000000001</v>
      </c>
      <c r="AD35" s="3">
        <f t="shared" si="43"/>
        <v>1.375</v>
      </c>
      <c r="AE35" s="20">
        <f>$AL$9/Table14[[#This Row],[WoundÆ]]</f>
        <v>3.6363636363636362</v>
      </c>
      <c r="AF35" s="19">
        <f>(Table14[[#This Row],[% Base]]+Table14[[#This Row],[% Base2]])/2</f>
        <v>1.21875</v>
      </c>
      <c r="AG35" s="16"/>
    </row>
    <row r="36" spans="1:33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  <c r="R36" s="3"/>
      <c r="S36" s="3"/>
      <c r="T36" s="3"/>
      <c r="U36" s="6"/>
      <c r="V36" s="3"/>
      <c r="W36" s="8"/>
      <c r="X36" s="4"/>
      <c r="Y36" s="3"/>
      <c r="Z36" s="3"/>
      <c r="AA36" s="3"/>
      <c r="AB36" s="3"/>
      <c r="AC36" s="6"/>
      <c r="AD36" s="3"/>
      <c r="AE36" s="20"/>
      <c r="AF36" s="19"/>
      <c r="AG36" s="16"/>
    </row>
    <row r="37" spans="1:33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"/>
      <c r="R37" s="3"/>
      <c r="S37" s="3"/>
      <c r="T37" s="3"/>
      <c r="U37" s="6"/>
      <c r="V37" s="3"/>
      <c r="W37" s="8"/>
      <c r="X37" s="4"/>
      <c r="Y37" s="3"/>
      <c r="Z37" s="3"/>
      <c r="AA37" s="3"/>
      <c r="AB37" s="3"/>
      <c r="AC37" s="6"/>
      <c r="AD37" s="3"/>
      <c r="AE37" s="20"/>
      <c r="AF37" s="19"/>
      <c r="AG37" s="16"/>
    </row>
    <row r="38" spans="1:33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  <c r="R38" s="3"/>
      <c r="S38" s="3"/>
      <c r="T38" s="3"/>
      <c r="U38" s="6"/>
      <c r="V38" s="3"/>
      <c r="W38" s="8"/>
      <c r="X38" s="4"/>
      <c r="Y38" s="3"/>
      <c r="Z38" s="3"/>
      <c r="AA38" s="3"/>
      <c r="AB38" s="3"/>
      <c r="AC38" s="6"/>
      <c r="AD38" s="3"/>
      <c r="AE38" s="20"/>
      <c r="AF38" s="19"/>
      <c r="AG38" s="16"/>
    </row>
    <row r="39" spans="1:33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  <c r="R39" s="3"/>
      <c r="S39" s="3"/>
      <c r="T39" s="3"/>
      <c r="U39" s="6"/>
      <c r="V39" s="3"/>
      <c r="W39" s="8"/>
      <c r="X39" s="4"/>
      <c r="Y39" s="3"/>
      <c r="Z39" s="3"/>
      <c r="AA39" s="3"/>
      <c r="AB39" s="3"/>
      <c r="AC39" s="6"/>
      <c r="AD39" s="3"/>
      <c r="AE39" s="20"/>
      <c r="AF39" s="19"/>
    </row>
    <row r="40" spans="1:33" ht="15.75" x14ac:dyDescent="0.25">
      <c r="A40" s="9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3"/>
      <c r="U40" s="6"/>
      <c r="V40" s="3"/>
      <c r="W40" s="19"/>
      <c r="X40" s="4"/>
      <c r="Y40" s="3"/>
      <c r="Z40" s="3"/>
      <c r="AA40" s="3"/>
      <c r="AB40" s="3"/>
      <c r="AC40" s="6"/>
      <c r="AD40" s="3"/>
      <c r="AE40" s="20"/>
      <c r="AF40" s="19"/>
    </row>
    <row r="41" spans="1:33" ht="15.75" x14ac:dyDescent="0.2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  <c r="Q41" s="11"/>
      <c r="R41" s="11"/>
      <c r="S41" s="11"/>
      <c r="T41" s="12"/>
      <c r="U41" s="11"/>
      <c r="V41" s="13"/>
      <c r="W41" s="14"/>
      <c r="X41" s="11"/>
      <c r="Y41" s="11"/>
      <c r="Z41" s="11"/>
      <c r="AA41" s="11"/>
      <c r="AB41" s="12"/>
      <c r="AC41" s="11"/>
      <c r="AD41" s="13"/>
      <c r="AE41" s="11"/>
      <c r="AF41" s="16"/>
    </row>
    <row r="42" spans="1:33" ht="15.75" x14ac:dyDescent="0.25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1"/>
      <c r="R42" s="11"/>
      <c r="S42" s="11"/>
      <c r="T42" s="12"/>
      <c r="U42" s="11"/>
      <c r="V42" s="13"/>
      <c r="W42" s="14"/>
      <c r="X42" s="11"/>
      <c r="Y42" s="11"/>
      <c r="Z42" s="11"/>
      <c r="AA42" s="11"/>
      <c r="AB42" s="12"/>
      <c r="AC42" s="11"/>
      <c r="AD42" s="13"/>
      <c r="AE42" s="11"/>
      <c r="AF42" s="16"/>
    </row>
    <row r="43" spans="1:33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1"/>
      <c r="Q43" s="11"/>
      <c r="R43" s="11"/>
      <c r="S43" s="11"/>
      <c r="T43" s="12"/>
      <c r="U43" s="11"/>
      <c r="V43" s="13"/>
      <c r="W43" s="14"/>
      <c r="X43" s="11"/>
      <c r="Y43" s="11"/>
      <c r="Z43" s="11"/>
      <c r="AA43" s="11"/>
      <c r="AB43" s="12"/>
      <c r="AC43" s="11"/>
      <c r="AD43" s="13"/>
      <c r="AE43" s="11"/>
      <c r="AF43" s="16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P4" sqref="P4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22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23</v>
      </c>
      <c r="Z2" s="29"/>
      <c r="AA2" s="29"/>
      <c r="AB2" s="29"/>
      <c r="AC2" s="24"/>
      <c r="AD2" s="24"/>
      <c r="AG2" t="s">
        <v>8</v>
      </c>
      <c r="AJ2" t="s">
        <v>9</v>
      </c>
    </row>
    <row r="3" spans="1:37" ht="87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72</v>
      </c>
      <c r="N3" s="7" t="s">
        <v>64</v>
      </c>
      <c r="O3" s="7" t="s">
        <v>126</v>
      </c>
      <c r="P3" s="7" t="s">
        <v>127</v>
      </c>
      <c r="Q3" s="7" t="s">
        <v>66</v>
      </c>
      <c r="R3" s="7" t="s">
        <v>6</v>
      </c>
      <c r="S3" s="7" t="s">
        <v>7</v>
      </c>
      <c r="T3" s="7" t="s">
        <v>19</v>
      </c>
      <c r="U3" s="7" t="s">
        <v>47</v>
      </c>
      <c r="V3" s="7" t="s">
        <v>48</v>
      </c>
      <c r="W3" s="7" t="s">
        <v>52</v>
      </c>
      <c r="X3" s="7" t="s">
        <v>42</v>
      </c>
      <c r="Y3" s="7" t="s">
        <v>46</v>
      </c>
      <c r="Z3" s="7" t="s">
        <v>45</v>
      </c>
      <c r="AA3" s="7" t="s">
        <v>44</v>
      </c>
      <c r="AB3" s="7" t="s">
        <v>50</v>
      </c>
      <c r="AC3" s="7" t="s">
        <v>49</v>
      </c>
      <c r="AD3" s="7" t="s">
        <v>53</v>
      </c>
      <c r="AE3" s="7" t="s">
        <v>57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6" t="s">
        <v>114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63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6">
        <f>1*S4*R4*(1+T4)*D4 + IF(P4="X",D4*R4*0.25,0)</f>
        <v>0.8</v>
      </c>
      <c r="V4" s="3">
        <f>U4/$U$4</f>
        <v>1</v>
      </c>
      <c r="W4" s="8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6">
        <f>IF(G4="X",0,1*Z4*Y4*(1+AA4)*D4) * IF($AK$13=1,IF(F4="X",1,0.5),1) + IF(P4="X",D4*R4*0.25,0)</f>
        <v>0.52500000000000002</v>
      </c>
      <c r="AC4" s="3">
        <f>AB4/$AB$4</f>
        <v>1</v>
      </c>
      <c r="AD4" s="8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98</v>
      </c>
      <c r="AK4">
        <v>10</v>
      </c>
    </row>
    <row r="5" spans="1:37" x14ac:dyDescent="0.25">
      <c r="A5" s="1"/>
      <c r="B5" s="9" t="s">
        <v>115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6">
        <f t="shared" ref="U5:U7" si="1">1*S5*R5*(1+T5)*D5 + IF(P5="X",D5*R5*0.25,0)</f>
        <v>0.99</v>
      </c>
      <c r="V5" s="3">
        <f>U5/$U$4</f>
        <v>1.2374999999999998</v>
      </c>
      <c r="W5" s="8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6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8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21</v>
      </c>
      <c r="AH5">
        <v>2</v>
      </c>
      <c r="AJ5" t="s">
        <v>99</v>
      </c>
      <c r="AK5">
        <v>10</v>
      </c>
    </row>
    <row r="6" spans="1:37" ht="15.75" x14ac:dyDescent="0.25">
      <c r="A6" s="1"/>
      <c r="B6" s="1" t="s">
        <v>120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63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6">
        <f t="shared" si="1"/>
        <v>1.53</v>
      </c>
      <c r="V6" s="3">
        <f t="shared" ref="V6:V7" si="4">U6/$U$4</f>
        <v>1.9124999999999999</v>
      </c>
      <c r="W6" s="8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6">
        <f t="shared" si="3"/>
        <v>0.66375000000000006</v>
      </c>
      <c r="AC6" s="3">
        <f t="shared" ref="AC6:AC7" si="5">AB6/$AB$4</f>
        <v>1.2642857142857145</v>
      </c>
      <c r="AD6" s="8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121</v>
      </c>
      <c r="AK6">
        <v>0</v>
      </c>
    </row>
    <row r="7" spans="1:37" x14ac:dyDescent="0.25">
      <c r="A7" s="1"/>
      <c r="B7" s="25" t="s">
        <v>116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6">
        <f t="shared" si="1"/>
        <v>0.77</v>
      </c>
      <c r="V7" s="3">
        <f t="shared" si="4"/>
        <v>0.96250000000000002</v>
      </c>
      <c r="W7" s="8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6">
        <f t="shared" si="3"/>
        <v>0.1925</v>
      </c>
      <c r="AC7" s="3">
        <f t="shared" si="5"/>
        <v>0.36666666666666664</v>
      </c>
      <c r="AD7" s="8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6"/>
      <c r="V8" s="3"/>
      <c r="W8" s="8"/>
      <c r="X8" s="4"/>
      <c r="Y8" s="4"/>
      <c r="Z8" s="3"/>
      <c r="AA8" s="3"/>
      <c r="AB8" s="6"/>
      <c r="AC8" s="3"/>
      <c r="AD8" s="8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6"/>
      <c r="V9" s="3"/>
      <c r="W9" s="8"/>
      <c r="X9" s="4"/>
      <c r="Y9" s="4"/>
      <c r="Z9" s="3"/>
      <c r="AA9" s="3"/>
      <c r="AB9" s="6"/>
      <c r="AC9" s="3"/>
      <c r="AD9" s="8"/>
      <c r="AE9" s="3"/>
      <c r="AJ9" t="s">
        <v>51</v>
      </c>
      <c r="AK9">
        <v>4</v>
      </c>
    </row>
    <row r="10" spans="1:37" ht="15.75" x14ac:dyDescent="0.25">
      <c r="A10" s="1"/>
      <c r="B10" s="1" t="s">
        <v>102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6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8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6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20">
        <f>$AK$9/Table145[[#This Row],[WoundÆ]]/2</f>
        <v>4.4444444444444438</v>
      </c>
      <c r="AE10" s="19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119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6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8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6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20">
        <f>$AK$9/Table145[[#This Row],[WoundÆ]]/2</f>
        <v>3.3333333333333335</v>
      </c>
      <c r="AE11" s="19">
        <f>(Table145[[#This Row],[% Base]]+Table145[[#This Row],[% Base2]])/2</f>
        <v>1.333333333333333</v>
      </c>
      <c r="AJ11" t="s">
        <v>98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6"/>
      <c r="V12" s="3"/>
      <c r="W12" s="8"/>
      <c r="X12" s="4"/>
      <c r="Y12" s="3"/>
      <c r="Z12" s="3"/>
      <c r="AA12" s="3"/>
      <c r="AB12" s="6"/>
      <c r="AC12" s="3"/>
      <c r="AD12" s="20"/>
      <c r="AE12" s="19"/>
      <c r="AJ12" t="s">
        <v>99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6"/>
      <c r="V13" s="3"/>
      <c r="W13" s="8"/>
      <c r="X13" s="4"/>
      <c r="Y13" s="3"/>
      <c r="Z13" s="3"/>
      <c r="AA13" s="3"/>
      <c r="AB13" s="6"/>
      <c r="AC13" s="3"/>
      <c r="AD13" s="20"/>
      <c r="AE13" s="19"/>
      <c r="AJ13" t="s">
        <v>121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6"/>
      <c r="V14" s="3"/>
      <c r="W14" s="8"/>
      <c r="X14" s="4"/>
      <c r="Y14" s="3"/>
      <c r="Z14" s="3"/>
      <c r="AA14" s="3"/>
      <c r="AB14" s="6"/>
      <c r="AC14" s="3"/>
      <c r="AD14" s="20"/>
      <c r="AE14" s="19"/>
    </row>
    <row r="15" spans="1:37" ht="15.75" x14ac:dyDescent="0.25">
      <c r="A15" s="1"/>
      <c r="B15" s="1" t="s">
        <v>103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6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8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6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20">
        <f>$AK$9/Table145[[#This Row],[WoundÆ]]</f>
        <v>8.8888888888888875</v>
      </c>
      <c r="AE15" s="19">
        <f>(Table145[[#This Row],[% Base]]+Table145[[#This Row],[% Base2]])/2</f>
        <v>1</v>
      </c>
    </row>
    <row r="16" spans="1:37" ht="15.75" x14ac:dyDescent="0.25">
      <c r="A16" s="1"/>
      <c r="B16" s="1" t="s">
        <v>104</v>
      </c>
      <c r="C16" s="2">
        <v>10</v>
      </c>
      <c r="D16" s="1">
        <v>3</v>
      </c>
      <c r="E16" s="1"/>
      <c r="F16" s="1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6">
        <f t="shared" si="9"/>
        <v>1.05</v>
      </c>
      <c r="V16" s="3">
        <f t="shared" ref="V16:V23" si="15">U16/$U$15</f>
        <v>1.1666666666666665</v>
      </c>
      <c r="W16" s="8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6">
        <f t="shared" si="13"/>
        <v>1.05</v>
      </c>
      <c r="AC16" s="3">
        <f t="shared" si="14"/>
        <v>2.333333333333333</v>
      </c>
      <c r="AD16" s="20">
        <f>$AK$9/Table145[[#This Row],[WoundÆ]]</f>
        <v>3.8095238095238093</v>
      </c>
      <c r="AE16" s="19">
        <f>(Table145[[#This Row],[% Base]]+Table145[[#This Row],[% Base2]])/2</f>
        <v>1.7499999999999998</v>
      </c>
    </row>
    <row r="17" spans="1:31" ht="15.75" x14ac:dyDescent="0.25">
      <c r="A17" s="1"/>
      <c r="B17" s="1" t="s">
        <v>105</v>
      </c>
      <c r="C17" s="2">
        <v>8</v>
      </c>
      <c r="D17" s="1">
        <v>5</v>
      </c>
      <c r="E17" s="1"/>
      <c r="F17" s="1"/>
      <c r="G17" s="1" t="s">
        <v>63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6">
        <f t="shared" si="9"/>
        <v>1.5</v>
      </c>
      <c r="V17" s="3">
        <f t="shared" si="15"/>
        <v>1.6666666666666665</v>
      </c>
      <c r="W17" s="8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6">
        <f t="shared" si="13"/>
        <v>0</v>
      </c>
      <c r="AC17" s="3">
        <f t="shared" si="14"/>
        <v>0</v>
      </c>
      <c r="AD17" s="20" t="e">
        <f>$AK$9/Table145[[#This Row],[WoundÆ]]</f>
        <v>#DIV/0!</v>
      </c>
      <c r="AE17" s="19">
        <f>(Table145[[#This Row],[% Base]]+Table145[[#This Row],[% Base2]])/2</f>
        <v>0.83333333333333326</v>
      </c>
    </row>
    <row r="18" spans="1:31" ht="15.75" x14ac:dyDescent="0.25">
      <c r="A18" s="1"/>
      <c r="B18" s="1" t="s">
        <v>30</v>
      </c>
      <c r="C18" s="2">
        <v>10</v>
      </c>
      <c r="D18" s="1">
        <v>1</v>
      </c>
      <c r="E18" s="1" t="s">
        <v>60</v>
      </c>
      <c r="F18" s="1"/>
      <c r="G18" s="1"/>
      <c r="H18" s="1"/>
      <c r="I18" s="1"/>
      <c r="J18" s="1"/>
      <c r="K18" s="1" t="s">
        <v>63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6">
        <f t="shared" si="9"/>
        <v>0.6</v>
      </c>
      <c r="V18" s="3">
        <f t="shared" si="15"/>
        <v>0.66666666666666652</v>
      </c>
      <c r="W18" s="8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6">
        <f t="shared" si="13"/>
        <v>0.3</v>
      </c>
      <c r="AC18" s="3">
        <f t="shared" si="14"/>
        <v>0.66666666666666652</v>
      </c>
      <c r="AD18" s="20">
        <f>$AK$9/Table145[[#This Row],[WoundÆ]]</f>
        <v>13.333333333333334</v>
      </c>
      <c r="AE18" s="19">
        <f>(Table145[[#This Row],[% Base]]+Table145[[#This Row],[% Base2]])/2</f>
        <v>0.66666666666666652</v>
      </c>
    </row>
    <row r="19" spans="1:31" ht="15.75" x14ac:dyDescent="0.25">
      <c r="A19" s="1"/>
      <c r="B19" s="1" t="s">
        <v>106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63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6">
        <f t="shared" si="9"/>
        <v>1.1000000000000001</v>
      </c>
      <c r="V19" s="3">
        <f t="shared" si="15"/>
        <v>1.2222222222222221</v>
      </c>
      <c r="W19" s="8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6">
        <f t="shared" si="13"/>
        <v>0.55000000000000004</v>
      </c>
      <c r="AC19" s="3">
        <f t="shared" si="14"/>
        <v>1.2222222222222221</v>
      </c>
      <c r="AD19" s="20">
        <f>$AK$9/Table145[[#This Row],[WoundÆ]]</f>
        <v>7.2727272727272725</v>
      </c>
      <c r="AE19" s="19">
        <f>(Table145[[#This Row],[% Base]]+Table145[[#This Row],[% Base2]])/2</f>
        <v>1.2222222222222221</v>
      </c>
    </row>
    <row r="20" spans="1:31" ht="15.75" x14ac:dyDescent="0.25">
      <c r="A20" s="1"/>
      <c r="B20" s="1" t="s">
        <v>108</v>
      </c>
      <c r="C20" s="2">
        <v>10</v>
      </c>
      <c r="D20" s="1">
        <v>4</v>
      </c>
      <c r="E20" s="1" t="s">
        <v>109</v>
      </c>
      <c r="F20" s="1"/>
      <c r="G20" s="1" t="s">
        <v>63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6">
        <f t="shared" si="9"/>
        <v>1.4</v>
      </c>
      <c r="V20" s="3">
        <f t="shared" si="15"/>
        <v>1.5555555555555551</v>
      </c>
      <c r="W20" s="8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6">
        <f t="shared" si="13"/>
        <v>0</v>
      </c>
      <c r="AC20" s="3">
        <f t="shared" si="14"/>
        <v>0</v>
      </c>
      <c r="AD20" s="20" t="e">
        <f>$AK$9/Table145[[#This Row],[WoundÆ]]</f>
        <v>#DIV/0!</v>
      </c>
      <c r="AE20" s="19">
        <f>(Table145[[#This Row],[% Base]]+Table145[[#This Row],[% Base2]])/2</f>
        <v>0.77777777777777757</v>
      </c>
    </row>
    <row r="21" spans="1:31" ht="15.75" x14ac:dyDescent="0.25">
      <c r="A21" s="1"/>
      <c r="B21" s="1" t="s">
        <v>107</v>
      </c>
      <c r="C21" s="2">
        <v>10</v>
      </c>
      <c r="D21" s="1">
        <v>2</v>
      </c>
      <c r="E21" s="1" t="s">
        <v>73</v>
      </c>
      <c r="F21" s="1" t="s">
        <v>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6">
        <f t="shared" si="9"/>
        <v>0.7</v>
      </c>
      <c r="V21" s="3">
        <f t="shared" si="15"/>
        <v>0.77777777777777757</v>
      </c>
      <c r="W21" s="8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6">
        <f t="shared" si="13"/>
        <v>0.7</v>
      </c>
      <c r="AC21" s="3">
        <f t="shared" si="14"/>
        <v>1.5555555555555551</v>
      </c>
      <c r="AD21" s="20">
        <f>$AK$9/Table145[[#This Row],[WoundÆ]]</f>
        <v>5.7142857142857144</v>
      </c>
      <c r="AE21" s="19">
        <f>(Table145[[#This Row],[% Base]]+Table145[[#This Row],[% Base2]])/2</f>
        <v>1.1666666666666663</v>
      </c>
    </row>
    <row r="22" spans="1:31" ht="15.75" x14ac:dyDescent="0.25">
      <c r="A22" s="1"/>
      <c r="B22" s="1" t="s">
        <v>110</v>
      </c>
      <c r="C22" s="2">
        <v>8</v>
      </c>
      <c r="D22" s="1">
        <v>2</v>
      </c>
      <c r="E22" s="1" t="s">
        <v>60</v>
      </c>
      <c r="F22" s="1"/>
      <c r="G22" s="1" t="s">
        <v>63</v>
      </c>
      <c r="H22" s="1"/>
      <c r="I22" s="1"/>
      <c r="J22" s="1"/>
      <c r="K22" s="1" t="s">
        <v>63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6">
        <f t="shared" si="9"/>
        <v>1</v>
      </c>
      <c r="V22" s="3">
        <f t="shared" si="15"/>
        <v>1.1111111111111109</v>
      </c>
      <c r="W22" s="8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6">
        <f t="shared" si="13"/>
        <v>0</v>
      </c>
      <c r="AC22" s="3">
        <f t="shared" si="14"/>
        <v>0</v>
      </c>
      <c r="AD22" s="20" t="e">
        <f>$AK$9/Table145[[#This Row],[WoundÆ]]</f>
        <v>#DIV/0!</v>
      </c>
      <c r="AE22" s="19">
        <f>(Table145[[#This Row],[% Base]]+Table145[[#This Row],[% Base2]])/2</f>
        <v>0.55555555555555547</v>
      </c>
    </row>
    <row r="23" spans="1:31" ht="15.75" x14ac:dyDescent="0.25">
      <c r="A23" s="1"/>
      <c r="B23" s="1" t="s">
        <v>111</v>
      </c>
      <c r="C23" s="2">
        <v>12</v>
      </c>
      <c r="D23" s="1">
        <v>3</v>
      </c>
      <c r="E23" s="1"/>
      <c r="F23" s="1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6">
        <f t="shared" si="9"/>
        <v>1.2</v>
      </c>
      <c r="V23" s="3">
        <f t="shared" si="15"/>
        <v>1.333333333333333</v>
      </c>
      <c r="W23" s="8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6">
        <f t="shared" si="13"/>
        <v>1.2</v>
      </c>
      <c r="AC23" s="3">
        <f t="shared" si="14"/>
        <v>2.6666666666666661</v>
      </c>
      <c r="AD23" s="20">
        <f>$AK$9/Table145[[#This Row],[WoundÆ]]</f>
        <v>3.3333333333333335</v>
      </c>
      <c r="AE23" s="19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6"/>
      <c r="V24" s="3"/>
      <c r="W24" s="8"/>
      <c r="X24" s="4"/>
      <c r="Y24" s="3"/>
      <c r="Z24" s="3"/>
      <c r="AA24" s="3"/>
      <c r="AB24" s="6"/>
      <c r="AC24" s="3"/>
      <c r="AD24" s="20"/>
      <c r="AE24" s="19"/>
    </row>
    <row r="25" spans="1:31" ht="15.75" x14ac:dyDescent="0.25">
      <c r="A25" s="1"/>
      <c r="B25" s="1" t="s">
        <v>112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6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8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6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20">
        <f>$AK$9/Table145[[#This Row],[WoundÆ]]</f>
        <v>4.0251572327044025</v>
      </c>
      <c r="AE25" s="19">
        <f>(Table145[[#This Row],[% Base]]+Table145[[#This Row],[% Base2]])/2</f>
        <v>1</v>
      </c>
    </row>
    <row r="26" spans="1:31" ht="15.75" x14ac:dyDescent="0.25">
      <c r="A26" s="1"/>
      <c r="B26" s="1" t="s">
        <v>113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63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6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8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6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20">
        <f>$AK$9/Table145[[#This Row],[WoundÆ]]</f>
        <v>5.7142857142857144</v>
      </c>
      <c r="AE26" s="19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6"/>
      <c r="V27" s="3"/>
      <c r="W27" s="8"/>
      <c r="X27" s="4"/>
      <c r="Y27" s="4"/>
      <c r="Z27" s="3"/>
      <c r="AA27" s="3"/>
      <c r="AB27" s="6"/>
      <c r="AC27" s="3"/>
      <c r="AD27" s="8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6"/>
      <c r="V28" s="3"/>
      <c r="W28" s="8"/>
      <c r="X28" s="4"/>
      <c r="Y28" s="4"/>
      <c r="Z28" s="3"/>
      <c r="AA28" s="3"/>
      <c r="AB28" s="6"/>
      <c r="AC28" s="3"/>
      <c r="AD28" s="8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6"/>
      <c r="V29" s="3"/>
      <c r="W29" s="19"/>
      <c r="X29" s="4"/>
      <c r="Y29" s="3"/>
      <c r="Z29" s="3"/>
      <c r="AA29" s="3"/>
      <c r="AB29" s="6"/>
      <c r="AC29" s="3"/>
      <c r="AD29" s="20"/>
      <c r="AE29" s="19"/>
    </row>
    <row r="30" spans="1:31" ht="30" x14ac:dyDescent="0.25">
      <c r="A30" s="1"/>
      <c r="B30" s="26" t="s">
        <v>122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63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6">
        <f>1*S30*R30*(1+T30)*D30 + IF(P30="X",D30*R30*0.25,0)</f>
        <v>2.2750000000000004</v>
      </c>
      <c r="V30" s="3">
        <f>U30/$U$4</f>
        <v>2.8437500000000004</v>
      </c>
      <c r="W30" s="8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6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8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123</v>
      </c>
      <c r="C31" s="2">
        <v>15</v>
      </c>
      <c r="D31" s="1">
        <v>4</v>
      </c>
      <c r="E31" s="1" t="s">
        <v>124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6">
        <f t="shared" ref="U31:U32" si="19">1*S31*(R31)*(1+T31)*D31</f>
        <v>1.6500000000000001</v>
      </c>
      <c r="V31" s="3">
        <f t="shared" ref="V31:V32" si="20">U31/$U$25</f>
        <v>0.83018867924528306</v>
      </c>
      <c r="W31" s="19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6">
        <f t="shared" ref="AB31:AB32" si="24">1*Z31*(Y31)*(1+AA31)*D31</f>
        <v>1.6500000000000001</v>
      </c>
      <c r="AC31" s="3">
        <f t="shared" ref="AC31:AC32" si="25">AB31/$AB$25</f>
        <v>1.6603773584905661</v>
      </c>
      <c r="AD31" s="20">
        <f>$AK$9/Table145[[#This Row],[WoundÆ]]</f>
        <v>2.4242424242424239</v>
      </c>
      <c r="AE31" s="19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6">
        <f t="shared" si="19"/>
        <v>0</v>
      </c>
      <c r="V32" s="3">
        <f t="shared" si="20"/>
        <v>0</v>
      </c>
      <c r="W32" s="19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6">
        <f t="shared" si="24"/>
        <v>0</v>
      </c>
      <c r="AC32" s="3">
        <f t="shared" si="25"/>
        <v>0</v>
      </c>
      <c r="AD32" s="20" t="e">
        <f>$AK$9/Table145[[#This Row],[WoundÆ]]</f>
        <v>#DIV/0!</v>
      </c>
      <c r="AE32" s="19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6"/>
      <c r="V33" s="3"/>
      <c r="W33" s="19"/>
      <c r="X33" s="4"/>
      <c r="Y33" s="3"/>
      <c r="Z33" s="3"/>
      <c r="AA33" s="3"/>
      <c r="AB33" s="6"/>
      <c r="AC33" s="3"/>
      <c r="AD33" s="20"/>
      <c r="AE33" s="19"/>
      <c r="AF33" s="16"/>
    </row>
    <row r="34" spans="1:32" ht="15.75" x14ac:dyDescent="0.25">
      <c r="A34" s="9"/>
      <c r="B34" s="1" t="s">
        <v>125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63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6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8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6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20">
        <f>$AK$9/Table145[[#This Row],[WoundÆ]]</f>
        <v>5.6140350877192988</v>
      </c>
      <c r="AE34" s="19">
        <f>(Table145[[#This Row],[% Base]]+Table145[[#This Row],[% Base2]])/2</f>
        <v>1.5833333333333328</v>
      </c>
      <c r="AF34" s="16"/>
    </row>
    <row r="35" spans="1:32" ht="15.75" x14ac:dyDescent="0.25">
      <c r="A35" s="9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6">
        <f t="shared" ref="U35" si="38">1*S35*(R35)*(1+T35)*D35</f>
        <v>0</v>
      </c>
      <c r="V35" s="3">
        <f t="shared" ref="V35" si="39">U35/$U$25</f>
        <v>0</v>
      </c>
      <c r="W35" s="19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6">
        <f t="shared" ref="AB35" si="43">1*Z35*(Y35)*(1+AA35)*D35</f>
        <v>0</v>
      </c>
      <c r="AC35" s="3">
        <f t="shared" ref="AC35" si="44">AB35/$AB$25</f>
        <v>0</v>
      </c>
      <c r="AD35" s="20" t="e">
        <f>$AK$9/Table145[[#This Row],[WoundÆ]]</f>
        <v>#DIV/0!</v>
      </c>
      <c r="AE35" s="19">
        <f>(Table145[[#This Row],[% Base]]+Table145[[#This Row],[% Base2]])/2</f>
        <v>0</v>
      </c>
      <c r="AF35" s="16"/>
    </row>
    <row r="36" spans="1:32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3"/>
      <c r="S36" s="3"/>
      <c r="T36" s="3"/>
      <c r="U36" s="6"/>
      <c r="V36" s="3"/>
      <c r="W36" s="8"/>
      <c r="X36" s="4"/>
      <c r="Y36" s="3"/>
      <c r="Z36" s="3"/>
      <c r="AA36" s="3"/>
      <c r="AB36" s="6"/>
      <c r="AC36" s="3"/>
      <c r="AD36" s="20"/>
      <c r="AE36" s="19"/>
      <c r="AF36" s="16"/>
    </row>
    <row r="37" spans="1:32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6"/>
      <c r="V37" s="3"/>
      <c r="W37" s="8"/>
      <c r="X37" s="4"/>
      <c r="Y37" s="3"/>
      <c r="Z37" s="3"/>
      <c r="AA37" s="3"/>
      <c r="AB37" s="6"/>
      <c r="AC37" s="3"/>
      <c r="AD37" s="20"/>
      <c r="AE37" s="19"/>
      <c r="AF37" s="16"/>
    </row>
    <row r="38" spans="1:32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3"/>
      <c r="S38" s="3"/>
      <c r="T38" s="3"/>
      <c r="U38" s="6"/>
      <c r="V38" s="3"/>
      <c r="W38" s="8"/>
      <c r="X38" s="4"/>
      <c r="Y38" s="3"/>
      <c r="Z38" s="3"/>
      <c r="AA38" s="3"/>
      <c r="AB38" s="6"/>
      <c r="AC38" s="3"/>
      <c r="AD38" s="20"/>
      <c r="AE38" s="19"/>
      <c r="AF38" s="16"/>
    </row>
    <row r="39" spans="1:32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"/>
      <c r="S39" s="3"/>
      <c r="T39" s="3"/>
      <c r="U39" s="6"/>
      <c r="V39" s="3"/>
      <c r="W39" s="8"/>
      <c r="X39" s="4"/>
      <c r="Y39" s="3"/>
      <c r="Z39" s="3"/>
      <c r="AA39" s="3"/>
      <c r="AB39" s="6"/>
      <c r="AC39" s="3"/>
      <c r="AD39" s="20"/>
      <c r="AE39" s="19"/>
    </row>
    <row r="40" spans="1:32" ht="15.75" x14ac:dyDescent="0.25">
      <c r="A40" s="9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6"/>
      <c r="V40" s="3"/>
      <c r="W40" s="19"/>
      <c r="X40" s="4"/>
      <c r="Y40" s="3"/>
      <c r="Z40" s="3"/>
      <c r="AA40" s="3"/>
      <c r="AB40" s="6"/>
      <c r="AC40" s="3"/>
      <c r="AD40" s="20"/>
      <c r="AE40" s="19"/>
    </row>
    <row r="41" spans="1:32" ht="15.75" x14ac:dyDescent="0.2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11"/>
      <c r="S41" s="11"/>
      <c r="T41" s="11"/>
      <c r="U41" s="11"/>
      <c r="V41" s="13"/>
      <c r="W41" s="14"/>
      <c r="X41" s="11"/>
      <c r="Y41" s="11"/>
      <c r="Z41" s="11"/>
      <c r="AA41" s="11"/>
      <c r="AB41" s="11"/>
      <c r="AC41" s="13"/>
      <c r="AD41" s="11"/>
      <c r="AE41" s="16"/>
    </row>
    <row r="42" spans="1:32" ht="15.75" x14ac:dyDescent="0.25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1"/>
      <c r="R42" s="11"/>
      <c r="S42" s="11"/>
      <c r="T42" s="11"/>
      <c r="U42" s="11"/>
      <c r="V42" s="13"/>
      <c r="W42" s="14"/>
      <c r="X42" s="11"/>
      <c r="Y42" s="11"/>
      <c r="Z42" s="11"/>
      <c r="AA42" s="11"/>
      <c r="AB42" s="11"/>
      <c r="AC42" s="13"/>
      <c r="AD42" s="11"/>
      <c r="AE42" s="16"/>
    </row>
    <row r="43" spans="1:32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1"/>
      <c r="R43" s="11"/>
      <c r="S43" s="11"/>
      <c r="T43" s="11"/>
      <c r="U43" s="11"/>
      <c r="V43" s="13"/>
      <c r="W43" s="14"/>
      <c r="X43" s="11"/>
      <c r="Y43" s="11"/>
      <c r="Z43" s="11"/>
      <c r="AA43" s="11"/>
      <c r="AB43" s="11"/>
      <c r="AC43" s="13"/>
      <c r="AD43" s="11"/>
      <c r="AE43" s="16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3"/>
  <sheetViews>
    <sheetView workbookViewId="0">
      <selection activeCell="F1" sqref="F1:AC1048576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22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23</v>
      </c>
      <c r="X2" s="29"/>
      <c r="Y2" s="29"/>
      <c r="Z2" s="29"/>
      <c r="AA2" s="27"/>
      <c r="AB2" s="27"/>
      <c r="AE2" t="s">
        <v>8</v>
      </c>
      <c r="AH2" t="s">
        <v>9</v>
      </c>
    </row>
    <row r="3" spans="1:35" ht="87.75" x14ac:dyDescent="0.25">
      <c r="A3" s="7"/>
      <c r="B3" s="7" t="s">
        <v>0</v>
      </c>
      <c r="C3" s="7" t="s">
        <v>1</v>
      </c>
      <c r="D3" s="7" t="s">
        <v>2</v>
      </c>
      <c r="E3" s="7" t="s">
        <v>22</v>
      </c>
      <c r="F3" s="7" t="s">
        <v>3</v>
      </c>
      <c r="G3" s="7" t="s">
        <v>118</v>
      </c>
      <c r="H3" s="7" t="s">
        <v>67</v>
      </c>
      <c r="I3" s="7" t="s">
        <v>68</v>
      </c>
      <c r="J3" s="7" t="s">
        <v>70</v>
      </c>
      <c r="K3" s="7" t="s">
        <v>69</v>
      </c>
      <c r="L3" s="7" t="s">
        <v>71</v>
      </c>
      <c r="M3" s="7" t="s">
        <v>126</v>
      </c>
      <c r="N3" s="7" t="s">
        <v>127</v>
      </c>
      <c r="O3" s="7" t="s">
        <v>66</v>
      </c>
      <c r="P3" s="7" t="s">
        <v>6</v>
      </c>
      <c r="Q3" s="7" t="s">
        <v>7</v>
      </c>
      <c r="R3" s="7" t="s">
        <v>19</v>
      </c>
      <c r="S3" s="7" t="s">
        <v>47</v>
      </c>
      <c r="T3" s="7" t="s">
        <v>48</v>
      </c>
      <c r="U3" s="7" t="s">
        <v>52</v>
      </c>
      <c r="V3" s="7" t="s">
        <v>42</v>
      </c>
      <c r="W3" s="7" t="s">
        <v>46</v>
      </c>
      <c r="X3" s="7" t="s">
        <v>45</v>
      </c>
      <c r="Y3" s="7" t="s">
        <v>44</v>
      </c>
      <c r="Z3" s="7" t="s">
        <v>50</v>
      </c>
      <c r="AA3" s="7" t="s">
        <v>49</v>
      </c>
      <c r="AB3" s="7" t="s">
        <v>53</v>
      </c>
      <c r="AC3" s="7" t="s">
        <v>57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22" t="s">
        <v>115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6">
        <f>1*Q4*P4*(1+R4)*D4 + IF(N4="X",D4*P4*0.25,0) + IF(M4="X",D4*P4*Q4*0.5,0)</f>
        <v>0.82500000000000007</v>
      </c>
      <c r="T4" s="3">
        <f>S4/$S$4</f>
        <v>1</v>
      </c>
      <c r="U4" s="8">
        <f>$AI$9/Table1453[[#This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6">
        <f>IF(G4="X",0,1*X4*W4*(1+Y4)*D4) * IF($AI$13=1,IF(F4="X",1,0.5),1) + IF(N4="X",D4*P4*0.25,0)</f>
        <v>0.41250000000000003</v>
      </c>
      <c r="AA4" s="3">
        <f>Z4/$Z$4</f>
        <v>1</v>
      </c>
      <c r="AB4" s="8">
        <f>$AI$9/Table1453[[#This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98</v>
      </c>
      <c r="AI4">
        <v>10</v>
      </c>
    </row>
    <row r="5" spans="1:35" x14ac:dyDescent="0.25">
      <c r="A5" s="1"/>
      <c r="B5" s="22" t="s">
        <v>128</v>
      </c>
      <c r="C5" s="1">
        <v>15</v>
      </c>
      <c r="D5" s="1">
        <v>3</v>
      </c>
      <c r="E5" s="1"/>
      <c r="F5" s="1"/>
      <c r="G5" s="1" t="s">
        <v>63</v>
      </c>
      <c r="H5" s="1"/>
      <c r="I5" s="1"/>
      <c r="J5" s="1"/>
      <c r="K5" s="1"/>
      <c r="L5" s="1"/>
      <c r="M5" s="1" t="s">
        <v>63</v>
      </c>
      <c r="N5" s="1"/>
      <c r="O5" s="1"/>
      <c r="P5" s="3">
        <f>(10+$AF$4-$AI$5)/20</f>
        <v>0.5</v>
      </c>
      <c r="Q5" s="3">
        <f>(C5/20)*IF($AI$6=1,IF(F5="X",1,0.5),1)</f>
        <v>0.75</v>
      </c>
      <c r="R5" s="3">
        <f>(IF(( L5="X"),0,($AF$5+I5))/20)</f>
        <v>0.1</v>
      </c>
      <c r="S5" s="6">
        <f>1*Q5*P5*(1+R5)*D5 + IF(N5="X",D5*P5*0.25,0) + IF(M5="X",D5*P5*Q5*0.5,0)</f>
        <v>1.8</v>
      </c>
      <c r="T5" s="3">
        <f>S5/$S$4</f>
        <v>2.1818181818181817</v>
      </c>
      <c r="U5" s="8">
        <f>$AI$9/Table1453[[#This Row],[WoundsÆ]]/2</f>
        <v>1.1111111111111112</v>
      </c>
      <c r="V5" s="4"/>
      <c r="W5" s="3">
        <f t="shared" ref="W5:W8" si="0">(10+$AF$4-$AI$5)/20</f>
        <v>0.5</v>
      </c>
      <c r="X5" s="3">
        <f>(C5/20)*IF($AI$13=1,IF(F5="X",1,0.5),1)</f>
        <v>0.375</v>
      </c>
      <c r="Y5" s="3">
        <f>(IF((OR(K5="X", L5="X")),0,($AF$5+I5))/20)</f>
        <v>0.1</v>
      </c>
      <c r="Z5" s="6">
        <f>IF(G5="X",0,1*X5*W5*(1+Y5)*D5) * IF($AI$13=1,IF(F5="X",1,0.5),1) + IF(N5="X",D5*P5*0.25,0)</f>
        <v>0</v>
      </c>
      <c r="AA5" s="3">
        <f>Z5/$Z$4</f>
        <v>0</v>
      </c>
      <c r="AB5" s="8" t="e">
        <f>$AI$9/Table1453[[#This Row],[WoundÆ]]/2</f>
        <v>#DIV/0!</v>
      </c>
      <c r="AC5" s="3">
        <f>(Table1453[[#This Row],[% Base]]+Table1453[[#This Row],[% Base2]])/2</f>
        <v>1.0909090909090908</v>
      </c>
      <c r="AE5" t="s">
        <v>21</v>
      </c>
      <c r="AF5">
        <v>2</v>
      </c>
      <c r="AH5" t="s">
        <v>99</v>
      </c>
      <c r="AI5">
        <v>10</v>
      </c>
    </row>
    <row r="6" spans="1:35" ht="15.75" x14ac:dyDescent="0.25">
      <c r="A6" s="1"/>
      <c r="B6" s="22" t="s">
        <v>129</v>
      </c>
      <c r="C6" s="2">
        <v>16</v>
      </c>
      <c r="D6" s="1">
        <v>2</v>
      </c>
      <c r="E6" s="1"/>
      <c r="F6" s="1" t="s">
        <v>63</v>
      </c>
      <c r="G6" s="1"/>
      <c r="H6" s="1"/>
      <c r="I6" s="1"/>
      <c r="J6" s="1"/>
      <c r="K6" s="1"/>
      <c r="L6" s="1"/>
      <c r="M6" s="1"/>
      <c r="N6" s="1"/>
      <c r="O6" s="1"/>
      <c r="P6" s="3">
        <f>(10+$AF$4-$AI$5)/20</f>
        <v>0.5</v>
      </c>
      <c r="Q6" s="3">
        <f>(C6/20)*IF($AI$6=1,IF(F6="X",1,0.5),1)</f>
        <v>0.8</v>
      </c>
      <c r="R6" s="3">
        <f>(IF(( L6="X"),0,($AF$5+I6))/20)</f>
        <v>0.1</v>
      </c>
      <c r="S6" s="6">
        <f t="shared" ref="S6:S8" si="1">1*Q6*P6*(1+R6)*D6 + IF(N6="X",D6*P6*0.25,0) + IF(M6="X",D6*P6*Q6*0.5,0)</f>
        <v>0.88000000000000012</v>
      </c>
      <c r="T6" s="3">
        <f t="shared" ref="T6:T7" si="2">S6/$S$4</f>
        <v>1.0666666666666667</v>
      </c>
      <c r="U6" s="8">
        <f>$AI$9/Table1453[[#This Row],[WoundsÆ]]/2</f>
        <v>2.2727272727272725</v>
      </c>
      <c r="V6" s="4"/>
      <c r="W6" s="3">
        <f t="shared" si="0"/>
        <v>0.5</v>
      </c>
      <c r="X6" s="3">
        <f>(C6/20)*IF($AI$13=1,IF(F6="X",1,0.5),1)</f>
        <v>0.8</v>
      </c>
      <c r="Y6" s="3">
        <f>(IF((OR(K6="X", L6="X")),0,($AF$5+I6))/20)</f>
        <v>0.1</v>
      </c>
      <c r="Z6" s="6">
        <f>IF(G6="X",0,1*X6*W6*(1+Y6)*D6) * IF($AI$13=1,IF(F6="X",1,0.5),1) + IF(N6="X",D6*P6*0.25,0)</f>
        <v>0.88000000000000012</v>
      </c>
      <c r="AA6" s="3">
        <f t="shared" ref="AA6:AA7" si="3">Z6/$Z$4</f>
        <v>2.1333333333333333</v>
      </c>
      <c r="AB6" s="8">
        <f>$AI$9/Table1453[[#This Row],[WoundÆ]]/2</f>
        <v>2.2727272727272725</v>
      </c>
      <c r="AC6" s="3">
        <f>(Table1453[[#This Row],[% Base]]+Table1453[[#This Row],[% Base2]])/2</f>
        <v>1.6</v>
      </c>
      <c r="AH6" t="s">
        <v>121</v>
      </c>
      <c r="AI6">
        <v>0</v>
      </c>
    </row>
    <row r="7" spans="1:35" x14ac:dyDescent="0.25">
      <c r="A7" s="1"/>
      <c r="B7" s="22" t="s">
        <v>136</v>
      </c>
      <c r="C7" s="1">
        <v>14</v>
      </c>
      <c r="D7" s="1">
        <v>2</v>
      </c>
      <c r="E7" s="1" t="s">
        <v>137</v>
      </c>
      <c r="F7" s="1"/>
      <c r="G7" s="1"/>
      <c r="H7" s="1"/>
      <c r="I7" s="1"/>
      <c r="J7" s="1"/>
      <c r="K7" s="1"/>
      <c r="L7" s="1"/>
      <c r="M7" s="1" t="s">
        <v>63</v>
      </c>
      <c r="N7" s="1"/>
      <c r="O7" s="1"/>
      <c r="P7" s="3">
        <f>(10+$AF$4-$AI$5)/20</f>
        <v>0.5</v>
      </c>
      <c r="Q7" s="3">
        <f>(C7/20)*IF($AI$6=1,IF(F7="X",1,0.5),1)</f>
        <v>0.7</v>
      </c>
      <c r="R7" s="3">
        <f>(IF(( L7="X"),0,($AF$5+I7))/20)</f>
        <v>0.1</v>
      </c>
      <c r="S7" s="6">
        <f t="shared" si="1"/>
        <v>1.1200000000000001</v>
      </c>
      <c r="T7" s="3">
        <f t="shared" si="2"/>
        <v>1.3575757575757577</v>
      </c>
      <c r="U7" s="8">
        <f>$AI$9/Table1453[[#This Row],[WoundsÆ]]/2</f>
        <v>1.7857142857142856</v>
      </c>
      <c r="V7" s="4"/>
      <c r="W7" s="3">
        <f t="shared" si="0"/>
        <v>0.5</v>
      </c>
      <c r="X7" s="3">
        <f>(C7/20)*IF($AI$13=1,IF(F7="X",1,0.5),1)</f>
        <v>0.35</v>
      </c>
      <c r="Y7" s="3">
        <f>(IF((OR(K7="X", L7="X")),0,($AF$5+I7))/20)</f>
        <v>0.1</v>
      </c>
      <c r="Z7" s="6">
        <f>IF(G7="X",0,1*X7*W7*(1+Y7)*D7) * IF($AI$13=1,IF(F7="X",1,0.5),1) + IF(N7="X",D7*P7*0.25,0)</f>
        <v>0.1925</v>
      </c>
      <c r="AA7" s="3">
        <f t="shared" si="3"/>
        <v>0.46666666666666662</v>
      </c>
      <c r="AB7" s="8">
        <f>$AI$9/Table1453[[#This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22" t="s">
        <v>130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63</v>
      </c>
      <c r="O8" s="1"/>
      <c r="P8" s="3">
        <f>(10+$AF$4-$AI$5)/20</f>
        <v>0.5</v>
      </c>
      <c r="Q8" s="3">
        <f>(C8/20)*IF($AI$6=1,IF(F8="X",1,0.5),1)</f>
        <v>0.6</v>
      </c>
      <c r="R8" s="3">
        <f>(IF(( L8="X"),0,($AF$5+I8))/20)</f>
        <v>0.1</v>
      </c>
      <c r="S8" s="6">
        <f t="shared" si="1"/>
        <v>0.91</v>
      </c>
      <c r="T8" s="3">
        <f t="shared" ref="T8" si="4">S8/$S$4</f>
        <v>1.103030303030303</v>
      </c>
      <c r="U8" s="8">
        <f>$AI$9/Table1453[[#This Row],[WoundsÆ]]/2</f>
        <v>2.1978021978021975</v>
      </c>
      <c r="V8" s="4"/>
      <c r="W8" s="3">
        <f t="shared" si="0"/>
        <v>0.5</v>
      </c>
      <c r="X8" s="3">
        <f>(C8/20)*IF($AI$13=1,IF(F8="X",1,0.5),1)</f>
        <v>0.3</v>
      </c>
      <c r="Y8" s="3">
        <f>(IF((OR(K8="X", L8="X")),0,($AF$5+I8))/20)</f>
        <v>0.1</v>
      </c>
      <c r="Z8" s="6">
        <f>IF(G8="X",0,1*X8*W8*(1+Y8)*D8) * IF($AI$13=1,IF(F8="X",1,0.5),1) + IF(N8="X",D8*P8*0.25,0)</f>
        <v>0.41500000000000004</v>
      </c>
      <c r="AA8" s="3">
        <f t="shared" ref="AA8" si="5">Z8/$Z$4</f>
        <v>1.0060606060606061</v>
      </c>
      <c r="AB8" s="8">
        <f>$AI$9/Table1453[[#This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x14ac:dyDescent="0.25">
      <c r="A9" s="1"/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"/>
      <c r="Q9" s="3"/>
      <c r="R9" s="3"/>
      <c r="S9" s="6"/>
      <c r="T9" s="3"/>
      <c r="U9" s="8"/>
      <c r="V9" s="4"/>
      <c r="W9" s="4"/>
      <c r="X9" s="3"/>
      <c r="Y9" s="3"/>
      <c r="Z9" s="6"/>
      <c r="AA9" s="3"/>
      <c r="AB9" s="8"/>
      <c r="AC9" s="3"/>
      <c r="AH9" t="s">
        <v>51</v>
      </c>
      <c r="AI9">
        <v>4</v>
      </c>
    </row>
    <row r="10" spans="1:35" ht="15.75" x14ac:dyDescent="0.25">
      <c r="A10" s="1"/>
      <c r="B10" s="22" t="s">
        <v>119</v>
      </c>
      <c r="C10" s="2">
        <v>15</v>
      </c>
      <c r="D10" s="1">
        <v>2</v>
      </c>
      <c r="E10" s="1" t="s">
        <v>109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f>IF(K10="X",1,($AF$3+H10)/20)</f>
        <v>0.5</v>
      </c>
      <c r="Q10" s="3">
        <f>(C10/20)*IF($AI$6=1,IF(F10="X",1,0.5),1)</f>
        <v>0.75</v>
      </c>
      <c r="R10" s="3">
        <f>(IF(( L10="X"),0,($AF$5+I10))/20)</f>
        <v>0.1</v>
      </c>
      <c r="S10" s="6">
        <f>((1*Q10*(P10)*D10   +   (IF(J10="X",2,1)*R10*D10)      + IF(N10="X",D10*P10*0.25,0)     ) * IF(M10="X",1.5,1) ) *      IF($AI$6="1",0.5,1)</f>
        <v>0.95</v>
      </c>
      <c r="T10" s="3">
        <f>S10/$S$10</f>
        <v>1</v>
      </c>
      <c r="U10" s="8">
        <f>$AI$9/Table1453[[#This Row],[WoundsÆ]]/2</f>
        <v>2.1052631578947367</v>
      </c>
      <c r="V10" s="4"/>
      <c r="W10" s="3">
        <f t="shared" ref="W10:W23" si="6">IF(K10="X",1,($AF$3+H10)/20)</f>
        <v>0.5</v>
      </c>
      <c r="X10" s="3">
        <f>(C10/20)*IF($AI$13=1,IF(F10="X",1,0.5),1)</f>
        <v>0.375</v>
      </c>
      <c r="Y10" s="3">
        <f>(IF((OR(K10="X", L10="X")),0,($AF$5+I10))/20)</f>
        <v>0.1</v>
      </c>
      <c r="Z10" s="6">
        <f>IF(G10="X",0,((1*Q10*(P10)*D10   +   (IF(J10="X",2,1)*R10*D10)      + IF(N10="X",D10*P10*0.5,0)     ) * IF(M10="X",1.5,1) ) *      IF($AI$13=1,IF(F10="X",1,0.5),1))</f>
        <v>0.47499999999999998</v>
      </c>
      <c r="AA10" s="3">
        <f>Z10/$Z$10</f>
        <v>1</v>
      </c>
      <c r="AB10" s="20">
        <f>$AI$9/Table1453[[#This Row],[WoundÆ]]/2</f>
        <v>4.2105263157894735</v>
      </c>
      <c r="AC10" s="19">
        <f>(Table1453[[#This Row],[% Base]]+Table1453[[#This Row],[% Base2]])/2</f>
        <v>1</v>
      </c>
      <c r="AH10" t="s">
        <v>10</v>
      </c>
      <c r="AI10">
        <v>10</v>
      </c>
    </row>
    <row r="11" spans="1:35" ht="15.75" x14ac:dyDescent="0.25">
      <c r="A11" s="1"/>
      <c r="B11" s="22" t="s">
        <v>131</v>
      </c>
      <c r="C11" s="2">
        <v>8</v>
      </c>
      <c r="D11" s="1">
        <v>2</v>
      </c>
      <c r="E11" s="1" t="s">
        <v>138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0.4</v>
      </c>
      <c r="R11" s="3">
        <f>(IF(( L11="X"),0,($AF$5+I11))/20)</f>
        <v>0.1</v>
      </c>
      <c r="S11" s="6">
        <f>((1*Q11*(P11)*D11   +   (IF(J11="X",2,1)*R11*D11)      + IF(N11="X",D11*P11*0.25,0)     ) * IF(M11="X",1.5,1) ) *      IF($AI$6="1",0.5,1)</f>
        <v>0.60000000000000009</v>
      </c>
      <c r="T11" s="3">
        <f>S11/$S$10</f>
        <v>0.63157894736842113</v>
      </c>
      <c r="U11" s="8">
        <f>$AI$9/Table1453[[#This Row],[WoundsÆ]]/2</f>
        <v>3.333333333333333</v>
      </c>
      <c r="V11" s="4"/>
      <c r="W11" s="3">
        <f t="shared" si="6"/>
        <v>0.5</v>
      </c>
      <c r="X11" s="3">
        <f>(C11/20)*IF($AI$13=1,IF(F11="X",1,0.5),1)</f>
        <v>0.2</v>
      </c>
      <c r="Y11" s="3">
        <f>(IF((OR(K11="X", L11="X")),0,($AF$5+I11))/20)</f>
        <v>0.1</v>
      </c>
      <c r="Z11" s="6">
        <f>IF(G11="X",0,((1*Q11*(P11)*D11   +   (IF(J11="X",2,1)*R11*D11)      + IF(N11="X",D11*P11*0.5,0)     ) * IF(M11="X",1.5,1) ) *      IF($AI$13=1,IF(F11="X",1,0.5),1))</f>
        <v>0.30000000000000004</v>
      </c>
      <c r="AA11" s="3">
        <f>Z11/$Z$10</f>
        <v>0.63157894736842113</v>
      </c>
      <c r="AB11" s="20">
        <f>$AI$9/Table1453[[#This Row],[WoundÆ]]/2</f>
        <v>6.6666666666666661</v>
      </c>
      <c r="AC11" s="19">
        <f>(Table1453[[#This Row],[% Base]]+Table1453[[#This Row],[% Base2]])/2</f>
        <v>0.63157894736842113</v>
      </c>
      <c r="AH11" t="s">
        <v>98</v>
      </c>
      <c r="AI11">
        <v>10</v>
      </c>
    </row>
    <row r="12" spans="1:35" ht="15.75" x14ac:dyDescent="0.25">
      <c r="A12" s="1"/>
      <c r="B12" s="22" t="s">
        <v>132</v>
      </c>
      <c r="C12" s="2">
        <v>8</v>
      </c>
      <c r="D12" s="1">
        <v>2</v>
      </c>
      <c r="E12" s="1" t="s">
        <v>139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6">
        <f>((1*Q12*(P12)*D12   +   (IF(J12="X",2,1)*R12*D12)      + IF(N12="X",D12*P12*0.25,0)     ) * IF(M12="X",1.5,1) ) *      IF($AI$6="1",0.5,1)</f>
        <v>0.60000000000000009</v>
      </c>
      <c r="T12" s="3">
        <f>S12/$S$10</f>
        <v>0.63157894736842113</v>
      </c>
      <c r="U12" s="8">
        <f>$AI$9/Table1453[[#This Row],[WoundsÆ]]/2</f>
        <v>3.333333333333333</v>
      </c>
      <c r="V12" s="4"/>
      <c r="W12" s="3">
        <f t="shared" si="6"/>
        <v>0.5</v>
      </c>
      <c r="X12" s="3">
        <f>(C12/20)*IF($AI$13=1,IF(F12="X",1,0.5),1)</f>
        <v>0.4</v>
      </c>
      <c r="Y12" s="3">
        <f>(IF((OR(K12="X", L12="X")),0,($AF$5+I12))/20)</f>
        <v>0.1</v>
      </c>
      <c r="Z12" s="6">
        <f>IF(G12="X",0,((1*Q12*(P12)*D12   +   (IF(J12="X",2,1)*R12*D12)      + IF(N12="X",D12*P12*0.5,0)     ) * IF(M12="X",1.5,1) ) *      IF($AI$13=1,IF(F12="X",1,0.5),1))</f>
        <v>0.60000000000000009</v>
      </c>
      <c r="AA12" s="3">
        <f>Z12/$Z$10</f>
        <v>1.2631578947368423</v>
      </c>
      <c r="AB12" s="20">
        <f>$AI$9/Table1453[[#This Row],[WoundÆ]]/2</f>
        <v>3.333333333333333</v>
      </c>
      <c r="AC12" s="19">
        <f>(Table1453[[#This Row],[% Base]]+Table1453[[#This Row],[% Base2]])/2</f>
        <v>0.94736842105263164</v>
      </c>
      <c r="AH12" t="s">
        <v>99</v>
      </c>
      <c r="AI12">
        <v>10</v>
      </c>
    </row>
    <row r="13" spans="1:35" ht="15.75" x14ac:dyDescent="0.25">
      <c r="A13" s="1"/>
      <c r="B13" s="2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3"/>
      <c r="S13" s="6"/>
      <c r="T13" s="3"/>
      <c r="U13" s="8"/>
      <c r="V13" s="4"/>
      <c r="W13" s="3"/>
      <c r="X13" s="3"/>
      <c r="Y13" s="3"/>
      <c r="Z13" s="6"/>
      <c r="AA13" s="3"/>
      <c r="AB13" s="20"/>
      <c r="AC13" s="19"/>
      <c r="AH13" t="s">
        <v>121</v>
      </c>
      <c r="AI13">
        <v>1</v>
      </c>
    </row>
    <row r="14" spans="1:35" ht="15.75" x14ac:dyDescent="0.25">
      <c r="A14" s="1"/>
      <c r="B14" s="2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6"/>
      <c r="T14" s="3"/>
      <c r="U14" s="8"/>
      <c r="V14" s="4"/>
      <c r="W14" s="3"/>
      <c r="X14" s="3"/>
      <c r="Y14" s="3"/>
      <c r="Z14" s="6"/>
      <c r="AA14" s="3"/>
      <c r="AB14" s="20"/>
      <c r="AC14" s="19"/>
    </row>
    <row r="15" spans="1:35" ht="15.75" x14ac:dyDescent="0.25">
      <c r="A15" s="1"/>
      <c r="B15" s="22" t="s">
        <v>133</v>
      </c>
      <c r="C15" s="2">
        <v>8</v>
      </c>
      <c r="D15" s="1">
        <v>3</v>
      </c>
      <c r="E15" s="1"/>
      <c r="F15" s="1"/>
      <c r="G15" s="1" t="s">
        <v>63</v>
      </c>
      <c r="H15" s="1"/>
      <c r="I15" s="1"/>
      <c r="J15" s="1"/>
      <c r="K15" s="1"/>
      <c r="L15" s="1"/>
      <c r="M15" s="1"/>
      <c r="N15" s="1" t="s">
        <v>63</v>
      </c>
      <c r="O15" s="1"/>
      <c r="P15" s="3">
        <f t="shared" ref="P15:P23" si="7">IF(K15="X",1,($AF$3+H15)/20)</f>
        <v>0.5</v>
      </c>
      <c r="Q15" s="3">
        <f t="shared" ref="Q15:Q23" si="8">(C15/20)*IF($AI$6=1,0.5,1)</f>
        <v>0.4</v>
      </c>
      <c r="R15" s="3">
        <f t="shared" ref="R15:R23" si="9">(IF(( L15="X"),0,($AF$5+I15))/20)</f>
        <v>0.1</v>
      </c>
      <c r="S15" s="6">
        <f t="shared" ref="S15:S23" si="10">((1*Q15*(P15)*D15   +   (IF(J15="X",2,1)*R15*D15)      + IF(N15="X",D15*P15*0.25,0)     ) * IF(M15="X",1.5,1) ) *      IF($AI$6="1",0.5,1)</f>
        <v>1.2750000000000001</v>
      </c>
      <c r="T15" s="3">
        <f>S15/$S$15</f>
        <v>1</v>
      </c>
      <c r="U15" s="8">
        <f>$AI$9/Table1453[[#This Row],[WoundsÆ]]</f>
        <v>3.1372549019607838</v>
      </c>
      <c r="V15" s="4"/>
      <c r="W15" s="3">
        <f t="shared" si="6"/>
        <v>0.5</v>
      </c>
      <c r="X15" s="3">
        <f t="shared" ref="X15:X23" si="11">(C15/20)*IF($AI$13=1,IF(F15="X",1,0.5),1)</f>
        <v>0.2</v>
      </c>
      <c r="Y15" s="3">
        <f t="shared" ref="Y15:Y23" si="12">(IF((OR(K15="X", L15="X")),0,($AF$5+I15))/20)</f>
        <v>0.1</v>
      </c>
      <c r="Z15" s="6">
        <f t="shared" ref="Z15:Z23" si="13">IF(G15="X",0,((1*X15*(W15)*D15   +   (IF(J15="X",2,1)*Y15*D15)      + IF(N15="X",D15*W15*0.25,0)     ) * IF(M15="X",1.5,1) ) *      IF($AI$13=1,IF(F15="X",1,0.5),1))</f>
        <v>0</v>
      </c>
      <c r="AA15" s="3" t="e">
        <f t="shared" ref="AA15:AA23" si="14">Z15/$Z$15</f>
        <v>#DIV/0!</v>
      </c>
      <c r="AB15" s="20" t="e">
        <f>$AI$9/Table1453[[#This Row],[WoundÆ]]</f>
        <v>#DIV/0!</v>
      </c>
      <c r="AC15" s="19" t="e">
        <f>(Table1453[[#This Row],[% Base]]+Table1453[[#This Row],[% Base2]])/2</f>
        <v>#DIV/0!</v>
      </c>
    </row>
    <row r="16" spans="1:35" ht="15.75" x14ac:dyDescent="0.25">
      <c r="A16" s="1"/>
      <c r="B16" s="22" t="s">
        <v>134</v>
      </c>
      <c r="C16" s="2">
        <v>8</v>
      </c>
      <c r="D16" s="1">
        <v>2</v>
      </c>
      <c r="E16" s="1" t="s">
        <v>139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3">
        <f t="shared" si="7"/>
        <v>0.5</v>
      </c>
      <c r="Q16" s="3">
        <f t="shared" si="8"/>
        <v>0.4</v>
      </c>
      <c r="R16" s="3">
        <f t="shared" si="9"/>
        <v>0.1</v>
      </c>
      <c r="S16" s="6">
        <f t="shared" si="10"/>
        <v>0.60000000000000009</v>
      </c>
      <c r="T16" s="3">
        <f t="shared" ref="T16:T23" si="15">S16/$S$15</f>
        <v>0.47058823529411764</v>
      </c>
      <c r="U16" s="8">
        <f>$AI$9/Table1453[[#This Row],[WoundsÆ]]</f>
        <v>6.6666666666666661</v>
      </c>
      <c r="V16" s="4"/>
      <c r="W16" s="3">
        <f t="shared" si="6"/>
        <v>0.5</v>
      </c>
      <c r="X16" s="3">
        <f t="shared" si="11"/>
        <v>0.2</v>
      </c>
      <c r="Y16" s="3">
        <f t="shared" si="12"/>
        <v>0.1</v>
      </c>
      <c r="Z16" s="6">
        <f t="shared" si="13"/>
        <v>0.2</v>
      </c>
      <c r="AA16" s="3" t="e">
        <f t="shared" si="14"/>
        <v>#DIV/0!</v>
      </c>
      <c r="AB16" s="20">
        <f>$AI$9/Table1453[[#This Row],[WoundÆ]]</f>
        <v>20</v>
      </c>
      <c r="AC16" s="19" t="e">
        <f>(Table1453[[#This Row],[% Base]]+Table1453[[#This Row],[% Base2]])/2</f>
        <v>#DIV/0!</v>
      </c>
    </row>
    <row r="17" spans="1:29" ht="15.75" x14ac:dyDescent="0.25">
      <c r="A17" s="1"/>
      <c r="B17" s="22" t="s">
        <v>135</v>
      </c>
      <c r="C17" s="2">
        <v>14</v>
      </c>
      <c r="D17" s="1">
        <v>2</v>
      </c>
      <c r="E17" s="1"/>
      <c r="F17" s="1" t="s">
        <v>63</v>
      </c>
      <c r="G17" s="1"/>
      <c r="H17" s="1"/>
      <c r="I17" s="1"/>
      <c r="J17" s="1"/>
      <c r="K17" s="1"/>
      <c r="L17" s="1"/>
      <c r="M17" s="1" t="s">
        <v>63</v>
      </c>
      <c r="N17" s="1"/>
      <c r="O17" s="1"/>
      <c r="P17" s="3">
        <f t="shared" si="7"/>
        <v>0.5</v>
      </c>
      <c r="Q17" s="3">
        <f t="shared" si="8"/>
        <v>0.7</v>
      </c>
      <c r="R17" s="3">
        <f t="shared" si="9"/>
        <v>0.1</v>
      </c>
      <c r="S17" s="6">
        <f t="shared" si="10"/>
        <v>1.3499999999999999</v>
      </c>
      <c r="T17" s="3">
        <f t="shared" si="15"/>
        <v>1.0588235294117645</v>
      </c>
      <c r="U17" s="8">
        <f>$AI$9/Table1453[[#This Row],[WoundsÆ]]</f>
        <v>2.9629629629629632</v>
      </c>
      <c r="V17" s="4"/>
      <c r="W17" s="3">
        <f t="shared" si="6"/>
        <v>0.5</v>
      </c>
      <c r="X17" s="3">
        <f t="shared" si="11"/>
        <v>0.7</v>
      </c>
      <c r="Y17" s="3">
        <f t="shared" si="12"/>
        <v>0.1</v>
      </c>
      <c r="Z17" s="6">
        <f t="shared" si="13"/>
        <v>1.3499999999999999</v>
      </c>
      <c r="AA17" s="3" t="e">
        <f t="shared" si="14"/>
        <v>#DIV/0!</v>
      </c>
      <c r="AB17" s="20">
        <f>$AI$9/Table1453[[#This Row],[WoundÆ]]</f>
        <v>2.9629629629629632</v>
      </c>
      <c r="AC17" s="19" t="e">
        <f>(Table1453[[#This Row],[% Base]]+Table1453[[#This Row],[% Base2]])/2</f>
        <v>#DIV/0!</v>
      </c>
    </row>
    <row r="18" spans="1:29" ht="15.75" x14ac:dyDescent="0.25">
      <c r="A18" s="1"/>
      <c r="B18" s="2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7"/>
        <v>0.5</v>
      </c>
      <c r="Q18" s="3">
        <f t="shared" si="8"/>
        <v>0</v>
      </c>
      <c r="R18" s="3">
        <f t="shared" si="9"/>
        <v>0.1</v>
      </c>
      <c r="S18" s="6">
        <f t="shared" si="10"/>
        <v>0</v>
      </c>
      <c r="T18" s="3">
        <f t="shared" si="15"/>
        <v>0</v>
      </c>
      <c r="U18" s="8" t="e">
        <f>$AI$9/Table1453[[#This Row],[WoundsÆ]]</f>
        <v>#DIV/0!</v>
      </c>
      <c r="V18" s="4"/>
      <c r="W18" s="3">
        <f t="shared" si="6"/>
        <v>0.5</v>
      </c>
      <c r="X18" s="3">
        <f t="shared" si="11"/>
        <v>0</v>
      </c>
      <c r="Y18" s="3">
        <f t="shared" si="12"/>
        <v>0.1</v>
      </c>
      <c r="Z18" s="6">
        <f t="shared" si="13"/>
        <v>0</v>
      </c>
      <c r="AA18" s="3" t="e">
        <f t="shared" si="14"/>
        <v>#DIV/0!</v>
      </c>
      <c r="AB18" s="20" t="e">
        <f>$AI$9/Table1453[[#This Row],[WoundÆ]]</f>
        <v>#DIV/0!</v>
      </c>
      <c r="AC18" s="19" t="e">
        <f>(Table1453[[#This Row],[% Base]]+Table1453[[#This Row],[% Base2]])/2</f>
        <v>#DIV/0!</v>
      </c>
    </row>
    <row r="19" spans="1:29" ht="15.75" x14ac:dyDescent="0.25">
      <c r="A19" s="1"/>
      <c r="B19" s="2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7"/>
        <v>0.5</v>
      </c>
      <c r="Q19" s="3">
        <f t="shared" si="8"/>
        <v>0</v>
      </c>
      <c r="R19" s="3">
        <f t="shared" si="9"/>
        <v>0.1</v>
      </c>
      <c r="S19" s="6">
        <f t="shared" si="10"/>
        <v>0</v>
      </c>
      <c r="T19" s="3">
        <f t="shared" si="15"/>
        <v>0</v>
      </c>
      <c r="U19" s="8" t="e">
        <f>$AI$9/Table1453[[#This Row],[WoundsÆ]]</f>
        <v>#DIV/0!</v>
      </c>
      <c r="V19" s="4"/>
      <c r="W19" s="3">
        <f t="shared" si="6"/>
        <v>0.5</v>
      </c>
      <c r="X19" s="3">
        <f t="shared" si="11"/>
        <v>0</v>
      </c>
      <c r="Y19" s="3">
        <f t="shared" si="12"/>
        <v>0.1</v>
      </c>
      <c r="Z19" s="6">
        <f t="shared" si="13"/>
        <v>0</v>
      </c>
      <c r="AA19" s="3" t="e">
        <f t="shared" si="14"/>
        <v>#DIV/0!</v>
      </c>
      <c r="AB19" s="20" t="e">
        <f>$AI$9/Table1453[[#This Row],[WoundÆ]]</f>
        <v>#DIV/0!</v>
      </c>
      <c r="AC19" s="19" t="e">
        <f>(Table1453[[#This Row],[% Base]]+Table1453[[#This Row],[% Base2]])/2</f>
        <v>#DIV/0!</v>
      </c>
    </row>
    <row r="20" spans="1:29" ht="15.75" x14ac:dyDescent="0.25">
      <c r="A20" s="1"/>
      <c r="B20" s="2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7"/>
        <v>0.5</v>
      </c>
      <c r="Q20" s="3">
        <f t="shared" si="8"/>
        <v>0</v>
      </c>
      <c r="R20" s="3">
        <f t="shared" si="9"/>
        <v>0.1</v>
      </c>
      <c r="S20" s="6">
        <f t="shared" si="10"/>
        <v>0</v>
      </c>
      <c r="T20" s="3">
        <f t="shared" si="15"/>
        <v>0</v>
      </c>
      <c r="U20" s="8" t="e">
        <f>$AI$9/Table1453[[#This Row],[WoundsÆ]]</f>
        <v>#DIV/0!</v>
      </c>
      <c r="V20" s="4"/>
      <c r="W20" s="3">
        <f t="shared" si="6"/>
        <v>0.5</v>
      </c>
      <c r="X20" s="3">
        <f t="shared" si="11"/>
        <v>0</v>
      </c>
      <c r="Y20" s="3">
        <f t="shared" si="12"/>
        <v>0.1</v>
      </c>
      <c r="Z20" s="6">
        <f t="shared" si="13"/>
        <v>0</v>
      </c>
      <c r="AA20" s="3" t="e">
        <f t="shared" si="14"/>
        <v>#DIV/0!</v>
      </c>
      <c r="AB20" s="20" t="e">
        <f>$AI$9/Table1453[[#This Row],[WoundÆ]]</f>
        <v>#DIV/0!</v>
      </c>
      <c r="AC20" s="19" t="e">
        <f>(Table1453[[#This Row],[% Base]]+Table1453[[#This Row],[% Base2]])/2</f>
        <v>#DIV/0!</v>
      </c>
    </row>
    <row r="21" spans="1:29" ht="15.75" x14ac:dyDescent="0.25">
      <c r="A21" s="1"/>
      <c r="B21" s="2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7"/>
        <v>0.5</v>
      </c>
      <c r="Q21" s="3">
        <f t="shared" si="8"/>
        <v>0</v>
      </c>
      <c r="R21" s="3">
        <f t="shared" si="9"/>
        <v>0.1</v>
      </c>
      <c r="S21" s="6">
        <f t="shared" si="10"/>
        <v>0</v>
      </c>
      <c r="T21" s="3">
        <f t="shared" si="15"/>
        <v>0</v>
      </c>
      <c r="U21" s="8" t="e">
        <f>$AI$9/Table1453[[#This Row],[WoundsÆ]]</f>
        <v>#DIV/0!</v>
      </c>
      <c r="V21" s="4"/>
      <c r="W21" s="3">
        <f t="shared" si="6"/>
        <v>0.5</v>
      </c>
      <c r="X21" s="3">
        <f t="shared" si="11"/>
        <v>0</v>
      </c>
      <c r="Y21" s="3">
        <f t="shared" si="12"/>
        <v>0.1</v>
      </c>
      <c r="Z21" s="6">
        <f t="shared" si="13"/>
        <v>0</v>
      </c>
      <c r="AA21" s="3" t="e">
        <f t="shared" si="14"/>
        <v>#DIV/0!</v>
      </c>
      <c r="AB21" s="20" t="e">
        <f>$AI$9/Table1453[[#This Row],[WoundÆ]]</f>
        <v>#DIV/0!</v>
      </c>
      <c r="AC21" s="19" t="e">
        <f>(Table1453[[#This Row],[% Base]]+Table1453[[#This Row],[% Base2]])/2</f>
        <v>#DIV/0!</v>
      </c>
    </row>
    <row r="22" spans="1:29" ht="15.75" x14ac:dyDescent="0.25">
      <c r="A22" s="1"/>
      <c r="B22" s="2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7"/>
        <v>0.5</v>
      </c>
      <c r="Q22" s="3">
        <f t="shared" si="8"/>
        <v>0</v>
      </c>
      <c r="R22" s="3">
        <f t="shared" si="9"/>
        <v>0.1</v>
      </c>
      <c r="S22" s="6">
        <f t="shared" si="10"/>
        <v>0</v>
      </c>
      <c r="T22" s="3">
        <f t="shared" si="15"/>
        <v>0</v>
      </c>
      <c r="U22" s="8" t="e">
        <f>$AI$9/Table1453[[#This Row],[WoundsÆ]]</f>
        <v>#DIV/0!</v>
      </c>
      <c r="V22" s="4"/>
      <c r="W22" s="3">
        <f t="shared" si="6"/>
        <v>0.5</v>
      </c>
      <c r="X22" s="3">
        <f t="shared" si="11"/>
        <v>0</v>
      </c>
      <c r="Y22" s="3">
        <f t="shared" si="12"/>
        <v>0.1</v>
      </c>
      <c r="Z22" s="6">
        <f t="shared" si="13"/>
        <v>0</v>
      </c>
      <c r="AA22" s="3" t="e">
        <f t="shared" si="14"/>
        <v>#DIV/0!</v>
      </c>
      <c r="AB22" s="20" t="e">
        <f>$AI$9/Table1453[[#This Row],[WoundÆ]]</f>
        <v>#DIV/0!</v>
      </c>
      <c r="AC22" s="19" t="e">
        <f>(Table1453[[#This Row],[% Base]]+Table1453[[#This Row],[% Base2]])/2</f>
        <v>#DIV/0!</v>
      </c>
    </row>
    <row r="23" spans="1:29" ht="15.75" x14ac:dyDescent="0.25">
      <c r="A23" s="1"/>
      <c r="B23" s="2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7"/>
        <v>0.5</v>
      </c>
      <c r="Q23" s="3">
        <f t="shared" si="8"/>
        <v>0</v>
      </c>
      <c r="R23" s="3">
        <f t="shared" si="9"/>
        <v>0.1</v>
      </c>
      <c r="S23" s="6">
        <f t="shared" si="10"/>
        <v>0</v>
      </c>
      <c r="T23" s="3">
        <f t="shared" si="15"/>
        <v>0</v>
      </c>
      <c r="U23" s="8" t="e">
        <f>$AI$9/Table1453[[#This Row],[WoundsÆ]]</f>
        <v>#DIV/0!</v>
      </c>
      <c r="V23" s="4"/>
      <c r="W23" s="3">
        <f t="shared" si="6"/>
        <v>0.5</v>
      </c>
      <c r="X23" s="3">
        <f t="shared" si="11"/>
        <v>0</v>
      </c>
      <c r="Y23" s="3">
        <f t="shared" si="12"/>
        <v>0.1</v>
      </c>
      <c r="Z23" s="6">
        <f t="shared" si="13"/>
        <v>0</v>
      </c>
      <c r="AA23" s="3" t="e">
        <f t="shared" si="14"/>
        <v>#DIV/0!</v>
      </c>
      <c r="AB23" s="20" t="e">
        <f>$AI$9/Table1453[[#This Row],[WoundÆ]]</f>
        <v>#DIV/0!</v>
      </c>
      <c r="AC23" s="19" t="e">
        <f>(Table1453[[#This Row],[% Base]]+Table1453[[#This Row],[% Base2]])/2</f>
        <v>#DIV/0!</v>
      </c>
    </row>
    <row r="24" spans="1:29" ht="15.75" x14ac:dyDescent="0.25">
      <c r="A24" s="1"/>
      <c r="B24" s="2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/>
      <c r="Q24" s="3"/>
      <c r="R24" s="3"/>
      <c r="S24" s="6"/>
      <c r="T24" s="3"/>
      <c r="U24" s="8"/>
      <c r="V24" s="4"/>
      <c r="W24" s="3"/>
      <c r="X24" s="3"/>
      <c r="Y24" s="3"/>
      <c r="Z24" s="6"/>
      <c r="AA24" s="3"/>
      <c r="AB24" s="20"/>
      <c r="AC24" s="19"/>
    </row>
    <row r="25" spans="1:29" ht="15.75" x14ac:dyDescent="0.25">
      <c r="A25" s="1"/>
      <c r="B25" s="22" t="s">
        <v>112</v>
      </c>
      <c r="C25" s="2">
        <v>12</v>
      </c>
      <c r="D25" s="1">
        <v>3</v>
      </c>
      <c r="E25" s="1"/>
      <c r="F25" s="1" t="s">
        <v>63</v>
      </c>
      <c r="G25" s="1"/>
      <c r="H25" s="1"/>
      <c r="I25" s="1"/>
      <c r="J25" s="1"/>
      <c r="K25" s="1"/>
      <c r="L25" s="1"/>
      <c r="M25" s="1"/>
      <c r="N25" s="1" t="s">
        <v>63</v>
      </c>
      <c r="O25" s="1"/>
      <c r="P25" s="3">
        <f>IF(K25="X",1,($AF$3+H25)/20)</f>
        <v>0.5</v>
      </c>
      <c r="Q25" s="3">
        <f>(C25/20)*IF($AI$6=1,0.5,1)</f>
        <v>0.6</v>
      </c>
      <c r="R25" s="3">
        <f>(IF(( L25="X"),0,($AF$5+I25))/20)</f>
        <v>0.1</v>
      </c>
      <c r="S25" s="6">
        <f>((1*Q25*(P25)*D25   +   (IF(J25="X",2,1)*R25*D25)      + IF(N25="X",D25*P25*0.25,0)     ) * IF(M25="X",1.5,1) ) *      IF($AI$6="1",0.5,1)</f>
        <v>1.575</v>
      </c>
      <c r="T25" s="3">
        <f>S25/$S$25</f>
        <v>1</v>
      </c>
      <c r="U25" s="8">
        <f>$AI$9/Table1453[[#This Row],[WoundsÆ]]</f>
        <v>2.5396825396825395</v>
      </c>
      <c r="V25" s="4"/>
      <c r="W25" s="3">
        <f>IF(K25="X",1,($AF$3+H25)/20)</f>
        <v>0.5</v>
      </c>
      <c r="X25" s="3">
        <f>(C25/20)*IF($AI$13=1,IF(F25="X",1,0.5),1)</f>
        <v>0.6</v>
      </c>
      <c r="Y25" s="3">
        <f>(IF((OR(K25="X", L25="X")),0,($AF$5+I25))/20)</f>
        <v>0.1</v>
      </c>
      <c r="Z25" s="6">
        <f>IF(G25="X",0,((1*X25*(W25)*D25   +   (IF(J25="X",2,1)*Y25*D25)      + IF(N25="X",D25*W25*0.25,0)     ) * IF(M25="X",1.5,1) ) *      IF($AI$13=1,IF(F25="X",1,0.5),1))</f>
        <v>1.575</v>
      </c>
      <c r="AA25" s="3">
        <f>Z25/$Z$25</f>
        <v>1</v>
      </c>
      <c r="AB25" s="20">
        <f>$AI$9/Table1453[[#This Row],[WoundÆ]]</f>
        <v>2.5396825396825395</v>
      </c>
      <c r="AC25" s="19">
        <f>(Table1453[[#This Row],[% Base]]+Table1453[[#This Row],[% Base2]])/2</f>
        <v>1</v>
      </c>
    </row>
    <row r="26" spans="1:29" ht="15.75" x14ac:dyDescent="0.25">
      <c r="A26" s="1"/>
      <c r="B26" s="2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>
        <f>IF(K26="X",1,($AF$3+H26)/20)</f>
        <v>0.5</v>
      </c>
      <c r="Q26" s="3">
        <f>(C26/20)*IF($AI$6=1,0.5,1)</f>
        <v>0</v>
      </c>
      <c r="R26" s="3">
        <f>(IF(( L26="X"),0,($AF$5+I26))/20)</f>
        <v>0.1</v>
      </c>
      <c r="S26" s="6">
        <f>((1*Q26*(P26)*D26   +   (IF(J26="X",2,1)*R26*D26)      + IF(N26="X",D26*P26*0.25,0)     ) * IF(M26="X",1.5,1) ) *      IF($AI$6="1",0.5,1)</f>
        <v>0</v>
      </c>
      <c r="T26" s="3">
        <f>S26/$S$25</f>
        <v>0</v>
      </c>
      <c r="U26" s="8" t="e">
        <f>$AI$9/Table1453[[#This Row],[WoundsÆ]]</f>
        <v>#DIV/0!</v>
      </c>
      <c r="V26" s="4"/>
      <c r="W26" s="3">
        <f>IF(K26="X",1,($AF$3+IF(F26="X",2,0)+H26)/20)</f>
        <v>0.5</v>
      </c>
      <c r="X26" s="3">
        <f>(C26/20)*IF($AI$13=1,IF(F26="X",1,0.5),1)</f>
        <v>0</v>
      </c>
      <c r="Y26" s="3">
        <f>(IF((OR(K26="X", L26="X")),0,($AF$5+I26))/20)</f>
        <v>0.1</v>
      </c>
      <c r="Z26" s="6">
        <f>IF(G26="X",0,((1*Q26*(P26)*D26   +   (IF(J26="X",2,1)*R26*D26)      + IF(N26="X",D26*P26*0.5,0)     ) * IF(M26="X",1.5,1) ) *      IF($AI$13=1,IF(F26="X",1,0.5),1))</f>
        <v>0</v>
      </c>
      <c r="AA26" s="3">
        <f>Z26/$Z$25</f>
        <v>0</v>
      </c>
      <c r="AB26" s="20" t="e">
        <f>$AI$9/Table1453[[#This Row],[WoundÆ]]</f>
        <v>#DIV/0!</v>
      </c>
      <c r="AC26" s="19">
        <f>(Table1453[[#This Row],[% Base]]+Table1453[[#This Row],[% Base2]])/2</f>
        <v>0</v>
      </c>
    </row>
    <row r="27" spans="1:29" x14ac:dyDescent="0.25">
      <c r="A27" s="1"/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6">
        <f>((1*Q27*(P27)*D27   +   (IF(J27="X",2,1)*R27*D27)      + IF(N27="X",D27*P27*0.25,0)     ) * IF(M27="X",1.5,1) ) *      IF($AI$6="1",0.5,1)</f>
        <v>0</v>
      </c>
      <c r="T27" s="3">
        <f>S27/$S$25</f>
        <v>0</v>
      </c>
      <c r="U27" s="8" t="e">
        <f>$AI$9/Table1453[[#This Row],[WoundsÆ]]</f>
        <v>#DIV/0!</v>
      </c>
      <c r="V27" s="4"/>
      <c r="W27" s="3">
        <f>IF(K27="X",1,($AF$3+IF(F27="X",2,0)+H27)/20)</f>
        <v>0.5</v>
      </c>
      <c r="X27" s="3">
        <f>(C27/20)*IF($AI$13=1,IF(F27="X",1,0.5),1)</f>
        <v>0</v>
      </c>
      <c r="Y27" s="3">
        <f>(IF((OR(K27="X", L27="X")),0,($AF$5+I27))/20)</f>
        <v>0.1</v>
      </c>
      <c r="Z27" s="6">
        <f>IF(G27="X",0,((1*Q27*(P27)*D27   +   (IF(J27="X",2,1)*R27*D27)      + IF(N27="X",D27*P27*0.5,0)     ) * IF(M27="X",1.5,1) ) *      IF($AI$13=1,IF(F27="X",1,0.5),1))</f>
        <v>0</v>
      </c>
      <c r="AA27" s="3">
        <f>Z27/$Z$25</f>
        <v>0</v>
      </c>
      <c r="AB27" s="20" t="e">
        <f>$AI$9/Table1453[[#This Row],[WoundÆ]]</f>
        <v>#DIV/0!</v>
      </c>
      <c r="AC27" s="19">
        <f>(Table1453[[#This Row],[% Base]]+Table1453[[#This Row],[% Base2]])/2</f>
        <v>0</v>
      </c>
    </row>
    <row r="28" spans="1:29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4"/>
      <c r="Q28" s="3"/>
      <c r="R28" s="3"/>
      <c r="S28" s="6"/>
      <c r="T28" s="3"/>
      <c r="U28" s="8"/>
      <c r="V28" s="4"/>
      <c r="W28" s="4"/>
      <c r="X28" s="3"/>
      <c r="Y28" s="3"/>
      <c r="Z28" s="6"/>
      <c r="AA28" s="3"/>
      <c r="AB28" s="8"/>
      <c r="AC28" s="3"/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6"/>
      <c r="T29" s="3"/>
      <c r="U29" s="19"/>
      <c r="V29" s="4"/>
      <c r="W29" s="3"/>
      <c r="X29" s="3"/>
      <c r="Y29" s="3"/>
      <c r="Z29" s="6"/>
      <c r="AA29" s="3"/>
      <c r="AB29" s="20"/>
      <c r="AC29" s="19"/>
    </row>
    <row r="30" spans="1:29" x14ac:dyDescent="0.25">
      <c r="A30" s="1"/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>
        <f>(10+$AF$4-$AI$5)/20</f>
        <v>0.5</v>
      </c>
      <c r="Q30" s="3">
        <f>(C30/20)*IF($AI$6=1,IF(F30="X",1,0.5),1)</f>
        <v>0</v>
      </c>
      <c r="R30" s="3">
        <f>(IF(( L30="X"),0,($AF$5+I30))/20)</f>
        <v>0.1</v>
      </c>
      <c r="S30" s="6">
        <f>1*Q30*P30*(1+R30)*D30 + IF(N30="X",D30*P30*0.25,0)</f>
        <v>0</v>
      </c>
      <c r="T30" s="3">
        <f>S30/$S$4</f>
        <v>0</v>
      </c>
      <c r="U30" s="8" t="e">
        <f>$AI$9/Table1453[[#This Row],[WoundsÆ]]/2</f>
        <v>#DIV/0!</v>
      </c>
      <c r="V30" s="4"/>
      <c r="W30" s="3">
        <f>(10+$AF$4-$AI$5)/20</f>
        <v>0.5</v>
      </c>
      <c r="X30" s="3">
        <f>(C30/20)</f>
        <v>0</v>
      </c>
      <c r="Y30" s="3">
        <f>(IF((OR(K30="X", L30="X")),0,($AF$5+I30))/20)</f>
        <v>0.1</v>
      </c>
      <c r="Z30" s="6">
        <f>IF(G30="X",0,1*X30*W30*(1+Y30)*D30) * IF($AI$13=1,IF(F30="X",1,0.5),1) + IF(N30="X",D30*P30*0.25,0)</f>
        <v>0</v>
      </c>
      <c r="AA30" s="3">
        <f>Z30/$Z$4</f>
        <v>0</v>
      </c>
      <c r="AB30" s="8" t="e">
        <f>$AI$9/Table1453[[#This Row],[WoundÆ]]/2</f>
        <v>#DIV/0!</v>
      </c>
      <c r="AC30" s="3">
        <f>(Table1453[[#This Row],[% Base]]+Table1453[[#This Row],[% Base2]])/2</f>
        <v>0</v>
      </c>
    </row>
    <row r="31" spans="1:29" ht="15.75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 t="shared" ref="P31:P32" si="16">($AF$3 )/20</f>
        <v>0.5</v>
      </c>
      <c r="Q31" s="3">
        <f>(C31/20)*IF($AI$6=1,0.5,1)</f>
        <v>0</v>
      </c>
      <c r="R31" s="3">
        <f>(IF(( L31="X"),0,($AF$5+I31))/20)</f>
        <v>0.1</v>
      </c>
      <c r="S31" s="6">
        <f>1*Q31*(P31)*(1+R31)*D31</f>
        <v>0</v>
      </c>
      <c r="T31" s="3">
        <f t="shared" ref="T31:T32" si="17">S31/$S$25</f>
        <v>0</v>
      </c>
      <c r="U31" s="19" t="e">
        <f>AI36/Table1453[[#This Row],[WoundsÆ]]</f>
        <v>#DIV/0!</v>
      </c>
      <c r="V31" s="4"/>
      <c r="W31" s="3">
        <f t="shared" ref="W31:W32" si="18">($AF$3)/20</f>
        <v>0.5</v>
      </c>
      <c r="X31" s="3">
        <f>(C31/20)*IF($AI$6=1,IF(F31="X",1,0.5),1)</f>
        <v>0</v>
      </c>
      <c r="Y31" s="3">
        <f t="shared" ref="Y31:Y32" si="19">($AF$5/20)</f>
        <v>0.1</v>
      </c>
      <c r="Z31" s="6">
        <f>1*X31*(W31)*(1+Y31)*D31</f>
        <v>0</v>
      </c>
      <c r="AA31" s="3">
        <f t="shared" ref="AA31:AA32" si="20">Z31/$Z$25</f>
        <v>0</v>
      </c>
      <c r="AB31" s="20" t="e">
        <f>$AI$9/Table1453[[#This Row],[WoundÆ]]</f>
        <v>#DIV/0!</v>
      </c>
      <c r="AC31" s="19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6"/>
        <v>0.5</v>
      </c>
      <c r="Q32" s="3">
        <f>(C32/20)*IF($AI$6=1,0.5,1)</f>
        <v>0</v>
      </c>
      <c r="R32" s="3">
        <f>(IF(( L32="X"),0,($AF$5+I32))/20)</f>
        <v>0.1</v>
      </c>
      <c r="S32" s="6">
        <f>1*Q32*(P32)*(1+R32)*D32</f>
        <v>0</v>
      </c>
      <c r="T32" s="3">
        <f t="shared" si="17"/>
        <v>0</v>
      </c>
      <c r="U32" s="19" t="e">
        <f>AI37/Table1453[[#This Row],[WoundsÆ]]</f>
        <v>#DIV/0!</v>
      </c>
      <c r="V32" s="4"/>
      <c r="W32" s="3">
        <f t="shared" si="18"/>
        <v>0.5</v>
      </c>
      <c r="X32" s="3">
        <f>(C32/20)*IF($AI$6=1,IF(F32="X",1,0.5),1)</f>
        <v>0</v>
      </c>
      <c r="Y32" s="3">
        <f t="shared" si="19"/>
        <v>0.1</v>
      </c>
      <c r="Z32" s="6">
        <f>1*X32*(W32)*(1+Y32)*D32</f>
        <v>0</v>
      </c>
      <c r="AA32" s="3">
        <f t="shared" si="20"/>
        <v>0</v>
      </c>
      <c r="AB32" s="20" t="e">
        <f>$AI$9/Table1453[[#This Row],[WoundÆ]]</f>
        <v>#DIV/0!</v>
      </c>
      <c r="AC32" s="19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6"/>
      <c r="T33" s="3"/>
      <c r="U33" s="19"/>
      <c r="V33" s="4"/>
      <c r="W33" s="3"/>
      <c r="X33" s="3"/>
      <c r="Y33" s="3"/>
      <c r="Z33" s="6"/>
      <c r="AA33" s="3"/>
      <c r="AB33" s="20"/>
      <c r="AC33" s="19"/>
      <c r="AD33" s="16"/>
    </row>
    <row r="34" spans="1:30" ht="15.75" x14ac:dyDescent="0.25">
      <c r="A34" s="9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>IF(K34="X",1,($AF$3+H34)/20)</f>
        <v>0.5</v>
      </c>
      <c r="Q34" s="3">
        <f>(C34/20)*IF($AI$6=1,0.5,1)</f>
        <v>0</v>
      </c>
      <c r="R34" s="3">
        <f>(IF(( L34="X"),0,($AF$5+I34))/20)</f>
        <v>0.1</v>
      </c>
      <c r="S34" s="6">
        <f>((1*Q34*(P34)*D34   +   (IF(J34="X",2,1)*R34*D34)      + IF(N34="X",D34*P34*0.25,0)     ) * IF(M34="X",1.5,1) ) *      IF($AI$6="1",0.5,1)</f>
        <v>0</v>
      </c>
      <c r="T34" s="3">
        <f>S34/$S$15</f>
        <v>0</v>
      </c>
      <c r="U34" s="8" t="e">
        <f>$AI$9/Table1453[[#This Row],[WoundsÆ]]</f>
        <v>#DIV/0!</v>
      </c>
      <c r="V34" s="4"/>
      <c r="W34" s="3">
        <f>IF(K34="X",1,($AF$3+IF(F34="X",2,0)+H34)/20)</f>
        <v>0.5</v>
      </c>
      <c r="X34" s="3">
        <f>(C34/20)*IF($AI$13=1,IF(F34="X",1,0.5),1)</f>
        <v>0</v>
      </c>
      <c r="Y34" s="3">
        <f>(IF((OR(K34="X", L34="X")),0,($AF$5+I34))/20)</f>
        <v>0.1</v>
      </c>
      <c r="Z34" s="6">
        <f>IF(G34="X",0,((1*Q34*(P34)*D34   +   (IF(J34="X",2,1)*R34*D34)      + IF(N34="X",D34*P34*0.5,0)     ) * IF(M34="X",1.5,1) ) *      IF($AI$13=1,IF(F34="X",1,0.5),1))</f>
        <v>0</v>
      </c>
      <c r="AA34" s="3" t="e">
        <f t="shared" ref="AA34" si="21">Z34/$Z$15</f>
        <v>#DIV/0!</v>
      </c>
      <c r="AB34" s="20" t="e">
        <f>$AI$9/Table1453[[#This Row],[WoundÆ]]</f>
        <v>#DIV/0!</v>
      </c>
      <c r="AC34" s="19" t="e">
        <f>(Table1453[[#This Row],[% Base]]+Table1453[[#This Row],[% Base2]])/2</f>
        <v>#DIV/0!</v>
      </c>
      <c r="AD34" s="16"/>
    </row>
    <row r="35" spans="1:30" ht="15.75" x14ac:dyDescent="0.25">
      <c r="A35" s="9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3">
        <f t="shared" ref="P35" si="22">($AF$3 )/20</f>
        <v>0.5</v>
      </c>
      <c r="Q35" s="3">
        <f>(C35/20)*IF($AI$6=1,0.5,1)</f>
        <v>0</v>
      </c>
      <c r="R35" s="3">
        <f>(IF(( L35="X"),0,($AF$5+I35))/20)</f>
        <v>0.1</v>
      </c>
      <c r="S35" s="6">
        <f>1*Q35*(P35)*(1+R35)*D35</f>
        <v>0</v>
      </c>
      <c r="T35" s="3">
        <f t="shared" ref="T35" si="23">S35/$S$25</f>
        <v>0</v>
      </c>
      <c r="U35" s="19" t="e">
        <f>AI40/Table1453[[#This Row],[WoundsÆ]]</f>
        <v>#DIV/0!</v>
      </c>
      <c r="V35" s="4"/>
      <c r="W35" s="3">
        <f t="shared" ref="W35" si="24">($AF$3)/20</f>
        <v>0.5</v>
      </c>
      <c r="X35" s="3">
        <f>(C35/20)*IF($AI$6=1,IF(F35="X",1,0.5),1)</f>
        <v>0</v>
      </c>
      <c r="Y35" s="3">
        <f t="shared" ref="Y35" si="25">($AF$5/20)</f>
        <v>0.1</v>
      </c>
      <c r="Z35" s="6">
        <f>1*X35*(W35)*(1+Y35)*D35</f>
        <v>0</v>
      </c>
      <c r="AA35" s="3">
        <f t="shared" ref="AA35" si="26">Z35/$Z$25</f>
        <v>0</v>
      </c>
      <c r="AB35" s="20" t="e">
        <f>$AI$9/Table1453[[#This Row],[WoundÆ]]</f>
        <v>#DIV/0!</v>
      </c>
      <c r="AC35" s="19">
        <f>(Table1453[[#This Row],[% Base]]+Table1453[[#This Row],[% Base2]])/2</f>
        <v>0</v>
      </c>
      <c r="AD35" s="16"/>
    </row>
    <row r="36" spans="1:30" ht="15.75" x14ac:dyDescent="0.25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"/>
      <c r="Q36" s="3"/>
      <c r="R36" s="3"/>
      <c r="S36" s="6"/>
      <c r="T36" s="3"/>
      <c r="U36" s="8"/>
      <c r="V36" s="4"/>
      <c r="W36" s="3"/>
      <c r="X36" s="3"/>
      <c r="Y36" s="3"/>
      <c r="Z36" s="6"/>
      <c r="AA36" s="3"/>
      <c r="AB36" s="20"/>
      <c r="AC36" s="19"/>
      <c r="AD36" s="16"/>
    </row>
    <row r="37" spans="1:30" ht="15.75" x14ac:dyDescent="0.25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3"/>
      <c r="Q37" s="3"/>
      <c r="R37" s="3"/>
      <c r="S37" s="6"/>
      <c r="T37" s="3"/>
      <c r="U37" s="8"/>
      <c r="V37" s="4"/>
      <c r="W37" s="3"/>
      <c r="X37" s="3"/>
      <c r="Y37" s="3"/>
      <c r="Z37" s="6"/>
      <c r="AA37" s="3"/>
      <c r="AB37" s="20"/>
      <c r="AC37" s="19"/>
      <c r="AD37" s="16"/>
    </row>
    <row r="38" spans="1:30" ht="15.75" x14ac:dyDescent="0.25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"/>
      <c r="Q38" s="3"/>
      <c r="R38" s="3"/>
      <c r="S38" s="6"/>
      <c r="T38" s="3"/>
      <c r="U38" s="8"/>
      <c r="V38" s="4"/>
      <c r="W38" s="3"/>
      <c r="X38" s="3"/>
      <c r="Y38" s="3"/>
      <c r="Z38" s="6"/>
      <c r="AA38" s="3"/>
      <c r="AB38" s="20"/>
      <c r="AC38" s="19"/>
      <c r="AD38" s="16"/>
    </row>
    <row r="39" spans="1:30" ht="15.75" x14ac:dyDescent="0.25">
      <c r="A39" s="9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"/>
      <c r="Q39" s="3"/>
      <c r="R39" s="3"/>
      <c r="S39" s="6"/>
      <c r="T39" s="3"/>
      <c r="U39" s="8"/>
      <c r="V39" s="4"/>
      <c r="W39" s="3"/>
      <c r="X39" s="3"/>
      <c r="Y39" s="3"/>
      <c r="Z39" s="6"/>
      <c r="AA39" s="3"/>
      <c r="AB39" s="20"/>
      <c r="AC39" s="19"/>
    </row>
    <row r="40" spans="1:30" ht="15.75" x14ac:dyDescent="0.25">
      <c r="A40" s="9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6"/>
      <c r="T40" s="3"/>
      <c r="U40" s="19"/>
      <c r="V40" s="4"/>
      <c r="W40" s="3"/>
      <c r="X40" s="3"/>
      <c r="Y40" s="3"/>
      <c r="Z40" s="6"/>
      <c r="AA40" s="3"/>
      <c r="AB40" s="20"/>
      <c r="AC40" s="19"/>
    </row>
    <row r="41" spans="1:30" ht="15.75" x14ac:dyDescent="0.2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1"/>
      <c r="P41" s="11"/>
      <c r="Q41" s="11"/>
      <c r="R41" s="11"/>
      <c r="S41" s="11"/>
      <c r="T41" s="13"/>
      <c r="U41" s="14"/>
      <c r="V41" s="11"/>
      <c r="W41" s="11"/>
      <c r="X41" s="11"/>
      <c r="Y41" s="11"/>
      <c r="Z41" s="11"/>
      <c r="AA41" s="13"/>
      <c r="AB41" s="11"/>
      <c r="AC41" s="16"/>
    </row>
    <row r="42" spans="1:30" ht="15.75" x14ac:dyDescent="0.25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1"/>
      <c r="P42" s="11"/>
      <c r="Q42" s="11"/>
      <c r="R42" s="11"/>
      <c r="S42" s="11"/>
      <c r="T42" s="13"/>
      <c r="U42" s="14"/>
      <c r="V42" s="11"/>
      <c r="W42" s="11"/>
      <c r="X42" s="11"/>
      <c r="Y42" s="11"/>
      <c r="Z42" s="11"/>
      <c r="AA42" s="13"/>
      <c r="AB42" s="11"/>
      <c r="AC42" s="16"/>
    </row>
    <row r="43" spans="1:30" ht="15.75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1"/>
      <c r="P43" s="11"/>
      <c r="Q43" s="11"/>
      <c r="R43" s="11"/>
      <c r="S43" s="11"/>
      <c r="T43" s="13"/>
      <c r="U43" s="14"/>
      <c r="V43" s="11"/>
      <c r="W43" s="11"/>
      <c r="X43" s="11"/>
      <c r="Y43" s="11"/>
      <c r="Z43" s="11"/>
      <c r="AA43" s="13"/>
      <c r="AB43" s="11"/>
      <c r="AC43" s="16"/>
    </row>
  </sheetData>
  <mergeCells count="3">
    <mergeCell ref="B2:E2"/>
    <mergeCell ref="P2:S2"/>
    <mergeCell ref="W2:Z2"/>
  </mergeCells>
  <conditionalFormatting sqref="AA41:AA43 T41:T43 U31:U33 AB31:AB33 AB35:AB39 U35:U39 AB4:AB28 U4:U28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T31:T33 AA31:AA33 AA35:AA39 T35:T39 AA4:AA28 T4:T28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C31:AC33 AC35:AC39 AC4:AC28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0 U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0 T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4 U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4 T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2016-04-16T12:33:19Z</dcterms:modified>
</cp:coreProperties>
</file>