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1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6" l="1"/>
  <c r="AA16" i="6"/>
  <c r="AA17" i="6"/>
  <c r="AA18" i="6"/>
  <c r="AA19" i="6"/>
  <c r="AA21" i="6"/>
  <c r="AA22" i="6"/>
  <c r="AA23" i="6"/>
  <c r="AA24" i="6"/>
  <c r="AA25" i="6"/>
  <c r="AA26" i="6"/>
  <c r="AA27" i="6"/>
  <c r="AA29" i="6"/>
  <c r="AA30" i="6"/>
  <c r="AA31" i="6"/>
  <c r="AA32" i="6"/>
  <c r="AA33" i="6"/>
  <c r="AA34" i="6"/>
  <c r="AA35" i="6"/>
  <c r="AA36" i="6"/>
  <c r="AA14" i="6"/>
  <c r="T39" i="6"/>
  <c r="T15" i="6"/>
  <c r="T16" i="6"/>
  <c r="T17" i="6"/>
  <c r="T18" i="6"/>
  <c r="T19" i="6"/>
  <c r="T21" i="6"/>
  <c r="T22" i="6"/>
  <c r="T23" i="6"/>
  <c r="T24" i="6"/>
  <c r="T25" i="6"/>
  <c r="T26" i="6"/>
  <c r="T27" i="6"/>
  <c r="T29" i="6"/>
  <c r="T30" i="6"/>
  <c r="T31" i="6"/>
  <c r="T32" i="6"/>
  <c r="T33" i="6"/>
  <c r="T34" i="6"/>
  <c r="T35" i="6"/>
  <c r="T36" i="6"/>
  <c r="T14" i="6"/>
  <c r="AA10" i="6"/>
  <c r="AA11" i="6"/>
  <c r="Z39" i="6"/>
  <c r="Y39" i="6"/>
  <c r="X39" i="6"/>
  <c r="AA39" i="6" s="1"/>
  <c r="AC39" i="6" s="1"/>
  <c r="S39" i="6"/>
  <c r="R39" i="6"/>
  <c r="Q39" i="6"/>
  <c r="V39" i="6" l="1"/>
  <c r="AB39" i="6"/>
  <c r="Q12" i="6"/>
  <c r="T12" i="6" s="1"/>
  <c r="R12" i="6"/>
  <c r="S12" i="6"/>
  <c r="X12" i="6"/>
  <c r="AA12" i="6" s="1"/>
  <c r="AB12" i="6" s="1"/>
  <c r="Y12" i="6"/>
  <c r="Z12" i="6"/>
  <c r="Q9" i="6"/>
  <c r="T9" i="6" s="1"/>
  <c r="R9" i="6"/>
  <c r="S9" i="6"/>
  <c r="X9" i="6"/>
  <c r="AA9" i="6" s="1"/>
  <c r="AB9" i="6" s="1"/>
  <c r="Y9" i="6"/>
  <c r="Z9" i="6"/>
  <c r="Q15" i="6"/>
  <c r="R15" i="6"/>
  <c r="U15" i="6" s="1"/>
  <c r="S15" i="6"/>
  <c r="X15" i="6"/>
  <c r="Y15" i="6"/>
  <c r="Z15" i="6"/>
  <c r="Q16" i="6"/>
  <c r="R16" i="6"/>
  <c r="S16" i="6"/>
  <c r="X16" i="6"/>
  <c r="Y16" i="6"/>
  <c r="Z16" i="6"/>
  <c r="Q17" i="6"/>
  <c r="R17" i="6"/>
  <c r="S17" i="6"/>
  <c r="X17" i="6"/>
  <c r="Y17" i="6"/>
  <c r="Z17" i="6"/>
  <c r="Q18" i="6"/>
  <c r="R18" i="6"/>
  <c r="S18" i="6"/>
  <c r="X18" i="6"/>
  <c r="Y18" i="6"/>
  <c r="Z18" i="6"/>
  <c r="Q19" i="6"/>
  <c r="R19" i="6"/>
  <c r="S19" i="6"/>
  <c r="U19" i="6"/>
  <c r="X19" i="6"/>
  <c r="Y19" i="6"/>
  <c r="Z19" i="6"/>
  <c r="Q21" i="6"/>
  <c r="R21" i="6"/>
  <c r="S21" i="6"/>
  <c r="X21" i="6"/>
  <c r="Y21" i="6"/>
  <c r="AB21" i="6" s="1"/>
  <c r="Z21" i="6"/>
  <c r="Q22" i="6"/>
  <c r="R22" i="6"/>
  <c r="S22" i="6"/>
  <c r="X22" i="6"/>
  <c r="Y22" i="6"/>
  <c r="Z22" i="6"/>
  <c r="Q23" i="6"/>
  <c r="R23" i="6"/>
  <c r="S23" i="6"/>
  <c r="X23" i="6"/>
  <c r="Y23" i="6"/>
  <c r="Z23" i="6"/>
  <c r="Q24" i="6"/>
  <c r="R24" i="6"/>
  <c r="S24" i="6"/>
  <c r="X24" i="6"/>
  <c r="Y24" i="6"/>
  <c r="Z24" i="6"/>
  <c r="Q25" i="6"/>
  <c r="R25" i="6"/>
  <c r="S25" i="6"/>
  <c r="X25" i="6"/>
  <c r="Y25" i="6"/>
  <c r="Z25" i="6"/>
  <c r="Q26" i="6"/>
  <c r="R26" i="6"/>
  <c r="S26" i="6"/>
  <c r="X26" i="6"/>
  <c r="Y26" i="6"/>
  <c r="Z26" i="6"/>
  <c r="Q27" i="6"/>
  <c r="R27" i="6"/>
  <c r="S27" i="6"/>
  <c r="X27" i="6"/>
  <c r="Y27" i="6"/>
  <c r="Z27" i="6"/>
  <c r="Q29" i="6"/>
  <c r="R29" i="6"/>
  <c r="S29" i="6"/>
  <c r="X29" i="6"/>
  <c r="Y29" i="6"/>
  <c r="Z29" i="6"/>
  <c r="AB29" i="6"/>
  <c r="Q30" i="6"/>
  <c r="R30" i="6"/>
  <c r="S30" i="6"/>
  <c r="X30" i="6"/>
  <c r="Y30" i="6"/>
  <c r="Z30" i="6"/>
  <c r="Q31" i="6"/>
  <c r="R31" i="6"/>
  <c r="S31" i="6"/>
  <c r="X31" i="6"/>
  <c r="Y31" i="6"/>
  <c r="Z31" i="6"/>
  <c r="Q32" i="6"/>
  <c r="R32" i="6"/>
  <c r="S32" i="6"/>
  <c r="X32" i="6"/>
  <c r="Y32" i="6"/>
  <c r="Z32" i="6"/>
  <c r="Q33" i="6"/>
  <c r="R33" i="6"/>
  <c r="S33" i="6"/>
  <c r="X33" i="6"/>
  <c r="Y33" i="6"/>
  <c r="Z33" i="6"/>
  <c r="Q34" i="6"/>
  <c r="R34" i="6"/>
  <c r="S34" i="6"/>
  <c r="X34" i="6"/>
  <c r="Y34" i="6"/>
  <c r="Z34" i="6"/>
  <c r="Q35" i="6"/>
  <c r="R35" i="6"/>
  <c r="S35" i="6"/>
  <c r="X35" i="6"/>
  <c r="Y35" i="6"/>
  <c r="AB35" i="6" s="1"/>
  <c r="Z35" i="6"/>
  <c r="Q36" i="6"/>
  <c r="R36" i="6"/>
  <c r="S36" i="6"/>
  <c r="X36" i="6"/>
  <c r="Y36" i="6"/>
  <c r="AB36" i="6" s="1"/>
  <c r="Z36" i="6"/>
  <c r="S14" i="6"/>
  <c r="Z14" i="6"/>
  <c r="Y14" i="6"/>
  <c r="X14" i="6"/>
  <c r="R14" i="6"/>
  <c r="Q14" i="6"/>
  <c r="Z11" i="6"/>
  <c r="Y11" i="6"/>
  <c r="X11" i="6"/>
  <c r="S11" i="6"/>
  <c r="R11" i="6"/>
  <c r="Q11" i="6"/>
  <c r="T11" i="6" s="1"/>
  <c r="Z10" i="6"/>
  <c r="Y10" i="6"/>
  <c r="X10" i="6"/>
  <c r="S10" i="6"/>
  <c r="R10" i="6"/>
  <c r="Q10" i="6"/>
  <c r="T10" i="6" s="1"/>
  <c r="Z8" i="6"/>
  <c r="AC8" i="6" s="1"/>
  <c r="Y8" i="6"/>
  <c r="X8" i="6"/>
  <c r="AA8" i="6" s="1"/>
  <c r="S8" i="6"/>
  <c r="R8" i="6"/>
  <c r="Q8" i="6"/>
  <c r="T8" i="6" s="1"/>
  <c r="Z7" i="6"/>
  <c r="Y7" i="6"/>
  <c r="X7" i="6"/>
  <c r="AA7" i="6" s="1"/>
  <c r="S7" i="6"/>
  <c r="R7" i="6"/>
  <c r="Q7" i="6"/>
  <c r="T7" i="6" s="1"/>
  <c r="Z6" i="6"/>
  <c r="Y6" i="6"/>
  <c r="X6" i="6"/>
  <c r="AA6" i="6" s="1"/>
  <c r="S6" i="6"/>
  <c r="R6" i="6"/>
  <c r="Q6" i="6"/>
  <c r="T6" i="6" s="1"/>
  <c r="Z5" i="6"/>
  <c r="Y5" i="6"/>
  <c r="X5" i="6"/>
  <c r="AA5" i="6" s="1"/>
  <c r="S5" i="6"/>
  <c r="R5" i="6"/>
  <c r="Q5" i="6"/>
  <c r="T5" i="6" s="1"/>
  <c r="Z4" i="6"/>
  <c r="AC4" i="6" s="1"/>
  <c r="Y4" i="6"/>
  <c r="X4" i="6"/>
  <c r="AA4" i="6" s="1"/>
  <c r="S4" i="6"/>
  <c r="R4" i="6"/>
  <c r="Q4" i="6"/>
  <c r="T4" i="6" s="1"/>
  <c r="U39" i="6" s="1"/>
  <c r="AD39" i="6" l="1"/>
  <c r="U12" i="6"/>
  <c r="AD12" i="6" s="1"/>
  <c r="V12" i="6"/>
  <c r="AC12" i="6"/>
  <c r="U9" i="6"/>
  <c r="AD9" i="6" s="1"/>
  <c r="V9" i="6"/>
  <c r="AC9" i="6"/>
  <c r="AB32" i="6"/>
  <c r="AB30" i="6"/>
  <c r="AB27" i="6"/>
  <c r="AB33" i="6"/>
  <c r="AB31" i="6"/>
  <c r="AB23" i="6"/>
  <c r="AB17" i="6"/>
  <c r="U34" i="6"/>
  <c r="U27" i="6"/>
  <c r="AD27" i="6" s="1"/>
  <c r="AB26" i="6"/>
  <c r="AB25" i="6"/>
  <c r="AB24" i="6"/>
  <c r="U24" i="6"/>
  <c r="V7" i="6"/>
  <c r="U36" i="6"/>
  <c r="AB34" i="6"/>
  <c r="U32" i="6"/>
  <c r="AB22" i="6"/>
  <c r="AC18" i="6"/>
  <c r="V6" i="6"/>
  <c r="V11" i="6"/>
  <c r="U33" i="6"/>
  <c r="U22" i="6"/>
  <c r="V34" i="6"/>
  <c r="AC35" i="6"/>
  <c r="AC34" i="6"/>
  <c r="AC32" i="6"/>
  <c r="V30" i="6"/>
  <c r="AC27" i="6"/>
  <c r="AC26" i="6"/>
  <c r="AC24" i="6"/>
  <c r="V24" i="6"/>
  <c r="V22" i="6"/>
  <c r="AC19" i="6"/>
  <c r="AB19" i="6"/>
  <c r="AD19" i="6" s="1"/>
  <c r="AC16" i="6"/>
  <c r="AB16" i="6"/>
  <c r="V25" i="6"/>
  <c r="V17" i="6"/>
  <c r="U17" i="6"/>
  <c r="V36" i="6"/>
  <c r="AC31" i="6"/>
  <c r="AC23" i="6"/>
  <c r="V18" i="6"/>
  <c r="U18" i="6"/>
  <c r="U16" i="6"/>
  <c r="V16" i="6"/>
  <c r="AC15" i="6"/>
  <c r="AB15" i="6"/>
  <c r="AD15" i="6" s="1"/>
  <c r="AC36" i="6"/>
  <c r="AC30" i="6"/>
  <c r="V26" i="6"/>
  <c r="V29" i="6"/>
  <c r="V21" i="6"/>
  <c r="V35" i="6"/>
  <c r="AC33" i="6"/>
  <c r="V31" i="6"/>
  <c r="AC29" i="6"/>
  <c r="V27" i="6"/>
  <c r="AC25" i="6"/>
  <c r="V23" i="6"/>
  <c r="AC21" i="6"/>
  <c r="V19" i="6"/>
  <c r="AC17" i="6"/>
  <c r="V15" i="6"/>
  <c r="AC6" i="6"/>
  <c r="AB14" i="6"/>
  <c r="AC5" i="6"/>
  <c r="U10" i="6"/>
  <c r="U8" i="6"/>
  <c r="AC11" i="6"/>
  <c r="AB7" i="6"/>
  <c r="AC10" i="6"/>
  <c r="AB10" i="6"/>
  <c r="U7" i="6"/>
  <c r="AC7" i="6"/>
  <c r="U5" i="6"/>
  <c r="V5" i="6"/>
  <c r="U4" i="6"/>
  <c r="V4" i="6"/>
  <c r="AB4" i="6"/>
  <c r="U6" i="6"/>
  <c r="AB8" i="6"/>
  <c r="P9" i="5"/>
  <c r="Q9" i="5"/>
  <c r="R9" i="5"/>
  <c r="S9" i="5"/>
  <c r="T9" i="5" s="1"/>
  <c r="W9" i="5"/>
  <c r="X9" i="5"/>
  <c r="Z9" i="5" s="1"/>
  <c r="Y9" i="5"/>
  <c r="AD34" i="6" l="1"/>
  <c r="AD17" i="6"/>
  <c r="AD24" i="6"/>
  <c r="AB11" i="6"/>
  <c r="AB18" i="6"/>
  <c r="AD33" i="6"/>
  <c r="AC22" i="6"/>
  <c r="U11" i="6"/>
  <c r="U35" i="6"/>
  <c r="AD35" i="6" s="1"/>
  <c r="AB5" i="6"/>
  <c r="AD5" i="6" s="1"/>
  <c r="V33" i="6"/>
  <c r="U21" i="6"/>
  <c r="AD21" i="6" s="1"/>
  <c r="U26" i="6"/>
  <c r="AD26" i="6" s="1"/>
  <c r="U25" i="6"/>
  <c r="AD25" i="6" s="1"/>
  <c r="U23" i="6"/>
  <c r="AD23" i="6" s="1"/>
  <c r="AD16" i="6"/>
  <c r="V32" i="6"/>
  <c r="U30" i="6"/>
  <c r="U29" i="6"/>
  <c r="AD29" i="6" s="1"/>
  <c r="U31" i="6"/>
  <c r="AD31" i="6" s="1"/>
  <c r="V10" i="6"/>
  <c r="AD18" i="6"/>
  <c r="AD36" i="6"/>
  <c r="AD30" i="6"/>
  <c r="AD32" i="6"/>
  <c r="AD22" i="6"/>
  <c r="U14" i="6"/>
  <c r="AD14" i="6" s="1"/>
  <c r="V8" i="6"/>
  <c r="AB6" i="6"/>
  <c r="AD6" i="6" s="1"/>
  <c r="AD7" i="6"/>
  <c r="V14" i="6"/>
  <c r="AC14" i="6"/>
  <c r="AD10" i="6"/>
  <c r="AD4" i="6"/>
  <c r="AD8" i="6"/>
  <c r="AB9" i="5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6" i="1"/>
  <c r="AC4" i="1"/>
  <c r="AB6" i="1"/>
  <c r="AB4" i="1"/>
  <c r="U12" i="1"/>
  <c r="U13" i="1"/>
  <c r="U14" i="1"/>
  <c r="U18" i="1"/>
  <c r="U19" i="1"/>
  <c r="U20" i="1"/>
  <c r="U21" i="1"/>
  <c r="U6" i="1"/>
  <c r="U4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Z30" i="1" s="1"/>
  <c r="AB30" i="1" s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AD11" i="6" l="1"/>
  <c r="S9" i="1"/>
  <c r="U9" i="1" s="1"/>
  <c r="S35" i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U5" i="1" s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<sst xmlns="http://schemas.openxmlformats.org/spreadsheetml/2006/main" count="389" uniqueCount="137">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</sst>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3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2" dataDxfId="121" dataCellStyle="Percent">
  <autoFilter ref="B3:AC38"/>
  <tableColumns count="28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Light Weapon    ." dataDxfId="115"/>
    <tableColumn id="24" name="MM      ." dataDxfId="114"/>
    <tableColumn id="4" name="Crit       ." dataDxfId="113"/>
    <tableColumn id="26" name="Weak Spots" dataDxfId="112"/>
    <tableColumn id="25" name="Cone      ." dataDxfId="111"/>
    <tableColumn id="29" name="No Crits     ." dataDxfId="110"/>
    <tableColumn id="32" name="Lethal Wounds    ." dataDxfId="109"/>
    <tableColumn id="27" name="Lethal Weapon    ." dataDxfId="108"/>
    <tableColumn id="7" name="Column2" dataDxfId="107" dataCellStyle="Percent"/>
    <tableColumn id="8" name="Hit%" dataDxfId="106" dataCellStyle="Percent"/>
    <tableColumn id="9" name="Wound%" dataDxfId="105" dataCellStyle="Percent"/>
    <tableColumn id="11" name="Crit%" dataDxfId="104" dataCellStyle="Percent"/>
    <tableColumn id="12" name="WoundsÆ" dataDxfId="103" dataCellStyle="Percent"/>
    <tableColumn id="20" name="% Base" dataDxfId="102" dataCellStyle="Percent"/>
    <tableColumn id="13" name="To Kill" dataDxfId="101" dataCellStyle="Comma"/>
    <tableColumn id="14" name="Column3" dataDxfId="100" dataCellStyle="Percent"/>
    <tableColumn id="15" name="Hit %" dataDxfId="99" dataCellStyle="Percent"/>
    <tableColumn id="16" name="Wound %" dataDxfId="98" dataCellStyle="Percent"/>
    <tableColumn id="18" name="Crit %" dataDxfId="97" dataCellStyle="Percent"/>
    <tableColumn id="19" name="WoundÆ" dataDxfId="96" dataCellStyle="Percent"/>
    <tableColumn id="21" name="% Base2" dataDxfId="95" dataCellStyle="Percent"/>
    <tableColumn id="22" name="To Kill2" dataDxfId="94" dataCellStyle="Percent"/>
    <tableColumn id="10" name="Combo" dataDxfId="9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39" totalsRowShown="0" headerRowDxfId="92" dataDxfId="91" dataCellStyle="Percent">
  <autoFilter ref="B3:AD39"/>
  <tableColumns count="29">
    <tableColumn id="1" name="Name" dataDxfId="90"/>
    <tableColumn id="2" name="Damage" dataDxfId="89"/>
    <tableColumn id="3" name="Attacks" dataDxfId="88"/>
    <tableColumn id="5" name="Note" dataDxfId="87"/>
    <tableColumn id="6" name="Penetration" dataDxfId="86"/>
    <tableColumn id="23" name="Light Weapon    ." dataDxfId="85"/>
    <tableColumn id="24" name="MM      ." dataDxfId="84"/>
    <tableColumn id="4" name="Crit       ." dataDxfId="83"/>
    <tableColumn id="26" name="Weak Spots" dataDxfId="82"/>
    <tableColumn id="25" name="Cone      ." dataDxfId="81"/>
    <tableColumn id="29" name="No Crits     ." dataDxfId="80"/>
    <tableColumn id="32" name="Lethal Wounds    ." dataDxfId="79"/>
    <tableColumn id="27" name="Lethal Weapon    ." dataDxfId="78"/>
    <tableColumn id="17" name="Rend       ." dataDxfId="0"/>
    <tableColumn id="7" name="Column2" dataDxfId="77" dataCellStyle="Percent"/>
    <tableColumn id="8" name="Hit%" dataDxfId="76" dataCellStyle="Percent"/>
    <tableColumn id="9" name="Wound%" dataDxfId="75" dataCellStyle="Percent"/>
    <tableColumn id="11" name="Crit%" dataDxfId="74" dataCellStyle="Percent"/>
    <tableColumn id="12" name="WoundsÆ" dataDxfId="73" dataCellStyle="Percent"/>
    <tableColumn id="20" name="% Base" dataDxfId="72" dataCellStyle="Percent"/>
    <tableColumn id="13" name="To Kill" dataDxfId="71" dataCellStyle="Comma"/>
    <tableColumn id="14" name="Column3" dataDxfId="70" dataCellStyle="Percent"/>
    <tableColumn id="15" name="Hit %" dataDxfId="69" dataCellStyle="Percent"/>
    <tableColumn id="16" name="Wound %" dataDxfId="68" dataCellStyle="Percent"/>
    <tableColumn id="18" name="Crit %" dataDxfId="67" dataCellStyle="Percent"/>
    <tableColumn id="19" name="WoundÆ" dataDxfId="66" dataCellStyle="Percent"/>
    <tableColumn id="21" name="% Base2" dataDxfId="65" dataCellStyle="Percent"/>
    <tableColumn id="22" name="To Kill2" dataDxfId="64" dataCellStyle="Percent"/>
    <tableColumn id="10" name="Combo" dataDxfId="6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2" dataDxfId="61" dataCellStyle="Percent">
  <autoFilter ref="B3:AE35"/>
  <tableColumns count="30">
    <tableColumn id="1" name="Name" dataDxfId="60"/>
    <tableColumn id="2" name="Damage" dataDxfId="59"/>
    <tableColumn id="3" name="Attacks" dataDxfId="58"/>
    <tableColumn id="5" name="Note" dataDxfId="57"/>
    <tableColumn id="6" name="Penetration" dataDxfId="56"/>
    <tableColumn id="30" name="Light Weapon    ." dataDxfId="55"/>
    <tableColumn id="23" name="MM      ." dataDxfId="54"/>
    <tableColumn id="24" name="Crit       ." dataDxfId="53"/>
    <tableColumn id="26" name="Weak Spots" dataDxfId="52"/>
    <tableColumn id="25" name="Cone      ." dataDxfId="51"/>
    <tableColumn id="29" name="No Crits     ." dataDxfId="50"/>
    <tableColumn id="32" name="2H        ." dataDxfId="49"/>
    <tableColumn id="33" name="Heavy Strikes      ." dataDxfId="48"/>
    <tableColumn id="4" name="Lethal Wounds    ." dataDxfId="47"/>
    <tableColumn id="28" name="Lethal Weapon    ." dataDxfId="46"/>
    <tableColumn id="27" name="Column2" dataDxfId="45"/>
    <tableColumn id="7" name="Hit%" dataDxfId="44" dataCellStyle="Percent">
      <calculatedColumnFormula>($AH$3 )/20</calculatedColumnFormula>
    </tableColumn>
    <tableColumn id="8" name="Wound%" dataDxfId="43" dataCellStyle="Percent">
      <calculatedColumnFormula>(C4/20)*IF($AK$6=1,0.5,1)</calculatedColumnFormula>
    </tableColumn>
    <tableColumn id="9" name="Crit%" dataDxfId="42" dataCellStyle="Percent">
      <calculatedColumnFormula>(IF(( L4="X"),0,($AH$5+I4))/20)</calculatedColumnFormula>
    </tableColumn>
    <tableColumn id="11" name="WoundsÆ" dataDxfId="41">
      <calculatedColumnFormula>1*S4*(R4)*(1+T4)*D4</calculatedColumnFormula>
    </tableColumn>
    <tableColumn id="12" name="% Base" dataDxfId="40" dataCellStyle="Percent">
      <calculatedColumnFormula>U4/$U$25</calculatedColumnFormula>
    </tableColumn>
    <tableColumn id="20" name="To Kill" dataDxfId="39" dataCellStyle="Percent">
      <calculatedColumnFormula>AK9/Table145[[#This Row],[WoundsÆ]]</calculatedColumnFormula>
    </tableColumn>
    <tableColumn id="13" name="Column3" dataDxfId="38"/>
    <tableColumn id="14" name="Hit %" dataDxfId="37" dataCellStyle="Percent">
      <calculatedColumnFormula>($AH$3)/20</calculatedColumnFormula>
    </tableColumn>
    <tableColumn id="15" name="Wound %" dataDxfId="36" dataCellStyle="Percent">
      <calculatedColumnFormula>(C4/20)*IF($AK$6=1,IF(F4="X",1,0.5),1)</calculatedColumnFormula>
    </tableColumn>
    <tableColumn id="16" name="Crit %" dataDxfId="35" dataCellStyle="Percent">
      <calculatedColumnFormula>($AH$5/20)</calculatedColumnFormula>
    </tableColumn>
    <tableColumn id="18" name="WoundÆ" dataDxfId="34">
      <calculatedColumnFormula>1*Z4*(Y4)*(1+AA4)*D4</calculatedColumnFormula>
    </tableColumn>
    <tableColumn id="19" name="% Base2" dataDxfId="33" dataCellStyle="Percent">
      <calculatedColumnFormula>AB4/$AB$25</calculatedColumnFormula>
    </tableColumn>
    <tableColumn id="21" name="To Kill2" dataDxfId="32" dataCellStyle="Percent">
      <calculatedColumnFormula>$AK$9/Table145[[#This Row],[WoundÆ]]</calculatedColumnFormula>
    </tableColumn>
    <tableColumn id="22" name="Combo" dataDxfId="31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30" dataDxfId="29" dataCellStyle="Percent">
  <autoFilter ref="B3:AC36"/>
  <tableColumns count="28">
    <tableColumn id="1" name="Name" dataDxfId="28"/>
    <tableColumn id="2" name="Damage" dataDxfId="27"/>
    <tableColumn id="3" name="Attacks" dataDxfId="26"/>
    <tableColumn id="5" name="Note" dataDxfId="25"/>
    <tableColumn id="6" name="Penetration" dataDxfId="24"/>
    <tableColumn id="30" name="Light Weapon    ." dataDxfId="23"/>
    <tableColumn id="23" name="MM      ." dataDxfId="22"/>
    <tableColumn id="24" name="Crit       ." dataDxfId="21"/>
    <tableColumn id="26" name="Weak Spots" dataDxfId="20"/>
    <tableColumn id="25" name="Cone      ." dataDxfId="19"/>
    <tableColumn id="29" name="No Crits     ." dataDxfId="18"/>
    <tableColumn id="4" name="Lethal Wounds    ." dataDxfId="17"/>
    <tableColumn id="28" name="Lethal Weapon    ." dataDxfId="16"/>
    <tableColumn id="27" name="Column2" dataDxfId="15"/>
    <tableColumn id="7" name="Hit%" dataDxfId="14" dataCellStyle="Percent">
      <calculatedColumnFormula>($AF$3 )/20</calculatedColumnFormula>
    </tableColumn>
    <tableColumn id="8" name="Wound%" dataDxfId="13" dataCellStyle="Percent">
      <calculatedColumnFormula>(C4/20)*IF($AI$6=1,0.5,1)</calculatedColumnFormula>
    </tableColumn>
    <tableColumn id="9" name="Crit%" dataDxfId="12" dataCellStyle="Percent">
      <calculatedColumnFormula>(IF(( L4="X"),0,($AF$5+I4))/20)</calculatedColumnFormula>
    </tableColumn>
    <tableColumn id="11" name="WoundsÆ" dataDxfId="11">
      <calculatedColumnFormula>1*Q4*(P4)*(1+R4)*D4</calculatedColumnFormula>
    </tableColumn>
    <tableColumn id="12" name="% Base" dataDxfId="10" dataCellStyle="Percent">
      <calculatedColumnFormula>S4/$S$26</calculatedColumnFormula>
    </tableColumn>
    <tableColumn id="20" name="To Kill" dataDxfId="9" dataCellStyle="Percent">
      <calculatedColumnFormula>AI10/Table1453[[#This Row],[WoundsÆ]]</calculatedColumnFormula>
    </tableColumn>
    <tableColumn id="13" name="Column3" dataDxfId="8"/>
    <tableColumn id="14" name="Hit %" dataDxfId="7" dataCellStyle="Percent">
      <calculatedColumnFormula>($AF$3)/20</calculatedColumnFormula>
    </tableColumn>
    <tableColumn id="15" name="Wound %" dataDxfId="6" dataCellStyle="Percent">
      <calculatedColumnFormula>(C4/20)*IF($AI$6=1,IF(F4="X",1,0.5),1)</calculatedColumnFormula>
    </tableColumn>
    <tableColumn id="16" name="Crit %" dataDxfId="5" dataCellStyle="Percent">
      <calculatedColumnFormula>($AF$5/20)</calculatedColumnFormula>
    </tableColumn>
    <tableColumn id="18" name="WoundÆ" dataDxfId="4">
      <calculatedColumnFormula>1*X4*(W4)*(1+Y4)*D4</calculatedColumnFormula>
    </tableColumn>
    <tableColumn id="19" name="% Base2" dataDxfId="3" dataCellStyle="Percent">
      <calculatedColumnFormula>Z4/$Z$26</calculatedColumnFormula>
    </tableColumn>
    <tableColumn id="21" name="To Kill2" dataDxfId="2" dataCellStyle="Percent">
      <calculatedColumnFormula>$AI$10/Table1453[[#This Row],[WoundÆ]]</calculatedColumnFormula>
    </tableColumn>
    <tableColumn id="22" name="Combo" dataDxfId="1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workbookViewId="0">
      <selection activeCell="C6" sqref="C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5">
        <f t="shared" si="24"/>
        <v>1.125</v>
      </c>
      <c r="T23" s="3">
        <f t="shared" si="25"/>
        <v>1.0714285714285714</v>
      </c>
      <c r="U23" s="7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5">
        <f t="shared" si="22"/>
        <v>0.5625</v>
      </c>
      <c r="AA23" s="3">
        <f t="shared" si="23"/>
        <v>1.8749999999999998</v>
      </c>
      <c r="AB23" s="18">
        <f t="shared" si="26"/>
        <v>7.1111111111111107</v>
      </c>
      <c r="AC23" s="3">
        <f t="shared" si="8"/>
        <v>1.4732142857142856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7"/>
  <sheetViews>
    <sheetView tabSelected="1" topLeftCell="A13" workbookViewId="0">
      <selection activeCell="T6" sqref="T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X2" s="29" t="s">
        <v>20</v>
      </c>
      <c r="Y2" s="29"/>
      <c r="Z2" s="29"/>
      <c r="AA2" s="29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1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+ 2*(O4/20)</f>
        <v>0.88000000000000012</v>
      </c>
      <c r="U4" s="3">
        <f>T4/$T$4</f>
        <v>1</v>
      </c>
      <c r="V4" s="7">
        <f>$AJ$3/T4/2</f>
        <v>2.2727272727272725</v>
      </c>
      <c r="W4" s="4"/>
      <c r="X4" s="3">
        <f>(10+$AG$4-$AJ$5)/20</f>
        <v>1</v>
      </c>
      <c r="Y4" s="3">
        <f>(C4/20)</f>
        <v>0.4</v>
      </c>
      <c r="Z4" s="3">
        <f>(IF((OR(K4="X", L4="X")),0,($AG$5+I4))/20)</f>
        <v>0.1</v>
      </c>
      <c r="AA4" s="5">
        <f>IF(G4="X",0,1*Y4*X4*(1+Z4)*D4) * IF($AJ$13=1,IF(F4="X",1,0.5),1) + IF(N4="X",D4*Q4*0.25,0) + 2*(O4/20)</f>
        <v>0.44000000000000006</v>
      </c>
      <c r="AB4" s="3">
        <f>AA4/$AA$4</f>
        <v>1</v>
      </c>
      <c r="AC4" s="7">
        <f t="shared" ref="AC4:AC12" si="0">$AJ$9/AA4/2</f>
        <v>4.545454545454545</v>
      </c>
      <c r="AD4" s="3">
        <f>(U4+AB4)/2</f>
        <v>1</v>
      </c>
      <c r="AE4" s="3"/>
      <c r="AF4" t="s">
        <v>85</v>
      </c>
      <c r="AG4">
        <v>20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2" si="1">(10+$AG$4-$AJ$5)/20</f>
        <v>1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+ 2*(O5/20)</f>
        <v>1.1000000000000001</v>
      </c>
      <c r="U5" s="3">
        <f>T5/$T$4</f>
        <v>1.25</v>
      </c>
      <c r="V5" s="7">
        <f t="shared" ref="V5:V11" si="5">$AJ$3/T5/2</f>
        <v>1.8181818181818181</v>
      </c>
      <c r="W5" s="4"/>
      <c r="X5" s="3">
        <f t="shared" ref="X5:X12" si="6">(10+$AG$4-$AJ$5)/20</f>
        <v>1</v>
      </c>
      <c r="Y5" s="3">
        <f>(C5/20)*IF($AK$14=1,IF(F5="X",1,0.5),1)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IF($AJ$13=1,IF(F5="X",1,0.5),1) + IF(N5="X",D5*Q5*0.25,0) + 2*(O5/20)</f>
        <v>0.55000000000000004</v>
      </c>
      <c r="AB5" s="3">
        <f>AA5/$AA$4</f>
        <v>1.25</v>
      </c>
      <c r="AC5" s="7">
        <f t="shared" si="0"/>
        <v>3.6363636363636362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1</v>
      </c>
      <c r="R6" s="3">
        <f t="shared" si="2"/>
        <v>0.4</v>
      </c>
      <c r="S6" s="3">
        <f t="shared" si="3"/>
        <v>0.1</v>
      </c>
      <c r="T6" s="5">
        <f t="shared" si="4"/>
        <v>0.88000000000000012</v>
      </c>
      <c r="U6" s="3">
        <f t="shared" ref="U6:U11" si="10">T6/$T$4</f>
        <v>1</v>
      </c>
      <c r="V6" s="7">
        <f t="shared" si="5"/>
        <v>2.2727272727272725</v>
      </c>
      <c r="W6" s="4"/>
      <c r="X6" s="3">
        <f t="shared" si="6"/>
        <v>1</v>
      </c>
      <c r="Y6" s="3">
        <f>(C6/20)*IF($AK$14=1,IF(F6="X",1,0.5),1)</f>
        <v>0.4</v>
      </c>
      <c r="Z6" s="3">
        <f t="shared" si="7"/>
        <v>0.1</v>
      </c>
      <c r="AA6" s="5">
        <f t="shared" si="8"/>
        <v>0.44000000000000006</v>
      </c>
      <c r="AB6" s="3">
        <f t="shared" ref="AB6:AB11" si="11">AA6/$AA$4</f>
        <v>1</v>
      </c>
      <c r="AC6" s="7">
        <f t="shared" si="0"/>
        <v>4.545454545454545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1</v>
      </c>
      <c r="R7" s="3">
        <f t="shared" si="2"/>
        <v>0.75</v>
      </c>
      <c r="S7" s="3">
        <f t="shared" si="3"/>
        <v>0.1</v>
      </c>
      <c r="T7" s="5">
        <f t="shared" si="4"/>
        <v>1.2375</v>
      </c>
      <c r="U7" s="3">
        <f t="shared" si="10"/>
        <v>1.4062499999999998</v>
      </c>
      <c r="V7" s="7">
        <f t="shared" si="5"/>
        <v>1.6161616161616161</v>
      </c>
      <c r="W7" s="4"/>
      <c r="X7" s="3">
        <f t="shared" si="6"/>
        <v>1</v>
      </c>
      <c r="Y7" s="3">
        <f>(C7/20)*IF($AK$14=1,IF(F7="X",1,0.5),1)</f>
        <v>0.75</v>
      </c>
      <c r="Z7" s="3">
        <f t="shared" si="7"/>
        <v>0.1</v>
      </c>
      <c r="AA7" s="5">
        <f t="shared" si="8"/>
        <v>0.61875000000000002</v>
      </c>
      <c r="AB7" s="3">
        <f t="shared" si="11"/>
        <v>1.4062499999999998</v>
      </c>
      <c r="AC7" s="7">
        <f t="shared" si="0"/>
        <v>3.2323232323232323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1</v>
      </c>
      <c r="R8" s="3">
        <f t="shared" si="2"/>
        <v>0.4</v>
      </c>
      <c r="S8" s="3">
        <f t="shared" si="3"/>
        <v>0.1</v>
      </c>
      <c r="T8" s="5">
        <f t="shared" si="4"/>
        <v>0.88000000000000012</v>
      </c>
      <c r="U8" s="3">
        <f t="shared" si="10"/>
        <v>1</v>
      </c>
      <c r="V8" s="7">
        <f t="shared" si="5"/>
        <v>2.2727272727272725</v>
      </c>
      <c r="W8" s="4"/>
      <c r="X8" s="3">
        <f t="shared" si="6"/>
        <v>1</v>
      </c>
      <c r="Y8" s="3">
        <f>(C8/20)*IF($AK$14=1,IF(F8="X",1,0.5),1)</f>
        <v>0.4</v>
      </c>
      <c r="Z8" s="3">
        <f t="shared" si="7"/>
        <v>0.1</v>
      </c>
      <c r="AA8" s="5">
        <f t="shared" si="8"/>
        <v>0.88000000000000012</v>
      </c>
      <c r="AB8" s="3">
        <f t="shared" si="11"/>
        <v>2</v>
      </c>
      <c r="AC8" s="7">
        <f t="shared" si="0"/>
        <v>2.2727272727272725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1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1.1000000000000001</v>
      </c>
      <c r="U9" s="3">
        <f t="shared" ref="U9" si="14">T9/$T$4</f>
        <v>1.25</v>
      </c>
      <c r="V9" s="7">
        <f t="shared" ref="V9" si="15">$AJ$3/T9/2</f>
        <v>1.8181818181818181</v>
      </c>
      <c r="W9" s="4"/>
      <c r="X9" s="3">
        <f t="shared" si="6"/>
        <v>1</v>
      </c>
      <c r="Y9" s="3">
        <f>(C9/20)*IF($AK$14=1,IF(F9="X",1,0.5),1)</f>
        <v>0.5</v>
      </c>
      <c r="Z9" s="3">
        <f t="shared" ref="Z9" si="16">(IF((OR(K9="X", L9="X")),0,($AG$5+I9))/20)</f>
        <v>0.1</v>
      </c>
      <c r="AA9" s="5">
        <f t="shared" si="8"/>
        <v>1.1000000000000001</v>
      </c>
      <c r="AB9" s="3">
        <f t="shared" ref="AB9" si="17">AA9/$AA$4</f>
        <v>2.5</v>
      </c>
      <c r="AC9" s="7">
        <f t="shared" si="0"/>
        <v>1.8181818181818181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1</v>
      </c>
      <c r="R10" s="3">
        <f t="shared" si="2"/>
        <v>0.4</v>
      </c>
      <c r="S10" s="3">
        <f t="shared" si="3"/>
        <v>0.1</v>
      </c>
      <c r="T10" s="5">
        <f t="shared" si="4"/>
        <v>1.3200000000000003</v>
      </c>
      <c r="U10" s="3">
        <f t="shared" si="10"/>
        <v>1.5000000000000002</v>
      </c>
      <c r="V10" s="7">
        <f t="shared" si="5"/>
        <v>1.5151515151515149</v>
      </c>
      <c r="W10" s="4"/>
      <c r="X10" s="3">
        <f t="shared" si="6"/>
        <v>1</v>
      </c>
      <c r="Y10" s="3">
        <f t="shared" ref="Y10:Y11" si="19">(C10/20)*IF($AK$14=1,IF(F10="X",1,0.5),1)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1</v>
      </c>
      <c r="R11" s="3">
        <f t="shared" si="2"/>
        <v>0.5</v>
      </c>
      <c r="S11" s="3">
        <f t="shared" si="3"/>
        <v>0.1</v>
      </c>
      <c r="T11" s="5">
        <f t="shared" si="4"/>
        <v>1.6500000000000001</v>
      </c>
      <c r="U11" s="3">
        <f t="shared" si="10"/>
        <v>1.875</v>
      </c>
      <c r="V11" s="7">
        <f t="shared" si="5"/>
        <v>1.2121212121212119</v>
      </c>
      <c r="W11" s="4"/>
      <c r="X11" s="3">
        <f t="shared" si="6"/>
        <v>1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1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1.92</v>
      </c>
      <c r="U12" s="3">
        <f t="shared" ref="U12" si="22">T12/$T$4</f>
        <v>2.1818181818181817</v>
      </c>
      <c r="V12" s="7">
        <f t="shared" ref="V12" si="23">$AJ$3/T12/2</f>
        <v>1.0416666666666667</v>
      </c>
      <c r="W12" s="4"/>
      <c r="X12" s="3">
        <f t="shared" si="6"/>
        <v>1</v>
      </c>
      <c r="Y12" s="3">
        <f t="shared" ref="Y12" si="24">(C12/20)*IF($AK$14=1,IF(F12="X",1,0.5),1)</f>
        <v>0.6</v>
      </c>
      <c r="Z12" s="3">
        <f t="shared" ref="Z12" si="25">(IF((OR(K12="X", L12="X")),0,($AG$5+I12))/20)</f>
        <v>0.1</v>
      </c>
      <c r="AA12" s="5">
        <f t="shared" si="8"/>
        <v>0.66</v>
      </c>
      <c r="AB12" s="3">
        <f t="shared" ref="AB12" si="26">AA12/$AA$4</f>
        <v>1.4999999999999998</v>
      </c>
      <c r="AC12" s="7">
        <f t="shared" si="0"/>
        <v>3.0303030303030303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S13" s="28"/>
      <c r="T13" s="28"/>
      <c r="U13" s="17"/>
      <c r="V13" s="7"/>
      <c r="W13" s="3"/>
      <c r="X13" s="3"/>
      <c r="Y13" s="3"/>
      <c r="Z13" s="28"/>
      <c r="AA13" s="28"/>
      <c r="AB13" s="18"/>
      <c r="AC13" s="18"/>
      <c r="AD13" s="3"/>
      <c r="AE13" s="17"/>
      <c r="AI13" t="s">
        <v>87</v>
      </c>
      <c r="AJ13">
        <v>1</v>
      </c>
    </row>
    <row r="14" spans="2:36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>IF(K14="X",1,($AG$3+H14)/20)</f>
        <v>0.5</v>
      </c>
      <c r="R14" s="3">
        <f>(C14/20)*IF($AJ$6=1,0.5,1)</f>
        <v>0.4</v>
      </c>
      <c r="S14" s="28">
        <f>(IF(( L14="X"),0,($AG$5+I14))/20)</f>
        <v>0.1</v>
      </c>
      <c r="T14" s="28">
        <f>((1*R14*(Q14)*D14   +   (IF(J14="X",2,1)*S14*D14)      + IF(N14="X",D14*Q14*0.25,0)     ) * IF(M14="X",1.5,1) ) *      IF($AK$6="1",0.5,1)  + 2*(O14/20)</f>
        <v>0.60000000000000009</v>
      </c>
      <c r="U14" s="17">
        <f t="shared" ref="U14:U19" si="28">T14/$T$14</f>
        <v>1</v>
      </c>
      <c r="V14" s="7">
        <f>$AJ$3/T14/2</f>
        <v>3.333333333333333</v>
      </c>
      <c r="W14" s="3"/>
      <c r="X14" s="3">
        <f>IF(K14="X",1,($AG$3+H14)/20)</f>
        <v>0.5</v>
      </c>
      <c r="Y14" s="3">
        <f t="shared" ref="Y14:Y19" si="29">(C14/20)*IF($AG$14=1,IF(F14="X",1,0.5),1)</f>
        <v>0.4</v>
      </c>
      <c r="Z14" s="28">
        <f>(IF((OR(K14="X", L14="X")),0,($AG$5+I14))/20)</f>
        <v>0.1</v>
      </c>
      <c r="AA14" s="28">
        <f>IF(G14="X",0,((1*Y14*(X14)*D14   +   (IF(J14="X",2,1)*Z14*D14)      + IF(N14="X",D14*X14*0.25,0)     ) * IF(M14="X",1.5,1) ) *      IF($AJ$13=1,IF(F14="X",1,0.5),1)) + 2*(O14/20)</f>
        <v>0.30000000000000004</v>
      </c>
      <c r="AB14" s="3">
        <f t="shared" ref="AB14:AB19" si="30">AA14/$AA$14</f>
        <v>1</v>
      </c>
      <c r="AC14" s="18">
        <f t="shared" ref="AC14:AC19" si="31">$AJ$9/AA14/2</f>
        <v>6.6666666666666661</v>
      </c>
      <c r="AD14" s="3">
        <f>(U14+AB14)/2</f>
        <v>1</v>
      </c>
      <c r="AE14" s="17"/>
    </row>
    <row r="15" spans="2:36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 t="shared" ref="Q15:Q36" si="32">IF(K15="X",1,($AG$3+H15)/20)</f>
        <v>0.5</v>
      </c>
      <c r="R15" s="3">
        <f t="shared" ref="R15:R36" si="33">(C15/20)*IF($AJ$6=1,0.5,1)</f>
        <v>0.35</v>
      </c>
      <c r="S15" s="28">
        <f t="shared" ref="S15:S36" si="34">(IF(( L15="X"),0,($AG$5+I15))/20)</f>
        <v>0.1</v>
      </c>
      <c r="T15" s="28">
        <f t="shared" ref="T15:T36" si="35">((1*R15*(Q15)*D15   +   (IF(J15="X",2,1)*S15*D15)      + IF(N15="X",D15*Q15*0.25,0)     ) * IF(M15="X",1.5,1) ) *      IF($AK$6="1",0.5,1)  + 2*(O15/20)</f>
        <v>0.55000000000000004</v>
      </c>
      <c r="U15" s="17">
        <f t="shared" si="28"/>
        <v>0.91666666666666663</v>
      </c>
      <c r="V15" s="7">
        <f t="shared" ref="V15:V36" si="36">$AJ$3/T15/2</f>
        <v>3.6363636363636362</v>
      </c>
      <c r="W15" s="3"/>
      <c r="X15" s="3">
        <f t="shared" ref="X15:X36" si="37">IF(K15="X",1,($AG$3+H15)/20)</f>
        <v>0.5</v>
      </c>
      <c r="Y15" s="3">
        <f t="shared" si="29"/>
        <v>0.35</v>
      </c>
      <c r="Z15" s="28">
        <f t="shared" ref="Z15:Z36" si="38">(IF((OR(K15="X", L15="X")),0,($AG$5+I15))/20)</f>
        <v>0.1</v>
      </c>
      <c r="AA15" s="28">
        <f t="shared" ref="AA15:AA36" si="39">IF(G15="X",0,((1*Y15*(X15)*D15   +   (IF(J15="X",2,1)*Z15*D15)      + IF(N15="X",D15*X15*0.25,0)     ) * IF(M15="X",1.5,1) ) *      IF($AJ$13=1,IF(F15="X",1,0.5),1)) + 2*(O15/20)</f>
        <v>0.55000000000000004</v>
      </c>
      <c r="AB15" s="3">
        <f t="shared" si="30"/>
        <v>1.8333333333333333</v>
      </c>
      <c r="AC15" s="18">
        <f t="shared" si="31"/>
        <v>3.6363636363636362</v>
      </c>
      <c r="AD15" s="3">
        <f t="shared" ref="AD15:AD36" si="40">(U15+AB15)/2</f>
        <v>1.375</v>
      </c>
      <c r="AE15" s="17"/>
    </row>
    <row r="16" spans="2:36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1"/>
      <c r="Q16" s="3">
        <f t="shared" si="32"/>
        <v>0.5</v>
      </c>
      <c r="R16" s="3">
        <f t="shared" si="33"/>
        <v>0.4</v>
      </c>
      <c r="S16" s="28">
        <f t="shared" si="34"/>
        <v>0</v>
      </c>
      <c r="T16" s="28">
        <f t="shared" si="35"/>
        <v>0.8</v>
      </c>
      <c r="U16" s="17">
        <f t="shared" si="28"/>
        <v>1.3333333333333333</v>
      </c>
      <c r="V16" s="7">
        <f t="shared" si="36"/>
        <v>2.5</v>
      </c>
      <c r="W16" s="3"/>
      <c r="X16" s="3">
        <f t="shared" si="37"/>
        <v>0.5</v>
      </c>
      <c r="Y16" s="3">
        <f t="shared" si="29"/>
        <v>0.4</v>
      </c>
      <c r="Z16" s="28">
        <f t="shared" si="38"/>
        <v>0</v>
      </c>
      <c r="AA16" s="28">
        <f t="shared" si="39"/>
        <v>0.4</v>
      </c>
      <c r="AB16" s="3">
        <f t="shared" si="30"/>
        <v>1.3333333333333333</v>
      </c>
      <c r="AC16" s="18">
        <f t="shared" si="31"/>
        <v>5</v>
      </c>
      <c r="AD16" s="3">
        <f t="shared" si="40"/>
        <v>1.3333333333333333</v>
      </c>
      <c r="AE16" s="17"/>
    </row>
    <row r="17" spans="2:31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3">
        <f t="shared" si="32"/>
        <v>0.5</v>
      </c>
      <c r="R17" s="3">
        <f t="shared" si="33"/>
        <v>0.4</v>
      </c>
      <c r="S17" s="28">
        <f t="shared" si="34"/>
        <v>0.1</v>
      </c>
      <c r="T17" s="28">
        <f t="shared" si="35"/>
        <v>0.60000000000000009</v>
      </c>
      <c r="U17" s="17">
        <f t="shared" si="28"/>
        <v>1</v>
      </c>
      <c r="V17" s="7">
        <f t="shared" si="36"/>
        <v>3.333333333333333</v>
      </c>
      <c r="W17" s="3"/>
      <c r="X17" s="3">
        <f t="shared" si="37"/>
        <v>0.5</v>
      </c>
      <c r="Y17" s="3">
        <f t="shared" si="29"/>
        <v>0.4</v>
      </c>
      <c r="Z17" s="28">
        <f t="shared" si="38"/>
        <v>0.1</v>
      </c>
      <c r="AA17" s="28">
        <f t="shared" si="39"/>
        <v>0.60000000000000009</v>
      </c>
      <c r="AB17" s="3">
        <f t="shared" si="30"/>
        <v>2</v>
      </c>
      <c r="AC17" s="18">
        <f t="shared" si="31"/>
        <v>3.333333333333333</v>
      </c>
      <c r="AD17" s="3">
        <f t="shared" si="40"/>
        <v>1.5</v>
      </c>
      <c r="AE17" s="17"/>
    </row>
    <row r="18" spans="2:31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1"/>
      <c r="Q18" s="3">
        <f t="shared" si="32"/>
        <v>0.5</v>
      </c>
      <c r="R18" s="3">
        <f t="shared" si="33"/>
        <v>0.4</v>
      </c>
      <c r="S18" s="28">
        <f t="shared" si="34"/>
        <v>0</v>
      </c>
      <c r="T18" s="28">
        <f t="shared" si="35"/>
        <v>0.90000000000000013</v>
      </c>
      <c r="U18" s="17">
        <f t="shared" si="28"/>
        <v>1.5</v>
      </c>
      <c r="V18" s="7">
        <f t="shared" si="36"/>
        <v>2.2222222222222219</v>
      </c>
      <c r="W18" s="3"/>
      <c r="X18" s="3">
        <f t="shared" si="37"/>
        <v>0.5</v>
      </c>
      <c r="Y18" s="3">
        <f t="shared" si="29"/>
        <v>0.4</v>
      </c>
      <c r="Z18" s="28">
        <f t="shared" si="38"/>
        <v>0</v>
      </c>
      <c r="AA18" s="28">
        <f t="shared" si="39"/>
        <v>0.45000000000000007</v>
      </c>
      <c r="AB18" s="3">
        <f t="shared" si="30"/>
        <v>1.5</v>
      </c>
      <c r="AC18" s="18">
        <f t="shared" si="31"/>
        <v>4.4444444444444438</v>
      </c>
      <c r="AD18" s="3">
        <f t="shared" si="40"/>
        <v>1.5</v>
      </c>
      <c r="AE18" s="17"/>
    </row>
    <row r="19" spans="2:31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59</v>
      </c>
      <c r="O19" s="1"/>
      <c r="P19" s="1"/>
      <c r="Q19" s="3">
        <f t="shared" si="32"/>
        <v>0.5</v>
      </c>
      <c r="R19" s="3">
        <f t="shared" si="33"/>
        <v>0.4</v>
      </c>
      <c r="S19" s="28">
        <f t="shared" si="34"/>
        <v>0.1</v>
      </c>
      <c r="T19" s="28">
        <f t="shared" si="35"/>
        <v>0.85000000000000009</v>
      </c>
      <c r="U19" s="17">
        <f t="shared" si="28"/>
        <v>1.4166666666666665</v>
      </c>
      <c r="V19" s="7">
        <f t="shared" si="36"/>
        <v>2.3529411764705879</v>
      </c>
      <c r="W19" s="3"/>
      <c r="X19" s="3">
        <f t="shared" si="37"/>
        <v>0.5</v>
      </c>
      <c r="Y19" s="3">
        <f t="shared" si="29"/>
        <v>0.4</v>
      </c>
      <c r="Z19" s="28">
        <f t="shared" si="38"/>
        <v>0.1</v>
      </c>
      <c r="AA19" s="28">
        <f t="shared" si="39"/>
        <v>0.42500000000000004</v>
      </c>
      <c r="AB19" s="3">
        <f t="shared" si="30"/>
        <v>1.4166666666666665</v>
      </c>
      <c r="AC19" s="18">
        <f t="shared" si="31"/>
        <v>4.7058823529411757</v>
      </c>
      <c r="AD19" s="3">
        <f t="shared" si="40"/>
        <v>1.4166666666666665</v>
      </c>
      <c r="AE19" s="17"/>
    </row>
    <row r="20" spans="2:31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/>
      <c r="R20" s="3"/>
      <c r="S20" s="28"/>
      <c r="T20" s="28"/>
      <c r="U20" s="17"/>
      <c r="V20" s="7"/>
      <c r="W20" s="3"/>
      <c r="X20" s="3"/>
      <c r="Y20" s="3"/>
      <c r="Z20" s="28"/>
      <c r="AA20" s="28"/>
      <c r="AB20" s="3"/>
      <c r="AC20" s="18"/>
      <c r="AD20" s="3"/>
      <c r="AE20" s="17"/>
    </row>
    <row r="21" spans="2:31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 t="shared" si="32"/>
        <v>0.5</v>
      </c>
      <c r="R21" s="3">
        <f t="shared" si="33"/>
        <v>0.5</v>
      </c>
      <c r="S21" s="28">
        <f t="shared" si="34"/>
        <v>0.1</v>
      </c>
      <c r="T21" s="28">
        <f t="shared" si="35"/>
        <v>1.05</v>
      </c>
      <c r="U21" s="17">
        <f>T21/$T$21</f>
        <v>1</v>
      </c>
      <c r="V21" s="7">
        <f t="shared" si="36"/>
        <v>1.9047619047619047</v>
      </c>
      <c r="W21" s="3"/>
      <c r="X21" s="3">
        <f t="shared" si="37"/>
        <v>0.5</v>
      </c>
      <c r="Y21" s="3">
        <f t="shared" ref="Y21:Y27" si="41">(C21/20)*IF($AG$14=1,IF(F21="X",1,0.5),1)</f>
        <v>0.5</v>
      </c>
      <c r="Z21" s="28">
        <f t="shared" si="38"/>
        <v>0.1</v>
      </c>
      <c r="AA21" s="28">
        <f t="shared" si="39"/>
        <v>0.52500000000000002</v>
      </c>
      <c r="AB21" s="3">
        <f>AA21/$AA$21</f>
        <v>1</v>
      </c>
      <c r="AC21" s="18">
        <f t="shared" ref="AC21:AC27" si="42">$AJ$9/AA21/2</f>
        <v>3.8095238095238093</v>
      </c>
      <c r="AD21" s="3">
        <f t="shared" si="40"/>
        <v>1</v>
      </c>
      <c r="AE21" s="17"/>
    </row>
    <row r="22" spans="2:31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32"/>
        <v>0.5</v>
      </c>
      <c r="R22" s="3">
        <f t="shared" si="33"/>
        <v>0.4</v>
      </c>
      <c r="S22" s="28">
        <f t="shared" si="34"/>
        <v>0.1</v>
      </c>
      <c r="T22" s="28">
        <f t="shared" si="35"/>
        <v>0.90000000000000013</v>
      </c>
      <c r="U22" s="17">
        <f t="shared" ref="U22:U27" si="43">T22/$T$21</f>
        <v>0.85714285714285721</v>
      </c>
      <c r="V22" s="7">
        <f t="shared" si="36"/>
        <v>2.2222222222222219</v>
      </c>
      <c r="W22" s="3"/>
      <c r="X22" s="3">
        <f t="shared" si="37"/>
        <v>0.5</v>
      </c>
      <c r="Y22" s="3">
        <f t="shared" si="41"/>
        <v>0.4</v>
      </c>
      <c r="Z22" s="28">
        <f t="shared" si="38"/>
        <v>0.1</v>
      </c>
      <c r="AA22" s="28">
        <f t="shared" si="39"/>
        <v>0.90000000000000013</v>
      </c>
      <c r="AB22" s="3">
        <f t="shared" ref="AB22:AB27" si="44">AA22/$AA$21</f>
        <v>1.7142857142857144</v>
      </c>
      <c r="AC22" s="18">
        <f t="shared" si="42"/>
        <v>2.2222222222222219</v>
      </c>
      <c r="AD22" s="3">
        <f t="shared" si="40"/>
        <v>1.2857142857142858</v>
      </c>
      <c r="AE22" s="17"/>
    </row>
    <row r="23" spans="2:31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1"/>
      <c r="Q23" s="3">
        <f t="shared" si="32"/>
        <v>1</v>
      </c>
      <c r="R23" s="3">
        <f t="shared" si="33"/>
        <v>0.5</v>
      </c>
      <c r="S23" s="28">
        <f t="shared" si="34"/>
        <v>0.1</v>
      </c>
      <c r="T23" s="28">
        <f t="shared" si="35"/>
        <v>1.2</v>
      </c>
      <c r="U23" s="17">
        <f t="shared" si="43"/>
        <v>1.1428571428571428</v>
      </c>
      <c r="V23" s="7">
        <f t="shared" si="36"/>
        <v>1.6666666666666667</v>
      </c>
      <c r="W23" s="3"/>
      <c r="X23" s="3">
        <f t="shared" si="37"/>
        <v>1</v>
      </c>
      <c r="Y23" s="3">
        <f t="shared" si="41"/>
        <v>0.5</v>
      </c>
      <c r="Z23" s="28">
        <f t="shared" si="38"/>
        <v>0</v>
      </c>
      <c r="AA23" s="28">
        <f t="shared" si="39"/>
        <v>0.5</v>
      </c>
      <c r="AB23" s="3">
        <f t="shared" si="44"/>
        <v>0.95238095238095233</v>
      </c>
      <c r="AC23" s="18">
        <f t="shared" si="42"/>
        <v>4</v>
      </c>
      <c r="AD23" s="3">
        <f t="shared" si="40"/>
        <v>1.0476190476190474</v>
      </c>
      <c r="AE23" s="17"/>
    </row>
    <row r="24" spans="2:31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f t="shared" si="32"/>
        <v>0.5</v>
      </c>
      <c r="R24" s="3">
        <f t="shared" si="33"/>
        <v>0.6</v>
      </c>
      <c r="S24" s="28">
        <f t="shared" si="34"/>
        <v>0.1</v>
      </c>
      <c r="T24" s="28">
        <f t="shared" si="35"/>
        <v>0.8</v>
      </c>
      <c r="U24" s="17">
        <f t="shared" si="43"/>
        <v>0.76190476190476186</v>
      </c>
      <c r="V24" s="7">
        <f t="shared" si="36"/>
        <v>2.5</v>
      </c>
      <c r="W24" s="3"/>
      <c r="X24" s="3">
        <f t="shared" si="37"/>
        <v>0.5</v>
      </c>
      <c r="Y24" s="3">
        <f t="shared" si="41"/>
        <v>0.6</v>
      </c>
      <c r="Z24" s="28">
        <f t="shared" si="38"/>
        <v>0.1</v>
      </c>
      <c r="AA24" s="28">
        <f t="shared" si="39"/>
        <v>0.8</v>
      </c>
      <c r="AB24" s="3">
        <f t="shared" si="44"/>
        <v>1.5238095238095237</v>
      </c>
      <c r="AC24" s="18">
        <f t="shared" si="42"/>
        <v>2.5</v>
      </c>
      <c r="AD24" s="3">
        <f t="shared" si="40"/>
        <v>1.1428571428571428</v>
      </c>
      <c r="AE24" s="17"/>
    </row>
    <row r="25" spans="2:31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1"/>
      <c r="Q25" s="3">
        <f t="shared" si="32"/>
        <v>0.5</v>
      </c>
      <c r="R25" s="3">
        <f t="shared" si="33"/>
        <v>0.5</v>
      </c>
      <c r="S25" s="28">
        <f t="shared" si="34"/>
        <v>0</v>
      </c>
      <c r="T25" s="28">
        <f t="shared" si="35"/>
        <v>1.5</v>
      </c>
      <c r="U25" s="17">
        <f t="shared" si="43"/>
        <v>1.4285714285714286</v>
      </c>
      <c r="V25" s="7">
        <f t="shared" si="36"/>
        <v>1.3333333333333333</v>
      </c>
      <c r="W25" s="3"/>
      <c r="X25" s="3">
        <f t="shared" si="37"/>
        <v>0.5</v>
      </c>
      <c r="Y25" s="3">
        <f t="shared" si="41"/>
        <v>0.5</v>
      </c>
      <c r="Z25" s="28">
        <f t="shared" si="38"/>
        <v>0</v>
      </c>
      <c r="AA25" s="28">
        <f t="shared" si="39"/>
        <v>0.75</v>
      </c>
      <c r="AB25" s="3">
        <f t="shared" si="44"/>
        <v>1.4285714285714286</v>
      </c>
      <c r="AC25" s="18">
        <f t="shared" si="42"/>
        <v>2.6666666666666665</v>
      </c>
      <c r="AD25" s="3">
        <f t="shared" si="40"/>
        <v>1.4285714285714286</v>
      </c>
      <c r="AE25" s="17"/>
    </row>
    <row r="26" spans="2:31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3">
        <f t="shared" si="32"/>
        <v>0.5</v>
      </c>
      <c r="R26" s="3">
        <f t="shared" si="33"/>
        <v>0.6</v>
      </c>
      <c r="S26" s="28">
        <f t="shared" si="34"/>
        <v>0.1</v>
      </c>
      <c r="T26" s="28">
        <f t="shared" si="35"/>
        <v>1.2</v>
      </c>
      <c r="U26" s="17">
        <f t="shared" si="43"/>
        <v>1.1428571428571428</v>
      </c>
      <c r="V26" s="7">
        <f t="shared" si="36"/>
        <v>1.6666666666666667</v>
      </c>
      <c r="W26" s="3"/>
      <c r="X26" s="3">
        <f t="shared" si="37"/>
        <v>0.5</v>
      </c>
      <c r="Y26" s="3">
        <f t="shared" si="41"/>
        <v>0.6</v>
      </c>
      <c r="Z26" s="28">
        <f t="shared" si="38"/>
        <v>0.1</v>
      </c>
      <c r="AA26" s="28">
        <f t="shared" si="39"/>
        <v>1.2</v>
      </c>
      <c r="AB26" s="3">
        <f t="shared" si="44"/>
        <v>2.2857142857142856</v>
      </c>
      <c r="AC26" s="18">
        <f t="shared" si="42"/>
        <v>1.6666666666666667</v>
      </c>
      <c r="AD26" s="3">
        <f t="shared" si="40"/>
        <v>1.7142857142857142</v>
      </c>
      <c r="AE26" s="17"/>
    </row>
    <row r="27" spans="2:31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1"/>
      <c r="Q27" s="3">
        <f t="shared" si="32"/>
        <v>1</v>
      </c>
      <c r="R27" s="3">
        <f t="shared" si="33"/>
        <v>0.5</v>
      </c>
      <c r="S27" s="28">
        <f t="shared" si="34"/>
        <v>0.1</v>
      </c>
      <c r="T27" s="28">
        <f t="shared" si="35"/>
        <v>1.7</v>
      </c>
      <c r="U27" s="17">
        <f t="shared" si="43"/>
        <v>1.6190476190476188</v>
      </c>
      <c r="V27" s="7">
        <f t="shared" si="36"/>
        <v>1.1764705882352942</v>
      </c>
      <c r="W27" s="3"/>
      <c r="X27" s="3">
        <f t="shared" si="37"/>
        <v>1</v>
      </c>
      <c r="Y27" s="3">
        <f t="shared" si="41"/>
        <v>0.5</v>
      </c>
      <c r="Z27" s="28">
        <f t="shared" si="38"/>
        <v>0</v>
      </c>
      <c r="AA27" s="28">
        <f t="shared" si="39"/>
        <v>0.75</v>
      </c>
      <c r="AB27" s="3">
        <f t="shared" si="44"/>
        <v>1.4285714285714286</v>
      </c>
      <c r="AC27" s="18">
        <f t="shared" si="42"/>
        <v>2.6666666666666665</v>
      </c>
      <c r="AD27" s="3">
        <f t="shared" si="40"/>
        <v>1.5238095238095237</v>
      </c>
      <c r="AE27" s="17"/>
    </row>
    <row r="28" spans="2:31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/>
      <c r="R28" s="3"/>
      <c r="S28" s="28"/>
      <c r="T28" s="28"/>
      <c r="U28" s="17"/>
      <c r="V28" s="7"/>
      <c r="W28" s="3"/>
      <c r="X28" s="3"/>
      <c r="Y28" s="3"/>
      <c r="Z28" s="28"/>
      <c r="AA28" s="28"/>
      <c r="AB28" s="3"/>
      <c r="AC28" s="18"/>
      <c r="AD28" s="3"/>
      <c r="AE28" s="17"/>
    </row>
    <row r="29" spans="2:31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2"/>
        <v>0.5</v>
      </c>
      <c r="R29" s="3">
        <f t="shared" si="33"/>
        <v>0.6</v>
      </c>
      <c r="S29" s="28">
        <f t="shared" si="34"/>
        <v>0.1</v>
      </c>
      <c r="T29" s="28">
        <f t="shared" si="35"/>
        <v>1.6</v>
      </c>
      <c r="U29" s="17">
        <f>T29/$T$29</f>
        <v>1</v>
      </c>
      <c r="V29" s="7">
        <f t="shared" si="36"/>
        <v>1.25</v>
      </c>
      <c r="W29" s="3"/>
      <c r="X29" s="3">
        <f t="shared" si="37"/>
        <v>0.5</v>
      </c>
      <c r="Y29" s="3">
        <f t="shared" ref="Y29:Y36" si="45">(C29/20)*IF($AG$14=1,IF(F29="X",1,0.5),1)</f>
        <v>0.6</v>
      </c>
      <c r="Z29" s="28">
        <f t="shared" si="38"/>
        <v>0.1</v>
      </c>
      <c r="AA29" s="28">
        <f t="shared" si="39"/>
        <v>0.8</v>
      </c>
      <c r="AB29" s="3">
        <f>AA29/$AA$29</f>
        <v>1</v>
      </c>
      <c r="AC29" s="18">
        <f t="shared" ref="AC29:AC36" si="46">$AJ$9/AA29/2</f>
        <v>2.5</v>
      </c>
      <c r="AD29" s="3">
        <f t="shared" si="40"/>
        <v>1</v>
      </c>
      <c r="AE29" s="3"/>
    </row>
    <row r="30" spans="2:31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32"/>
        <v>0.5</v>
      </c>
      <c r="R30" s="3">
        <f t="shared" si="33"/>
        <v>0.7</v>
      </c>
      <c r="S30" s="28">
        <f t="shared" si="34"/>
        <v>0.1</v>
      </c>
      <c r="T30" s="28">
        <f t="shared" si="35"/>
        <v>1.3499999999999999</v>
      </c>
      <c r="U30" s="17">
        <f t="shared" ref="U30:U36" si="47">T30/$T$29</f>
        <v>0.84374999999999989</v>
      </c>
      <c r="V30" s="7">
        <f t="shared" si="36"/>
        <v>1.4814814814814816</v>
      </c>
      <c r="W30" s="3"/>
      <c r="X30" s="3">
        <f t="shared" si="37"/>
        <v>0.5</v>
      </c>
      <c r="Y30" s="3">
        <f t="shared" si="45"/>
        <v>0.7</v>
      </c>
      <c r="Z30" s="28">
        <f t="shared" si="38"/>
        <v>0.1</v>
      </c>
      <c r="AA30" s="28">
        <f t="shared" si="39"/>
        <v>1.3499999999999999</v>
      </c>
      <c r="AB30" s="3">
        <f t="shared" ref="AB30:AB36" si="48">AA30/$AA$29</f>
        <v>1.6874999999999998</v>
      </c>
      <c r="AC30" s="18">
        <f t="shared" si="46"/>
        <v>1.4814814814814816</v>
      </c>
      <c r="AD30" s="3">
        <f t="shared" si="40"/>
        <v>1.2656249999999998</v>
      </c>
      <c r="AE30" s="17"/>
    </row>
    <row r="31" spans="2:31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1"/>
      <c r="Q31" s="3">
        <f t="shared" si="32"/>
        <v>1</v>
      </c>
      <c r="R31" s="3">
        <f t="shared" si="33"/>
        <v>0.6</v>
      </c>
      <c r="S31" s="28">
        <f t="shared" si="34"/>
        <v>0.1</v>
      </c>
      <c r="T31" s="28">
        <f t="shared" si="35"/>
        <v>1.4</v>
      </c>
      <c r="U31" s="17">
        <f t="shared" si="47"/>
        <v>0.87499999999999989</v>
      </c>
      <c r="V31" s="7">
        <f t="shared" si="36"/>
        <v>1.4285714285714286</v>
      </c>
      <c r="W31" s="3"/>
      <c r="X31" s="3">
        <f t="shared" si="37"/>
        <v>1</v>
      </c>
      <c r="Y31" s="3">
        <f t="shared" si="45"/>
        <v>0.6</v>
      </c>
      <c r="Z31" s="28">
        <f t="shared" si="38"/>
        <v>0</v>
      </c>
      <c r="AA31" s="28">
        <f t="shared" si="39"/>
        <v>0.6</v>
      </c>
      <c r="AB31" s="3">
        <f t="shared" si="48"/>
        <v>0.74999999999999989</v>
      </c>
      <c r="AC31" s="18">
        <f t="shared" si="46"/>
        <v>3.3333333333333335</v>
      </c>
      <c r="AD31" s="3">
        <f t="shared" si="40"/>
        <v>0.81249999999999989</v>
      </c>
      <c r="AE31" s="3"/>
    </row>
    <row r="32" spans="2:31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32"/>
        <v>1</v>
      </c>
      <c r="R32" s="3">
        <f t="shared" si="33"/>
        <v>0.6</v>
      </c>
      <c r="S32" s="28">
        <f t="shared" si="34"/>
        <v>0.1</v>
      </c>
      <c r="T32" s="28">
        <f t="shared" si="35"/>
        <v>1.4</v>
      </c>
      <c r="U32" s="17">
        <f t="shared" si="47"/>
        <v>0.87499999999999989</v>
      </c>
      <c r="V32" s="7">
        <f t="shared" si="36"/>
        <v>1.4285714285714286</v>
      </c>
      <c r="W32" s="3"/>
      <c r="X32" s="3">
        <f t="shared" si="37"/>
        <v>1</v>
      </c>
      <c r="Y32" s="3">
        <f t="shared" si="45"/>
        <v>0.6</v>
      </c>
      <c r="Z32" s="28">
        <f t="shared" si="38"/>
        <v>0</v>
      </c>
      <c r="AA32" s="28">
        <f t="shared" si="39"/>
        <v>0.6</v>
      </c>
      <c r="AB32" s="3">
        <f t="shared" si="48"/>
        <v>0.74999999999999989</v>
      </c>
      <c r="AC32" s="18">
        <f t="shared" si="46"/>
        <v>3.3333333333333335</v>
      </c>
      <c r="AD32" s="3">
        <f t="shared" si="40"/>
        <v>0.81249999999999989</v>
      </c>
      <c r="AE32" s="17"/>
    </row>
    <row r="33" spans="1:31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32"/>
        <v>1</v>
      </c>
      <c r="R33" s="3">
        <f t="shared" si="33"/>
        <v>0.5</v>
      </c>
      <c r="S33" s="28">
        <f t="shared" si="34"/>
        <v>0.1</v>
      </c>
      <c r="T33" s="28">
        <f t="shared" si="35"/>
        <v>1.2</v>
      </c>
      <c r="U33" s="17">
        <f t="shared" si="47"/>
        <v>0.74999999999999989</v>
      </c>
      <c r="V33" s="7">
        <f t="shared" si="36"/>
        <v>1.6666666666666667</v>
      </c>
      <c r="W33" s="3"/>
      <c r="X33" s="3">
        <f t="shared" si="37"/>
        <v>1</v>
      </c>
      <c r="Y33" s="3">
        <f t="shared" si="45"/>
        <v>0.5</v>
      </c>
      <c r="Z33" s="28">
        <f t="shared" si="38"/>
        <v>0</v>
      </c>
      <c r="AA33" s="28">
        <f t="shared" si="39"/>
        <v>1</v>
      </c>
      <c r="AB33" s="3">
        <f t="shared" si="48"/>
        <v>1.25</v>
      </c>
      <c r="AC33" s="18">
        <f t="shared" si="46"/>
        <v>2</v>
      </c>
      <c r="AD33" s="3">
        <f t="shared" si="40"/>
        <v>1</v>
      </c>
      <c r="AE33" s="17"/>
    </row>
    <row r="34" spans="1:31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f t="shared" si="32"/>
        <v>0.5</v>
      </c>
      <c r="R34" s="3">
        <f t="shared" si="33"/>
        <v>0.6</v>
      </c>
      <c r="S34" s="28">
        <f t="shared" si="34"/>
        <v>0.1</v>
      </c>
      <c r="T34" s="28">
        <f t="shared" si="35"/>
        <v>2.4</v>
      </c>
      <c r="U34" s="17">
        <f t="shared" si="47"/>
        <v>1.4999999999999998</v>
      </c>
      <c r="V34" s="7">
        <f t="shared" si="36"/>
        <v>0.83333333333333337</v>
      </c>
      <c r="W34" s="3"/>
      <c r="X34" s="3">
        <f t="shared" si="37"/>
        <v>0.5</v>
      </c>
      <c r="Y34" s="3">
        <f t="shared" si="45"/>
        <v>0.6</v>
      </c>
      <c r="Z34" s="28">
        <f t="shared" si="38"/>
        <v>0.1</v>
      </c>
      <c r="AA34" s="28">
        <f t="shared" si="39"/>
        <v>1.2</v>
      </c>
      <c r="AB34" s="3">
        <f t="shared" si="48"/>
        <v>1.4999999999999998</v>
      </c>
      <c r="AC34" s="18">
        <f t="shared" si="46"/>
        <v>1.6666666666666667</v>
      </c>
      <c r="AD34" s="3">
        <f t="shared" si="40"/>
        <v>1.4999999999999998</v>
      </c>
      <c r="AE34" s="17"/>
    </row>
    <row r="35" spans="1:31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1"/>
      <c r="Q35" s="3">
        <f t="shared" si="32"/>
        <v>1</v>
      </c>
      <c r="R35" s="3">
        <f t="shared" si="33"/>
        <v>0.6</v>
      </c>
      <c r="S35" s="28">
        <f t="shared" si="34"/>
        <v>0.1</v>
      </c>
      <c r="T35" s="28">
        <f t="shared" si="35"/>
        <v>1.4</v>
      </c>
      <c r="U35" s="17">
        <f t="shared" si="47"/>
        <v>0.87499999999999989</v>
      </c>
      <c r="V35" s="7">
        <f t="shared" si="36"/>
        <v>1.4285714285714286</v>
      </c>
      <c r="W35" s="3"/>
      <c r="X35" s="3">
        <f t="shared" si="37"/>
        <v>1</v>
      </c>
      <c r="Y35" s="3">
        <f t="shared" si="45"/>
        <v>0.6</v>
      </c>
      <c r="Z35" s="28">
        <f t="shared" si="38"/>
        <v>0</v>
      </c>
      <c r="AA35" s="28">
        <f t="shared" si="39"/>
        <v>1.2</v>
      </c>
      <c r="AB35" s="3">
        <f t="shared" si="48"/>
        <v>1.4999999999999998</v>
      </c>
      <c r="AC35" s="18">
        <f t="shared" si="46"/>
        <v>1.6666666666666667</v>
      </c>
      <c r="AD35" s="3">
        <f t="shared" si="40"/>
        <v>1.1874999999999998</v>
      </c>
      <c r="AE35" s="17"/>
    </row>
    <row r="36" spans="1:31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8"/>
      <c r="Q36" s="3">
        <f t="shared" si="32"/>
        <v>1</v>
      </c>
      <c r="R36" s="3">
        <f t="shared" si="33"/>
        <v>0.5</v>
      </c>
      <c r="S36" s="28">
        <f t="shared" si="34"/>
        <v>0.1</v>
      </c>
      <c r="T36" s="28">
        <f t="shared" si="35"/>
        <v>1.7</v>
      </c>
      <c r="U36" s="17">
        <f t="shared" si="47"/>
        <v>1.0625</v>
      </c>
      <c r="V36" s="7">
        <f t="shared" si="36"/>
        <v>1.1764705882352942</v>
      </c>
      <c r="W36" s="3"/>
      <c r="X36" s="3">
        <f t="shared" si="37"/>
        <v>1</v>
      </c>
      <c r="Y36" s="3">
        <f t="shared" si="45"/>
        <v>0.5</v>
      </c>
      <c r="Z36" s="28">
        <f t="shared" si="38"/>
        <v>0</v>
      </c>
      <c r="AA36" s="28">
        <f t="shared" si="39"/>
        <v>0.75</v>
      </c>
      <c r="AB36" s="3">
        <f t="shared" si="48"/>
        <v>0.9375</v>
      </c>
      <c r="AC36" s="18">
        <f t="shared" si="46"/>
        <v>2.6666666666666665</v>
      </c>
      <c r="AD36" s="3">
        <f t="shared" si="40"/>
        <v>1</v>
      </c>
      <c r="AE36" s="17"/>
    </row>
    <row r="37" spans="1:31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28"/>
      <c r="U37" s="3"/>
      <c r="V37" s="7"/>
      <c r="W37" s="4"/>
      <c r="X37" s="3"/>
      <c r="Y37" s="3"/>
      <c r="Z37" s="3"/>
      <c r="AA37" s="5"/>
      <c r="AB37" s="3"/>
      <c r="AC37" s="18"/>
      <c r="AD37" s="3"/>
      <c r="AE37" s="17"/>
    </row>
    <row r="38" spans="1:31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28"/>
      <c r="U38" s="3"/>
      <c r="V38" s="7"/>
      <c r="W38" s="4"/>
      <c r="X38" s="3"/>
      <c r="Y38" s="3"/>
      <c r="Z38" s="3"/>
      <c r="AA38" s="5"/>
      <c r="AB38" s="3"/>
      <c r="AC38" s="18"/>
      <c r="AD38" s="3"/>
      <c r="AE38" s="17"/>
    </row>
    <row r="39" spans="1:31" ht="15.75" x14ac:dyDescent="0.25">
      <c r="A39" s="13"/>
      <c r="B39" s="8" t="s">
        <v>135</v>
      </c>
      <c r="C39" s="9">
        <v>12</v>
      </c>
      <c r="D39" s="8">
        <v>3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>
        <v>10</v>
      </c>
      <c r="P39" s="1"/>
      <c r="Q39" s="3">
        <f>(10+$AG$4-$AJ$5)/20</f>
        <v>1</v>
      </c>
      <c r="R39" s="3">
        <f>(C39/20)*IF($AJ$6=1,IF(F39="X",1,0.5),1)</f>
        <v>0.6</v>
      </c>
      <c r="S39" s="3">
        <f>(IF(( L39="X"),0,($AG$5+I39))/20)</f>
        <v>0.1</v>
      </c>
      <c r="T39" s="5">
        <f>1*R39*Q39*(1+S39)*D39 + IF(N39="X",D39*Q39*0.25,0) + IF(M39="X",D39*Q39*R39*0.5,0) + 2*(O39/20)</f>
        <v>2.98</v>
      </c>
      <c r="U39" s="3">
        <f>T39/$T$4</f>
        <v>3.3863636363636358</v>
      </c>
      <c r="V39" s="7">
        <f>$AJ$3/T39/2</f>
        <v>0.67114093959731547</v>
      </c>
      <c r="W39" s="4"/>
      <c r="X39" s="3">
        <f>(10+$AG$4-$AJ$5)/20</f>
        <v>1</v>
      </c>
      <c r="Y39" s="3">
        <f>(C39/20)</f>
        <v>0.6</v>
      </c>
      <c r="Z39" s="3">
        <f>(IF((OR(K39="X", L39="X")),0,($AG$5+I39))/20)</f>
        <v>0.1</v>
      </c>
      <c r="AA39" s="5">
        <f>IF(G39="X",0,1*Y39*X39*(1+Z39)*D39) * IF($AJ$13=1,IF(F39="X",1,0.5),1) + IF(N39="X",D39*Q39*0.25,0) + 2*(O39/20)</f>
        <v>1.99</v>
      </c>
      <c r="AB39" s="3">
        <f>AA39/$AA$4</f>
        <v>4.5227272727272725</v>
      </c>
      <c r="AC39" s="7">
        <f t="shared" ref="AC39" si="49">$AJ$9/AA39/2</f>
        <v>1.0050251256281406</v>
      </c>
      <c r="AD39" s="3">
        <f>(U39+AB39)/2</f>
        <v>3.9545454545454541</v>
      </c>
      <c r="AE39" s="17"/>
    </row>
    <row r="40" spans="1:31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5"/>
      <c r="U40" s="3"/>
      <c r="V40" s="7"/>
      <c r="W40" s="4"/>
      <c r="X40" s="3"/>
      <c r="Y40" s="3"/>
      <c r="Z40" s="3"/>
      <c r="AA40" s="5"/>
      <c r="AB40" s="3"/>
      <c r="AC40" s="18"/>
      <c r="AD40" s="17"/>
      <c r="AE40" s="17"/>
    </row>
    <row r="41" spans="1:31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5"/>
      <c r="U41" s="3"/>
      <c r="V41" s="1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0"/>
      <c r="AD42" s="14"/>
      <c r="AE42" s="14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</row>
    <row r="46" spans="1:31" ht="15.75" x14ac:dyDescent="0.25">
      <c r="A46" s="15"/>
      <c r="B46" s="8"/>
      <c r="C46" s="9"/>
      <c r="D46" s="8"/>
      <c r="E46" s="8"/>
    </row>
    <row r="47" spans="1:31" ht="15.75" x14ac:dyDescent="0.25">
      <c r="A47" s="13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Q2:T2"/>
    <mergeCell ref="X2:AA2"/>
  </mergeCells>
  <conditionalFormatting sqref="AD14:AD36 AE35 AD5:AD12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2:AB44 U42:U44 V14:V38 AC14:AC38 V4:V12 AC4:AC12 AC40 V40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2:AA44 T42:T44 U14:U38 AB14:AB38 AB4:AB12 U4:U12 AB40 U40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2:AC44 AE32:AE34 AD37:AE38 AD4:AE4 AE36 AE5:AE29 AD40:AE40 AE39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1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V39 AC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39 U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1 AB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1 AA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5 AB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5 AA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2016-06-29T11:28:11Z</dcterms:modified>
</cp:coreProperties>
</file>